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ojtech\Desktop\"/>
    </mc:Choice>
  </mc:AlternateContent>
  <xr:revisionPtr revIDLastSave="0" documentId="13_ncr:1_{F4030550-256C-4683-9637-2621D9F3C73D}" xr6:coauthVersionLast="47" xr6:coauthVersionMax="47" xr10:uidLastSave="{00000000-0000-0000-0000-000000000000}"/>
  <workbookProtection workbookAlgorithmName="SHA-512" workbookHashValue="gbepVwJ+7MI+ms4UhMpkTkaA5f5Ou82MkYUtyecTjJ0S20kcfYEZDv+fa9RCG6urcN2d+Wzuw3TxXBm91eegfw==" workbookSaltValue="cMkLAoBbloxpOXLYjLo0CA==" workbookSpinCount="100000" lockStructure="1"/>
  <bookViews>
    <workbookView xWindow="11424" yWindow="0" windowWidth="11712" windowHeight="12336" firstSheet="3" activeTab="4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Komunikace" sheetId="12" r:id="rId4"/>
    <sheet name="Most - horní část" sheetId="13" r:id="rId5"/>
    <sheet name="Most - spodní část" sheetId="14" r:id="rId6"/>
  </sheets>
  <externalReferences>
    <externalReference r:id="rId7"/>
  </externalReferences>
  <definedNames>
    <definedName name="CelkemDPHVypocet" localSheetId="1">Stavba!$H$44</definedName>
    <definedName name="CenaCelkem">Stavba!$G$30</definedName>
    <definedName name="CenaCelkemBezDPH">Stavba!$G$29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Stavba!$J$30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Komunikace!$1:$7</definedName>
    <definedName name="_xlnm.Print_Titles" localSheetId="4">'Most - horní část'!$1:$7</definedName>
    <definedName name="_xlnm.Print_Titles" localSheetId="5">'Most - spodní část'!$1:$7</definedName>
    <definedName name="oadresa">Stavba!$D$6</definedName>
    <definedName name="Objednatel" localSheetId="1">Stavba!$D$5</definedName>
    <definedName name="Objekt" localSheetId="1">Stavba!$B$39</definedName>
    <definedName name="_xlnm.Print_Area" localSheetId="3">Komunikace!$A$1:$X$168</definedName>
    <definedName name="_xlnm.Print_Area" localSheetId="4">'Most - horní část'!$A$1:$X$55</definedName>
    <definedName name="_xlnm.Print_Area" localSheetId="5">'Most - spodní část'!$A$1:$X$75</definedName>
    <definedName name="_xlnm.Print_Area" localSheetId="1">Stavba!$A$1:$J$98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 localSheetId="4">#REF!</definedName>
    <definedName name="PocetMJ" localSheetId="5">#REF!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 localSheetId="4">#REF!</definedName>
    <definedName name="SloupecCC" localSheetId="5">#REF!</definedName>
    <definedName name="SloupecCC">#REF!</definedName>
    <definedName name="SloupecCisloPol" localSheetId="4">#REF!</definedName>
    <definedName name="SloupecCisloPol" localSheetId="5">#REF!</definedName>
    <definedName name="SloupecCisloPol">#REF!</definedName>
    <definedName name="SloupecJC" localSheetId="4">#REF!</definedName>
    <definedName name="SloupecJC" localSheetId="5">#REF!</definedName>
    <definedName name="SloupecJC">#REF!</definedName>
    <definedName name="SloupecMJ" localSheetId="4">#REF!</definedName>
    <definedName name="SloupecMJ" localSheetId="5">#REF!</definedName>
    <definedName name="SloupecMJ">#REF!</definedName>
    <definedName name="SloupecMnozstvi" localSheetId="4">#REF!</definedName>
    <definedName name="SloupecMnozstvi" localSheetId="5">#REF!</definedName>
    <definedName name="SloupecMnozstvi">#REF!</definedName>
    <definedName name="SloupecNazPol" localSheetId="4">#REF!</definedName>
    <definedName name="SloupecNazPol" localSheetId="5">#REF!</definedName>
    <definedName name="SloupecNazPol">#REF!</definedName>
    <definedName name="SloupecPC" localSheetId="4">#REF!</definedName>
    <definedName name="SloupecPC" localSheetId="5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Stavba!$B$1:$J$37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Stavba!$G$35</definedName>
    <definedName name="Zaokrouhleni">Stavba!$G$28</definedName>
    <definedName name="ZaZhotovitele">Stavba!$D$35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2" l="1"/>
  <c r="A15" i="12"/>
  <c r="Q12" i="12"/>
  <c r="O12" i="12"/>
  <c r="M12" i="12"/>
  <c r="K12" i="12"/>
  <c r="I12" i="12"/>
  <c r="G12" i="12"/>
  <c r="A12" i="12"/>
  <c r="Q9" i="12"/>
  <c r="O9" i="12"/>
  <c r="K9" i="12"/>
  <c r="I9" i="12"/>
  <c r="G9" i="12"/>
  <c r="M9" i="12" s="1"/>
  <c r="E42" i="14"/>
  <c r="Q42" i="14" s="1"/>
  <c r="E93" i="13"/>
  <c r="Q93" i="13" s="1"/>
  <c r="A96" i="13"/>
  <c r="A93" i="13"/>
  <c r="E92" i="14"/>
  <c r="E87" i="14"/>
  <c r="A95" i="14"/>
  <c r="A92" i="14"/>
  <c r="E89" i="14"/>
  <c r="Q92" i="14" s="1"/>
  <c r="E80" i="14"/>
  <c r="E73" i="14"/>
  <c r="E61" i="14"/>
  <c r="E63" i="14" s="1"/>
  <c r="K63" i="14" s="1"/>
  <c r="E59" i="14"/>
  <c r="E67" i="14" s="1"/>
  <c r="E57" i="14"/>
  <c r="I57" i="14" s="1"/>
  <c r="E50" i="14"/>
  <c r="E52" i="14" s="1"/>
  <c r="K52" i="14" s="1"/>
  <c r="E46" i="14"/>
  <c r="K46" i="14" s="1"/>
  <c r="E48" i="14"/>
  <c r="Q48" i="14" s="1"/>
  <c r="E44" i="14"/>
  <c r="O44" i="14" s="1"/>
  <c r="E65" i="13"/>
  <c r="O65" i="13" s="1"/>
  <c r="E76" i="13"/>
  <c r="E106" i="13" s="1"/>
  <c r="E99" i="13" s="1"/>
  <c r="E104" i="13" s="1"/>
  <c r="Q104" i="13" s="1"/>
  <c r="E58" i="13"/>
  <c r="E79" i="13" s="1"/>
  <c r="E88" i="13" s="1"/>
  <c r="E90" i="13" s="1"/>
  <c r="E42" i="13"/>
  <c r="K42" i="13" s="1"/>
  <c r="E53" i="13"/>
  <c r="E51" i="13"/>
  <c r="G51" i="13" s="1"/>
  <c r="M51" i="13" s="1"/>
  <c r="E38" i="13"/>
  <c r="O38" i="13" s="1"/>
  <c r="Q40" i="13"/>
  <c r="O40" i="13"/>
  <c r="K40" i="13"/>
  <c r="I40" i="13"/>
  <c r="G40" i="13"/>
  <c r="M40" i="13" s="1"/>
  <c r="E44" i="13"/>
  <c r="K44" i="13" s="1"/>
  <c r="E70" i="14"/>
  <c r="Q70" i="14" s="1"/>
  <c r="E21" i="14"/>
  <c r="E23" i="14" s="1"/>
  <c r="Q23" i="14" s="1"/>
  <c r="E18" i="13"/>
  <c r="E21" i="13" s="1"/>
  <c r="G9" i="13"/>
  <c r="M9" i="13" s="1"/>
  <c r="I9" i="13"/>
  <c r="K9" i="13"/>
  <c r="O9" i="13"/>
  <c r="Q9" i="13"/>
  <c r="A12" i="13"/>
  <c r="G12" i="13"/>
  <c r="M12" i="13" s="1"/>
  <c r="I12" i="13"/>
  <c r="K12" i="13"/>
  <c r="O12" i="13"/>
  <c r="Q12" i="13"/>
  <c r="E19" i="14"/>
  <c r="Q19" i="14" s="1"/>
  <c r="E16" i="14"/>
  <c r="Q16" i="14" s="1"/>
  <c r="Q14" i="14"/>
  <c r="O14" i="14"/>
  <c r="K14" i="14"/>
  <c r="I14" i="14"/>
  <c r="G14" i="14"/>
  <c r="M14" i="14" s="1"/>
  <c r="M8" i="12" l="1"/>
  <c r="K93" i="13"/>
  <c r="G93" i="13"/>
  <c r="M93" i="13" s="1"/>
  <c r="O93" i="13"/>
  <c r="I93" i="13"/>
  <c r="K92" i="14"/>
  <c r="G92" i="14"/>
  <c r="M92" i="14" s="1"/>
  <c r="O92" i="14"/>
  <c r="I92" i="14"/>
  <c r="K104" i="13"/>
  <c r="G104" i="13"/>
  <c r="M104" i="13" s="1"/>
  <c r="O104" i="13"/>
  <c r="I104" i="13"/>
  <c r="E67" i="13"/>
  <c r="I67" i="13" s="1"/>
  <c r="E69" i="13"/>
  <c r="O69" i="13" s="1"/>
  <c r="E77" i="14"/>
  <c r="E102" i="14" s="1"/>
  <c r="E95" i="14" s="1"/>
  <c r="I59" i="14"/>
  <c r="G59" i="14"/>
  <c r="M59" i="14" s="1"/>
  <c r="K59" i="14"/>
  <c r="K67" i="14"/>
  <c r="Q67" i="14"/>
  <c r="E65" i="14"/>
  <c r="G65" i="14" s="1"/>
  <c r="M65" i="14" s="1"/>
  <c r="I48" i="14"/>
  <c r="O59" i="14"/>
  <c r="K61" i="14"/>
  <c r="Q61" i="14"/>
  <c r="Q63" i="14"/>
  <c r="Q59" i="14"/>
  <c r="O57" i="14"/>
  <c r="K57" i="14"/>
  <c r="G57" i="14"/>
  <c r="M57" i="14" s="1"/>
  <c r="Q57" i="14"/>
  <c r="G61" i="14"/>
  <c r="O61" i="14"/>
  <c r="G63" i="14"/>
  <c r="M63" i="14" s="1"/>
  <c r="O63" i="14"/>
  <c r="G67" i="14"/>
  <c r="M67" i="14" s="1"/>
  <c r="O67" i="14"/>
  <c r="I61" i="14"/>
  <c r="I63" i="14"/>
  <c r="I67" i="14"/>
  <c r="K50" i="14"/>
  <c r="E54" i="14"/>
  <c r="Q54" i="14" s="1"/>
  <c r="I50" i="14"/>
  <c r="G52" i="14"/>
  <c r="M52" i="14" s="1"/>
  <c r="Q52" i="14"/>
  <c r="O52" i="14"/>
  <c r="I52" i="14"/>
  <c r="O50" i="14"/>
  <c r="G50" i="14"/>
  <c r="M50" i="14" s="1"/>
  <c r="Q50" i="14"/>
  <c r="Q46" i="14"/>
  <c r="G46" i="14"/>
  <c r="M46" i="14" s="1"/>
  <c r="O46" i="14"/>
  <c r="I46" i="14"/>
  <c r="K48" i="14"/>
  <c r="O48" i="14"/>
  <c r="G48" i="14"/>
  <c r="M48" i="14" s="1"/>
  <c r="K44" i="14"/>
  <c r="G44" i="14"/>
  <c r="M44" i="14" s="1"/>
  <c r="Q44" i="14"/>
  <c r="I44" i="14"/>
  <c r="K42" i="14"/>
  <c r="I42" i="14"/>
  <c r="O42" i="14"/>
  <c r="G42" i="14"/>
  <c r="M42" i="14" s="1"/>
  <c r="G67" i="13"/>
  <c r="M67" i="13" s="1"/>
  <c r="Q67" i="13"/>
  <c r="G69" i="13"/>
  <c r="M69" i="13" s="1"/>
  <c r="K65" i="13"/>
  <c r="G65" i="13"/>
  <c r="M65" i="13" s="1"/>
  <c r="Q65" i="13"/>
  <c r="I65" i="13"/>
  <c r="E84" i="13"/>
  <c r="G42" i="13"/>
  <c r="M42" i="13" s="1"/>
  <c r="O42" i="13"/>
  <c r="I42" i="13"/>
  <c r="Q42" i="13"/>
  <c r="O51" i="13"/>
  <c r="K51" i="13"/>
  <c r="I51" i="13"/>
  <c r="Q51" i="13"/>
  <c r="I38" i="13"/>
  <c r="Q38" i="13"/>
  <c r="K38" i="13"/>
  <c r="G38" i="13"/>
  <c r="M38" i="13" s="1"/>
  <c r="G44" i="13"/>
  <c r="M44" i="13" s="1"/>
  <c r="O44" i="13"/>
  <c r="I44" i="13"/>
  <c r="Q44" i="13"/>
  <c r="E35" i="14"/>
  <c r="K70" i="14"/>
  <c r="I70" i="14"/>
  <c r="O70" i="14"/>
  <c r="G70" i="14"/>
  <c r="M70" i="14" s="1"/>
  <c r="E25" i="14"/>
  <c r="Q25" i="14" s="1"/>
  <c r="Q21" i="14"/>
  <c r="E27" i="14"/>
  <c r="E32" i="14" s="1"/>
  <c r="G32" i="14" s="1"/>
  <c r="M32" i="14" s="1"/>
  <c r="E30" i="14"/>
  <c r="K23" i="14"/>
  <c r="G23" i="14"/>
  <c r="M23" i="14" s="1"/>
  <c r="O23" i="14"/>
  <c r="I23" i="14"/>
  <c r="K21" i="14"/>
  <c r="G21" i="14"/>
  <c r="M21" i="14" s="1"/>
  <c r="O21" i="14"/>
  <c r="I21" i="14"/>
  <c r="I19" i="14"/>
  <c r="G19" i="14"/>
  <c r="M19" i="14" s="1"/>
  <c r="K19" i="14"/>
  <c r="O19" i="14"/>
  <c r="K16" i="14"/>
  <c r="G16" i="14"/>
  <c r="M16" i="14" s="1"/>
  <c r="O16" i="14"/>
  <c r="I16" i="14"/>
  <c r="I69" i="13" l="1"/>
  <c r="O67" i="13"/>
  <c r="E98" i="14"/>
  <c r="E100" i="14"/>
  <c r="Q69" i="13"/>
  <c r="K67" i="13"/>
  <c r="K69" i="13"/>
  <c r="K25" i="14"/>
  <c r="E83" i="14"/>
  <c r="O65" i="14"/>
  <c r="O56" i="14" s="1"/>
  <c r="K65" i="14"/>
  <c r="K56" i="14" s="1"/>
  <c r="Q65" i="14"/>
  <c r="Q56" i="14" s="1"/>
  <c r="I65" i="14"/>
  <c r="I56" i="14" s="1"/>
  <c r="M61" i="14"/>
  <c r="M56" i="14" s="1"/>
  <c r="G56" i="14"/>
  <c r="I90" i="1" s="1"/>
  <c r="I54" i="14"/>
  <c r="O54" i="14"/>
  <c r="K54" i="14"/>
  <c r="G54" i="14"/>
  <c r="M54" i="14" s="1"/>
  <c r="O25" i="14"/>
  <c r="G25" i="14"/>
  <c r="M25" i="14" s="1"/>
  <c r="I25" i="14"/>
  <c r="K32" i="14"/>
  <c r="Q32" i="14"/>
  <c r="I32" i="14"/>
  <c r="O32" i="14"/>
  <c r="K100" i="14" l="1"/>
  <c r="Q100" i="14"/>
  <c r="I100" i="14"/>
  <c r="G100" i="14"/>
  <c r="M100" i="14" s="1"/>
  <c r="O100" i="14"/>
  <c r="Q71" i="13" l="1"/>
  <c r="O71" i="13"/>
  <c r="K71" i="13"/>
  <c r="I71" i="13"/>
  <c r="G71" i="13"/>
  <c r="M71" i="13" s="1"/>
  <c r="Q73" i="13"/>
  <c r="O73" i="13"/>
  <c r="K73" i="13"/>
  <c r="I73" i="13"/>
  <c r="G73" i="13"/>
  <c r="M73" i="13" s="1"/>
  <c r="Q117" i="13"/>
  <c r="O117" i="13"/>
  <c r="K117" i="13"/>
  <c r="I117" i="13"/>
  <c r="G117" i="13"/>
  <c r="M117" i="13" s="1"/>
  <c r="Q114" i="14"/>
  <c r="O114" i="14"/>
  <c r="K114" i="14"/>
  <c r="I114" i="14"/>
  <c r="G114" i="14"/>
  <c r="M114" i="14" s="1"/>
  <c r="Q124" i="14"/>
  <c r="O124" i="14"/>
  <c r="K124" i="14"/>
  <c r="I124" i="14"/>
  <c r="G124" i="14"/>
  <c r="M124" i="14" s="1"/>
  <c r="Q121" i="14"/>
  <c r="O121" i="14"/>
  <c r="K121" i="14"/>
  <c r="I121" i="14"/>
  <c r="G121" i="14"/>
  <c r="M121" i="14" s="1"/>
  <c r="Q117" i="14"/>
  <c r="O117" i="14"/>
  <c r="K117" i="14"/>
  <c r="I117" i="14"/>
  <c r="G117" i="14"/>
  <c r="M117" i="14" s="1"/>
  <c r="Q111" i="14"/>
  <c r="O111" i="14"/>
  <c r="K111" i="14"/>
  <c r="I111" i="14"/>
  <c r="G111" i="14"/>
  <c r="M111" i="14" s="1"/>
  <c r="Q109" i="14"/>
  <c r="O109" i="14"/>
  <c r="K109" i="14"/>
  <c r="I109" i="14"/>
  <c r="G109" i="14"/>
  <c r="M109" i="14" s="1"/>
  <c r="Q107" i="14"/>
  <c r="O107" i="14"/>
  <c r="K107" i="14"/>
  <c r="I107" i="14"/>
  <c r="G107" i="14"/>
  <c r="M107" i="14" s="1"/>
  <c r="Q104" i="14"/>
  <c r="O104" i="14"/>
  <c r="K104" i="14"/>
  <c r="I104" i="14"/>
  <c r="G104" i="14"/>
  <c r="M104" i="14" s="1"/>
  <c r="Q89" i="14"/>
  <c r="O83" i="14"/>
  <c r="O82" i="14" s="1"/>
  <c r="Q80" i="14"/>
  <c r="O80" i="14"/>
  <c r="K80" i="14"/>
  <c r="I80" i="14"/>
  <c r="G80" i="14"/>
  <c r="M80" i="14" s="1"/>
  <c r="O77" i="14"/>
  <c r="Q73" i="14"/>
  <c r="O73" i="14"/>
  <c r="K73" i="14"/>
  <c r="I73" i="14"/>
  <c r="G73" i="14"/>
  <c r="M73" i="14" s="1"/>
  <c r="V69" i="14"/>
  <c r="Q40" i="14"/>
  <c r="Q39" i="14" s="1"/>
  <c r="O40" i="14"/>
  <c r="O39" i="14" s="1"/>
  <c r="K40" i="14"/>
  <c r="K39" i="14" s="1"/>
  <c r="I40" i="14"/>
  <c r="I39" i="14" s="1"/>
  <c r="G40" i="14"/>
  <c r="G39" i="14" s="1"/>
  <c r="I89" i="1" s="1"/>
  <c r="Q12" i="14"/>
  <c r="O12" i="14"/>
  <c r="K12" i="14"/>
  <c r="I12" i="14"/>
  <c r="G12" i="14"/>
  <c r="M12" i="14" s="1"/>
  <c r="A12" i="14"/>
  <c r="V10" i="14"/>
  <c r="V8" i="14" s="1"/>
  <c r="O9" i="14"/>
  <c r="Q89" i="12"/>
  <c r="O89" i="12"/>
  <c r="K89" i="12"/>
  <c r="I89" i="12"/>
  <c r="G89" i="12"/>
  <c r="M89" i="12" s="1"/>
  <c r="Q86" i="12"/>
  <c r="O86" i="12"/>
  <c r="K86" i="12"/>
  <c r="I86" i="12"/>
  <c r="G86" i="12"/>
  <c r="M86" i="12" s="1"/>
  <c r="Q85" i="12"/>
  <c r="O85" i="12"/>
  <c r="K85" i="12"/>
  <c r="I85" i="12"/>
  <c r="E114" i="12"/>
  <c r="E108" i="12"/>
  <c r="E101" i="12" s="1"/>
  <c r="K101" i="12" s="1"/>
  <c r="A15" i="13"/>
  <c r="A18" i="13" s="1"/>
  <c r="A21" i="13" s="1"/>
  <c r="G127" i="13"/>
  <c r="M127" i="13" s="1"/>
  <c r="E116" i="12"/>
  <c r="O116" i="12" s="1"/>
  <c r="Q118" i="12"/>
  <c r="O118" i="12"/>
  <c r="K118" i="12"/>
  <c r="I118" i="12"/>
  <c r="G118" i="12"/>
  <c r="M118" i="12" s="1"/>
  <c r="E55" i="12"/>
  <c r="E53" i="12"/>
  <c r="A18" i="12"/>
  <c r="A20" i="12" s="1"/>
  <c r="A22" i="12" s="1"/>
  <c r="A25" i="12" s="1"/>
  <c r="A28" i="12" s="1"/>
  <c r="A30" i="12" s="1"/>
  <c r="A32" i="12" s="1"/>
  <c r="A35" i="12" s="1"/>
  <c r="A38" i="12" s="1"/>
  <c r="A40" i="12" s="1"/>
  <c r="A43" i="12" s="1"/>
  <c r="A46" i="12" s="1"/>
  <c r="A48" i="12" s="1"/>
  <c r="E83" i="12"/>
  <c r="E66" i="12"/>
  <c r="E69" i="12"/>
  <c r="E71" i="12"/>
  <c r="G71" i="12" s="1"/>
  <c r="M71" i="12" s="1"/>
  <c r="E25" i="12"/>
  <c r="E15" i="12"/>
  <c r="E18" i="12" s="1"/>
  <c r="E139" i="12" s="1"/>
  <c r="E102" i="13"/>
  <c r="Q127" i="13"/>
  <c r="O127" i="13"/>
  <c r="K127" i="13"/>
  <c r="I127" i="13"/>
  <c r="Q124" i="13"/>
  <c r="O124" i="13"/>
  <c r="K124" i="13"/>
  <c r="I124" i="13"/>
  <c r="G124" i="13"/>
  <c r="M124" i="13" s="1"/>
  <c r="Q120" i="13"/>
  <c r="O120" i="13"/>
  <c r="K120" i="13"/>
  <c r="I120" i="13"/>
  <c r="G120" i="13"/>
  <c r="M120" i="13" s="1"/>
  <c r="Q115" i="13"/>
  <c r="O115" i="13"/>
  <c r="K115" i="13"/>
  <c r="I115" i="13"/>
  <c r="G115" i="13"/>
  <c r="M115" i="13" s="1"/>
  <c r="Q113" i="13"/>
  <c r="O113" i="13"/>
  <c r="K113" i="13"/>
  <c r="I113" i="13"/>
  <c r="G113" i="13"/>
  <c r="M113" i="13" s="1"/>
  <c r="Q111" i="13"/>
  <c r="O111" i="13"/>
  <c r="K111" i="13"/>
  <c r="I111" i="13"/>
  <c r="G111" i="13"/>
  <c r="M111" i="13" s="1"/>
  <c r="E23" i="13"/>
  <c r="O23" i="13" s="1"/>
  <c r="Q35" i="13"/>
  <c r="O35" i="13"/>
  <c r="K35" i="13"/>
  <c r="G35" i="13"/>
  <c r="M35" i="13" s="1"/>
  <c r="E81" i="13"/>
  <c r="M85" i="12" l="1"/>
  <c r="A23" i="13"/>
  <c r="A26" i="13" s="1"/>
  <c r="A29" i="13" s="1"/>
  <c r="A14" i="14"/>
  <c r="A16" i="14" s="1"/>
  <c r="A19" i="14" s="1"/>
  <c r="A21" i="14" s="1"/>
  <c r="A23" i="14" s="1"/>
  <c r="A25" i="14" s="1"/>
  <c r="A27" i="14" s="1"/>
  <c r="M40" i="14"/>
  <c r="M39" i="14" s="1"/>
  <c r="Q120" i="14"/>
  <c r="O106" i="14"/>
  <c r="I83" i="14"/>
  <c r="I82" i="14" s="1"/>
  <c r="I120" i="14"/>
  <c r="K83" i="14"/>
  <c r="K82" i="14" s="1"/>
  <c r="M120" i="14"/>
  <c r="G69" i="14"/>
  <c r="I91" i="1" s="1"/>
  <c r="K106" i="14"/>
  <c r="K89" i="14"/>
  <c r="E37" i="14"/>
  <c r="O69" i="14"/>
  <c r="I77" i="14"/>
  <c r="Q83" i="14"/>
  <c r="Q82" i="14" s="1"/>
  <c r="Q106" i="14"/>
  <c r="K77" i="14"/>
  <c r="G83" i="14"/>
  <c r="Q87" i="14"/>
  <c r="Q86" i="14" s="1"/>
  <c r="I9" i="14"/>
  <c r="I69" i="14"/>
  <c r="K69" i="14"/>
  <c r="Q77" i="14"/>
  <c r="Q76" i="14" s="1"/>
  <c r="I102" i="14"/>
  <c r="I106" i="14"/>
  <c r="K120" i="14"/>
  <c r="G120" i="14"/>
  <c r="I97" i="1" s="1"/>
  <c r="O120" i="14"/>
  <c r="Q69" i="14"/>
  <c r="M106" i="14"/>
  <c r="K9" i="14"/>
  <c r="Q9" i="14"/>
  <c r="M69" i="14"/>
  <c r="O76" i="14"/>
  <c r="G89" i="14"/>
  <c r="M89" i="14" s="1"/>
  <c r="O89" i="14"/>
  <c r="G106" i="14"/>
  <c r="I96" i="1" s="1"/>
  <c r="G9" i="14"/>
  <c r="G77" i="14"/>
  <c r="I89" i="14"/>
  <c r="E29" i="13"/>
  <c r="O29" i="13" s="1"/>
  <c r="G85" i="12"/>
  <c r="I60" i="1" s="1"/>
  <c r="E103" i="12"/>
  <c r="I103" i="12" s="1"/>
  <c r="E141" i="12"/>
  <c r="G101" i="12"/>
  <c r="M101" i="12" s="1"/>
  <c r="O101" i="12"/>
  <c r="I101" i="12"/>
  <c r="Q101" i="12"/>
  <c r="A51" i="12"/>
  <c r="A53" i="12" s="1"/>
  <c r="A55" i="12" s="1"/>
  <c r="A57" i="12" s="1"/>
  <c r="A59" i="12" s="1"/>
  <c r="A61" i="12" s="1"/>
  <c r="A63" i="12" s="1"/>
  <c r="A66" i="12" s="1"/>
  <c r="A69" i="12" s="1"/>
  <c r="A71" i="12" s="1"/>
  <c r="A73" i="12" s="1"/>
  <c r="A75" i="12" s="1"/>
  <c r="A77" i="12" s="1"/>
  <c r="A80" i="12" s="1"/>
  <c r="A83" i="12" s="1"/>
  <c r="E57" i="12"/>
  <c r="E132" i="12"/>
  <c r="K116" i="12"/>
  <c r="I116" i="12"/>
  <c r="Q116" i="12"/>
  <c r="G116" i="12"/>
  <c r="M116" i="12" s="1"/>
  <c r="E28" i="12"/>
  <c r="Q71" i="12"/>
  <c r="E51" i="12"/>
  <c r="E59" i="12" s="1"/>
  <c r="E61" i="12" s="1"/>
  <c r="E136" i="12" s="1"/>
  <c r="O71" i="12"/>
  <c r="M123" i="13"/>
  <c r="K23" i="13"/>
  <c r="G123" i="13"/>
  <c r="I82" i="1" s="1"/>
  <c r="O18" i="13"/>
  <c r="Q23" i="13"/>
  <c r="E26" i="13"/>
  <c r="O26" i="13" s="1"/>
  <c r="G23" i="13"/>
  <c r="M23" i="13" s="1"/>
  <c r="I23" i="13"/>
  <c r="I18" i="13"/>
  <c r="Q18" i="13"/>
  <c r="G18" i="13"/>
  <c r="M18" i="13" s="1"/>
  <c r="K18" i="13"/>
  <c r="I35" i="13"/>
  <c r="A32" i="13" l="1"/>
  <c r="A35" i="13" s="1"/>
  <c r="A38" i="13" s="1"/>
  <c r="A40" i="13" s="1"/>
  <c r="A42" i="13" s="1"/>
  <c r="A44" i="13" s="1"/>
  <c r="I29" i="13"/>
  <c r="A30" i="14"/>
  <c r="A32" i="14" s="1"/>
  <c r="A35" i="14" s="1"/>
  <c r="G87" i="14"/>
  <c r="K76" i="14"/>
  <c r="O102" i="14"/>
  <c r="Q102" i="14"/>
  <c r="O27" i="14"/>
  <c r="G102" i="14"/>
  <c r="M102" i="14" s="1"/>
  <c r="K27" i="14"/>
  <c r="Q29" i="13"/>
  <c r="K29" i="13"/>
  <c r="G29" i="13"/>
  <c r="M29" i="13" s="1"/>
  <c r="I76" i="14"/>
  <c r="O87" i="14"/>
  <c r="O86" i="14" s="1"/>
  <c r="K30" i="14"/>
  <c r="I27" i="14"/>
  <c r="Q27" i="14"/>
  <c r="I87" i="14"/>
  <c r="I86" i="14" s="1"/>
  <c r="G27" i="14"/>
  <c r="M27" i="14" s="1"/>
  <c r="K87" i="14"/>
  <c r="K86" i="14" s="1"/>
  <c r="M83" i="14"/>
  <c r="M82" i="14" s="1"/>
  <c r="G82" i="14"/>
  <c r="I93" i="1" s="1"/>
  <c r="K102" i="14"/>
  <c r="M77" i="14"/>
  <c r="M76" i="14" s="1"/>
  <c r="G76" i="14"/>
  <c r="I92" i="1" s="1"/>
  <c r="K37" i="14"/>
  <c r="Q37" i="14"/>
  <c r="I37" i="14"/>
  <c r="O37" i="14"/>
  <c r="G37" i="14"/>
  <c r="M37" i="14" s="1"/>
  <c r="M9" i="14"/>
  <c r="A86" i="12"/>
  <c r="G103" i="12"/>
  <c r="M103" i="12" s="1"/>
  <c r="Q103" i="12"/>
  <c r="K103" i="12"/>
  <c r="O103" i="12"/>
  <c r="E134" i="12"/>
  <c r="K26" i="13"/>
  <c r="G21" i="13"/>
  <c r="M21" i="13" s="1"/>
  <c r="Q21" i="13"/>
  <c r="I21" i="13"/>
  <c r="Q26" i="13"/>
  <c r="K21" i="13"/>
  <c r="O21" i="13"/>
  <c r="G26" i="13"/>
  <c r="M26" i="13" s="1"/>
  <c r="I26" i="13"/>
  <c r="M87" i="14" l="1"/>
  <c r="M86" i="14" s="1"/>
  <c r="G86" i="14"/>
  <c r="I94" i="1" s="1"/>
  <c r="A37" i="14"/>
  <c r="A40" i="14" s="1"/>
  <c r="A47" i="13"/>
  <c r="I30" i="14"/>
  <c r="I8" i="14" s="1"/>
  <c r="K8" i="14"/>
  <c r="Q30" i="14"/>
  <c r="Q8" i="14" s="1"/>
  <c r="G35" i="14"/>
  <c r="M35" i="14" s="1"/>
  <c r="O30" i="14"/>
  <c r="O8" i="14" s="1"/>
  <c r="G30" i="14"/>
  <c r="M30" i="14" s="1"/>
  <c r="K95" i="14"/>
  <c r="G95" i="14"/>
  <c r="O95" i="14"/>
  <c r="I95" i="14"/>
  <c r="Q95" i="14"/>
  <c r="A93" i="12"/>
  <c r="A96" i="12" s="1"/>
  <c r="A99" i="12" s="1"/>
  <c r="A101" i="12" s="1"/>
  <c r="A103" i="12" s="1"/>
  <c r="A106" i="12" s="1"/>
  <c r="A108" i="12" s="1"/>
  <c r="A111" i="12" s="1"/>
  <c r="A114" i="12" s="1"/>
  <c r="A116" i="12" s="1"/>
  <c r="A118" i="12" s="1"/>
  <c r="A120" i="12" s="1"/>
  <c r="A122" i="12" s="1"/>
  <c r="A126" i="12" s="1"/>
  <c r="A129" i="12" s="1"/>
  <c r="A132" i="12" s="1"/>
  <c r="A134" i="12" s="1"/>
  <c r="A136" i="12" s="1"/>
  <c r="A139" i="12" s="1"/>
  <c r="A141" i="12" s="1"/>
  <c r="A143" i="12" s="1"/>
  <c r="A146" i="12" s="1"/>
  <c r="A148" i="12" s="1"/>
  <c r="A151" i="12" s="1"/>
  <c r="A153" i="12" s="1"/>
  <c r="A157" i="12" s="1"/>
  <c r="A160" i="12" s="1"/>
  <c r="A163" i="12" s="1"/>
  <c r="A89" i="12"/>
  <c r="E129" i="12"/>
  <c r="O15" i="12"/>
  <c r="I123" i="13"/>
  <c r="K123" i="13"/>
  <c r="Q108" i="13"/>
  <c r="O108" i="13"/>
  <c r="K108" i="13"/>
  <c r="I108" i="13"/>
  <c r="G108" i="13"/>
  <c r="M108" i="13" s="1"/>
  <c r="Q106" i="13"/>
  <c r="O106" i="13"/>
  <c r="K106" i="13"/>
  <c r="I106" i="13"/>
  <c r="G106" i="13"/>
  <c r="M106" i="13" s="1"/>
  <c r="Q96" i="13"/>
  <c r="Q95" i="13" s="1"/>
  <c r="O96" i="13"/>
  <c r="O95" i="13" s="1"/>
  <c r="K96" i="13"/>
  <c r="K95" i="13" s="1"/>
  <c r="I96" i="13"/>
  <c r="I95" i="13" s="1"/>
  <c r="G96" i="13"/>
  <c r="M96" i="13" s="1"/>
  <c r="M95" i="13" s="1"/>
  <c r="Q90" i="13"/>
  <c r="O90" i="13"/>
  <c r="K90" i="13"/>
  <c r="I90" i="13"/>
  <c r="G90" i="13"/>
  <c r="M90" i="13" s="1"/>
  <c r="Q88" i="13"/>
  <c r="O88" i="13"/>
  <c r="K88" i="13"/>
  <c r="I88" i="13"/>
  <c r="G88" i="13"/>
  <c r="M88" i="13" s="1"/>
  <c r="Q84" i="13"/>
  <c r="Q83" i="13" s="1"/>
  <c r="O84" i="13"/>
  <c r="O83" i="13" s="1"/>
  <c r="K84" i="13"/>
  <c r="K83" i="13" s="1"/>
  <c r="I84" i="13"/>
  <c r="I83" i="13" s="1"/>
  <c r="G84" i="13"/>
  <c r="M84" i="13" s="1"/>
  <c r="M83" i="13" s="1"/>
  <c r="Q81" i="13"/>
  <c r="O81" i="13"/>
  <c r="K81" i="13"/>
  <c r="I81" i="13"/>
  <c r="G81" i="13"/>
  <c r="M81" i="13" s="1"/>
  <c r="Q79" i="13"/>
  <c r="O79" i="13"/>
  <c r="K79" i="13"/>
  <c r="I79" i="13"/>
  <c r="G79" i="13"/>
  <c r="M79" i="13" s="1"/>
  <c r="Q76" i="13"/>
  <c r="O76" i="13"/>
  <c r="K76" i="13"/>
  <c r="I76" i="13"/>
  <c r="G76" i="13"/>
  <c r="M76" i="13" s="1"/>
  <c r="Q62" i="13"/>
  <c r="Q61" i="13" s="1"/>
  <c r="O62" i="13"/>
  <c r="O61" i="13" s="1"/>
  <c r="K62" i="13"/>
  <c r="K61" i="13" s="1"/>
  <c r="I62" i="13"/>
  <c r="I61" i="13" s="1"/>
  <c r="G62" i="13"/>
  <c r="M62" i="13" s="1"/>
  <c r="Q58" i="13"/>
  <c r="O58" i="13"/>
  <c r="K58" i="13"/>
  <c r="I58" i="13"/>
  <c r="G58" i="13"/>
  <c r="M58" i="13" s="1"/>
  <c r="Q56" i="13"/>
  <c r="O56" i="13"/>
  <c r="K56" i="13"/>
  <c r="I56" i="13"/>
  <c r="G56" i="13"/>
  <c r="M56" i="13" s="1"/>
  <c r="Q47" i="13"/>
  <c r="O47" i="13"/>
  <c r="K47" i="13"/>
  <c r="I47" i="13"/>
  <c r="G47" i="13"/>
  <c r="M47" i="13" s="1"/>
  <c r="Q32" i="13"/>
  <c r="O32" i="13"/>
  <c r="K32" i="13"/>
  <c r="I32" i="13"/>
  <c r="G32" i="13"/>
  <c r="M32" i="13" s="1"/>
  <c r="Q15" i="13"/>
  <c r="O15" i="13"/>
  <c r="K15" i="13"/>
  <c r="I15" i="13"/>
  <c r="G15" i="13"/>
  <c r="M15" i="13" s="1"/>
  <c r="M95" i="14" l="1"/>
  <c r="A42" i="14"/>
  <c r="A51" i="13"/>
  <c r="A53" i="13" s="1"/>
  <c r="A56" i="13" s="1"/>
  <c r="A58" i="13" s="1"/>
  <c r="Q87" i="13"/>
  <c r="G95" i="13"/>
  <c r="I79" i="1" s="1"/>
  <c r="I18" i="1" s="1"/>
  <c r="M8" i="14"/>
  <c r="G8" i="14"/>
  <c r="I88" i="1" s="1"/>
  <c r="Q98" i="14"/>
  <c r="Q94" i="14" s="1"/>
  <c r="I98" i="14"/>
  <c r="I94" i="14" s="1"/>
  <c r="K98" i="14"/>
  <c r="K94" i="14" s="1"/>
  <c r="O98" i="14"/>
  <c r="O94" i="14" s="1"/>
  <c r="G98" i="14"/>
  <c r="M98" i="14" s="1"/>
  <c r="M94" i="14" s="1"/>
  <c r="Q75" i="13"/>
  <c r="I75" i="13"/>
  <c r="O75" i="13"/>
  <c r="I87" i="13"/>
  <c r="O87" i="13"/>
  <c r="K87" i="13"/>
  <c r="Q99" i="13"/>
  <c r="Q102" i="13"/>
  <c r="K110" i="13"/>
  <c r="Q110" i="13"/>
  <c r="I110" i="13"/>
  <c r="O110" i="13"/>
  <c r="Q123" i="13"/>
  <c r="O123" i="13"/>
  <c r="O31" i="13"/>
  <c r="I31" i="13"/>
  <c r="G83" i="13"/>
  <c r="I77" i="1" s="1"/>
  <c r="G87" i="13"/>
  <c r="I78" i="1" s="1"/>
  <c r="I17" i="1" s="1"/>
  <c r="M31" i="13"/>
  <c r="K31" i="13"/>
  <c r="Q31" i="13"/>
  <c r="G110" i="13"/>
  <c r="I81" i="1" s="1"/>
  <c r="Q8" i="13"/>
  <c r="K99" i="13"/>
  <c r="G31" i="13"/>
  <c r="I73" i="1" s="1"/>
  <c r="G61" i="13"/>
  <c r="I75" i="1" s="1"/>
  <c r="G75" i="13"/>
  <c r="I76" i="1" s="1"/>
  <c r="G99" i="13"/>
  <c r="O99" i="13"/>
  <c r="K75" i="13"/>
  <c r="M75" i="13"/>
  <c r="I15" i="12"/>
  <c r="Q15" i="12"/>
  <c r="G15" i="12"/>
  <c r="K15" i="12"/>
  <c r="M87" i="13"/>
  <c r="M110" i="13"/>
  <c r="M61" i="13"/>
  <c r="I99" i="13"/>
  <c r="G94" i="14" l="1"/>
  <c r="G128" i="14"/>
  <c r="I95" i="1"/>
  <c r="I98" i="1" s="1"/>
  <c r="A44" i="14"/>
  <c r="A48" i="14" s="1"/>
  <c r="A50" i="14" s="1"/>
  <c r="A52" i="14" s="1"/>
  <c r="A54" i="14" s="1"/>
  <c r="A57" i="14" s="1"/>
  <c r="A59" i="14" s="1"/>
  <c r="A61" i="14" s="1"/>
  <c r="A63" i="14" s="1"/>
  <c r="A65" i="14" s="1"/>
  <c r="A67" i="14" s="1"/>
  <c r="A70" i="14" s="1"/>
  <c r="A73" i="14" s="1"/>
  <c r="A77" i="14" s="1"/>
  <c r="A80" i="14" s="1"/>
  <c r="A83" i="14" s="1"/>
  <c r="A87" i="14" s="1"/>
  <c r="A89" i="14" s="1"/>
  <c r="A46" i="14"/>
  <c r="A62" i="13"/>
  <c r="Q98" i="13"/>
  <c r="M99" i="13"/>
  <c r="I102" i="13"/>
  <c r="I98" i="13" s="1"/>
  <c r="K102" i="13"/>
  <c r="K98" i="13" s="1"/>
  <c r="O8" i="13"/>
  <c r="M8" i="13"/>
  <c r="O102" i="13"/>
  <c r="O98" i="13" s="1"/>
  <c r="G102" i="13"/>
  <c r="M102" i="13" s="1"/>
  <c r="K8" i="13"/>
  <c r="M15" i="12"/>
  <c r="G8" i="13"/>
  <c r="O53" i="13"/>
  <c r="K53" i="13"/>
  <c r="G53" i="13"/>
  <c r="M53" i="13" s="1"/>
  <c r="Q53" i="13"/>
  <c r="I53" i="13"/>
  <c r="I8" i="13"/>
  <c r="G98" i="13" l="1"/>
  <c r="I50" i="1"/>
  <c r="J93" i="1"/>
  <c r="J90" i="1"/>
  <c r="J89" i="1"/>
  <c r="J92" i="1"/>
  <c r="J95" i="1"/>
  <c r="J97" i="1"/>
  <c r="J96" i="1"/>
  <c r="J88" i="1"/>
  <c r="J94" i="1"/>
  <c r="J91" i="1"/>
  <c r="A65" i="13"/>
  <c r="A67" i="13" s="1"/>
  <c r="A69" i="13" s="1"/>
  <c r="A71" i="13" s="1"/>
  <c r="A73" i="13" s="1"/>
  <c r="A76" i="13" s="1"/>
  <c r="A79" i="13" s="1"/>
  <c r="A81" i="13" s="1"/>
  <c r="A84" i="13" s="1"/>
  <c r="A88" i="13" s="1"/>
  <c r="A90" i="13" s="1"/>
  <c r="A99" i="13" s="1"/>
  <c r="A102" i="13" s="1"/>
  <c r="A98" i="14"/>
  <c r="I72" i="1"/>
  <c r="M98" i="13"/>
  <c r="Q50" i="13"/>
  <c r="I50" i="13"/>
  <c r="O50" i="13"/>
  <c r="K50" i="13"/>
  <c r="M50" i="13"/>
  <c r="G50" i="13"/>
  <c r="I74" i="1" s="1"/>
  <c r="J98" i="1" l="1"/>
  <c r="A100" i="14"/>
  <c r="A102" i="14" s="1"/>
  <c r="A104" i="14" s="1"/>
  <c r="A107" i="14" s="1"/>
  <c r="A109" i="14" s="1"/>
  <c r="A111" i="14" s="1"/>
  <c r="A114" i="14" s="1"/>
  <c r="A117" i="14" s="1"/>
  <c r="A121" i="14" s="1"/>
  <c r="A124" i="14" s="1"/>
  <c r="A104" i="13"/>
  <c r="A106" i="13" s="1"/>
  <c r="A108" i="13" s="1"/>
  <c r="A111" i="13" s="1"/>
  <c r="A113" i="13" s="1"/>
  <c r="A115" i="13" s="1"/>
  <c r="I80" i="1"/>
  <c r="I83" i="1" s="1"/>
  <c r="I49" i="1" s="1"/>
  <c r="G131" i="13"/>
  <c r="O83" i="12"/>
  <c r="O80" i="12"/>
  <c r="O77" i="12"/>
  <c r="Q51" i="12"/>
  <c r="O51" i="12"/>
  <c r="K51" i="12"/>
  <c r="I51" i="12"/>
  <c r="G51" i="12"/>
  <c r="E43" i="12"/>
  <c r="E32" i="12"/>
  <c r="E35" i="12" s="1"/>
  <c r="A120" i="13" l="1"/>
  <c r="A124" i="13" s="1"/>
  <c r="A127" i="13" s="1"/>
  <c r="A117" i="13"/>
  <c r="J72" i="1"/>
  <c r="J80" i="1"/>
  <c r="J76" i="1"/>
  <c r="J81" i="1"/>
  <c r="J77" i="1"/>
  <c r="J73" i="1"/>
  <c r="J79" i="1"/>
  <c r="J75" i="1"/>
  <c r="J82" i="1"/>
  <c r="J78" i="1"/>
  <c r="J74" i="1"/>
  <c r="M51" i="12"/>
  <c r="G83" i="12"/>
  <c r="M83" i="12" s="1"/>
  <c r="Q83" i="12"/>
  <c r="I80" i="12"/>
  <c r="Q80" i="12"/>
  <c r="G80" i="12"/>
  <c r="M80" i="12" s="1"/>
  <c r="K80" i="12"/>
  <c r="I77" i="12"/>
  <c r="Q77" i="12"/>
  <c r="G77" i="12"/>
  <c r="M77" i="12" s="1"/>
  <c r="K77" i="12"/>
  <c r="E30" i="12"/>
  <c r="G129" i="12"/>
  <c r="M129" i="12" s="1"/>
  <c r="J83" i="1" l="1"/>
  <c r="Q59" i="12" l="1"/>
  <c r="Q61" i="12"/>
  <c r="Q126" i="12"/>
  <c r="O126" i="12"/>
  <c r="K126" i="12"/>
  <c r="I126" i="12"/>
  <c r="G126" i="12"/>
  <c r="Q93" i="12"/>
  <c r="O93" i="12"/>
  <c r="K93" i="12"/>
  <c r="I93" i="12"/>
  <c r="G93" i="12"/>
  <c r="Q106" i="12"/>
  <c r="O106" i="12"/>
  <c r="K106" i="12"/>
  <c r="I106" i="12"/>
  <c r="G106" i="12"/>
  <c r="M106" i="12" s="1"/>
  <c r="M126" i="12" l="1"/>
  <c r="M125" i="12" s="1"/>
  <c r="G125" i="12"/>
  <c r="M93" i="12"/>
  <c r="I57" i="12"/>
  <c r="K59" i="12"/>
  <c r="G59" i="12"/>
  <c r="M59" i="12" s="1"/>
  <c r="O59" i="12"/>
  <c r="G57" i="12"/>
  <c r="M57" i="12" s="1"/>
  <c r="O57" i="12"/>
  <c r="I59" i="12"/>
  <c r="G61" i="12"/>
  <c r="M61" i="12" s="1"/>
  <c r="K61" i="12"/>
  <c r="O61" i="12"/>
  <c r="I61" i="12"/>
  <c r="K57" i="12" l="1"/>
  <c r="Q57" i="12"/>
  <c r="Q141" i="12" l="1"/>
  <c r="O141" i="12"/>
  <c r="G141" i="12"/>
  <c r="M141" i="12" s="1"/>
  <c r="K141" i="12"/>
  <c r="I141" i="12"/>
  <c r="Q99" i="12"/>
  <c r="O99" i="12"/>
  <c r="K99" i="12"/>
  <c r="I99" i="12"/>
  <c r="G99" i="12"/>
  <c r="M99" i="12" s="1"/>
  <c r="AZ54" i="13" l="1"/>
  <c r="V53" i="13"/>
  <c r="V52" i="13" s="1"/>
  <c r="AZ32" i="13"/>
  <c r="V31" i="13"/>
  <c r="E143" i="12" l="1"/>
  <c r="V8" i="13" l="1"/>
  <c r="Q63" i="12" l="1"/>
  <c r="O63" i="12"/>
  <c r="K63" i="12"/>
  <c r="I63" i="12"/>
  <c r="G63" i="12"/>
  <c r="M63" i="12" l="1"/>
  <c r="O73" i="12"/>
  <c r="Q73" i="12" l="1"/>
  <c r="G73" i="12"/>
  <c r="M73" i="12" s="1"/>
  <c r="O114" i="12"/>
  <c r="I114" i="12" l="1"/>
  <c r="Q114" i="12"/>
  <c r="G114" i="12"/>
  <c r="M114" i="12" s="1"/>
  <c r="K114" i="12"/>
  <c r="Q46" i="12" l="1"/>
  <c r="G46" i="12" l="1"/>
  <c r="M46" i="12" s="1"/>
  <c r="O46" i="12"/>
  <c r="K46" i="12"/>
  <c r="I46" i="12"/>
  <c r="Q125" i="12" l="1"/>
  <c r="O125" i="12"/>
  <c r="K125" i="12"/>
  <c r="I125" i="12"/>
  <c r="Q96" i="12"/>
  <c r="O96" i="12"/>
  <c r="K96" i="12"/>
  <c r="I96" i="12"/>
  <c r="G96" i="12"/>
  <c r="Q43" i="12"/>
  <c r="O43" i="12"/>
  <c r="K43" i="12"/>
  <c r="I43" i="12"/>
  <c r="G43" i="12"/>
  <c r="M43" i="12" s="1"/>
  <c r="O55" i="12"/>
  <c r="O25" i="12"/>
  <c r="Q32" i="12"/>
  <c r="O32" i="12"/>
  <c r="K32" i="12"/>
  <c r="I32" i="12"/>
  <c r="G32" i="12"/>
  <c r="I62" i="1" l="1"/>
  <c r="M32" i="12"/>
  <c r="M96" i="12"/>
  <c r="K55" i="12"/>
  <c r="Q55" i="12"/>
  <c r="G55" i="12"/>
  <c r="M55" i="12" s="1"/>
  <c r="I55" i="12"/>
  <c r="O18" i="12"/>
  <c r="E38" i="12"/>
  <c r="K25" i="12"/>
  <c r="I25" i="12"/>
  <c r="Q25" i="12"/>
  <c r="G25" i="12"/>
  <c r="M25" i="12" s="1"/>
  <c r="Q18" i="12"/>
  <c r="Q134" i="12" l="1"/>
  <c r="I134" i="12"/>
  <c r="K134" i="12"/>
  <c r="G134" i="12"/>
  <c r="M134" i="12" s="1"/>
  <c r="O134" i="12"/>
  <c r="K18" i="12"/>
  <c r="G18" i="12"/>
  <c r="I18" i="12"/>
  <c r="M18" i="12" l="1"/>
  <c r="J27" i="1"/>
  <c r="Q111" i="12" l="1"/>
  <c r="O111" i="12"/>
  <c r="K111" i="12"/>
  <c r="I111" i="12"/>
  <c r="G111" i="12"/>
  <c r="M111" i="12" s="1"/>
  <c r="E48" i="12"/>
  <c r="Q22" i="12" l="1"/>
  <c r="O22" i="12"/>
  <c r="K22" i="12"/>
  <c r="I22" i="12"/>
  <c r="G22" i="12"/>
  <c r="M22" i="12" s="1"/>
  <c r="Q153" i="12" l="1"/>
  <c r="O153" i="12"/>
  <c r="K153" i="12"/>
  <c r="I153" i="12"/>
  <c r="G153" i="12"/>
  <c r="M153" i="12" s="1"/>
  <c r="Q151" i="12"/>
  <c r="O151" i="12"/>
  <c r="K151" i="12"/>
  <c r="I151" i="12"/>
  <c r="G151" i="12"/>
  <c r="M151" i="12" s="1"/>
  <c r="Q146" i="12"/>
  <c r="O146" i="12"/>
  <c r="K146" i="12"/>
  <c r="I146" i="12"/>
  <c r="G146" i="12"/>
  <c r="Q120" i="12"/>
  <c r="O120" i="12"/>
  <c r="K120" i="12"/>
  <c r="I120" i="12"/>
  <c r="G120" i="12"/>
  <c r="Q69" i="12"/>
  <c r="O69" i="12"/>
  <c r="G75" i="12"/>
  <c r="G69" i="12"/>
  <c r="M69" i="12" l="1"/>
  <c r="M75" i="12"/>
  <c r="M120" i="12"/>
  <c r="M146" i="12"/>
  <c r="G48" i="12"/>
  <c r="M48" i="12" s="1"/>
  <c r="Q75" i="12"/>
  <c r="O75" i="12"/>
  <c r="BA164" i="12"/>
  <c r="BA161" i="12"/>
  <c r="BA158" i="12"/>
  <c r="BA149" i="12"/>
  <c r="BA67" i="12"/>
  <c r="V18" i="12"/>
  <c r="G20" i="12"/>
  <c r="I20" i="12"/>
  <c r="K20" i="12"/>
  <c r="O20" i="12"/>
  <c r="Q20" i="12"/>
  <c r="V20" i="12"/>
  <c r="G28" i="12"/>
  <c r="M28" i="12" s="1"/>
  <c r="I28" i="12"/>
  <c r="K28" i="12"/>
  <c r="O28" i="12"/>
  <c r="Q28" i="12"/>
  <c r="V28" i="12"/>
  <c r="G30" i="12"/>
  <c r="M30" i="12" s="1"/>
  <c r="I30" i="12"/>
  <c r="K30" i="12"/>
  <c r="O30" i="12"/>
  <c r="Q30" i="12"/>
  <c r="V30" i="12"/>
  <c r="G35" i="12"/>
  <c r="I35" i="12"/>
  <c r="K35" i="12"/>
  <c r="O35" i="12"/>
  <c r="Q35" i="12"/>
  <c r="V35" i="12"/>
  <c r="G38" i="12"/>
  <c r="M38" i="12" s="1"/>
  <c r="I38" i="12"/>
  <c r="K38" i="12"/>
  <c r="O38" i="12"/>
  <c r="Q38" i="12"/>
  <c r="V38" i="12"/>
  <c r="G40" i="12"/>
  <c r="I40" i="12"/>
  <c r="K40" i="12"/>
  <c r="O40" i="12"/>
  <c r="Q40" i="12"/>
  <c r="V40" i="12"/>
  <c r="O48" i="12"/>
  <c r="G53" i="12"/>
  <c r="G50" i="12" s="1"/>
  <c r="I53" i="12"/>
  <c r="K53" i="12"/>
  <c r="O53" i="12"/>
  <c r="Q53" i="12"/>
  <c r="V53" i="12"/>
  <c r="G66" i="12"/>
  <c r="M66" i="12" s="1"/>
  <c r="I66" i="12"/>
  <c r="K66" i="12"/>
  <c r="O66" i="12"/>
  <c r="Q66" i="12"/>
  <c r="V66" i="12"/>
  <c r="G108" i="12"/>
  <c r="G92" i="12" s="1"/>
  <c r="I108" i="12"/>
  <c r="K108" i="12"/>
  <c r="O108" i="12"/>
  <c r="Q108" i="12"/>
  <c r="V108" i="12"/>
  <c r="G122" i="12"/>
  <c r="M122" i="12" s="1"/>
  <c r="I122" i="12"/>
  <c r="K122" i="12"/>
  <c r="O122" i="12"/>
  <c r="Q122" i="12"/>
  <c r="V122" i="12"/>
  <c r="G132" i="12"/>
  <c r="M132" i="12" s="1"/>
  <c r="I132" i="12"/>
  <c r="K132" i="12"/>
  <c r="O132" i="12"/>
  <c r="Q132" i="12"/>
  <c r="V132" i="12"/>
  <c r="G136" i="12"/>
  <c r="I136" i="12"/>
  <c r="K136" i="12"/>
  <c r="O136" i="12"/>
  <c r="Q136" i="12"/>
  <c r="V136" i="12"/>
  <c r="G139" i="12"/>
  <c r="M139" i="12" s="1"/>
  <c r="I139" i="12"/>
  <c r="K139" i="12"/>
  <c r="O139" i="12"/>
  <c r="Q139" i="12"/>
  <c r="V139" i="12"/>
  <c r="G143" i="12"/>
  <c r="M143" i="12" s="1"/>
  <c r="I143" i="12"/>
  <c r="K143" i="12"/>
  <c r="O143" i="12"/>
  <c r="Q143" i="12"/>
  <c r="V143" i="12"/>
  <c r="G148" i="12"/>
  <c r="G145" i="12" s="1"/>
  <c r="I148" i="12"/>
  <c r="I145" i="12" s="1"/>
  <c r="K148" i="12"/>
  <c r="K145" i="12" s="1"/>
  <c r="O148" i="12"/>
  <c r="O145" i="12" s="1"/>
  <c r="Q148" i="12"/>
  <c r="Q145" i="12" s="1"/>
  <c r="V148" i="12"/>
  <c r="V145" i="12" s="1"/>
  <c r="G157" i="12"/>
  <c r="M157" i="12" s="1"/>
  <c r="I157" i="12"/>
  <c r="K157" i="12"/>
  <c r="O157" i="12"/>
  <c r="Q157" i="12"/>
  <c r="V157" i="12"/>
  <c r="G160" i="12"/>
  <c r="M160" i="12" s="1"/>
  <c r="I160" i="12"/>
  <c r="K160" i="12"/>
  <c r="O160" i="12"/>
  <c r="Q160" i="12"/>
  <c r="V160" i="12"/>
  <c r="G163" i="12"/>
  <c r="M163" i="12" s="1"/>
  <c r="I163" i="12"/>
  <c r="K163" i="12"/>
  <c r="O163" i="12"/>
  <c r="Q163" i="12"/>
  <c r="V163" i="12"/>
  <c r="AE167" i="12"/>
  <c r="F43" i="1" s="1"/>
  <c r="H44" i="1"/>
  <c r="I61" i="1" l="1"/>
  <c r="I59" i="1"/>
  <c r="I65" i="1"/>
  <c r="I19" i="1" s="1"/>
  <c r="M136" i="12"/>
  <c r="M131" i="12" s="1"/>
  <c r="M40" i="12"/>
  <c r="M20" i="12"/>
  <c r="M35" i="12"/>
  <c r="M108" i="12"/>
  <c r="M92" i="12" s="1"/>
  <c r="V48" i="12"/>
  <c r="I48" i="12"/>
  <c r="I8" i="12" s="1"/>
  <c r="M53" i="12"/>
  <c r="M50" i="12" s="1"/>
  <c r="Q48" i="12"/>
  <c r="K48" i="12"/>
  <c r="O8" i="12"/>
  <c r="V92" i="12"/>
  <c r="O92" i="12"/>
  <c r="M156" i="12"/>
  <c r="O156" i="12"/>
  <c r="Q156" i="12"/>
  <c r="I156" i="12"/>
  <c r="Q138" i="12"/>
  <c r="I138" i="12"/>
  <c r="V138" i="12"/>
  <c r="O138" i="12"/>
  <c r="Q131" i="12"/>
  <c r="I131" i="12"/>
  <c r="V131" i="12"/>
  <c r="O131" i="12"/>
  <c r="K92" i="12"/>
  <c r="Q92" i="12"/>
  <c r="I92" i="12"/>
  <c r="Q50" i="12"/>
  <c r="I50" i="12"/>
  <c r="V156" i="12"/>
  <c r="K156" i="12"/>
  <c r="G156" i="12"/>
  <c r="K138" i="12"/>
  <c r="G138" i="12"/>
  <c r="I64" i="1" s="1"/>
  <c r="K131" i="12"/>
  <c r="G131" i="12"/>
  <c r="I63" i="1" s="1"/>
  <c r="V50" i="12"/>
  <c r="O50" i="12"/>
  <c r="K50" i="12"/>
  <c r="AF167" i="12"/>
  <c r="G43" i="1" s="1"/>
  <c r="I43" i="1" s="1"/>
  <c r="F40" i="1"/>
  <c r="F42" i="1"/>
  <c r="M148" i="12"/>
  <c r="M145" i="12" s="1"/>
  <c r="M138" i="12"/>
  <c r="J29" i="1"/>
  <c r="J26" i="1"/>
  <c r="G39" i="1"/>
  <c r="F39" i="1"/>
  <c r="J23" i="1"/>
  <c r="J24" i="1"/>
  <c r="J25" i="1"/>
  <c r="J28" i="1"/>
  <c r="E24" i="1"/>
  <c r="E26" i="1"/>
  <c r="G167" i="12" l="1"/>
  <c r="I58" i="1"/>
  <c r="I66" i="1"/>
  <c r="I20" i="1" s="1"/>
  <c r="K8" i="12"/>
  <c r="V8" i="12"/>
  <c r="Q8" i="12"/>
  <c r="G40" i="1"/>
  <c r="G44" i="1" s="1"/>
  <c r="G42" i="1"/>
  <c r="I42" i="1" s="1"/>
  <c r="F44" i="1"/>
  <c r="G23" i="1" s="1"/>
  <c r="I67" i="1" l="1"/>
  <c r="J60" i="1" s="1"/>
  <c r="I40" i="1"/>
  <c r="I44" i="1" s="1"/>
  <c r="J43" i="1" s="1"/>
  <c r="J66" i="1" l="1"/>
  <c r="I48" i="1"/>
  <c r="I51" i="1" s="1"/>
  <c r="J61" i="1"/>
  <c r="J59" i="1"/>
  <c r="J63" i="1"/>
  <c r="J62" i="1"/>
  <c r="J58" i="1"/>
  <c r="J64" i="1"/>
  <c r="J65" i="1"/>
  <c r="J42" i="1"/>
  <c r="J40" i="1"/>
  <c r="J44" i="1" s="1"/>
  <c r="J50" i="1" l="1"/>
  <c r="I16" i="1"/>
  <c r="J67" i="1"/>
  <c r="I21" i="1" l="1"/>
  <c r="J49" i="1"/>
  <c r="J48" i="1"/>
  <c r="J51" i="1" l="1"/>
  <c r="G25" i="1"/>
  <c r="G27" i="1" s="1"/>
  <c r="G30" i="1" l="1"/>
  <c r="G29" i="1"/>
  <c r="A28" i="1"/>
  <c r="A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TSC</author>
  </authors>
  <commentList>
    <comment ref="S6" authorId="0" shapeId="0" xr:uid="{00000000-0006-0000-0300-000001000000}">
      <text>
        <r>
          <rPr>
            <sz val="8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8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TSC</author>
  </authors>
  <commentList>
    <comment ref="S6" authorId="0" shapeId="0" xr:uid="{00000000-0006-0000-0400-000001000000}">
      <text>
        <r>
          <rPr>
            <sz val="8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400-000002000000}">
      <text>
        <r>
          <rPr>
            <sz val="8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TSC</author>
  </authors>
  <commentList>
    <comment ref="S6" authorId="0" shapeId="0" xr:uid="{2663B4D0-AA01-40C3-86CA-5EB444FDDDC3}">
      <text>
        <r>
          <rPr>
            <sz val="8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03D83DE-E26C-4747-B49E-9A45ABF7B420}">
      <text>
        <r>
          <rPr>
            <sz val="8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<sst xmlns="http://schemas.openxmlformats.org/spreadsheetml/2006/main" count="1461" uniqueCount="465">
  <si>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</si>
  <si>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</si>
  <si>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</si>
  <si>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</si>
  <si>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</si>
  <si>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</si>
  <si>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</si>
  <si>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</si>
  <si>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</si>
  <si>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</si>
  <si>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</si>
  <si>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</si>
  <si>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</si>
  <si>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</si>
  <si>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</si>
  <si>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</si>
  <si>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</si>
  <si>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</si>
  <si>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</si>
  <si>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</si>
  <si>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</si>
  <si>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</si>
  <si>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</si>
  <si>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</si>
  <si>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</si>
  <si>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</si>
  <si>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</si>
  <si>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</si>
  <si>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</si>
  <si>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</si>
  <si>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</si>
  <si>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</si>
  <si>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</si>
  <si>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</si>
  <si>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</si>
  <si>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</si>
  <si>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</si>
  <si>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</si>
  <si>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</si>
  <si>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</si>
  <si>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</si>
  <si>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01285</t>
  </si>
  <si>
    <t>Rekonstrukce chodníků v ulici V Podlískách v obci Braškov</t>
  </si>
  <si>
    <t>SO 01</t>
  </si>
  <si>
    <t>Chodník</t>
  </si>
  <si>
    <t>Objekt:</t>
  </si>
  <si>
    <t>Rozpočet:</t>
  </si>
  <si>
    <t>Stavba</t>
  </si>
  <si>
    <t>Stavební objekt</t>
  </si>
  <si>
    <t>Celkem za stavbu</t>
  </si>
  <si>
    <t>CZK</t>
  </si>
  <si>
    <t>Typ dílu</t>
  </si>
  <si>
    <t>1</t>
  </si>
  <si>
    <t>Zemní práce</t>
  </si>
  <si>
    <t>5</t>
  </si>
  <si>
    <t>Komunikace</t>
  </si>
  <si>
    <t>91</t>
  </si>
  <si>
    <t>Doplňující práce na komunikaci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</si>
  <si>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</si>
  <si>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</si>
  <si>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</si>
  <si>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</si>
  <si>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</si>
  <si>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</si>
  <si>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</si>
  <si>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</si>
  <si>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</si>
  <si>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</si>
  <si>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</si>
  <si>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</si>
  <si>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</si>
  <si>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</si>
  <si>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</si>
  <si>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</si>
  <si>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</si>
  <si>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</si>
  <si>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</si>
  <si>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</si>
  <si>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</si>
  <si>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</si>
  <si>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</si>
  <si>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</si>
  <si>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</si>
  <si>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</si>
  <si>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</si>
  <si>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</si>
  <si>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</si>
  <si>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</si>
  <si>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</si>
  <si>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</si>
  <si>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</si>
  <si>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</si>
  <si>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</si>
  <si>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SPU</t>
  </si>
  <si>
    <t>SPCM</t>
  </si>
  <si>
    <t>kus</t>
  </si>
  <si>
    <t>59217010R</t>
  </si>
  <si>
    <t>obrubník silniční materiál beton; l = 1000,0 mm; š = 150,0 mm; h = 250,0 mm; barva přírodní</t>
  </si>
  <si>
    <t>m2</t>
  </si>
  <si>
    <t xml:space="preserve">Geodetické práce </t>
  </si>
  <si>
    <t>Soubor</t>
  </si>
  <si>
    <t>Indiv</t>
  </si>
  <si>
    <t>VRN</t>
  </si>
  <si>
    <t>POL99_2</t>
  </si>
  <si>
    <t>Zařízení staveniště</t>
  </si>
  <si>
    <t>POP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</si>
  <si>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</si>
  <si>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</si>
  <si>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</si>
  <si>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822-1</t>
  </si>
  <si>
    <t>Práce</t>
  </si>
  <si>
    <t>POL1_</t>
  </si>
  <si>
    <t>SPI</t>
  </si>
  <si>
    <t>113201111R00</t>
  </si>
  <si>
    <t>m</t>
  </si>
  <si>
    <t>800-1</t>
  </si>
  <si>
    <t>m3</t>
  </si>
  <si>
    <t>122201109R00</t>
  </si>
  <si>
    <t>162701105RT3</t>
  </si>
  <si>
    <t>po suchu, bez naložení výkopku, avšak se složením bez rozhrnutí, zpáteční cesta vozidla.</t>
  </si>
  <si>
    <t>167101101R00</t>
  </si>
  <si>
    <t>180402111R00</t>
  </si>
  <si>
    <t>823-1</t>
  </si>
  <si>
    <t>na půdě předem připravené s pokosením, naložením, odvozem odpadu do 20 km a se složením,</t>
  </si>
  <si>
    <t>199000002R00</t>
  </si>
  <si>
    <t>Poplatky za skládku horniny 1- 4, skupina 17 05 04 z Katalogu odpadů</t>
  </si>
  <si>
    <t>t</t>
  </si>
  <si>
    <t>596215041R00</t>
  </si>
  <si>
    <t>s provedením lože z kameniva drceného, s vyplněním spár, s dvojitým hutněním a se smetením přebytečného materiálu na krajnici. S dodáním hmot pro lože a výplň spár.</t>
  </si>
  <si>
    <t>919735112R00</t>
  </si>
  <si>
    <t>Řezání stávajících krytů nebo podkladů živičných, hloubky přes 50 do 100 mm</t>
  </si>
  <si>
    <t>včetně spotřeby vody</t>
  </si>
  <si>
    <t>Přesun hmot</t>
  </si>
  <si>
    <t>POL7_</t>
  </si>
  <si>
    <t>Přesun hmot pozemních komunikací, kryt dlážděný jakékoliv délky objektu</t>
  </si>
  <si>
    <t>Přesun suti</t>
  </si>
  <si>
    <t>POL8_</t>
  </si>
  <si>
    <t>801-3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</si>
  <si>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</si>
  <si>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</si>
  <si>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</si>
  <si>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005211030R</t>
  </si>
  <si>
    <t xml:space="preserve">Dočasná dopravní opatření 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</si>
  <si>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</si>
  <si>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</si>
  <si>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</si>
  <si>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005281010R</t>
  </si>
  <si>
    <t>Propagace</t>
  </si>
  <si>
    <t>SUM</t>
  </si>
  <si>
    <t>END</t>
  </si>
  <si>
    <t>Vytrhání obrub silničních stojatých nebo ležatých</t>
  </si>
  <si>
    <t>12224441R00</t>
  </si>
  <si>
    <t>917855111RT7</t>
  </si>
  <si>
    <t>998200011R00</t>
  </si>
  <si>
    <t>998213111R00</t>
  </si>
  <si>
    <t>Poplatek za skládku stavební suti</t>
  </si>
  <si>
    <t>979188001R00</t>
  </si>
  <si>
    <t>005131 R</t>
  </si>
  <si>
    <t>Náklady na vyhotovení návrhu dočasného dopravního značení, jeho projednání s dotčenými orgány a organizacemi, dodání dopravních značek i případné světelné signalizace, jejich rozmístění a přemísťování a jejich údržba v průběhu výstavby včetně následného odstranění po ukončení stavebních prací.</t>
  </si>
  <si>
    <t>Náklady spojené s povinnou publicitou. Zahrnuje zejména náklady na propagační a informační billboardy, tabule, internetovou propagaci, tiskoviny apod.</t>
  </si>
  <si>
    <t>Založení trávníku parkový trávník, výsevem v rovině, vč. travního smene</t>
  </si>
  <si>
    <t>005121029 R</t>
  </si>
  <si>
    <t>Kladení zámkové dlažby do drtě tloušťka dlažby 60 mm, tloušťka lože 40 mm</t>
  </si>
  <si>
    <t>Kladení zámkové dlažby do drtě tloušťka dlažby 80 mm, tloušťka lože 40 mm</t>
  </si>
  <si>
    <t>Nakládání výkopku, skládání, překládání neulehlého výkopku_x000D_ z hornin 1 až 4</t>
  </si>
  <si>
    <t>S dodáním hmot pro lože a opěry</t>
  </si>
  <si>
    <t>Osazení silničního betonového obrubníku, s boční opěrou z betonu prostého, do lože z betonu prostého C 12/15</t>
  </si>
  <si>
    <t>917855101RT7</t>
  </si>
  <si>
    <t>592215021R00</t>
  </si>
  <si>
    <t>Osazení chodníkového nebo parkového betonového obrubníku, s boční opěrou z betonu prostého, do lože z betonu prostého C 12/15</t>
  </si>
  <si>
    <t xml:space="preserve">             Artendr s.r.o.</t>
  </si>
  <si>
    <t>Zadavatel:</t>
  </si>
  <si>
    <t>Celkem bez DPH</t>
  </si>
  <si>
    <t>Základní DPH</t>
  </si>
  <si>
    <t>Bourání konstrukcí</t>
  </si>
  <si>
    <t>96</t>
  </si>
  <si>
    <t>120001101R00</t>
  </si>
  <si>
    <t>Ztížené vykopávky v horninách jakékoliv třídy</t>
  </si>
  <si>
    <t>139601102R00</t>
  </si>
  <si>
    <t>Ruční výkop jam, rýh a šachet v hornině 3</t>
  </si>
  <si>
    <t>s přehozením na vzdálenost do 5 m nebo s naložením na ruční dopravní prostředek</t>
  </si>
  <si>
    <t>823-2</t>
  </si>
  <si>
    <t>Rozprostření zemin schopných zúrodnění v rovině nebo svahu do 1:5, tloušťka 200 mm</t>
  </si>
  <si>
    <t>vč. dodávky zeminy, naložení, dovozu do 20 km a se složením,</t>
  </si>
  <si>
    <t>95</t>
  </si>
  <si>
    <t>Dokončovací konstrukce na pozemních stavbách</t>
  </si>
  <si>
    <t>801-1</t>
  </si>
  <si>
    <t>998222011R00</t>
  </si>
  <si>
    <t>Přesun hmot pozemních komunikací, kryt z kameniva jakékoliv délky objektu</t>
  </si>
  <si>
    <t>181101102R00</t>
  </si>
  <si>
    <t>Úprava pláně v zářezech v hornině 1 až 4, se zhutněním</t>
  </si>
  <si>
    <t>113106236R00</t>
  </si>
  <si>
    <t>181006190RT2</t>
  </si>
  <si>
    <t>564851112RT3</t>
  </si>
  <si>
    <t xml:space="preserve">dlažba betonová, zámková; přírodní šedá, tl. 60 mm </t>
  </si>
  <si>
    <t>59245255R</t>
  </si>
  <si>
    <t>914001199RT9</t>
  </si>
  <si>
    <t>příplatek k cenám vykopávek za ztížení vykopávky v blízkosti podzemního vedení v horninách jakékoliv třídy,</t>
  </si>
  <si>
    <t>s vybouráním lože, s přemístěním hmot na skládku na vzdálenost do 3 m nebo naložením na dopravní prostředek,</t>
  </si>
  <si>
    <t>174101101R00</t>
  </si>
  <si>
    <t>4</t>
  </si>
  <si>
    <t>Vodorovné konstrukce</t>
  </si>
  <si>
    <t>Cena celkem bez DPH</t>
  </si>
  <si>
    <t xml:space="preserve">Osazení a montáž svislých dopravních značek sloupek, do betonového základu,  </t>
  </si>
  <si>
    <t>vč. základu, nové kotevní šrouby</t>
  </si>
  <si>
    <t>91400R01</t>
  </si>
  <si>
    <t>Odstranění podkladů nebo krytů z kameniva hrubého drceného, v ploše jednotlivě nad 50 m2</t>
  </si>
  <si>
    <t>113107539R00</t>
  </si>
  <si>
    <t>Značka dopravní, vč. sloupku 60mm, délky 2,5m + patice</t>
  </si>
  <si>
    <t>RTS 21/II</t>
  </si>
  <si>
    <t>911011206RT9</t>
  </si>
  <si>
    <t>Demontáž svislých dopravních značek, vč. sloupků a patek</t>
  </si>
  <si>
    <t xml:space="preserve">vč. zásypu jamky, zemních prací, likvidace </t>
  </si>
  <si>
    <t>954431111R00</t>
  </si>
  <si>
    <t xml:space="preserve">Výšková úprava uličního vstupu, vpustě nebo šoupěte do 20 cm </t>
  </si>
  <si>
    <t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t>
  </si>
  <si>
    <t>59217002R</t>
  </si>
  <si>
    <t>573231130R00</t>
  </si>
  <si>
    <t>Postřik živičný spojovací bez posypu kamenivem z asfaltu silničního, v množství od 0,3 do 0,5 kg/m2</t>
  </si>
  <si>
    <t>s očištěním, přemístěním hmot na skládku na vzdálenost do 3 m nebo s naložením na dopravní prostředek,</t>
  </si>
  <si>
    <t>Přesun hmot komunikací, kryt živičný, nebo betonový jakékoliv délky objektu</t>
  </si>
  <si>
    <t>979086112R00</t>
  </si>
  <si>
    <t>Odvoz suti a vybouraných hmot na skládku do 1 km</t>
  </si>
  <si>
    <t>979081111R00</t>
  </si>
  <si>
    <t>Odvoz suti a vybouraných hmot na skládku příplatek za každý další 1 km</t>
  </si>
  <si>
    <t>Odkopávky a  prokopávky nezapažené v hornině 3_x000D_ příplatek k cenám za lepivost horniny</t>
  </si>
  <si>
    <t>Odkopávky a  prokopávky nezapažené v hornině 3_x000D_ do 100 m3</t>
  </si>
  <si>
    <t>Obec Drahelčice</t>
  </si>
  <si>
    <t>Na Návsi 25</t>
  </si>
  <si>
    <t>252 19</t>
  </si>
  <si>
    <t>Drahelčice</t>
  </si>
  <si>
    <t>00233200</t>
  </si>
  <si>
    <t xml:space="preserve">Rozebrání komunikací pro pěší s jakýmkoliv ložem a výplní spár_x000D_ z dlažby betonové </t>
  </si>
  <si>
    <t>113108410R00</t>
  </si>
  <si>
    <r>
      <t>Odstranění podkladů nebo krytů živičných, v ploše nad 50 m2, tloušťka vrstvy do 10</t>
    </r>
    <r>
      <rPr>
        <sz val="8"/>
        <color theme="1"/>
        <rFont val="Arial CE"/>
        <charset val="238"/>
      </rPr>
      <t>0</t>
    </r>
    <r>
      <rPr>
        <sz val="8"/>
        <rFont val="Arial CE"/>
        <charset val="238"/>
      </rPr>
      <t xml:space="preserve"> mm</t>
    </r>
  </si>
  <si>
    <t>Podklad z mechanicky zpevněného kameniva tl. 15cm</t>
  </si>
  <si>
    <t>564952111R00</t>
  </si>
  <si>
    <t>564952115R00</t>
  </si>
  <si>
    <t>Podklad z mechanicky zpevněného kameniva tl. 19cm</t>
  </si>
  <si>
    <t>Podklad ze štěrkodrti s rozprostřením a zhutněním (frakce 0-32mm, 0/63mm), tloušťka po zhutnění 200mm</t>
  </si>
  <si>
    <t>577132177RT2</t>
  </si>
  <si>
    <t>915701751RT9</t>
  </si>
  <si>
    <t>Demontáž, očištění, uskladnění, osazení odpadkového koše vč. základová patky</t>
  </si>
  <si>
    <t>Kladení žulové dlažby z kostek, do drtě, tloušťka lože do 100 mm</t>
  </si>
  <si>
    <t>592111117R00</t>
  </si>
  <si>
    <t>592215041R00</t>
  </si>
  <si>
    <t>Kladení dlažby z dlaždic vegetačních do drtě, tloušťka dlažby 80 mm</t>
  </si>
  <si>
    <t xml:space="preserve">dlažba betonová, vegetační; přírodní šedá, tl. 80 mm </t>
  </si>
  <si>
    <t>59660755R</t>
  </si>
  <si>
    <t>obrubník chodníkový betonový; l = 1000,0 mm; š = 80 mm; h = 250,0 mm; barva přírodní</t>
  </si>
  <si>
    <t>122202202R00</t>
  </si>
  <si>
    <t>s přemístěním výkopku v příčných profilech na vzdálenost do 15 m nebo s naložením na dopravní prostředek.</t>
  </si>
  <si>
    <t xml:space="preserve">Vykopávky pro koryta vodotečí v hornině 3, do 1 000 m3 </t>
  </si>
  <si>
    <t>se svislým přemístění výkopku do 4 m a s přehozením výkopku na vzdálenost do 3 m nebo s naložením na dopravní prostředek,</t>
  </si>
  <si>
    <t>129200001R00</t>
  </si>
  <si>
    <t>Čištění koryt vodotečí hloubce koryta do 2,5 m, pří šířce původního dna do 5 m, v hornině 3</t>
  </si>
  <si>
    <t>s přehozením rozpojeného nánosu do 3 m nebo s naložením na dopravní prostředek,</t>
  </si>
  <si>
    <t>129203109R00</t>
  </si>
  <si>
    <t>Čištění koryt vodotečí příplatek k ceně za lepivost v hornině 3</t>
  </si>
  <si>
    <t>2</t>
  </si>
  <si>
    <t>Základy a zvláštní zakládání</t>
  </si>
  <si>
    <t>821-1</t>
  </si>
  <si>
    <t>801-2</t>
  </si>
  <si>
    <t>465513100R00</t>
  </si>
  <si>
    <t>832-1</t>
  </si>
  <si>
    <t>lomařsky upraveného pro dlažbu</t>
  </si>
  <si>
    <t>567122111R00</t>
  </si>
  <si>
    <t>bez dilatačních spár, s rozprostřením a zhutněním, ošetřením povrchu podkladu vodou</t>
  </si>
  <si>
    <t>457655511R00</t>
  </si>
  <si>
    <t>Zalití spár asfaltovou zálivkou, do 1 kg zálivky na 1 m spáry</t>
  </si>
  <si>
    <t>578132100R00</t>
  </si>
  <si>
    <t>963051111R00</t>
  </si>
  <si>
    <t>Bourání mostních nosných konstrukcí z dílců ze železobetonu</t>
  </si>
  <si>
    <t>715101811R00</t>
  </si>
  <si>
    <t>800-715</t>
  </si>
  <si>
    <t>966005211R00</t>
  </si>
  <si>
    <t xml:space="preserve">Přesun hmot pro mosty montované želbet. výška do 20 m,  </t>
  </si>
  <si>
    <t>z dílců železobetonových nebo předpjatých na novostavbách, včetně příplatku za zvětšený přesun přes vymezenou dopravní vzdálenost,</t>
  </si>
  <si>
    <t>711</t>
  </si>
  <si>
    <t>Izolace proti vodě</t>
  </si>
  <si>
    <t>800-711</t>
  </si>
  <si>
    <t>711141504R00</t>
  </si>
  <si>
    <t>Provedení očištění povrchu a natavení dvou vrstev asfaltového modifikovaného pásu včetně dodávky materiálů.</t>
  </si>
  <si>
    <t>M65</t>
  </si>
  <si>
    <t>Elektroinstalace a veřejné osvětlení</t>
  </si>
  <si>
    <t>650025541R00</t>
  </si>
  <si>
    <t>Včetně naložení na dopravní prostředek a složení na skládku, bez poplatku za skládku.</t>
  </si>
  <si>
    <t>Poplatek za skládku železobeton, skupina 17 09 04 z Katalogu odpadů</t>
  </si>
  <si>
    <t>Poplatek za skládku asfaltové pásy, skupina 17 03 02 z Katalogu odpadů</t>
  </si>
  <si>
    <t>Zalití spár asfaltovou zálivkou - za tepla</t>
  </si>
  <si>
    <t>956274471RT1</t>
  </si>
  <si>
    <t>8</t>
  </si>
  <si>
    <t>Trubní vedení</t>
  </si>
  <si>
    <t>895941860R4T</t>
  </si>
  <si>
    <t>Zřízení uliční vpusti kanalizační z betonových dílců typ UV-50</t>
  </si>
  <si>
    <t>vč. dodávky všech díclů, mříže s rámem a propojení do řádu, navrtávka hl. řádu, doprava a manipulace</t>
  </si>
  <si>
    <t>vč. dodávky všech kompozitních dílů, litinové mříže a propojení do řádu, navrtávka hl. řádu, doprava a manipulace, vč. lože a patek z betonu C16/20</t>
  </si>
  <si>
    <t>Zabezpečení staveniště, výkopů</t>
  </si>
  <si>
    <t>Odstranění zabezpečení staveniště</t>
  </si>
  <si>
    <t>005121001 R</t>
  </si>
  <si>
    <t>005121009R</t>
  </si>
  <si>
    <t>Komunikace a odvodnění</t>
  </si>
  <si>
    <t>Komunikace a odovodnění - Drahelčice</t>
  </si>
  <si>
    <t>Rekapitulace objektů SO 01 - Komunikace a odvodnění - I. etapa</t>
  </si>
  <si>
    <t>Oprava ulice Malá Strana v obci Drahelčice - I. etapa</t>
  </si>
  <si>
    <t>Komunikace a odovodnění - Drahelčice - I. etapa</t>
  </si>
  <si>
    <t xml:space="preserve">Komunikace </t>
  </si>
  <si>
    <t xml:space="preserve">Odstranění přitavených izolačních pásů v ploše přes 1 m2_x000D_, vč. likvidace
</t>
  </si>
  <si>
    <t>Rozebrání a odstranění zábradlí se sloupky osazenými do říms nebo krycích desek, vč. likvidace</t>
  </si>
  <si>
    <t>Dodávka a montáž, zábradlí ocelového trubkové, žárově zinkovaného, nátěr, vč. kotvení do římsy</t>
  </si>
  <si>
    <t>911131181R00</t>
  </si>
  <si>
    <t xml:space="preserve">Provedení izolace proti zemní vlhkosti pásy přitavením vodorovná nebo svislá, 2 vrstvy, s dodávkou izolačního pásu se skleněnou, polyesterovou nebo hliníkovou vložkou, pás s minerálním posypem </t>
  </si>
  <si>
    <t xml:space="preserve">Dočasné zajištění kabelového vedení, žlab / lávku </t>
  </si>
  <si>
    <t>Podklad z kameniva zpevněného cementem SC C8/10</t>
  </si>
  <si>
    <t>Zřízení mostovky z panelů z předpjatého betonu hladkých, vč. dodávky, ukládky a lože</t>
  </si>
  <si>
    <t>411135559R00</t>
  </si>
  <si>
    <t>411136074R00</t>
  </si>
  <si>
    <t>Vodorovné přemístění výkopku z horniny 1 až 4, na vzdálenost přes do 20 km</t>
  </si>
  <si>
    <t>Bourací práce</t>
  </si>
  <si>
    <t>Beton asfaltový s rozprostřením a zhutněním v pruhu šířky přes 3 m, ACO 8 -11 S, tloušťky 40 mm</t>
  </si>
  <si>
    <t>59245256R</t>
  </si>
  <si>
    <t>59248005R</t>
  </si>
  <si>
    <t>RTS 23/II</t>
  </si>
  <si>
    <t>obrubník silniční materiál beton; nájezdový l = 1000,0 mm; š = 150,0 mm; h = 150,0 mm; barva přírodní</t>
  </si>
  <si>
    <t>obrubník silniční materiál beton; přechodový l = 1000,0 mm; š = 150,0 mm; h = 150-250,0 mm; barva přírodní</t>
  </si>
  <si>
    <t xml:space="preserve">Rekapitulace dílů - komunikace </t>
  </si>
  <si>
    <t>23069</t>
  </si>
  <si>
    <t>Zásyp ze štěrkodrti s rozprostřením a zhutněním frakce 0-63 mm, tloušťka vrstvy před zhutněním 250 mm, vč. hutnění</t>
  </si>
  <si>
    <t>564871809RT2</t>
  </si>
  <si>
    <t xml:space="preserve">dlažba betonová, zámková; barevná, slepecká, tl. 60 mm </t>
  </si>
  <si>
    <t xml:space="preserve">dlažba betonová, zámková; přírodní šedá, tl. 80 mm </t>
  </si>
  <si>
    <t>59248006R</t>
  </si>
  <si>
    <t xml:space="preserve">dlažba betonová, zámková; barevná, slepecká, tl. 80 mm </t>
  </si>
  <si>
    <t>914706544R00</t>
  </si>
  <si>
    <t>Dodávka a montáž nopové fólie vč. přichycení</t>
  </si>
  <si>
    <t>915101407RT2</t>
  </si>
  <si>
    <t>Zásyp rýh kamenivem tříděným s urovnáním</t>
  </si>
  <si>
    <t>S dodáním kačírku praného 16/22, doprava, manipulace s urovnáním</t>
  </si>
  <si>
    <t>Specifikace viz. PD</t>
  </si>
  <si>
    <t>005132 R</t>
  </si>
  <si>
    <t>Statický posudek opěr a spodní části mostu</t>
  </si>
  <si>
    <t>Náklady na posouzení stávajících opěr a založení mostu z hlediska únosnosti a posouzení stávajícího stavu vč. potřebných zkoušek a sond.</t>
  </si>
  <si>
    <t>Náklady zhotovitele, související s prováděním zkoušek a revizí předepsaných technickými normami nebo objednatelem a které jsou pro provedení díla nezbytné - mostovka a svrchní části mostu</t>
  </si>
  <si>
    <t>911174011R00</t>
  </si>
  <si>
    <t>911174018R00</t>
  </si>
  <si>
    <t>RTS Indiv</t>
  </si>
  <si>
    <t xml:space="preserve">Dodávka a montáž letopočtu značícího rok rekonstrukce
</t>
  </si>
  <si>
    <t xml:space="preserve">Dodávka a montáž cedulí označujících číslo mostu vč. konzol kotvených k zábradlí
</t>
  </si>
  <si>
    <t>115001107R00</t>
  </si>
  <si>
    <t>Převedení vody potrubím DN do 1000 - zřízení a odstranění</t>
  </si>
  <si>
    <t>veškeré práce spojené s převedením vody pod mostem po dobu realizace</t>
  </si>
  <si>
    <t>RTS 24/I</t>
  </si>
  <si>
    <t>115101203R00</t>
  </si>
  <si>
    <t>Čerpání vody na dopravní výšku do 10 m průměrný přítok do 2000 l/min</t>
  </si>
  <si>
    <t>hod</t>
  </si>
  <si>
    <t>115101303R00</t>
  </si>
  <si>
    <t>Pohotovost čerpací soupravy pro dopravní výšku do 10 m přítok do 2000 l/min</t>
  </si>
  <si>
    <t>den</t>
  </si>
  <si>
    <t xml:space="preserve">Vykopávky pro koryta vodotečí v hornině 3, jednotlivě do 100 m3 </t>
  </si>
  <si>
    <t>Odkopávky a prokopávky pro silnice v hornině 3, jednotlivě do 100 m3</t>
  </si>
  <si>
    <t>124203105R00</t>
  </si>
  <si>
    <t>Poplatky za skládku - sedlina</t>
  </si>
  <si>
    <t>199000022R00</t>
  </si>
  <si>
    <t>Zaberanění ocelových štětovnic na dl do 8 m ve stísněných podmínkách z terénu</t>
  </si>
  <si>
    <t>153112132R00</t>
  </si>
  <si>
    <t>štětovnice ZTV IIIn, EN 10248-2 zn. S240GP (1.0021) dle EN 10248-1</t>
  </si>
  <si>
    <t>159202201R00</t>
  </si>
  <si>
    <t>Vytažení ocelových štětovnic dl do 12 m zaberaněných do hl 8 m z terénu ve stísněných podmínkách</t>
  </si>
  <si>
    <t>153113119R00</t>
  </si>
  <si>
    <t>Vodorovné přemístění výkopku z horniny 1 až 4, na vzdálenost do 20 km</t>
  </si>
  <si>
    <t>171201212R00</t>
  </si>
  <si>
    <t>Zásyp jam, rýh nebo šachet kolem objektů se zhutněním</t>
  </si>
  <si>
    <t>Zřízení těsnící vrstvy za opěrou z jílu</t>
  </si>
  <si>
    <t>vč. dodávky jílu</t>
  </si>
  <si>
    <t>458591112R00</t>
  </si>
  <si>
    <t>Kotvení monolitického betonu římsy do mostovky kotvou talířovou</t>
  </si>
  <si>
    <t>417171127R00</t>
  </si>
  <si>
    <t>vč. dodávky kotvy talířové do betonu</t>
  </si>
  <si>
    <t>Mostní římsa ze železobetonu C 30/37</t>
  </si>
  <si>
    <t>Bednění mostních říms všech tvarů - zřízení</t>
  </si>
  <si>
    <t>Bednění mostních říms všech tvarů - odstranění</t>
  </si>
  <si>
    <t>317353121R00</t>
  </si>
  <si>
    <t>317353221R00</t>
  </si>
  <si>
    <t>Výztuž mostních říms z betonářské oceli 10 505</t>
  </si>
  <si>
    <t>317361116R00</t>
  </si>
  <si>
    <t>Dlažba z lomového kamene dlažba z kamene lomařsky upraveného na cementovou maltu, s vyspárováním cementovou maltou, tloušťka 200 mm,  v rovině nebo ve svahu</t>
  </si>
  <si>
    <t>Litý asfalt, jemnězrnný, tloušťky 30 mm z modifikovaného asfaltu</t>
  </si>
  <si>
    <t>ochraná vrstva nad izolací proti vodě, vč.příplatku za množství do 50m2</t>
  </si>
  <si>
    <t>římsy, deska (panely)</t>
  </si>
  <si>
    <t>711111013R00</t>
  </si>
  <si>
    <t>Izolace proti zemní vlhkosti natěradly za studena na ploše vodorovné nátěrem penetračním, 1 x nátěr</t>
  </si>
  <si>
    <t>Ostatní konstrukce a práce</t>
  </si>
  <si>
    <t>9</t>
  </si>
  <si>
    <t>Montáž lešení řadového trubkového lehkého s podlahami zatížení do 200 kg/m2 š do 0,9 m v do 10 m</t>
  </si>
  <si>
    <t>941111111R00</t>
  </si>
  <si>
    <t>Příplatek k lešení řadovému trubkovému lehkému s podlahami š 0,9 m v 10 m za první a ZKD den použití</t>
  </si>
  <si>
    <t>941111211R00</t>
  </si>
  <si>
    <t>Demontáž lešení řadového trubkového lehkého s podlahami zatížení do 200 kg/m2 š do 0,9 m v do 10 m</t>
  </si>
  <si>
    <t>941111811R00</t>
  </si>
  <si>
    <t>Rekapitulace dílů - most - spodní část</t>
  </si>
  <si>
    <t>Rekapitulace dílů - most - horní část</t>
  </si>
  <si>
    <t>Obetonování vyústění skluzů nebo vyústění kanalizace - vývařiště</t>
  </si>
  <si>
    <t>212311112R00</t>
  </si>
  <si>
    <t>Obetonování drenážních trub mezerovitým betonem</t>
  </si>
  <si>
    <t>212341111R00</t>
  </si>
  <si>
    <t>Odvodnění mostní opěry - drenážní plastové potrubí HDPE DN 160</t>
  </si>
  <si>
    <t>212792312R00</t>
  </si>
  <si>
    <t>274311124R00</t>
  </si>
  <si>
    <t>274321117R00</t>
  </si>
  <si>
    <t>Základové pasy a prahy mostních konstrukcí ze ŽB C 25/30</t>
  </si>
  <si>
    <t>Základové pasy a prahy z betonu prostého C 12/15</t>
  </si>
  <si>
    <t>Bednění základových pásů - zřízení</t>
  </si>
  <si>
    <t>274354111R00</t>
  </si>
  <si>
    <t>Bednění základových pásů - odstranění</t>
  </si>
  <si>
    <t>274354211R00</t>
  </si>
  <si>
    <t>Výztuž základových pasů, prahů, věnců a ostruh z betonářské oceli 10 505</t>
  </si>
  <si>
    <t>274361116R00</t>
  </si>
  <si>
    <t>3</t>
  </si>
  <si>
    <t>Svislé a kompletní konstrukce</t>
  </si>
  <si>
    <t>Mostní opěry a úložné prahy ze ŽB C 30/37</t>
  </si>
  <si>
    <t>334323118R00</t>
  </si>
  <si>
    <t>Mostní křídla a závěrné zídky ze ŽB C 30/37</t>
  </si>
  <si>
    <t>334323218R00</t>
  </si>
  <si>
    <t>Bednění systémové mostních opěr a křídel pro ŽB - zřízení</t>
  </si>
  <si>
    <t>Bednění systémové mostních opěr a křídel pro ŽB - odstranění</t>
  </si>
  <si>
    <t>334352111R00</t>
  </si>
  <si>
    <t>334352211R00</t>
  </si>
  <si>
    <t>Výztuž dříků opěr z betonářské oceli 10 505</t>
  </si>
  <si>
    <t>Výztuž křídel, závěrných zdí z betonářské oceli 10 505</t>
  </si>
  <si>
    <t>334361216R00</t>
  </si>
  <si>
    <t>334361226R00</t>
  </si>
  <si>
    <t>Dodávka ŠD A ŠP ze zemníku s nakládkou na dopravní prostředek</t>
  </si>
  <si>
    <t>vč. dopravy (dle možností zhotovitele - pro zásyp za rubem opěr)</t>
  </si>
  <si>
    <t>opěry, křídla a základové pasy</t>
  </si>
  <si>
    <t>Svislé přemístění suti a vybouraných hmot na výšku do 3,5m</t>
  </si>
  <si>
    <t>997211111R00</t>
  </si>
  <si>
    <t>D99</t>
  </si>
  <si>
    <t>9972115111R00</t>
  </si>
  <si>
    <t>997211511R00</t>
  </si>
  <si>
    <t>998</t>
  </si>
  <si>
    <t>998212111R00</t>
  </si>
  <si>
    <t>999101108R00</t>
  </si>
  <si>
    <t>999102121R00</t>
  </si>
  <si>
    <t>Izolace proti zemní vlhkosti natěradly za studena na ploše svislé nátěrem penetračním, 1 x nátěr</t>
  </si>
  <si>
    <t>711112013R00</t>
  </si>
  <si>
    <t>při provádění stavby, zaměření skutečného provedení</t>
  </si>
  <si>
    <t>Dokumentace pro provádění stavby - RDS</t>
  </si>
  <si>
    <t xml:space="preserve">veškeré náklady potřebné pro zpracování RDS </t>
  </si>
  <si>
    <t>005135 R</t>
  </si>
  <si>
    <t>Svislé konstrukce</t>
  </si>
  <si>
    <t>Most - horní část (mostovka a římsy)</t>
  </si>
  <si>
    <t>Most - spodní část (opěry, křídla a základové pasy)</t>
  </si>
  <si>
    <t>Most - horní část  (mostovka a římsy)</t>
  </si>
  <si>
    <t>Most - spodní část  (opěry, křídla a základové pasy)</t>
  </si>
  <si>
    <t>711726121R00</t>
  </si>
  <si>
    <t>Geotextilie pro ochranu, separaci a filtraci netkaná měrná hmotnost  500 g/m2</t>
  </si>
  <si>
    <t>Beton asfaltový s rozprostřením a zhutněním v pruhu šířky přes 3 m, ACP 16+, tloušťky 80 mm</t>
  </si>
  <si>
    <t>577122121RT2</t>
  </si>
  <si>
    <t>s provedením lože z kameniva drceného, s vyplněním spár, s dvojitým hutněním a se smetením přebytečného materiálu na krajnici. S dodáním kostek žulových vel 8-10cm  a hmot pro lože i výplň spár.</t>
  </si>
  <si>
    <t>Zřízení odvodňovacího žlabu šířky 150mm, kompozitního vč. litinové mříže, třída zatížení min C250</t>
  </si>
  <si>
    <t>112151310R00</t>
  </si>
  <si>
    <t>Pokácení stromu postupné bez spouštění části kmene a koruny o průměru na řezané ploše pařezu do 200mm</t>
  </si>
  <si>
    <t>s přemístěním hmot na skládku na vzdálenost do 50 m nebo s naložením na dopravní prostředek, s odvozem a poplatkem za likvidaci</t>
  </si>
  <si>
    <t>112251109R00</t>
  </si>
  <si>
    <t>Odstranění pařezů strojně s jejich vykopáním nebo vytrháním průměru přes 100 do 300mm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</si>
</sst>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color indexed="81"/>
      <name val="Tahoma"/>
      <family val="2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8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8" fillId="0" borderId="0" xfId="0" applyFont="1" applyAlignment="1">
      <alignment vertical="top"/>
    </xf>
    <xf numFmtId="49" fontId="1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8" fillId="0" borderId="38" xfId="0" applyFont="1" applyBorder="1" applyAlignment="1">
      <alignment vertical="top"/>
    </xf>
    <xf numFmtId="49" fontId="18" fillId="0" borderId="39" xfId="0" applyNumberFormat="1" applyFont="1" applyBorder="1" applyAlignment="1">
      <alignment vertical="top"/>
    </xf>
    <xf numFmtId="0" fontId="18" fillId="0" borderId="39" xfId="0" applyFont="1" applyBorder="1" applyAlignment="1">
      <alignment horizontal="center" vertical="top" shrinkToFit="1"/>
    </xf>
    <xf numFmtId="164" fontId="18" fillId="0" borderId="39" xfId="0" applyNumberFormat="1" applyFont="1" applyBorder="1" applyAlignment="1">
      <alignment vertical="top" shrinkToFit="1"/>
    </xf>
    <xf numFmtId="4" fontId="18" fillId="4" borderId="39" xfId="0" applyNumberFormat="1" applyFont="1" applyFill="1" applyBorder="1" applyAlignment="1" applyProtection="1">
      <alignment vertical="top" shrinkToFit="1"/>
      <protection locked="0"/>
    </xf>
    <xf numFmtId="4" fontId="18" fillId="0" borderId="39" xfId="0" applyNumberFormat="1" applyFont="1" applyBorder="1" applyAlignment="1">
      <alignment vertical="top" shrinkToFit="1"/>
    </xf>
    <xf numFmtId="4" fontId="18" fillId="0" borderId="40" xfId="0" applyNumberFormat="1" applyFont="1" applyBorder="1" applyAlignment="1">
      <alignment vertical="top" shrinkToFit="1"/>
    </xf>
    <xf numFmtId="49" fontId="18" fillId="4" borderId="0" xfId="0" applyNumberFormat="1" applyFont="1" applyFill="1" applyAlignment="1" applyProtection="1">
      <alignment vertical="top"/>
      <protection locked="0"/>
    </xf>
    <xf numFmtId="0" fontId="20" fillId="0" borderId="0" xfId="0" applyFont="1" applyAlignment="1">
      <alignment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8" fillId="0" borderId="39" xfId="0" applyNumberFormat="1" applyFont="1" applyBorder="1" applyAlignment="1">
      <alignment horizontal="left" vertical="top" wrapText="1"/>
    </xf>
    <xf numFmtId="49" fontId="18" fillId="4" borderId="0" xfId="0" applyNumberFormat="1" applyFont="1" applyFill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8" fillId="0" borderId="35" xfId="0" applyFont="1" applyBorder="1" applyAlignment="1">
      <alignment vertical="top"/>
    </xf>
    <xf numFmtId="49" fontId="8" fillId="0" borderId="35" xfId="0" applyNumberFormat="1" applyFont="1" applyBorder="1" applyAlignment="1">
      <alignment vertical="top"/>
    </xf>
    <xf numFmtId="4" fontId="8" fillId="0" borderId="35" xfId="0" applyNumberFormat="1" applyFont="1" applyBorder="1" applyAlignment="1">
      <alignment vertical="top" shrinkToFit="1"/>
    </xf>
    <xf numFmtId="4" fontId="18" fillId="0" borderId="0" xfId="0" applyNumberFormat="1" applyFont="1"/>
    <xf numFmtId="0" fontId="0" fillId="0" borderId="17" xfId="0" applyBorder="1" applyAlignment="1">
      <alignment horizontal="left" vertical="center" indent="1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49" fontId="0" fillId="3" borderId="35" xfId="0" applyNumberFormat="1" applyFill="1" applyBorder="1" applyAlignment="1">
      <alignment vertical="center"/>
    </xf>
    <xf numFmtId="4" fontId="18" fillId="4" borderId="0" xfId="0" applyNumberFormat="1" applyFont="1" applyFill="1" applyAlignment="1" applyProtection="1">
      <alignment vertical="top" shrinkToFit="1"/>
      <protection locked="0"/>
    </xf>
    <xf numFmtId="49" fontId="18" fillId="0" borderId="18" xfId="0" applyNumberFormat="1" applyFont="1" applyBorder="1" applyAlignment="1">
      <alignment horizontal="left" vertical="top" wrapText="1"/>
    </xf>
    <xf numFmtId="0" fontId="18" fillId="0" borderId="18" xfId="0" applyFont="1" applyBorder="1" applyAlignment="1">
      <alignment horizontal="center" vertical="top" shrinkToFit="1"/>
    </xf>
    <xf numFmtId="164" fontId="18" fillId="0" borderId="18" xfId="0" applyNumberFormat="1" applyFont="1" applyBorder="1" applyAlignment="1">
      <alignment vertical="top" shrinkToFit="1"/>
    </xf>
    <xf numFmtId="4" fontId="18" fillId="0" borderId="18" xfId="0" applyNumberFormat="1" applyFont="1" applyBorder="1" applyAlignment="1">
      <alignment vertical="top" shrinkToFit="1"/>
    </xf>
    <xf numFmtId="0" fontId="0" fillId="0" borderId="37" xfId="0" applyBorder="1"/>
    <xf numFmtId="0" fontId="0" fillId="0" borderId="36" xfId="0" applyBorder="1" applyAlignment="1">
      <alignment vertical="center"/>
    </xf>
    <xf numFmtId="0" fontId="0" fillId="0" borderId="41" xfId="0" applyBorder="1"/>
    <xf numFmtId="0" fontId="0" fillId="3" borderId="36" xfId="0" applyFill="1" applyBorder="1" applyAlignment="1">
      <alignment vertical="center"/>
    </xf>
    <xf numFmtId="0" fontId="0" fillId="0" borderId="26" xfId="0" applyBorder="1"/>
    <xf numFmtId="49" fontId="8" fillId="0" borderId="0" xfId="0" applyNumberFormat="1" applyFont="1" applyAlignment="1">
      <alignment horizontal="left" vertical="center"/>
    </xf>
    <xf numFmtId="4" fontId="18" fillId="0" borderId="18" xfId="0" applyNumberFormat="1" applyFont="1" applyBorder="1" applyAlignment="1" applyProtection="1">
      <alignment vertical="top" shrinkToFit="1"/>
      <protection locked="0"/>
    </xf>
    <xf numFmtId="49" fontId="8" fillId="0" borderId="35" xfId="0" applyNumberFormat="1" applyFont="1" applyBorder="1" applyAlignment="1">
      <alignment vertical="center"/>
    </xf>
    <xf numFmtId="0" fontId="16" fillId="5" borderId="36" xfId="0" applyFont="1" applyFill="1" applyBorder="1" applyAlignment="1">
      <alignment horizontal="center" vertical="center" wrapText="1"/>
    </xf>
    <xf numFmtId="4" fontId="7" fillId="0" borderId="36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4" fontId="16" fillId="0" borderId="36" xfId="0" applyNumberFormat="1" applyFont="1" applyBorder="1" applyAlignment="1">
      <alignment vertical="center"/>
    </xf>
    <xf numFmtId="4" fontId="16" fillId="3" borderId="36" xfId="0" applyNumberFormat="1" applyFont="1" applyFill="1" applyBorder="1" applyAlignment="1">
      <alignment vertical="center"/>
    </xf>
    <xf numFmtId="3" fontId="16" fillId="3" borderId="36" xfId="0" applyNumberFormat="1" applyFont="1" applyFill="1" applyBorder="1" applyAlignment="1">
      <alignment vertical="center"/>
    </xf>
    <xf numFmtId="4" fontId="18" fillId="0" borderId="39" xfId="0" applyNumberFormat="1" applyFont="1" applyBorder="1" applyAlignment="1" applyProtection="1">
      <alignment vertical="top" shrinkToFit="1"/>
      <protection locked="0"/>
    </xf>
    <xf numFmtId="4" fontId="18" fillId="0" borderId="42" xfId="0" applyNumberFormat="1" applyFont="1" applyBorder="1" applyAlignment="1">
      <alignment vertical="top" shrinkToFit="1"/>
    </xf>
    <xf numFmtId="0" fontId="8" fillId="3" borderId="34" xfId="0" applyFont="1" applyFill="1" applyBorder="1" applyAlignment="1">
      <alignment vertical="top"/>
    </xf>
    <xf numFmtId="49" fontId="8" fillId="3" borderId="35" xfId="0" applyNumberFormat="1" applyFont="1" applyFill="1" applyBorder="1" applyAlignment="1">
      <alignment vertical="top"/>
    </xf>
    <xf numFmtId="0" fontId="8" fillId="3" borderId="35" xfId="0" applyFont="1" applyFill="1" applyBorder="1" applyAlignment="1">
      <alignment horizontal="center" vertical="top"/>
    </xf>
    <xf numFmtId="0" fontId="8" fillId="3" borderId="35" xfId="0" applyFont="1" applyFill="1" applyBorder="1" applyAlignment="1">
      <alignment vertical="top"/>
    </xf>
    <xf numFmtId="49" fontId="8" fillId="3" borderId="35" xfId="0" applyNumberFormat="1" applyFont="1" applyFill="1" applyBorder="1" applyAlignment="1">
      <alignment horizontal="left" vertical="top" wrapText="1"/>
    </xf>
    <xf numFmtId="49" fontId="7" fillId="0" borderId="34" xfId="0" applyNumberFormat="1" applyFont="1" applyBorder="1" applyAlignment="1">
      <alignment vertical="center"/>
    </xf>
    <xf numFmtId="4" fontId="7" fillId="0" borderId="36" xfId="0" applyNumberFormat="1" applyFont="1" applyBorder="1" applyAlignment="1">
      <alignment horizontal="center" vertical="center"/>
    </xf>
    <xf numFmtId="49" fontId="18" fillId="0" borderId="43" xfId="0" applyNumberFormat="1" applyFont="1" applyBorder="1" applyAlignment="1">
      <alignment horizontal="left" vertical="top" wrapText="1"/>
    </xf>
    <xf numFmtId="0" fontId="18" fillId="0" borderId="43" xfId="0" applyFont="1" applyBorder="1" applyAlignment="1">
      <alignment horizontal="center" vertical="top" shrinkToFit="1"/>
    </xf>
    <xf numFmtId="164" fontId="18" fillId="0" borderId="43" xfId="0" applyNumberFormat="1" applyFont="1" applyBorder="1" applyAlignment="1">
      <alignment vertical="top" shrinkToFit="1"/>
    </xf>
    <xf numFmtId="4" fontId="18" fillId="4" borderId="43" xfId="0" applyNumberFormat="1" applyFont="1" applyFill="1" applyBorder="1" applyAlignment="1" applyProtection="1">
      <alignment vertical="top" shrinkToFit="1"/>
      <protection locked="0"/>
    </xf>
    <xf numFmtId="4" fontId="18" fillId="0" borderId="43" xfId="0" applyNumberFormat="1" applyFont="1" applyBorder="1" applyAlignment="1">
      <alignment vertical="top" shrinkToFit="1"/>
    </xf>
    <xf numFmtId="0" fontId="16" fillId="3" borderId="34" xfId="0" applyFont="1" applyFill="1" applyBorder="1" applyAlignment="1">
      <alignment vertical="center"/>
    </xf>
    <xf numFmtId="0" fontId="16" fillId="3" borderId="34" xfId="0" applyFont="1" applyFill="1" applyBorder="1" applyAlignment="1">
      <alignment vertical="center" wrapText="1"/>
    </xf>
    <xf numFmtId="0" fontId="16" fillId="3" borderId="35" xfId="0" applyFont="1" applyFill="1" applyBorder="1" applyAlignment="1">
      <alignment vertical="center" wrapText="1"/>
    </xf>
    <xf numFmtId="4" fontId="16" fillId="3" borderId="36" xfId="0" applyNumberFormat="1" applyFont="1" applyFill="1" applyBorder="1" applyAlignment="1">
      <alignment horizontal="center" vertical="center"/>
    </xf>
    <xf numFmtId="3" fontId="16" fillId="0" borderId="33" xfId="0" applyNumberFormat="1" applyFont="1" applyBorder="1" applyAlignment="1">
      <alignment vertical="center"/>
    </xf>
    <xf numFmtId="49" fontId="18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center" vertical="top" shrinkToFit="1"/>
    </xf>
    <xf numFmtId="164" fontId="18" fillId="0" borderId="0" xfId="0" applyNumberFormat="1" applyFont="1" applyAlignment="1">
      <alignment vertical="top" shrinkToFit="1"/>
    </xf>
    <xf numFmtId="4" fontId="18" fillId="0" borderId="0" xfId="0" applyNumberFormat="1" applyFont="1" applyAlignment="1" applyProtection="1">
      <alignment vertical="top" shrinkToFit="1"/>
      <protection locked="0"/>
    </xf>
    <xf numFmtId="164" fontId="18" fillId="0" borderId="0" xfId="0" applyNumberFormat="1" applyFont="1"/>
    <xf numFmtId="49" fontId="18" fillId="4" borderId="18" xfId="0" applyNumberFormat="1" applyFont="1" applyFill="1" applyBorder="1" applyAlignment="1" applyProtection="1">
      <alignment vertical="top" wrapText="1"/>
      <protection locked="0"/>
    </xf>
    <xf numFmtId="0" fontId="3" fillId="2" borderId="0" xfId="0" applyFont="1" applyFill="1" applyAlignment="1">
      <alignment horizontal="left" wrapText="1"/>
    </xf>
    <xf numFmtId="49" fontId="7" fillId="0" borderId="34" xfId="0" applyNumberFormat="1" applyFont="1" applyBorder="1" applyAlignment="1">
      <alignment vertical="center" wrapText="1"/>
    </xf>
    <xf numFmtId="49" fontId="7" fillId="0" borderId="35" xfId="0" applyNumberFormat="1" applyFont="1" applyBorder="1" applyAlignment="1">
      <alignment vertical="center" wrapText="1"/>
    </xf>
    <xf numFmtId="49" fontId="16" fillId="0" borderId="34" xfId="0" applyNumberFormat="1" applyFont="1" applyBorder="1" applyAlignment="1">
      <alignment horizontal="left" vertical="center"/>
    </xf>
    <xf numFmtId="49" fontId="16" fillId="0" borderId="35" xfId="0" applyNumberFormat="1" applyFont="1" applyBorder="1" applyAlignment="1">
      <alignment horizontal="left" vertical="center"/>
    </xf>
    <xf numFmtId="49" fontId="16" fillId="0" borderId="22" xfId="0" applyNumberFormat="1" applyFont="1" applyBorder="1" applyAlignment="1">
      <alignment horizontal="left"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left" vertical="center"/>
    </xf>
    <xf numFmtId="0" fontId="16" fillId="3" borderId="35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left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49" fontId="18" fillId="4" borderId="0" xfId="0" applyNumberFormat="1" applyFont="1" applyFill="1" applyAlignment="1" applyProtection="1">
      <alignment horizontal="left" vertical="top" wrapText="1"/>
      <protection locked="0"/>
    </xf>
    <xf numFmtId="49" fontId="18" fillId="4" borderId="0" xfId="0" applyNumberFormat="1" applyFont="1" applyFill="1" applyAlignment="1" applyProtection="1">
      <alignment vertical="top"/>
      <protection locked="0"/>
    </xf>
    <xf numFmtId="49" fontId="18" fillId="4" borderId="35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49" fontId="8" fillId="0" borderId="35" xfId="0" applyNumberFormat="1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49" fontId="6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49" fontId="18" fillId="4" borderId="6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37</v>
      </c>
    </row>
    <row r="2" spans="1:7" ht="57.75" customHeight="1" x14ac:dyDescent="0.25">
      <c r="A2" s="225" t="s">
        <v>38</v>
      </c>
      <c r="B2" s="225"/>
      <c r="C2" s="225"/>
      <c r="D2" s="225"/>
      <c r="E2" s="225"/>
      <c r="F2" s="225"/>
      <c r="G2" s="225"/>
    </row>
  </sheetData>
  <sheetProtection password="C730" sheet="1" objects="1" scenarios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104"/>
  <sheetViews>
    <sheetView showGridLines="0" topLeftCell="B19" zoomScale="130" zoomScaleNormal="130" zoomScaleSheetLayoutView="75" workbookViewId="0">
      <selection activeCell="E34" sqref="E34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1" customWidth="1"/>
    <col min="4" max="4" width="13" style="51" customWidth="1"/>
    <col min="5" max="5" width="9.6640625" style="51" customWidth="1"/>
    <col min="6" max="6" width="11.6640625" customWidth="1"/>
    <col min="7" max="7" width="13" customWidth="1"/>
    <col min="8" max="8" width="11.5546875" customWidth="1"/>
    <col min="9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6" t="s">
        <v>35</v>
      </c>
      <c r="B1" s="269" t="s">
        <v>40</v>
      </c>
      <c r="C1" s="270"/>
      <c r="D1" s="270"/>
      <c r="E1" s="270"/>
      <c r="F1" s="270"/>
      <c r="G1" s="270"/>
      <c r="H1" s="270"/>
      <c r="I1" s="270"/>
      <c r="J1" s="271"/>
    </row>
    <row r="2" spans="1:15" ht="36" customHeight="1" x14ac:dyDescent="0.25">
      <c r="A2" s="2"/>
      <c r="B2" s="74" t="s">
        <v>22</v>
      </c>
      <c r="C2" s="75"/>
      <c r="D2" s="76" t="s">
        <v>326</v>
      </c>
      <c r="E2" s="275" t="s">
        <v>304</v>
      </c>
      <c r="F2" s="276"/>
      <c r="G2" s="276"/>
      <c r="H2" s="276"/>
      <c r="I2" s="276"/>
      <c r="J2" s="277"/>
      <c r="O2" s="1"/>
    </row>
    <row r="3" spans="1:15" ht="27" customHeight="1" x14ac:dyDescent="0.25">
      <c r="A3" s="2"/>
      <c r="B3" s="77" t="s">
        <v>45</v>
      </c>
      <c r="C3" s="75"/>
      <c r="D3" s="78" t="s">
        <v>43</v>
      </c>
      <c r="E3" s="278" t="s">
        <v>301</v>
      </c>
      <c r="F3" s="279"/>
      <c r="G3" s="279"/>
      <c r="H3" s="279"/>
      <c r="I3" s="279"/>
      <c r="J3" s="280"/>
    </row>
    <row r="4" spans="1:15" ht="23.25" customHeight="1" x14ac:dyDescent="0.25">
      <c r="A4" s="73">
        <v>203</v>
      </c>
      <c r="B4" s="79" t="s">
        <v>46</v>
      </c>
      <c r="C4" s="80"/>
      <c r="D4" s="81" t="s">
        <v>326</v>
      </c>
      <c r="E4" s="260" t="s">
        <v>302</v>
      </c>
      <c r="F4" s="261"/>
      <c r="G4" s="261"/>
      <c r="H4" s="261"/>
      <c r="I4" s="261"/>
      <c r="J4" s="262"/>
    </row>
    <row r="5" spans="1:15" ht="24" customHeight="1" x14ac:dyDescent="0.25">
      <c r="A5" s="2"/>
      <c r="B5" s="31" t="s">
        <v>171</v>
      </c>
      <c r="D5" s="265" t="s">
        <v>227</v>
      </c>
      <c r="E5" s="265"/>
      <c r="F5" s="265"/>
      <c r="G5" s="265"/>
      <c r="H5" s="18" t="s">
        <v>39</v>
      </c>
      <c r="I5" s="191" t="s">
        <v>231</v>
      </c>
      <c r="J5" s="8"/>
    </row>
    <row r="6" spans="1:15" ht="15.75" customHeight="1" x14ac:dyDescent="0.25">
      <c r="A6" s="2"/>
      <c r="B6" s="28"/>
      <c r="C6" s="54"/>
      <c r="D6" s="266" t="s">
        <v>228</v>
      </c>
      <c r="E6" s="267"/>
      <c r="F6" s="267"/>
      <c r="G6" s="267"/>
      <c r="H6" s="18" t="s">
        <v>33</v>
      </c>
      <c r="I6" s="22"/>
      <c r="J6" s="8"/>
    </row>
    <row r="7" spans="1:15" ht="15.75" customHeight="1" x14ac:dyDescent="0.25">
      <c r="A7" s="2"/>
      <c r="B7" s="29"/>
      <c r="C7" s="55"/>
      <c r="D7" s="52" t="s">
        <v>229</v>
      </c>
      <c r="E7" s="268" t="s">
        <v>230</v>
      </c>
      <c r="F7" s="268"/>
      <c r="G7" s="268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0"/>
      <c r="H8" s="18" t="s">
        <v>39</v>
      </c>
      <c r="I8" s="22"/>
      <c r="J8" s="8"/>
    </row>
    <row r="9" spans="1:15" ht="15.75" hidden="1" customHeight="1" x14ac:dyDescent="0.25">
      <c r="A9" s="2"/>
      <c r="B9" s="2"/>
      <c r="D9" s="50"/>
      <c r="H9" s="18" t="s">
        <v>33</v>
      </c>
      <c r="I9" s="22"/>
      <c r="J9" s="8"/>
    </row>
    <row r="10" spans="1:15" ht="15.75" hidden="1" customHeight="1" x14ac:dyDescent="0.25">
      <c r="A10" s="2"/>
      <c r="B10" s="35"/>
      <c r="C10" s="55"/>
      <c r="D10" s="52"/>
      <c r="E10" s="56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282"/>
      <c r="E11" s="282"/>
      <c r="F11" s="282"/>
      <c r="G11" s="282"/>
      <c r="H11" s="18" t="s">
        <v>39</v>
      </c>
      <c r="I11" s="83"/>
      <c r="J11" s="8"/>
    </row>
    <row r="12" spans="1:15" ht="15.75" customHeight="1" x14ac:dyDescent="0.25">
      <c r="A12" s="2"/>
      <c r="B12" s="28"/>
      <c r="C12" s="54"/>
      <c r="D12" s="259"/>
      <c r="E12" s="259"/>
      <c r="F12" s="259"/>
      <c r="G12" s="259"/>
      <c r="H12" s="18" t="s">
        <v>33</v>
      </c>
      <c r="I12" s="83"/>
      <c r="J12" s="8"/>
    </row>
    <row r="13" spans="1:15" ht="15.75" customHeight="1" x14ac:dyDescent="0.25">
      <c r="A13" s="2"/>
      <c r="B13" s="29"/>
      <c r="C13" s="55"/>
      <c r="D13" s="82"/>
      <c r="E13" s="263"/>
      <c r="F13" s="264"/>
      <c r="G13" s="264"/>
      <c r="H13" s="19"/>
      <c r="I13" s="23"/>
      <c r="J13" s="34"/>
    </row>
    <row r="14" spans="1:15" ht="24" customHeight="1" x14ac:dyDescent="0.25">
      <c r="A14" s="2"/>
      <c r="B14" s="177" t="s">
        <v>21</v>
      </c>
      <c r="C14" s="265" t="s">
        <v>170</v>
      </c>
      <c r="D14" s="265"/>
      <c r="E14" s="57"/>
      <c r="F14" s="43"/>
      <c r="G14" s="43"/>
      <c r="H14" s="44"/>
      <c r="I14" s="43"/>
      <c r="J14" s="45"/>
    </row>
    <row r="15" spans="1:15" ht="32.25" customHeight="1" x14ac:dyDescent="0.25">
      <c r="A15" s="2"/>
      <c r="B15" s="35" t="s">
        <v>31</v>
      </c>
      <c r="C15" s="58"/>
      <c r="D15" s="53"/>
      <c r="E15" s="281"/>
      <c r="F15" s="281"/>
      <c r="G15" s="283"/>
      <c r="H15" s="283"/>
      <c r="I15" s="283" t="s">
        <v>28</v>
      </c>
      <c r="J15" s="284"/>
    </row>
    <row r="16" spans="1:15" ht="23.25" customHeight="1" x14ac:dyDescent="0.25">
      <c r="A16" s="134" t="s">
        <v>23</v>
      </c>
      <c r="B16" s="38" t="s">
        <v>23</v>
      </c>
      <c r="C16" s="59"/>
      <c r="D16" s="60"/>
      <c r="E16" s="248"/>
      <c r="F16" s="249"/>
      <c r="G16" s="248"/>
      <c r="H16" s="249"/>
      <c r="I16" s="248">
        <f>I51-I20-I19-I18-I17</f>
        <v>0</v>
      </c>
      <c r="J16" s="250"/>
    </row>
    <row r="17" spans="1:10" ht="23.25" customHeight="1" x14ac:dyDescent="0.25">
      <c r="A17" s="134" t="s">
        <v>24</v>
      </c>
      <c r="B17" s="38" t="s">
        <v>24</v>
      </c>
      <c r="C17" s="59"/>
      <c r="D17" s="60"/>
      <c r="E17" s="248"/>
      <c r="F17" s="249"/>
      <c r="G17" s="248"/>
      <c r="H17" s="249"/>
      <c r="I17" s="248">
        <f>I78+I94</f>
        <v>0</v>
      </c>
      <c r="J17" s="250"/>
    </row>
    <row r="18" spans="1:10" ht="23.25" customHeight="1" x14ac:dyDescent="0.25">
      <c r="A18" s="134" t="s">
        <v>25</v>
      </c>
      <c r="B18" s="38" t="s">
        <v>25</v>
      </c>
      <c r="C18" s="59"/>
      <c r="D18" s="60"/>
      <c r="E18" s="248"/>
      <c r="F18" s="249"/>
      <c r="G18" s="248"/>
      <c r="H18" s="249"/>
      <c r="I18" s="248">
        <f>I79</f>
        <v>0</v>
      </c>
      <c r="J18" s="250"/>
    </row>
    <row r="19" spans="1:10" ht="23.25" customHeight="1" x14ac:dyDescent="0.25">
      <c r="A19" s="134" t="s">
        <v>63</v>
      </c>
      <c r="B19" s="38" t="s">
        <v>26</v>
      </c>
      <c r="C19" s="59"/>
      <c r="D19" s="60"/>
      <c r="E19" s="248"/>
      <c r="F19" s="249"/>
      <c r="G19" s="248"/>
      <c r="H19" s="249"/>
      <c r="I19" s="248">
        <f>I65+I81+I96</f>
        <v>0</v>
      </c>
      <c r="J19" s="250"/>
    </row>
    <row r="20" spans="1:10" ht="23.25" customHeight="1" x14ac:dyDescent="0.25">
      <c r="A20" s="134" t="s">
        <v>64</v>
      </c>
      <c r="B20" s="38" t="s">
        <v>27</v>
      </c>
      <c r="C20" s="59"/>
      <c r="D20" s="60"/>
      <c r="E20" s="248"/>
      <c r="F20" s="249"/>
      <c r="G20" s="248"/>
      <c r="H20" s="249"/>
      <c r="I20" s="248">
        <f>I66+I82+I97</f>
        <v>0</v>
      </c>
      <c r="J20" s="250"/>
    </row>
    <row r="21" spans="1:10" ht="23.25" customHeight="1" x14ac:dyDescent="0.25">
      <c r="A21" s="2"/>
      <c r="B21" s="47" t="s">
        <v>172</v>
      </c>
      <c r="C21" s="61"/>
      <c r="D21" s="62"/>
      <c r="E21" s="251"/>
      <c r="F21" s="285"/>
      <c r="G21" s="251"/>
      <c r="H21" s="285"/>
      <c r="I21" s="251">
        <f>I51</f>
        <v>0</v>
      </c>
      <c r="J21" s="252"/>
    </row>
    <row r="22" spans="1:10" ht="33" customHeight="1" x14ac:dyDescent="0.25">
      <c r="A22" s="2"/>
      <c r="B22" s="42" t="s">
        <v>32</v>
      </c>
      <c r="C22" s="59"/>
      <c r="D22" s="60"/>
      <c r="E22" s="63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59"/>
      <c r="D23" s="60"/>
      <c r="E23" s="64">
        <v>12</v>
      </c>
      <c r="F23" s="39" t="s">
        <v>0</v>
      </c>
      <c r="G23" s="246">
        <f>ZakladDPHSniVypocet</f>
        <v>0</v>
      </c>
      <c r="H23" s="247"/>
      <c r="I23" s="247"/>
      <c r="J23" s="40" t="str">
        <f t="shared" ref="J23:J29" si="0">Mena</f>
        <v>CZK</v>
      </c>
    </row>
    <row r="24" spans="1:10" ht="23.25" hidden="1" customHeight="1" x14ac:dyDescent="0.25">
      <c r="A24" s="2"/>
      <c r="B24" s="38" t="s">
        <v>13</v>
      </c>
      <c r="C24" s="59"/>
      <c r="D24" s="60"/>
      <c r="E24" s="64">
        <f>SazbaDPH1</f>
        <v>12</v>
      </c>
      <c r="F24" s="39" t="s">
        <v>0</v>
      </c>
      <c r="G24" s="244">
        <v>0</v>
      </c>
      <c r="H24" s="245"/>
      <c r="I24" s="245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59"/>
      <c r="D25" s="60"/>
      <c r="E25" s="64">
        <v>21</v>
      </c>
      <c r="F25" s="39" t="s">
        <v>0</v>
      </c>
      <c r="G25" s="246">
        <f>I21</f>
        <v>0</v>
      </c>
      <c r="H25" s="247"/>
      <c r="I25" s="247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5"/>
      <c r="D26" s="53"/>
      <c r="E26" s="66">
        <f>SazbaDPH2</f>
        <v>21</v>
      </c>
      <c r="F26" s="30" t="s">
        <v>0</v>
      </c>
      <c r="G26" s="272">
        <v>0</v>
      </c>
      <c r="H26" s="273"/>
      <c r="I26" s="273"/>
      <c r="J26" s="37" t="str">
        <f t="shared" si="0"/>
        <v>CZK</v>
      </c>
    </row>
    <row r="27" spans="1:10" ht="23.25" customHeight="1" x14ac:dyDescent="0.25">
      <c r="A27" s="2"/>
      <c r="B27" s="38" t="s">
        <v>173</v>
      </c>
      <c r="C27" s="59"/>
      <c r="D27" s="60"/>
      <c r="E27" s="64">
        <v>21</v>
      </c>
      <c r="F27" s="39" t="s">
        <v>0</v>
      </c>
      <c r="G27" s="246">
        <f>ZakladDPHZakl/100*21</f>
        <v>0</v>
      </c>
      <c r="H27" s="247"/>
      <c r="I27" s="247"/>
      <c r="J27" s="40" t="str">
        <f t="shared" si="0"/>
        <v>CZK</v>
      </c>
    </row>
    <row r="28" spans="1:10" ht="23.25" customHeight="1" thickBot="1" x14ac:dyDescent="0.3">
      <c r="A28" s="2">
        <f>ZakladDPHSni+ZakladDPHZakl</f>
        <v>0</v>
      </c>
      <c r="B28" s="31" t="s">
        <v>4</v>
      </c>
      <c r="C28" s="67"/>
      <c r="D28" s="68"/>
      <c r="E28" s="67"/>
      <c r="F28" s="16"/>
      <c r="G28" s="274">
        <v>0</v>
      </c>
      <c r="H28" s="274"/>
      <c r="I28" s="274"/>
      <c r="J28" s="41" t="str">
        <f t="shared" si="0"/>
        <v>CZK</v>
      </c>
    </row>
    <row r="29" spans="1:10" ht="27.75" customHeight="1" thickBot="1" x14ac:dyDescent="0.3">
      <c r="A29" s="2">
        <f>(A28-INT(A28))*100</f>
        <v>0</v>
      </c>
      <c r="B29" s="114" t="s">
        <v>34</v>
      </c>
      <c r="C29" s="115"/>
      <c r="D29" s="115"/>
      <c r="E29" s="116"/>
      <c r="F29" s="117"/>
      <c r="G29" s="253">
        <f>ZakladDPHZakl*1.21</f>
        <v>0</v>
      </c>
      <c r="H29" s="254"/>
      <c r="I29" s="254"/>
      <c r="J29" s="118" t="str">
        <f t="shared" si="0"/>
        <v>CZK</v>
      </c>
    </row>
    <row r="30" spans="1:10" ht="27.75" hidden="1" customHeight="1" thickBot="1" x14ac:dyDescent="0.3">
      <c r="A30" s="2"/>
      <c r="B30" s="114" t="s">
        <v>34</v>
      </c>
      <c r="C30" s="119"/>
      <c r="D30" s="119"/>
      <c r="E30" s="119"/>
      <c r="F30" s="120"/>
      <c r="G30" s="253">
        <f>ZakladDPHSni+DPHSni+ZakladDPHZakl+DPHZakl+Zaokrouhleni</f>
        <v>0</v>
      </c>
      <c r="H30" s="253"/>
      <c r="I30" s="253"/>
      <c r="J30" s="121" t="s">
        <v>50</v>
      </c>
    </row>
    <row r="31" spans="1:10" ht="12.75" customHeight="1" x14ac:dyDescent="0.25">
      <c r="A31" s="2"/>
      <c r="B31" s="2"/>
      <c r="J31" s="9"/>
    </row>
    <row r="32" spans="1:10" ht="30" customHeight="1" x14ac:dyDescent="0.25">
      <c r="A32" s="2"/>
      <c r="B32" s="2"/>
      <c r="J32" s="9"/>
    </row>
    <row r="33" spans="1:11" ht="18.75" customHeight="1" x14ac:dyDescent="0.25">
      <c r="A33" s="2"/>
      <c r="B33" s="17"/>
      <c r="C33" s="69" t="s">
        <v>11</v>
      </c>
      <c r="D33" s="70"/>
      <c r="E33" s="70"/>
      <c r="F33" s="15" t="s">
        <v>10</v>
      </c>
      <c r="G33" s="26"/>
      <c r="H33" s="27"/>
      <c r="I33" s="26"/>
      <c r="J33" s="9"/>
    </row>
    <row r="34" spans="1:11" ht="47.25" customHeight="1" x14ac:dyDescent="0.25">
      <c r="A34" s="2"/>
      <c r="B34" s="2"/>
      <c r="J34" s="9"/>
    </row>
    <row r="35" spans="1:11" s="21" customFormat="1" ht="18.75" customHeight="1" x14ac:dyDescent="0.25">
      <c r="A35" s="20"/>
      <c r="B35" s="20"/>
      <c r="C35" s="71"/>
      <c r="D35" s="255"/>
      <c r="E35" s="256"/>
      <c r="G35" s="257"/>
      <c r="H35" s="258"/>
      <c r="I35" s="258"/>
      <c r="J35" s="25"/>
    </row>
    <row r="36" spans="1:11" ht="12.75" customHeight="1" x14ac:dyDescent="0.25">
      <c r="A36" s="2"/>
      <c r="B36" s="2"/>
      <c r="D36" s="243" t="s">
        <v>2</v>
      </c>
      <c r="E36" s="243"/>
      <c r="H36" s="10" t="s">
        <v>3</v>
      </c>
      <c r="J36" s="9"/>
    </row>
    <row r="37" spans="1:11" ht="13.5" customHeight="1" thickBot="1" x14ac:dyDescent="0.3">
      <c r="A37" s="11"/>
      <c r="B37" s="11"/>
      <c r="C37" s="72"/>
      <c r="D37" s="72"/>
      <c r="E37" s="72"/>
      <c r="F37" s="12"/>
      <c r="G37" s="12"/>
      <c r="H37" s="12"/>
      <c r="I37" s="12"/>
      <c r="J37" s="13"/>
    </row>
    <row r="38" spans="1:11" ht="27" hidden="1" customHeight="1" x14ac:dyDescent="0.25">
      <c r="B38" s="87" t="s">
        <v>16</v>
      </c>
      <c r="C38" s="88"/>
      <c r="D38" s="88"/>
      <c r="E38" s="88"/>
      <c r="F38" s="89"/>
      <c r="G38" s="89"/>
      <c r="H38" s="89"/>
      <c r="I38" s="89"/>
      <c r="J38" s="90"/>
    </row>
    <row r="39" spans="1:11" ht="25.5" hidden="1" customHeight="1" x14ac:dyDescent="0.25">
      <c r="A39" s="86" t="s">
        <v>36</v>
      </c>
      <c r="B39" s="91" t="s">
        <v>17</v>
      </c>
      <c r="C39" s="92" t="s">
        <v>5</v>
      </c>
      <c r="D39" s="92"/>
      <c r="E39" s="92"/>
      <c r="F39" s="93" t="str">
        <f>B23</f>
        <v>Základ pro sníženou DPH</v>
      </c>
      <c r="G39" s="93" t="str">
        <f>B25</f>
        <v>Základ pro základní DPH</v>
      </c>
      <c r="H39" s="94" t="s">
        <v>18</v>
      </c>
      <c r="I39" s="95" t="s">
        <v>1</v>
      </c>
      <c r="J39" s="96" t="s">
        <v>0</v>
      </c>
    </row>
    <row r="40" spans="1:11" ht="25.5" hidden="1" customHeight="1" x14ac:dyDescent="0.25">
      <c r="A40" s="86">
        <v>1</v>
      </c>
      <c r="B40" s="97" t="s">
        <v>47</v>
      </c>
      <c r="C40" s="239"/>
      <c r="D40" s="239"/>
      <c r="E40" s="239"/>
      <c r="F40" s="98">
        <f>Komunikace!AE167</f>
        <v>0</v>
      </c>
      <c r="G40" s="99">
        <f>Komunikace!AF167</f>
        <v>0</v>
      </c>
      <c r="H40" s="100"/>
      <c r="I40" s="101">
        <f>F40+G40+H40</f>
        <v>0</v>
      </c>
      <c r="J40" s="102" t="str">
        <f>IF(CenaCelkemVypocet=0,"",I40/CenaCelkemVypocet*100)</f>
        <v/>
      </c>
    </row>
    <row r="41" spans="1:11" ht="25.5" hidden="1" customHeight="1" x14ac:dyDescent="0.25">
      <c r="A41" s="86">
        <v>2</v>
      </c>
      <c r="B41" s="103"/>
      <c r="C41" s="240" t="s">
        <v>48</v>
      </c>
      <c r="D41" s="240"/>
      <c r="E41" s="240"/>
      <c r="F41" s="104"/>
      <c r="G41" s="105"/>
      <c r="H41" s="105"/>
      <c r="I41" s="106"/>
      <c r="J41" s="107"/>
    </row>
    <row r="42" spans="1:11" ht="25.5" hidden="1" customHeight="1" x14ac:dyDescent="0.25">
      <c r="A42" s="86">
        <v>2</v>
      </c>
      <c r="B42" s="103" t="s">
        <v>43</v>
      </c>
      <c r="C42" s="240" t="s">
        <v>44</v>
      </c>
      <c r="D42" s="240"/>
      <c r="E42" s="240"/>
      <c r="F42" s="104">
        <f>Komunikace!AE167</f>
        <v>0</v>
      </c>
      <c r="G42" s="105">
        <f>Komunikace!AF167</f>
        <v>0</v>
      </c>
      <c r="H42" s="105"/>
      <c r="I42" s="106">
        <f>F42+G42+H42</f>
        <v>0</v>
      </c>
      <c r="J42" s="107" t="str">
        <f>IF(CenaCelkemVypocet=0,"",I42/CenaCelkemVypocet*100)</f>
        <v/>
      </c>
    </row>
    <row r="43" spans="1:11" ht="25.5" hidden="1" customHeight="1" x14ac:dyDescent="0.25">
      <c r="A43" s="86">
        <v>3</v>
      </c>
      <c r="B43" s="108" t="s">
        <v>41</v>
      </c>
      <c r="C43" s="239" t="s">
        <v>42</v>
      </c>
      <c r="D43" s="239"/>
      <c r="E43" s="239"/>
      <c r="F43" s="109">
        <f>Komunikace!AE167</f>
        <v>0</v>
      </c>
      <c r="G43" s="100">
        <f>Komunikace!AF167</f>
        <v>0</v>
      </c>
      <c r="H43" s="100"/>
      <c r="I43" s="101">
        <f>F43+G43+H43</f>
        <v>0</v>
      </c>
      <c r="J43" s="102" t="str">
        <f>IF(CenaCelkemVypocet=0,"",I43/CenaCelkemVypocet*100)</f>
        <v/>
      </c>
    </row>
    <row r="44" spans="1:11" ht="25.5" hidden="1" customHeight="1" x14ac:dyDescent="0.25">
      <c r="A44" s="86"/>
      <c r="B44" s="241" t="s">
        <v>49</v>
      </c>
      <c r="C44" s="242"/>
      <c r="D44" s="242"/>
      <c r="E44" s="242"/>
      <c r="F44" s="110">
        <f>SUMIF(A40:A43,"=1",F40:F43)</f>
        <v>0</v>
      </c>
      <c r="G44" s="111">
        <f>SUMIF(A40:A43,"=1",G40:G43)</f>
        <v>0</v>
      </c>
      <c r="H44" s="111">
        <f>SUMIF(A40:A43,"=1",H40:H43)</f>
        <v>0</v>
      </c>
      <c r="I44" s="112">
        <f>SUMIF(A40:A43,"=1",I40:I43)</f>
        <v>0</v>
      </c>
      <c r="J44" s="113">
        <f>SUMIF(A40:A43,"=1",J40:J43)</f>
        <v>0</v>
      </c>
    </row>
    <row r="46" spans="1:11" ht="15.6" x14ac:dyDescent="0.3">
      <c r="B46" s="122" t="s">
        <v>303</v>
      </c>
    </row>
    <row r="47" spans="1:11" ht="15.75" customHeight="1" x14ac:dyDescent="0.25">
      <c r="B47" s="233" t="s">
        <v>5</v>
      </c>
      <c r="C47" s="234"/>
      <c r="D47" s="234"/>
      <c r="E47" s="234"/>
      <c r="F47" s="234"/>
      <c r="G47" s="235"/>
      <c r="H47" s="194"/>
      <c r="I47" s="194" t="s">
        <v>28</v>
      </c>
      <c r="J47" s="194" t="s">
        <v>0</v>
      </c>
      <c r="K47" s="124"/>
    </row>
    <row r="48" spans="1:11" ht="18" customHeight="1" x14ac:dyDescent="0.25">
      <c r="B48" s="228" t="s">
        <v>55</v>
      </c>
      <c r="C48" s="229"/>
      <c r="D48" s="229"/>
      <c r="E48" s="229"/>
      <c r="F48" s="229"/>
      <c r="G48" s="230"/>
      <c r="H48" s="195"/>
      <c r="I48" s="197">
        <f>I67</f>
        <v>0</v>
      </c>
      <c r="J48" s="218" t="str">
        <f>IF(I51=0,"",I48/I51*100)</f>
        <v/>
      </c>
      <c r="K48" s="196"/>
    </row>
    <row r="49" spans="2:11" ht="17.25" customHeight="1" x14ac:dyDescent="0.25">
      <c r="B49" s="228" t="s">
        <v>452</v>
      </c>
      <c r="C49" s="229"/>
      <c r="D49" s="229"/>
      <c r="E49" s="229"/>
      <c r="F49" s="229"/>
      <c r="G49" s="230"/>
      <c r="H49" s="195"/>
      <c r="I49" s="197">
        <f>I83</f>
        <v>0</v>
      </c>
      <c r="J49" s="218" t="str">
        <f>IF(I51=0,"",I49/I51*100)</f>
        <v/>
      </c>
      <c r="K49" s="196"/>
    </row>
    <row r="50" spans="2:11" ht="17.25" customHeight="1" x14ac:dyDescent="0.25">
      <c r="B50" s="228" t="s">
        <v>453</v>
      </c>
      <c r="C50" s="229"/>
      <c r="D50" s="229"/>
      <c r="E50" s="229"/>
      <c r="F50" s="229"/>
      <c r="G50" s="230"/>
      <c r="H50" s="195"/>
      <c r="I50" s="197">
        <f>I98</f>
        <v>0</v>
      </c>
      <c r="J50" s="218" t="str">
        <f>IF(I51=0,"",I50/I51*100)</f>
        <v/>
      </c>
      <c r="K50" s="196"/>
    </row>
    <row r="51" spans="2:11" ht="14.25" customHeight="1" x14ac:dyDescent="0.25">
      <c r="B51" s="236" t="s">
        <v>202</v>
      </c>
      <c r="C51" s="237"/>
      <c r="D51" s="237"/>
      <c r="E51" s="237"/>
      <c r="F51" s="237"/>
      <c r="G51" s="238"/>
      <c r="H51" s="131"/>
      <c r="I51" s="198">
        <f>I48+I49+I50</f>
        <v>0</v>
      </c>
      <c r="J51" s="199" t="e">
        <f>J48+J49+J50</f>
        <v>#VALUE!</v>
      </c>
      <c r="K51" s="196"/>
    </row>
    <row r="53" spans="2:11" ht="9" customHeight="1" x14ac:dyDescent="0.25"/>
    <row r="55" spans="2:11" ht="15.6" x14ac:dyDescent="0.3">
      <c r="B55" s="122" t="s">
        <v>325</v>
      </c>
    </row>
    <row r="56" spans="2:11" ht="4.5" customHeight="1" x14ac:dyDescent="0.25"/>
    <row r="57" spans="2:11" ht="20.25" customHeight="1" x14ac:dyDescent="0.25">
      <c r="B57" s="126" t="s">
        <v>17</v>
      </c>
      <c r="C57" s="126" t="s">
        <v>5</v>
      </c>
      <c r="D57" s="127"/>
      <c r="E57" s="127"/>
      <c r="F57" s="128" t="s">
        <v>51</v>
      </c>
      <c r="G57" s="128"/>
      <c r="H57" s="128"/>
      <c r="I57" s="128" t="s">
        <v>28</v>
      </c>
      <c r="J57" s="128" t="s">
        <v>0</v>
      </c>
    </row>
    <row r="58" spans="2:11" ht="15" customHeight="1" x14ac:dyDescent="0.25">
      <c r="B58" s="129" t="s">
        <v>52</v>
      </c>
      <c r="C58" s="231" t="s">
        <v>53</v>
      </c>
      <c r="D58" s="232"/>
      <c r="E58" s="232"/>
      <c r="F58" s="133" t="s">
        <v>23</v>
      </c>
      <c r="G58" s="130"/>
      <c r="H58" s="130"/>
      <c r="I58" s="130">
        <f>Komunikace!G8</f>
        <v>0</v>
      </c>
      <c r="J58" s="132" t="str">
        <f>IF(I67=0,"",I58/I67*100)</f>
        <v/>
      </c>
    </row>
    <row r="59" spans="2:11" ht="15" customHeight="1" x14ac:dyDescent="0.25">
      <c r="B59" s="129" t="s">
        <v>54</v>
      </c>
      <c r="C59" s="231" t="s">
        <v>55</v>
      </c>
      <c r="D59" s="232"/>
      <c r="E59" s="232"/>
      <c r="F59" s="133" t="s">
        <v>23</v>
      </c>
      <c r="G59" s="130"/>
      <c r="H59" s="130"/>
      <c r="I59" s="130">
        <f>Komunikace!G50</f>
        <v>0</v>
      </c>
      <c r="J59" s="132" t="str">
        <f>IF(I67=0,"",I59/I67*100)</f>
        <v/>
      </c>
    </row>
    <row r="60" spans="2:11" ht="15" customHeight="1" x14ac:dyDescent="0.25">
      <c r="B60" s="129" t="s">
        <v>291</v>
      </c>
      <c r="C60" s="231" t="s">
        <v>292</v>
      </c>
      <c r="D60" s="232"/>
      <c r="E60" s="232"/>
      <c r="F60" s="133" t="s">
        <v>23</v>
      </c>
      <c r="G60" s="130"/>
      <c r="H60" s="130"/>
      <c r="I60" s="130">
        <f>Komunikace!G85</f>
        <v>0</v>
      </c>
      <c r="J60" s="132" t="str">
        <f>IF(I67=0,"",I60/I67*100)</f>
        <v/>
      </c>
    </row>
    <row r="61" spans="2:11" ht="15" customHeight="1" x14ac:dyDescent="0.25">
      <c r="B61" s="129" t="s">
        <v>56</v>
      </c>
      <c r="C61" s="231" t="s">
        <v>57</v>
      </c>
      <c r="D61" s="232"/>
      <c r="E61" s="232"/>
      <c r="F61" s="133" t="s">
        <v>23</v>
      </c>
      <c r="G61" s="130"/>
      <c r="H61" s="130"/>
      <c r="I61" s="130">
        <f>Komunikace!G92</f>
        <v>0</v>
      </c>
      <c r="J61" s="132" t="str">
        <f>IF(I67=0,"",I61/I67*100)</f>
        <v/>
      </c>
    </row>
    <row r="62" spans="2:11" ht="24.75" customHeight="1" x14ac:dyDescent="0.25">
      <c r="B62" s="129" t="s">
        <v>184</v>
      </c>
      <c r="C62" s="231" t="s">
        <v>185</v>
      </c>
      <c r="D62" s="232"/>
      <c r="E62" s="232"/>
      <c r="F62" s="133" t="s">
        <v>23</v>
      </c>
      <c r="G62" s="130"/>
      <c r="H62" s="130"/>
      <c r="I62" s="130">
        <f>Komunikace!G125</f>
        <v>0</v>
      </c>
      <c r="J62" s="132" t="str">
        <f>IF(I67=0,"",I62/I67*100)</f>
        <v/>
      </c>
    </row>
    <row r="63" spans="2:11" ht="15" customHeight="1" x14ac:dyDescent="0.25">
      <c r="B63" s="129" t="s">
        <v>58</v>
      </c>
      <c r="C63" s="231" t="s">
        <v>59</v>
      </c>
      <c r="D63" s="232"/>
      <c r="E63" s="232"/>
      <c r="F63" s="133" t="s">
        <v>23</v>
      </c>
      <c r="G63" s="130"/>
      <c r="H63" s="130"/>
      <c r="I63" s="130">
        <f>Komunikace!G131</f>
        <v>0</v>
      </c>
      <c r="J63" s="132" t="str">
        <f>IF(I67=0,"",I63/I67*100)</f>
        <v/>
      </c>
    </row>
    <row r="64" spans="2:11" ht="15" customHeight="1" x14ac:dyDescent="0.25">
      <c r="B64" s="129" t="s">
        <v>60</v>
      </c>
      <c r="C64" s="231" t="s">
        <v>61</v>
      </c>
      <c r="D64" s="232"/>
      <c r="E64" s="232"/>
      <c r="F64" s="133" t="s">
        <v>62</v>
      </c>
      <c r="G64" s="130"/>
      <c r="H64" s="130"/>
      <c r="I64" s="130">
        <f>Komunikace!G138</f>
        <v>0</v>
      </c>
      <c r="J64" s="132" t="str">
        <f>IF(I67=0,"",I64/I67*100)</f>
        <v/>
      </c>
    </row>
    <row r="65" spans="1:10" ht="15" customHeight="1" x14ac:dyDescent="0.25">
      <c r="B65" s="129" t="s">
        <v>63</v>
      </c>
      <c r="C65" s="231" t="s">
        <v>26</v>
      </c>
      <c r="D65" s="232"/>
      <c r="E65" s="232"/>
      <c r="F65" s="133" t="s">
        <v>63</v>
      </c>
      <c r="G65" s="130"/>
      <c r="H65" s="130"/>
      <c r="I65" s="130">
        <f>Komunikace!G145</f>
        <v>0</v>
      </c>
      <c r="J65" s="132" t="str">
        <f>IF(I67=0,"",I65/I67*100)</f>
        <v/>
      </c>
    </row>
    <row r="66" spans="1:10" ht="15" customHeight="1" x14ac:dyDescent="0.25">
      <c r="B66" s="129" t="s">
        <v>64</v>
      </c>
      <c r="C66" s="231" t="s">
        <v>27</v>
      </c>
      <c r="D66" s="232"/>
      <c r="E66" s="232"/>
      <c r="F66" s="133" t="s">
        <v>64</v>
      </c>
      <c r="G66" s="130"/>
      <c r="H66" s="130"/>
      <c r="I66" s="130">
        <f>Komunikace!G156</f>
        <v>0</v>
      </c>
      <c r="J66" s="132" t="str">
        <f>IF(I67=0,"",I66/I67*100)</f>
        <v/>
      </c>
    </row>
    <row r="67" spans="1:10" ht="15" customHeight="1" x14ac:dyDescent="0.25">
      <c r="B67" s="214" t="s">
        <v>1</v>
      </c>
      <c r="C67" s="215"/>
      <c r="D67" s="216"/>
      <c r="E67" s="216"/>
      <c r="F67" s="217"/>
      <c r="G67" s="198"/>
      <c r="H67" s="198"/>
      <c r="I67" s="198">
        <f>SUM(I58:I66)</f>
        <v>0</v>
      </c>
      <c r="J67" s="199">
        <f>SUM(J58:J66)</f>
        <v>0</v>
      </c>
    </row>
    <row r="69" spans="1:10" ht="15.6" x14ac:dyDescent="0.3">
      <c r="B69" s="122" t="s">
        <v>400</v>
      </c>
    </row>
    <row r="70" spans="1:10" ht="4.5" customHeight="1" x14ac:dyDescent="0.25"/>
    <row r="71" spans="1:10" ht="19.5" customHeight="1" x14ac:dyDescent="0.25">
      <c r="A71" s="124"/>
      <c r="B71" s="126" t="s">
        <v>17</v>
      </c>
      <c r="C71" s="126" t="s">
        <v>5</v>
      </c>
      <c r="D71" s="127"/>
      <c r="E71" s="127"/>
      <c r="F71" s="128" t="s">
        <v>51</v>
      </c>
      <c r="G71" s="128"/>
      <c r="H71" s="128"/>
      <c r="I71" s="128" t="s">
        <v>28</v>
      </c>
      <c r="J71" s="128" t="s">
        <v>0</v>
      </c>
    </row>
    <row r="72" spans="1:10" ht="15" customHeight="1" x14ac:dyDescent="0.25">
      <c r="A72" s="125"/>
      <c r="B72" s="207" t="s">
        <v>52</v>
      </c>
      <c r="C72" s="226" t="s">
        <v>53</v>
      </c>
      <c r="D72" s="227"/>
      <c r="E72" s="227"/>
      <c r="F72" s="208" t="s">
        <v>23</v>
      </c>
      <c r="G72" s="195"/>
      <c r="H72" s="195"/>
      <c r="I72" s="195">
        <f>'Most - horní část'!G8</f>
        <v>0</v>
      </c>
      <c r="J72" s="132" t="str">
        <f>IF(I83=0,"",I72/I83*100)</f>
        <v/>
      </c>
    </row>
    <row r="73" spans="1:10" ht="15" customHeight="1" x14ac:dyDescent="0.25">
      <c r="A73" s="125"/>
      <c r="B73" s="207" t="s">
        <v>200</v>
      </c>
      <c r="C73" s="226" t="s">
        <v>201</v>
      </c>
      <c r="D73" s="227"/>
      <c r="E73" s="227"/>
      <c r="F73" s="208" t="s">
        <v>23</v>
      </c>
      <c r="G73" s="195"/>
      <c r="H73" s="195"/>
      <c r="I73" s="195">
        <f>'Most - horní část'!G31</f>
        <v>0</v>
      </c>
      <c r="J73" s="132" t="str">
        <f>IF(I83=0,"",I73/I83*100)</f>
        <v/>
      </c>
    </row>
    <row r="74" spans="1:10" ht="15" customHeight="1" x14ac:dyDescent="0.25">
      <c r="A74" s="125"/>
      <c r="B74" s="207" t="s">
        <v>54</v>
      </c>
      <c r="C74" s="226" t="s">
        <v>55</v>
      </c>
      <c r="D74" s="227"/>
      <c r="E74" s="227"/>
      <c r="F74" s="208" t="s">
        <v>23</v>
      </c>
      <c r="G74" s="195"/>
      <c r="H74" s="195"/>
      <c r="I74" s="195">
        <f>'Most - horní část'!G50</f>
        <v>0</v>
      </c>
      <c r="J74" s="132" t="str">
        <f>IF(I83=0,"",I74/I83*100)</f>
        <v/>
      </c>
    </row>
    <row r="75" spans="1:10" ht="15" customHeight="1" x14ac:dyDescent="0.25">
      <c r="A75" s="125"/>
      <c r="B75" s="207" t="s">
        <v>392</v>
      </c>
      <c r="C75" s="226" t="s">
        <v>391</v>
      </c>
      <c r="D75" s="227"/>
      <c r="E75" s="227"/>
      <c r="F75" s="208" t="s">
        <v>23</v>
      </c>
      <c r="G75" s="195"/>
      <c r="H75" s="195"/>
      <c r="I75" s="195">
        <f>'Most - horní část'!G61</f>
        <v>0</v>
      </c>
      <c r="J75" s="132" t="str">
        <f>IF(I83=0,"",I75/I83*100)</f>
        <v/>
      </c>
    </row>
    <row r="76" spans="1:10" ht="15" customHeight="1" x14ac:dyDescent="0.25">
      <c r="A76" s="125"/>
      <c r="B76" s="207" t="s">
        <v>175</v>
      </c>
      <c r="C76" s="226" t="s">
        <v>318</v>
      </c>
      <c r="D76" s="227"/>
      <c r="E76" s="227"/>
      <c r="F76" s="208" t="s">
        <v>23</v>
      </c>
      <c r="G76" s="195"/>
      <c r="H76" s="195"/>
      <c r="I76" s="195">
        <f>'Most - horní část'!G75</f>
        <v>0</v>
      </c>
      <c r="J76" s="132" t="str">
        <f>IF(I83=0,"",I76/I83*100)</f>
        <v/>
      </c>
    </row>
    <row r="77" spans="1:10" ht="15" customHeight="1" x14ac:dyDescent="0.25">
      <c r="A77" s="125"/>
      <c r="B77" s="207" t="s">
        <v>439</v>
      </c>
      <c r="C77" s="226" t="s">
        <v>132</v>
      </c>
      <c r="D77" s="227"/>
      <c r="E77" s="227"/>
      <c r="F77" s="208" t="s">
        <v>23</v>
      </c>
      <c r="G77" s="195"/>
      <c r="H77" s="195"/>
      <c r="I77" s="195">
        <f>'Most - horní část'!G83</f>
        <v>0</v>
      </c>
      <c r="J77" s="132" t="str">
        <f>IF(I83=0,"",I77/I83*100)</f>
        <v/>
      </c>
    </row>
    <row r="78" spans="1:10" ht="15" customHeight="1" x14ac:dyDescent="0.25">
      <c r="A78" s="125"/>
      <c r="B78" s="207" t="s">
        <v>278</v>
      </c>
      <c r="C78" s="226" t="s">
        <v>279</v>
      </c>
      <c r="D78" s="227"/>
      <c r="E78" s="227"/>
      <c r="F78" s="208" t="s">
        <v>24</v>
      </c>
      <c r="G78" s="195"/>
      <c r="H78" s="195"/>
      <c r="I78" s="195">
        <f>'Most - horní část'!G87</f>
        <v>0</v>
      </c>
      <c r="J78" s="132" t="str">
        <f>IF(I83=0,"",I78/I83*100)</f>
        <v/>
      </c>
    </row>
    <row r="79" spans="1:10" ht="15" customHeight="1" x14ac:dyDescent="0.25">
      <c r="A79" s="125"/>
      <c r="B79" s="207" t="s">
        <v>283</v>
      </c>
      <c r="C79" s="226" t="s">
        <v>284</v>
      </c>
      <c r="D79" s="227"/>
      <c r="E79" s="227"/>
      <c r="F79" s="208" t="s">
        <v>25</v>
      </c>
      <c r="G79" s="195"/>
      <c r="H79" s="195"/>
      <c r="I79" s="195">
        <f>'Most - horní část'!G95</f>
        <v>0</v>
      </c>
      <c r="J79" s="132" t="str">
        <f>IF(I83=0,"",I79/I83*100)</f>
        <v/>
      </c>
    </row>
    <row r="80" spans="1:10" ht="15" customHeight="1" x14ac:dyDescent="0.25">
      <c r="A80" s="125"/>
      <c r="B80" s="207" t="s">
        <v>436</v>
      </c>
      <c r="C80" s="226" t="s">
        <v>61</v>
      </c>
      <c r="D80" s="227"/>
      <c r="E80" s="227"/>
      <c r="F80" s="208" t="s">
        <v>62</v>
      </c>
      <c r="G80" s="195"/>
      <c r="H80" s="195"/>
      <c r="I80" s="195">
        <f>'Most - horní část'!G98</f>
        <v>0</v>
      </c>
      <c r="J80" s="132" t="str">
        <f>IF(I83=0,"",I80/I83*100)</f>
        <v/>
      </c>
    </row>
    <row r="81" spans="1:10" ht="15" customHeight="1" x14ac:dyDescent="0.25">
      <c r="A81" s="125"/>
      <c r="B81" s="207" t="s">
        <v>63</v>
      </c>
      <c r="C81" s="226" t="s">
        <v>26</v>
      </c>
      <c r="D81" s="227"/>
      <c r="E81" s="227"/>
      <c r="F81" s="208" t="s">
        <v>63</v>
      </c>
      <c r="G81" s="195"/>
      <c r="H81" s="195"/>
      <c r="I81" s="195">
        <f>'Most - horní část'!G110</f>
        <v>0</v>
      </c>
      <c r="J81" s="132" t="str">
        <f>IF(I83=0,"",I81/I83*100)</f>
        <v/>
      </c>
    </row>
    <row r="82" spans="1:10" ht="15" customHeight="1" x14ac:dyDescent="0.25">
      <c r="A82" s="125"/>
      <c r="B82" s="207" t="s">
        <v>64</v>
      </c>
      <c r="C82" s="226" t="s">
        <v>27</v>
      </c>
      <c r="D82" s="227"/>
      <c r="E82" s="227"/>
      <c r="F82" s="208" t="s">
        <v>64</v>
      </c>
      <c r="G82" s="195"/>
      <c r="H82" s="195"/>
      <c r="I82" s="195">
        <f>'Most - horní část'!G123</f>
        <v>0</v>
      </c>
      <c r="J82" s="132" t="str">
        <f>IF(I83=0,"",I82/I83*100)</f>
        <v/>
      </c>
    </row>
    <row r="83" spans="1:10" ht="15" customHeight="1" x14ac:dyDescent="0.25">
      <c r="A83" s="125"/>
      <c r="B83" s="214" t="s">
        <v>1</v>
      </c>
      <c r="C83" s="215"/>
      <c r="D83" s="216"/>
      <c r="E83" s="216"/>
      <c r="F83" s="217"/>
      <c r="G83" s="198"/>
      <c r="H83" s="198"/>
      <c r="I83" s="198">
        <f>SUM(I71:I82)</f>
        <v>0</v>
      </c>
      <c r="J83" s="199">
        <f>SUM(J71:J82)</f>
        <v>0</v>
      </c>
    </row>
    <row r="84" spans="1:10" ht="15" customHeight="1" x14ac:dyDescent="0.25">
      <c r="A84" s="125"/>
    </row>
    <row r="85" spans="1:10" ht="15" customHeight="1" x14ac:dyDescent="0.3">
      <c r="A85" s="125"/>
      <c r="B85" s="122" t="s">
        <v>399</v>
      </c>
    </row>
    <row r="86" spans="1:10" ht="3.75" customHeight="1" x14ac:dyDescent="0.25">
      <c r="A86" s="125"/>
    </row>
    <row r="87" spans="1:10" ht="15" customHeight="1" x14ac:dyDescent="0.25">
      <c r="A87" s="125"/>
      <c r="B87" s="126" t="s">
        <v>17</v>
      </c>
      <c r="C87" s="126" t="s">
        <v>5</v>
      </c>
      <c r="D87" s="127"/>
      <c r="E87" s="127"/>
      <c r="F87" s="128" t="s">
        <v>51</v>
      </c>
      <c r="G87" s="128"/>
      <c r="H87" s="128"/>
      <c r="I87" s="128" t="s">
        <v>28</v>
      </c>
      <c r="J87" s="128" t="s">
        <v>0</v>
      </c>
    </row>
    <row r="88" spans="1:10" ht="15" customHeight="1" x14ac:dyDescent="0.25">
      <c r="A88" s="125"/>
      <c r="B88" s="207" t="s">
        <v>52</v>
      </c>
      <c r="C88" s="226" t="s">
        <v>53</v>
      </c>
      <c r="D88" s="227"/>
      <c r="E88" s="227"/>
      <c r="F88" s="208" t="s">
        <v>23</v>
      </c>
      <c r="G88" s="195"/>
      <c r="H88" s="195"/>
      <c r="I88" s="195">
        <f>'Most - spodní část'!G8</f>
        <v>0</v>
      </c>
      <c r="J88" s="132" t="str">
        <f>IF(I98=0,"",I88/I98*100)</f>
        <v/>
      </c>
    </row>
    <row r="89" spans="1:10" ht="15" customHeight="1" x14ac:dyDescent="0.25">
      <c r="A89" s="125"/>
      <c r="B89" s="207" t="s">
        <v>259</v>
      </c>
      <c r="C89" s="226" t="s">
        <v>260</v>
      </c>
      <c r="D89" s="227"/>
      <c r="E89" s="227"/>
      <c r="F89" s="208" t="s">
        <v>23</v>
      </c>
      <c r="G89" s="195"/>
      <c r="H89" s="195"/>
      <c r="I89" s="195">
        <f>'Most - spodní část'!G39</f>
        <v>0</v>
      </c>
      <c r="J89" s="132" t="str">
        <f>IF(I98=0,"",I89/I98*100)</f>
        <v/>
      </c>
    </row>
    <row r="90" spans="1:10" ht="15" customHeight="1" x14ac:dyDescent="0.25">
      <c r="A90" s="125"/>
      <c r="B90" s="207" t="s">
        <v>417</v>
      </c>
      <c r="C90" s="226" t="s">
        <v>449</v>
      </c>
      <c r="D90" s="227"/>
      <c r="E90" s="227"/>
      <c r="F90" s="208" t="s">
        <v>23</v>
      </c>
      <c r="G90" s="195"/>
      <c r="H90" s="195"/>
      <c r="I90" s="195">
        <f>'Most - spodní část'!G56</f>
        <v>0</v>
      </c>
      <c r="J90" s="132" t="str">
        <f>IF(I98=0,"",I90/I98*100)</f>
        <v/>
      </c>
    </row>
    <row r="91" spans="1:10" ht="15" customHeight="1" x14ac:dyDescent="0.25">
      <c r="A91" s="125"/>
      <c r="B91" s="207" t="s">
        <v>200</v>
      </c>
      <c r="C91" s="226" t="s">
        <v>201</v>
      </c>
      <c r="D91" s="227"/>
      <c r="E91" s="227"/>
      <c r="F91" s="208" t="s">
        <v>23</v>
      </c>
      <c r="G91" s="195"/>
      <c r="H91" s="195"/>
      <c r="I91" s="195">
        <f>'Most - spodní část'!G69</f>
        <v>0</v>
      </c>
      <c r="J91" s="132" t="str">
        <f>IF(I98=0,"",I91/I98*100)</f>
        <v/>
      </c>
    </row>
    <row r="92" spans="1:10" ht="15" customHeight="1" x14ac:dyDescent="0.25">
      <c r="A92" s="125"/>
      <c r="B92" s="207" t="s">
        <v>175</v>
      </c>
      <c r="C92" s="226" t="s">
        <v>318</v>
      </c>
      <c r="D92" s="227"/>
      <c r="E92" s="227"/>
      <c r="F92" s="208" t="s">
        <v>23</v>
      </c>
      <c r="G92" s="195"/>
      <c r="H92" s="195"/>
      <c r="I92" s="195">
        <f>'Most - spodní část'!G76</f>
        <v>0</v>
      </c>
      <c r="J92" s="132" t="str">
        <f>IF(I98=0,"",I92/I98*100)</f>
        <v/>
      </c>
    </row>
    <row r="93" spans="1:10" ht="15" customHeight="1" x14ac:dyDescent="0.25">
      <c r="A93" s="125"/>
      <c r="B93" s="207" t="s">
        <v>439</v>
      </c>
      <c r="C93" s="226" t="s">
        <v>132</v>
      </c>
      <c r="D93" s="227"/>
      <c r="E93" s="227"/>
      <c r="F93" s="208" t="s">
        <v>23</v>
      </c>
      <c r="G93" s="195"/>
      <c r="H93" s="195"/>
      <c r="I93" s="195">
        <f>'Most - spodní část'!G82</f>
        <v>0</v>
      </c>
      <c r="J93" s="132" t="str">
        <f>IF(I98=0,"",I93/I98*100)</f>
        <v/>
      </c>
    </row>
    <row r="94" spans="1:10" ht="15" customHeight="1" x14ac:dyDescent="0.25">
      <c r="A94" s="125"/>
      <c r="B94" s="207" t="s">
        <v>278</v>
      </c>
      <c r="C94" s="226" t="s">
        <v>279</v>
      </c>
      <c r="D94" s="227"/>
      <c r="E94" s="227"/>
      <c r="F94" s="208" t="s">
        <v>24</v>
      </c>
      <c r="G94" s="195"/>
      <c r="H94" s="195"/>
      <c r="I94" s="195">
        <f>'Most - spodní část'!G86</f>
        <v>0</v>
      </c>
      <c r="J94" s="132" t="str">
        <f>IF(I98=0,"",I94/I98*100)</f>
        <v/>
      </c>
    </row>
    <row r="95" spans="1:10" ht="15" customHeight="1" x14ac:dyDescent="0.25">
      <c r="A95" s="125"/>
      <c r="B95" s="207" t="s">
        <v>436</v>
      </c>
      <c r="C95" s="226" t="s">
        <v>61</v>
      </c>
      <c r="D95" s="227"/>
      <c r="E95" s="227"/>
      <c r="F95" s="208" t="s">
        <v>62</v>
      </c>
      <c r="G95" s="195"/>
      <c r="H95" s="195"/>
      <c r="I95" s="195">
        <f>'Most - spodní část'!G94</f>
        <v>0</v>
      </c>
      <c r="J95" s="132" t="str">
        <f>IF(I98=0,"",I95/I98*100)</f>
        <v/>
      </c>
    </row>
    <row r="96" spans="1:10" ht="15" customHeight="1" x14ac:dyDescent="0.25">
      <c r="A96" s="125"/>
      <c r="B96" s="207" t="s">
        <v>63</v>
      </c>
      <c r="C96" s="226" t="s">
        <v>26</v>
      </c>
      <c r="D96" s="227"/>
      <c r="E96" s="227"/>
      <c r="F96" s="208" t="s">
        <v>63</v>
      </c>
      <c r="G96" s="195"/>
      <c r="H96" s="195"/>
      <c r="I96" s="195">
        <f>'Most - spodní část'!G106</f>
        <v>0</v>
      </c>
      <c r="J96" s="132" t="str">
        <f>IF(I98=0,"",I96/I98*100)</f>
        <v/>
      </c>
    </row>
    <row r="97" spans="1:10" ht="15" customHeight="1" x14ac:dyDescent="0.25">
      <c r="A97" s="125"/>
      <c r="B97" s="207" t="s">
        <v>64</v>
      </c>
      <c r="C97" s="226" t="s">
        <v>27</v>
      </c>
      <c r="D97" s="227"/>
      <c r="E97" s="227"/>
      <c r="F97" s="208" t="s">
        <v>64</v>
      </c>
      <c r="G97" s="195"/>
      <c r="H97" s="195"/>
      <c r="I97" s="195">
        <f>'Most - spodní část'!G120</f>
        <v>0</v>
      </c>
      <c r="J97" s="132" t="str">
        <f>IF(I98=0,"",I97/I98*100)</f>
        <v/>
      </c>
    </row>
    <row r="98" spans="1:10" ht="15" customHeight="1" x14ac:dyDescent="0.25">
      <c r="A98" s="125"/>
      <c r="B98" s="214" t="s">
        <v>1</v>
      </c>
      <c r="C98" s="215"/>
      <c r="D98" s="216"/>
      <c r="E98" s="216"/>
      <c r="F98" s="217"/>
      <c r="G98" s="198"/>
      <c r="H98" s="198"/>
      <c r="I98" s="198">
        <f>SUM(I87:I97)</f>
        <v>0</v>
      </c>
      <c r="J98" s="199">
        <f>SUM(J87:J97)</f>
        <v>0</v>
      </c>
    </row>
    <row r="99" spans="1:10" x14ac:dyDescent="0.25">
      <c r="F99" s="84"/>
      <c r="G99" s="84"/>
      <c r="H99" s="84"/>
      <c r="I99" s="84"/>
      <c r="J99" s="85"/>
    </row>
    <row r="100" spans="1:10" x14ac:dyDescent="0.25">
      <c r="F100" s="84"/>
      <c r="G100" s="84"/>
      <c r="H100" s="84"/>
      <c r="I100" s="84"/>
      <c r="J100" s="85"/>
    </row>
    <row r="101" spans="1:10" x14ac:dyDescent="0.25">
      <c r="F101" s="84"/>
      <c r="G101" s="84"/>
      <c r="H101" s="84"/>
      <c r="I101" s="84"/>
      <c r="J101" s="85"/>
    </row>
    <row r="102" spans="1:10" x14ac:dyDescent="0.25">
      <c r="F102" s="84"/>
      <c r="G102" s="84"/>
      <c r="H102" s="84"/>
      <c r="I102" s="84"/>
      <c r="J102" s="85"/>
    </row>
    <row r="103" spans="1:10" x14ac:dyDescent="0.25">
      <c r="F103" s="84"/>
      <c r="G103" s="84"/>
      <c r="H103" s="84"/>
      <c r="I103" s="84"/>
      <c r="J103" s="85"/>
    </row>
    <row r="104" spans="1:10" x14ac:dyDescent="0.25">
      <c r="F104" s="84"/>
      <c r="G104" s="84"/>
      <c r="H104" s="84"/>
      <c r="I104" s="84"/>
      <c r="J104" s="85"/>
    </row>
  </sheetData>
  <sheetProtection algorithmName="SHA-512" hashValue="CTifbgRhj7fcAbl5IraCKOsEQ45TLiNSxeyncL5QF8Sy6EhLsLAQQkxUS1di85Vk74wYYn8jpSWP8OgC/kXIqw==" saltValue="TgsTT+57AH/SyO/nXCol+g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3">
    <mergeCell ref="B1:J1"/>
    <mergeCell ref="G26:I26"/>
    <mergeCell ref="G28:I28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C14:D14"/>
    <mergeCell ref="D36:E36"/>
    <mergeCell ref="G24:I24"/>
    <mergeCell ref="G23:I23"/>
    <mergeCell ref="E19:F19"/>
    <mergeCell ref="E20:F20"/>
    <mergeCell ref="I20:J20"/>
    <mergeCell ref="I21:J21"/>
    <mergeCell ref="G19:H19"/>
    <mergeCell ref="G20:H20"/>
    <mergeCell ref="G30:I30"/>
    <mergeCell ref="G25:I25"/>
    <mergeCell ref="I19:J19"/>
    <mergeCell ref="G29:I29"/>
    <mergeCell ref="D35:E35"/>
    <mergeCell ref="G35:I35"/>
    <mergeCell ref="G27:I27"/>
    <mergeCell ref="C40:E40"/>
    <mergeCell ref="C41:E41"/>
    <mergeCell ref="C42:E42"/>
    <mergeCell ref="C43:E43"/>
    <mergeCell ref="B44:E44"/>
    <mergeCell ref="C82:E82"/>
    <mergeCell ref="C76:E76"/>
    <mergeCell ref="C80:E80"/>
    <mergeCell ref="C65:E65"/>
    <mergeCell ref="C66:E66"/>
    <mergeCell ref="C81:E81"/>
    <mergeCell ref="C72:E72"/>
    <mergeCell ref="C77:E77"/>
    <mergeCell ref="C78:E78"/>
    <mergeCell ref="C79:E79"/>
    <mergeCell ref="C73:E73"/>
    <mergeCell ref="C74:E74"/>
    <mergeCell ref="C75:E75"/>
    <mergeCell ref="B47:G47"/>
    <mergeCell ref="B48:G48"/>
    <mergeCell ref="B49:G49"/>
    <mergeCell ref="B51:G51"/>
    <mergeCell ref="C61:E61"/>
    <mergeCell ref="C60:E60"/>
    <mergeCell ref="C97:E97"/>
    <mergeCell ref="B50:G50"/>
    <mergeCell ref="C93:E93"/>
    <mergeCell ref="C94:E94"/>
    <mergeCell ref="C95:E95"/>
    <mergeCell ref="C96:E96"/>
    <mergeCell ref="C88:E88"/>
    <mergeCell ref="C89:E89"/>
    <mergeCell ref="C90:E90"/>
    <mergeCell ref="C91:E91"/>
    <mergeCell ref="C92:E92"/>
    <mergeCell ref="C62:E62"/>
    <mergeCell ref="C63:E63"/>
    <mergeCell ref="C64:E64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86" t="s">
        <v>6</v>
      </c>
      <c r="B1" s="286"/>
      <c r="C1" s="287"/>
      <c r="D1" s="286"/>
      <c r="E1" s="286"/>
      <c r="F1" s="286"/>
      <c r="G1" s="286"/>
    </row>
    <row r="2" spans="1:7" ht="24.9" customHeight="1" x14ac:dyDescent="0.25">
      <c r="A2" s="49" t="s">
        <v>7</v>
      </c>
      <c r="B2" s="48"/>
      <c r="C2" s="288"/>
      <c r="D2" s="288"/>
      <c r="E2" s="288"/>
      <c r="F2" s="288"/>
      <c r="G2" s="289"/>
    </row>
    <row r="3" spans="1:7" ht="24.9" customHeight="1" x14ac:dyDescent="0.25">
      <c r="A3" s="49" t="s">
        <v>8</v>
      </c>
      <c r="B3" s="48"/>
      <c r="C3" s="288"/>
      <c r="D3" s="288"/>
      <c r="E3" s="288"/>
      <c r="F3" s="288"/>
      <c r="G3" s="289"/>
    </row>
    <row r="4" spans="1:7" ht="24.9" customHeight="1" x14ac:dyDescent="0.25">
      <c r="A4" s="49" t="s">
        <v>9</v>
      </c>
      <c r="B4" s="48"/>
      <c r="C4" s="288"/>
      <c r="D4" s="288"/>
      <c r="E4" s="288"/>
      <c r="F4" s="288"/>
      <c r="G4" s="289"/>
    </row>
    <row r="5" spans="1:7" x14ac:dyDescent="0.25">
      <c r="B5" s="4"/>
      <c r="C5" s="5"/>
      <c r="D5" s="6"/>
    </row>
  </sheetData>
  <sheetProtection password="C71F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BH4987"/>
  <sheetViews>
    <sheetView workbookViewId="0">
      <pane ySplit="7" topLeftCell="A8" activePane="bottomLeft" state="frozen"/>
      <selection pane="bottomLeft" activeCell="Z9" sqref="Z9"/>
    </sheetView>
  </sheetViews>
  <sheetFormatPr defaultRowHeight="13.2" outlineLevelRow="1" x14ac:dyDescent="0.25"/>
  <cols>
    <col min="1" max="1" width="3.44140625" customWidth="1"/>
    <col min="2" max="2" width="12.5546875" style="123" customWidth="1"/>
    <col min="3" max="3" width="63.33203125" style="123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1" width="0" hidden="1" customWidth="1"/>
    <col min="12" max="12" width="11.6640625" bestFit="1" customWidth="1"/>
    <col min="13" max="13" width="11.6640625" customWidth="1"/>
    <col min="14" max="17" width="0" hidden="1" customWidth="1"/>
    <col min="18" max="18" width="6.88671875" customWidth="1"/>
    <col min="20" max="20" width="8.44140625" customWidth="1"/>
    <col min="21" max="24" width="0" hidden="1" customWidth="1"/>
    <col min="25" max="25" width="10.109375" bestFit="1" customWidth="1"/>
    <col min="26" max="26" width="11.6640625" bestFit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99" t="s">
        <v>65</v>
      </c>
      <c r="B1" s="300"/>
      <c r="C1" s="300"/>
      <c r="D1" s="300"/>
      <c r="E1" s="300"/>
      <c r="F1" s="300"/>
      <c r="G1" s="300"/>
      <c r="H1" s="186"/>
      <c r="L1" s="190"/>
      <c r="AG1" t="s">
        <v>66</v>
      </c>
    </row>
    <row r="2" spans="1:60" ht="24.9" customHeight="1" x14ac:dyDescent="0.25">
      <c r="A2" s="187" t="s">
        <v>7</v>
      </c>
      <c r="B2" s="193" t="s">
        <v>326</v>
      </c>
      <c r="C2" s="304" t="s">
        <v>304</v>
      </c>
      <c r="D2" s="305"/>
      <c r="E2" s="305"/>
      <c r="F2" s="305"/>
      <c r="G2" s="305"/>
      <c r="H2" s="306"/>
      <c r="L2" s="190"/>
      <c r="AG2" t="s">
        <v>67</v>
      </c>
    </row>
    <row r="3" spans="1:60" ht="24.9" customHeight="1" x14ac:dyDescent="0.25">
      <c r="A3" s="187" t="s">
        <v>8</v>
      </c>
      <c r="B3" s="193" t="s">
        <v>43</v>
      </c>
      <c r="C3" s="301" t="s">
        <v>306</v>
      </c>
      <c r="D3" s="302"/>
      <c r="E3" s="302"/>
      <c r="F3" s="302"/>
      <c r="G3" s="303"/>
      <c r="H3" s="188"/>
      <c r="L3" s="190"/>
      <c r="AC3" s="123" t="s">
        <v>67</v>
      </c>
      <c r="AG3" t="s">
        <v>68</v>
      </c>
    </row>
    <row r="4" spans="1:60" ht="24.9" customHeight="1" x14ac:dyDescent="0.25">
      <c r="A4" s="189" t="s">
        <v>9</v>
      </c>
      <c r="B4" s="180" t="s">
        <v>326</v>
      </c>
      <c r="C4" s="260" t="s">
        <v>305</v>
      </c>
      <c r="D4" s="261"/>
      <c r="E4" s="261"/>
      <c r="F4" s="261"/>
      <c r="G4" s="261"/>
      <c r="H4" s="262"/>
      <c r="L4" s="190"/>
      <c r="AG4" t="s">
        <v>69</v>
      </c>
    </row>
    <row r="5" spans="1:60" x14ac:dyDescent="0.25">
      <c r="D5" s="10"/>
    </row>
    <row r="6" spans="1:60" ht="39.6" x14ac:dyDescent="0.25">
      <c r="A6" s="136" t="s">
        <v>70</v>
      </c>
      <c r="B6" s="138" t="s">
        <v>71</v>
      </c>
      <c r="C6" s="138" t="s">
        <v>72</v>
      </c>
      <c r="D6" s="137" t="s">
        <v>73</v>
      </c>
      <c r="E6" s="136" t="s">
        <v>74</v>
      </c>
      <c r="F6" s="135" t="s">
        <v>75</v>
      </c>
      <c r="G6" s="136" t="s">
        <v>28</v>
      </c>
      <c r="H6" s="139" t="s">
        <v>29</v>
      </c>
      <c r="I6" s="139" t="s">
        <v>76</v>
      </c>
      <c r="J6" s="139" t="s">
        <v>30</v>
      </c>
      <c r="K6" s="139" t="s">
        <v>77</v>
      </c>
      <c r="L6" s="139" t="s">
        <v>78</v>
      </c>
      <c r="M6" s="139" t="s">
        <v>79</v>
      </c>
      <c r="N6" s="139" t="s">
        <v>80</v>
      </c>
      <c r="O6" s="139" t="s">
        <v>81</v>
      </c>
      <c r="P6" s="139" t="s">
        <v>82</v>
      </c>
      <c r="Q6" s="139" t="s">
        <v>83</v>
      </c>
      <c r="R6" s="139" t="s">
        <v>84</v>
      </c>
      <c r="S6" s="139" t="s">
        <v>85</v>
      </c>
      <c r="T6" s="139" t="s">
        <v>86</v>
      </c>
      <c r="U6" s="139" t="s">
        <v>87</v>
      </c>
      <c r="V6" s="139" t="s">
        <v>88</v>
      </c>
      <c r="W6" s="139" t="s">
        <v>89</v>
      </c>
      <c r="X6" s="139" t="s">
        <v>90</v>
      </c>
    </row>
    <row r="7" spans="1:60" hidden="1" x14ac:dyDescent="0.25">
      <c r="A7" s="3"/>
      <c r="B7" s="4"/>
      <c r="C7" s="4"/>
      <c r="D7" s="6"/>
      <c r="E7" s="141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</row>
    <row r="8" spans="1:60" x14ac:dyDescent="0.25">
      <c r="A8" s="151" t="s">
        <v>91</v>
      </c>
      <c r="B8" s="152" t="s">
        <v>52</v>
      </c>
      <c r="C8" s="167" t="s">
        <v>53</v>
      </c>
      <c r="D8" s="153"/>
      <c r="E8" s="154"/>
      <c r="F8" s="155"/>
      <c r="G8" s="155">
        <f>SUMIF(AG9:AG49,"&lt;&gt;NOR",G9:G49)</f>
        <v>0</v>
      </c>
      <c r="H8" s="155"/>
      <c r="I8" s="155">
        <f>SUM(I15:I49)</f>
        <v>635.04</v>
      </c>
      <c r="J8" s="155"/>
      <c r="K8" s="155">
        <f>SUM(K15:K49)</f>
        <v>795167.7699999999</v>
      </c>
      <c r="L8" s="155"/>
      <c r="M8" s="155">
        <f>SUM(M9:M49)</f>
        <v>0</v>
      </c>
      <c r="N8" s="155"/>
      <c r="O8" s="155">
        <f>SUM(O15:O49)</f>
        <v>0</v>
      </c>
      <c r="P8" s="155"/>
      <c r="Q8" s="155">
        <f>SUM(Q15:Q49)</f>
        <v>423.61</v>
      </c>
      <c r="R8" s="155"/>
      <c r="S8" s="155"/>
      <c r="T8" s="156"/>
      <c r="U8" s="150"/>
      <c r="V8" s="150">
        <f>SUM(V15:V49)</f>
        <v>611.62</v>
      </c>
      <c r="W8" s="150"/>
      <c r="X8" s="150"/>
      <c r="Z8" s="84"/>
      <c r="AG8" t="s">
        <v>92</v>
      </c>
    </row>
    <row r="9" spans="1:60" ht="20.399999999999999" x14ac:dyDescent="0.25">
      <c r="A9" s="157">
        <v>1</v>
      </c>
      <c r="B9" s="158" t="s">
        <v>460</v>
      </c>
      <c r="C9" s="168" t="s">
        <v>461</v>
      </c>
      <c r="D9" s="159" t="s">
        <v>95</v>
      </c>
      <c r="E9" s="160">
        <v>1</v>
      </c>
      <c r="F9" s="161"/>
      <c r="G9" s="162">
        <f>ROUND(E9*F9,2)</f>
        <v>0</v>
      </c>
      <c r="H9" s="161">
        <v>0</v>
      </c>
      <c r="I9" s="162">
        <f>ROUND(E9*H9,2)</f>
        <v>0</v>
      </c>
      <c r="J9" s="161">
        <v>61.8</v>
      </c>
      <c r="K9" s="162">
        <f>ROUND(E9*J9,2)</f>
        <v>61.8</v>
      </c>
      <c r="L9" s="162">
        <v>21</v>
      </c>
      <c r="M9" s="162">
        <f>G9*(1+L9/100)</f>
        <v>0</v>
      </c>
      <c r="N9" s="162">
        <v>0</v>
      </c>
      <c r="O9" s="162">
        <f>ROUND(E9*N9,2)</f>
        <v>0</v>
      </c>
      <c r="P9" s="162">
        <v>0.13800000000000001</v>
      </c>
      <c r="Q9" s="162">
        <f>ROUND(E9*P9,2)</f>
        <v>0.14000000000000001</v>
      </c>
      <c r="R9" s="162" t="s">
        <v>109</v>
      </c>
      <c r="S9" s="162" t="s">
        <v>322</v>
      </c>
      <c r="T9" s="162" t="s">
        <v>322</v>
      </c>
      <c r="U9" s="150"/>
      <c r="V9" s="150"/>
      <c r="W9" s="150"/>
      <c r="X9" s="150"/>
      <c r="Z9" s="84"/>
    </row>
    <row r="10" spans="1:60" x14ac:dyDescent="0.25">
      <c r="A10" s="147"/>
      <c r="B10" s="148"/>
      <c r="C10" s="290" t="s">
        <v>462</v>
      </c>
      <c r="D10" s="291"/>
      <c r="E10" s="291"/>
      <c r="F10" s="291"/>
      <c r="G10" s="291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50"/>
      <c r="V10" s="150"/>
      <c r="W10" s="150"/>
      <c r="X10" s="150"/>
      <c r="Z10" s="84"/>
    </row>
    <row r="11" spans="1:60" x14ac:dyDescent="0.25">
      <c r="A11" s="147"/>
      <c r="B11" s="148"/>
      <c r="C11" s="169"/>
      <c r="D11" s="164"/>
      <c r="E11" s="164"/>
      <c r="F11" s="164"/>
      <c r="G11" s="164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50"/>
      <c r="V11" s="150"/>
      <c r="W11" s="150"/>
      <c r="X11" s="150"/>
      <c r="Z11" s="84"/>
    </row>
    <row r="12" spans="1:60" x14ac:dyDescent="0.25">
      <c r="A12" s="157">
        <f>A9+1</f>
        <v>2</v>
      </c>
      <c r="B12" s="158" t="s">
        <v>463</v>
      </c>
      <c r="C12" s="168" t="s">
        <v>464</v>
      </c>
      <c r="D12" s="159" t="s">
        <v>95</v>
      </c>
      <c r="E12" s="160">
        <v>1</v>
      </c>
      <c r="F12" s="161"/>
      <c r="G12" s="162">
        <f>ROUND(E12*F12,2)</f>
        <v>0</v>
      </c>
      <c r="H12" s="161">
        <v>0</v>
      </c>
      <c r="I12" s="162">
        <f>ROUND(E12*H12,2)</f>
        <v>0</v>
      </c>
      <c r="J12" s="161">
        <v>61.8</v>
      </c>
      <c r="K12" s="162">
        <f>ROUND(E12*J12,2)</f>
        <v>61.8</v>
      </c>
      <c r="L12" s="162">
        <v>21</v>
      </c>
      <c r="M12" s="162">
        <f>G12*(1+L12/100)</f>
        <v>0</v>
      </c>
      <c r="N12" s="162">
        <v>0</v>
      </c>
      <c r="O12" s="162">
        <f>ROUND(E12*N12,2)</f>
        <v>0</v>
      </c>
      <c r="P12" s="162">
        <v>0.13800000000000001</v>
      </c>
      <c r="Q12" s="162">
        <f>ROUND(E12*P12,2)</f>
        <v>0.14000000000000001</v>
      </c>
      <c r="R12" s="162" t="s">
        <v>109</v>
      </c>
      <c r="S12" s="162" t="s">
        <v>322</v>
      </c>
      <c r="T12" s="162" t="s">
        <v>322</v>
      </c>
      <c r="U12" s="150"/>
      <c r="V12" s="150"/>
      <c r="W12" s="150"/>
      <c r="X12" s="150"/>
      <c r="Z12" s="84"/>
    </row>
    <row r="13" spans="1:60" x14ac:dyDescent="0.25">
      <c r="A13" s="147"/>
      <c r="B13" s="148"/>
      <c r="C13" s="290" t="s">
        <v>462</v>
      </c>
      <c r="D13" s="291"/>
      <c r="E13" s="291"/>
      <c r="F13" s="291"/>
      <c r="G13" s="291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50"/>
      <c r="V13" s="150"/>
      <c r="W13" s="150"/>
      <c r="X13" s="150"/>
      <c r="Z13" s="84"/>
    </row>
    <row r="14" spans="1:60" x14ac:dyDescent="0.25">
      <c r="A14" s="147"/>
      <c r="B14" s="148"/>
      <c r="C14" s="169"/>
      <c r="D14" s="164"/>
      <c r="E14" s="164"/>
      <c r="F14" s="164"/>
      <c r="G14" s="164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50"/>
      <c r="V14" s="150"/>
      <c r="W14" s="150"/>
      <c r="X14" s="150"/>
      <c r="Z14" s="84"/>
    </row>
    <row r="15" spans="1:60" outlineLevel="1" x14ac:dyDescent="0.25">
      <c r="A15" s="157">
        <f>A12+1</f>
        <v>3</v>
      </c>
      <c r="B15" s="158" t="s">
        <v>191</v>
      </c>
      <c r="C15" s="168" t="s">
        <v>232</v>
      </c>
      <c r="D15" s="159" t="s">
        <v>98</v>
      </c>
      <c r="E15" s="160">
        <f>20*2+166*1.5+40*1.5</f>
        <v>349</v>
      </c>
      <c r="F15" s="161"/>
      <c r="G15" s="162">
        <f>ROUND(E15*F15,2)</f>
        <v>0</v>
      </c>
      <c r="H15" s="161">
        <v>0</v>
      </c>
      <c r="I15" s="162">
        <f>ROUND(E15*H15,2)</f>
        <v>0</v>
      </c>
      <c r="J15" s="161">
        <v>61.8</v>
      </c>
      <c r="K15" s="162">
        <f>ROUND(E15*J15,2)</f>
        <v>21568.2</v>
      </c>
      <c r="L15" s="162">
        <v>21</v>
      </c>
      <c r="M15" s="162">
        <f>G15*(1+L15/100)</f>
        <v>0</v>
      </c>
      <c r="N15" s="162">
        <v>0</v>
      </c>
      <c r="O15" s="162">
        <f>ROUND(E15*N15,2)</f>
        <v>0</v>
      </c>
      <c r="P15" s="162">
        <v>0.13800000000000001</v>
      </c>
      <c r="Q15" s="162">
        <f>ROUND(E15*P15,2)</f>
        <v>48.16</v>
      </c>
      <c r="R15" s="162" t="s">
        <v>109</v>
      </c>
      <c r="S15" s="162" t="s">
        <v>322</v>
      </c>
      <c r="T15" s="162" t="s">
        <v>322</v>
      </c>
      <c r="U15" s="149"/>
      <c r="V15" s="149"/>
      <c r="W15" s="149"/>
      <c r="X15" s="149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</row>
    <row r="16" spans="1:60" outlineLevel="1" x14ac:dyDescent="0.25">
      <c r="A16" s="147"/>
      <c r="B16" s="148"/>
      <c r="C16" s="290" t="s">
        <v>219</v>
      </c>
      <c r="D16" s="291"/>
      <c r="E16" s="291"/>
      <c r="F16" s="291"/>
      <c r="G16" s="291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</row>
    <row r="17" spans="1:60" outlineLevel="1" x14ac:dyDescent="0.25">
      <c r="A17" s="147"/>
      <c r="B17" s="148"/>
      <c r="C17" s="169"/>
      <c r="D17" s="164"/>
      <c r="E17" s="164"/>
      <c r="F17" s="164"/>
      <c r="G17" s="164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</row>
    <row r="18" spans="1:60" ht="22.95" customHeight="1" outlineLevel="1" x14ac:dyDescent="0.25">
      <c r="A18" s="157">
        <f>A15+1</f>
        <v>4</v>
      </c>
      <c r="B18" s="158" t="s">
        <v>207</v>
      </c>
      <c r="C18" s="168" t="s">
        <v>206</v>
      </c>
      <c r="D18" s="159" t="s">
        <v>116</v>
      </c>
      <c r="E18" s="160">
        <f>1250*0.2+E15*0.2</f>
        <v>319.8</v>
      </c>
      <c r="F18" s="161"/>
      <c r="G18" s="162">
        <f>ROUND(E18*F18,2)</f>
        <v>0</v>
      </c>
      <c r="H18" s="161">
        <v>0</v>
      </c>
      <c r="I18" s="162">
        <f>ROUND(E18*H18,2)</f>
        <v>0</v>
      </c>
      <c r="J18" s="161">
        <v>351</v>
      </c>
      <c r="K18" s="162">
        <f>ROUND(E18*J18,2)</f>
        <v>112249.8</v>
      </c>
      <c r="L18" s="162">
        <v>21</v>
      </c>
      <c r="M18" s="162">
        <f>G18*(1+L18/100)</f>
        <v>0</v>
      </c>
      <c r="N18" s="162">
        <v>0</v>
      </c>
      <c r="O18" s="162">
        <f>ROUND(E18*N18,2)</f>
        <v>0</v>
      </c>
      <c r="P18" s="162">
        <v>0.44</v>
      </c>
      <c r="Q18" s="162">
        <f>ROUND(E18*P18,2)</f>
        <v>140.71</v>
      </c>
      <c r="R18" s="162" t="s">
        <v>109</v>
      </c>
      <c r="S18" s="162" t="s">
        <v>322</v>
      </c>
      <c r="T18" s="162" t="s">
        <v>322</v>
      </c>
      <c r="U18" s="149">
        <v>3.3000000000000002E-2</v>
      </c>
      <c r="V18" s="149">
        <f>ROUND(E18*U18,2)</f>
        <v>10.55</v>
      </c>
      <c r="W18" s="149"/>
      <c r="X18" s="149" t="s">
        <v>110</v>
      </c>
      <c r="Y18" s="140"/>
      <c r="Z18" s="140"/>
      <c r="AA18" s="140"/>
      <c r="AB18" s="140"/>
      <c r="AC18" s="140"/>
      <c r="AD18" s="140"/>
      <c r="AE18" s="140"/>
      <c r="AF18" s="140"/>
      <c r="AG18" s="140" t="s">
        <v>111</v>
      </c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</row>
    <row r="19" spans="1:60" outlineLevel="1" x14ac:dyDescent="0.25">
      <c r="A19" s="147"/>
      <c r="B19" s="148"/>
      <c r="C19" s="295"/>
      <c r="D19" s="296"/>
      <c r="E19" s="296"/>
      <c r="F19" s="296"/>
      <c r="G19" s="296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0"/>
      <c r="Z19" s="140"/>
      <c r="AA19" s="140"/>
      <c r="AB19" s="140"/>
      <c r="AC19" s="140"/>
      <c r="AD19" s="140"/>
      <c r="AE19" s="140"/>
      <c r="AF19" s="140"/>
      <c r="AG19" s="140" t="s">
        <v>93</v>
      </c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</row>
    <row r="20" spans="1:60" outlineLevel="1" x14ac:dyDescent="0.25">
      <c r="A20" s="157">
        <f>A18+1</f>
        <v>5</v>
      </c>
      <c r="B20" s="158" t="s">
        <v>233</v>
      </c>
      <c r="C20" s="168" t="s">
        <v>234</v>
      </c>
      <c r="D20" s="159" t="s">
        <v>98</v>
      </c>
      <c r="E20" s="160">
        <v>1250</v>
      </c>
      <c r="F20" s="161"/>
      <c r="G20" s="162">
        <f>ROUND(E20*F20,2)</f>
        <v>0</v>
      </c>
      <c r="H20" s="161">
        <v>0</v>
      </c>
      <c r="I20" s="162">
        <f>ROUND(E20*H20,2)</f>
        <v>0</v>
      </c>
      <c r="J20" s="161">
        <v>111</v>
      </c>
      <c r="K20" s="162">
        <f>ROUND(E20*J20,2)</f>
        <v>138750</v>
      </c>
      <c r="L20" s="162">
        <v>21</v>
      </c>
      <c r="M20" s="162">
        <f>G20*(1+L20/100)</f>
        <v>0</v>
      </c>
      <c r="N20" s="162">
        <v>0</v>
      </c>
      <c r="O20" s="162">
        <f>ROUND(E20*N20,2)</f>
        <v>0</v>
      </c>
      <c r="P20" s="162">
        <v>0.11</v>
      </c>
      <c r="Q20" s="162">
        <f>ROUND(E20*P20,2)</f>
        <v>137.5</v>
      </c>
      <c r="R20" s="162" t="s">
        <v>109</v>
      </c>
      <c r="S20" s="162" t="s">
        <v>322</v>
      </c>
      <c r="T20" s="162" t="s">
        <v>322</v>
      </c>
      <c r="U20" s="149">
        <v>0.2</v>
      </c>
      <c r="V20" s="149">
        <f>ROUND(E20*U20,2)</f>
        <v>250</v>
      </c>
      <c r="W20" s="149"/>
      <c r="X20" s="149" t="s">
        <v>110</v>
      </c>
      <c r="Y20" s="140"/>
      <c r="Z20" s="140"/>
      <c r="AA20" s="140"/>
      <c r="AB20" s="140"/>
      <c r="AC20" s="140"/>
      <c r="AD20" s="140"/>
      <c r="AE20" s="140"/>
      <c r="AF20" s="140"/>
      <c r="AG20" s="140" t="s">
        <v>111</v>
      </c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</row>
    <row r="21" spans="1:60" outlineLevel="1" x14ac:dyDescent="0.25">
      <c r="A21" s="147"/>
      <c r="B21" s="148"/>
      <c r="C21" s="295"/>
      <c r="D21" s="296"/>
      <c r="E21" s="296"/>
      <c r="F21" s="296"/>
      <c r="G21" s="296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0"/>
      <c r="Z21" s="140"/>
      <c r="AA21" s="140"/>
      <c r="AB21" s="140"/>
      <c r="AC21" s="140"/>
      <c r="AD21" s="140"/>
      <c r="AE21" s="140"/>
      <c r="AF21" s="140"/>
      <c r="AG21" s="140" t="s">
        <v>93</v>
      </c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</row>
    <row r="22" spans="1:60" outlineLevel="1" x14ac:dyDescent="0.25">
      <c r="A22" s="157">
        <f>A20+1</f>
        <v>6</v>
      </c>
      <c r="B22" s="158" t="s">
        <v>113</v>
      </c>
      <c r="C22" s="168" t="s">
        <v>150</v>
      </c>
      <c r="D22" s="159" t="s">
        <v>114</v>
      </c>
      <c r="E22" s="160">
        <v>442</v>
      </c>
      <c r="F22" s="161"/>
      <c r="G22" s="162">
        <f>ROUND(E22*F22,2)</f>
        <v>0</v>
      </c>
      <c r="H22" s="161">
        <v>0</v>
      </c>
      <c r="I22" s="162">
        <f>ROUND(E22*H22,2)</f>
        <v>0</v>
      </c>
      <c r="J22" s="161">
        <v>115</v>
      </c>
      <c r="K22" s="162">
        <f>ROUND(E22*J22,2)</f>
        <v>50830</v>
      </c>
      <c r="L22" s="162">
        <v>21</v>
      </c>
      <c r="M22" s="162">
        <f>G22*(1+L22/100)</f>
        <v>0</v>
      </c>
      <c r="N22" s="162">
        <v>0</v>
      </c>
      <c r="O22" s="162">
        <f>ROUND(E22*N22,2)</f>
        <v>0</v>
      </c>
      <c r="P22" s="162">
        <v>0.22</v>
      </c>
      <c r="Q22" s="162">
        <f>ROUND(E22*P22,2)</f>
        <v>97.24</v>
      </c>
      <c r="R22" s="162" t="s">
        <v>109</v>
      </c>
      <c r="S22" s="162" t="s">
        <v>322</v>
      </c>
      <c r="T22" s="162" t="s">
        <v>322</v>
      </c>
      <c r="U22" s="149"/>
      <c r="V22" s="149"/>
      <c r="W22" s="149"/>
      <c r="X22" s="149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</row>
    <row r="23" spans="1:60" ht="12.75" customHeight="1" outlineLevel="1" x14ac:dyDescent="0.25">
      <c r="A23" s="147"/>
      <c r="B23" s="148"/>
      <c r="C23" s="290" t="s">
        <v>198</v>
      </c>
      <c r="D23" s="291"/>
      <c r="E23" s="291"/>
      <c r="F23" s="291"/>
      <c r="G23" s="291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</row>
    <row r="24" spans="1:60" outlineLevel="1" x14ac:dyDescent="0.25">
      <c r="A24" s="147"/>
      <c r="B24" s="148"/>
      <c r="C24" s="169"/>
      <c r="D24" s="164"/>
      <c r="E24" s="164"/>
      <c r="F24" s="164"/>
      <c r="G24" s="164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</row>
    <row r="25" spans="1:60" outlineLevel="1" x14ac:dyDescent="0.25">
      <c r="A25" s="157">
        <f>A22+1</f>
        <v>7</v>
      </c>
      <c r="B25" s="158" t="s">
        <v>176</v>
      </c>
      <c r="C25" s="168" t="s">
        <v>177</v>
      </c>
      <c r="D25" s="159" t="s">
        <v>116</v>
      </c>
      <c r="E25" s="160">
        <f>E20/3*0.2</f>
        <v>83.333333333333343</v>
      </c>
      <c r="F25" s="161"/>
      <c r="G25" s="162">
        <f>ROUND(E25*F25,2)</f>
        <v>0</v>
      </c>
      <c r="H25" s="161">
        <v>0</v>
      </c>
      <c r="I25" s="162">
        <f>ROUND(E25*H25,2)</f>
        <v>0</v>
      </c>
      <c r="J25" s="161">
        <v>617</v>
      </c>
      <c r="K25" s="162">
        <f>ROUND(E25*J25,2)</f>
        <v>51416.67</v>
      </c>
      <c r="L25" s="162">
        <v>21</v>
      </c>
      <c r="M25" s="162">
        <f>G25*(1+L25/100)</f>
        <v>0</v>
      </c>
      <c r="N25" s="162">
        <v>0</v>
      </c>
      <c r="O25" s="162">
        <f>ROUND(E25*N25,2)</f>
        <v>0</v>
      </c>
      <c r="P25" s="162">
        <v>0</v>
      </c>
      <c r="Q25" s="162">
        <f>ROUND(E25*P25,2)</f>
        <v>0</v>
      </c>
      <c r="R25" s="162" t="s">
        <v>115</v>
      </c>
      <c r="S25" s="162" t="s">
        <v>322</v>
      </c>
      <c r="T25" s="162" t="s">
        <v>322</v>
      </c>
      <c r="U25" s="149"/>
      <c r="V25" s="149"/>
      <c r="W25" s="149"/>
      <c r="X25" s="149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</row>
    <row r="26" spans="1:60" ht="14.25" customHeight="1" outlineLevel="1" x14ac:dyDescent="0.25">
      <c r="A26" s="147"/>
      <c r="B26" s="148"/>
      <c r="C26" s="290" t="s">
        <v>197</v>
      </c>
      <c r="D26" s="291"/>
      <c r="E26" s="291"/>
      <c r="F26" s="291"/>
      <c r="G26" s="291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</row>
    <row r="27" spans="1:60" outlineLevel="1" x14ac:dyDescent="0.25">
      <c r="A27" s="147"/>
      <c r="B27" s="148"/>
      <c r="C27" s="169"/>
      <c r="D27" s="164"/>
      <c r="E27" s="164"/>
      <c r="F27" s="164"/>
      <c r="G27" s="164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</row>
    <row r="28" spans="1:60" outlineLevel="1" x14ac:dyDescent="0.25">
      <c r="A28" s="157">
        <f>A25+1</f>
        <v>8</v>
      </c>
      <c r="B28" s="158" t="s">
        <v>151</v>
      </c>
      <c r="C28" s="168" t="s">
        <v>226</v>
      </c>
      <c r="D28" s="159" t="s">
        <v>116</v>
      </c>
      <c r="E28" s="160">
        <f>E20*0.2+E15*0.2-E25</f>
        <v>236.46666666666667</v>
      </c>
      <c r="F28" s="161"/>
      <c r="G28" s="162">
        <f>ROUND(E28*F28,2)</f>
        <v>0</v>
      </c>
      <c r="H28" s="161">
        <v>0</v>
      </c>
      <c r="I28" s="162">
        <f>ROUND(E28*H28,2)</f>
        <v>0</v>
      </c>
      <c r="J28" s="161">
        <v>191.5</v>
      </c>
      <c r="K28" s="162">
        <f>ROUND(E28*J28,2)</f>
        <v>45283.37</v>
      </c>
      <c r="L28" s="162">
        <v>21</v>
      </c>
      <c r="M28" s="162">
        <f>G28*(1+L28/100)</f>
        <v>0</v>
      </c>
      <c r="N28" s="162">
        <v>0</v>
      </c>
      <c r="O28" s="162">
        <f>ROUND(E28*N28,2)</f>
        <v>0</v>
      </c>
      <c r="P28" s="162">
        <v>0</v>
      </c>
      <c r="Q28" s="162">
        <f>ROUND(E28*P28,2)</f>
        <v>0</v>
      </c>
      <c r="R28" s="162" t="s">
        <v>115</v>
      </c>
      <c r="S28" s="162" t="s">
        <v>322</v>
      </c>
      <c r="T28" s="162" t="s">
        <v>322</v>
      </c>
      <c r="U28" s="149">
        <v>0.36799999999999999</v>
      </c>
      <c r="V28" s="149">
        <f>ROUND(E28*U28,2)</f>
        <v>87.02</v>
      </c>
      <c r="W28" s="149"/>
      <c r="X28" s="149" t="s">
        <v>110</v>
      </c>
      <c r="Y28" s="140"/>
      <c r="Z28" s="140"/>
      <c r="AA28" s="140"/>
      <c r="AB28" s="140"/>
      <c r="AC28" s="140"/>
      <c r="AD28" s="140"/>
      <c r="AE28" s="140"/>
      <c r="AF28" s="140"/>
      <c r="AG28" s="140" t="s">
        <v>111</v>
      </c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</row>
    <row r="29" spans="1:60" outlineLevel="1" x14ac:dyDescent="0.25">
      <c r="A29" s="147"/>
      <c r="B29" s="148"/>
      <c r="C29" s="292"/>
      <c r="D29" s="293"/>
      <c r="E29" s="293"/>
      <c r="F29" s="293"/>
      <c r="G29" s="293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0"/>
      <c r="Z29" s="140"/>
      <c r="AA29" s="140"/>
      <c r="AB29" s="140"/>
      <c r="AC29" s="140"/>
      <c r="AD29" s="140"/>
      <c r="AE29" s="140"/>
      <c r="AF29" s="140"/>
      <c r="AG29" s="140" t="s">
        <v>93</v>
      </c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</row>
    <row r="30" spans="1:60" outlineLevel="1" x14ac:dyDescent="0.25">
      <c r="A30" s="157">
        <f>A28+1</f>
        <v>9</v>
      </c>
      <c r="B30" s="158" t="s">
        <v>117</v>
      </c>
      <c r="C30" s="168" t="s">
        <v>225</v>
      </c>
      <c r="D30" s="159" t="s">
        <v>116</v>
      </c>
      <c r="E30" s="160">
        <f>E28*0.55</f>
        <v>130.05666666666667</v>
      </c>
      <c r="F30" s="161"/>
      <c r="G30" s="162">
        <f>ROUND(E30*F30,2)</f>
        <v>0</v>
      </c>
      <c r="H30" s="161">
        <v>0</v>
      </c>
      <c r="I30" s="162">
        <f>ROUND(E30*H30,2)</f>
        <v>0</v>
      </c>
      <c r="J30" s="161">
        <v>38.299999999999997</v>
      </c>
      <c r="K30" s="162">
        <f>ROUND(E30*J30,2)</f>
        <v>4981.17</v>
      </c>
      <c r="L30" s="162">
        <v>21</v>
      </c>
      <c r="M30" s="162">
        <f>G30*(1+L30/100)</f>
        <v>0</v>
      </c>
      <c r="N30" s="162">
        <v>0</v>
      </c>
      <c r="O30" s="162">
        <f>ROUND(E30*N30,2)</f>
        <v>0</v>
      </c>
      <c r="P30" s="162">
        <v>0</v>
      </c>
      <c r="Q30" s="162">
        <f>ROUND(E30*P30,2)</f>
        <v>0</v>
      </c>
      <c r="R30" s="162" t="s">
        <v>115</v>
      </c>
      <c r="S30" s="162" t="s">
        <v>322</v>
      </c>
      <c r="T30" s="162" t="s">
        <v>322</v>
      </c>
      <c r="U30" s="149">
        <v>5.8000000000000003E-2</v>
      </c>
      <c r="V30" s="149">
        <f>ROUND(E30*U30,2)</f>
        <v>7.54</v>
      </c>
      <c r="W30" s="149"/>
      <c r="X30" s="149" t="s">
        <v>110</v>
      </c>
      <c r="Y30" s="140"/>
      <c r="Z30" s="140"/>
      <c r="AA30" s="140"/>
      <c r="AB30" s="140"/>
      <c r="AC30" s="140"/>
      <c r="AD30" s="140"/>
      <c r="AE30" s="140"/>
      <c r="AF30" s="140"/>
      <c r="AG30" s="140" t="s">
        <v>111</v>
      </c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</row>
    <row r="31" spans="1:60" outlineLevel="1" x14ac:dyDescent="0.25">
      <c r="A31" s="147"/>
      <c r="B31" s="148"/>
      <c r="C31" s="292"/>
      <c r="D31" s="293"/>
      <c r="E31" s="293"/>
      <c r="F31" s="293"/>
      <c r="G31" s="293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0"/>
      <c r="Z31" s="140"/>
      <c r="AA31" s="140"/>
      <c r="AB31" s="140"/>
      <c r="AC31" s="140"/>
      <c r="AD31" s="140"/>
      <c r="AE31" s="140"/>
      <c r="AF31" s="140"/>
      <c r="AG31" s="140" t="s">
        <v>93</v>
      </c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</row>
    <row r="32" spans="1:60" outlineLevel="1" x14ac:dyDescent="0.25">
      <c r="A32" s="157">
        <f>A30+1</f>
        <v>10</v>
      </c>
      <c r="B32" s="158" t="s">
        <v>178</v>
      </c>
      <c r="C32" s="168" t="s">
        <v>179</v>
      </c>
      <c r="D32" s="159" t="s">
        <v>116</v>
      </c>
      <c r="E32" s="160">
        <f>36</f>
        <v>36</v>
      </c>
      <c r="F32" s="161"/>
      <c r="G32" s="162">
        <f>ROUND(E32*F32,2)</f>
        <v>0</v>
      </c>
      <c r="H32" s="161">
        <v>0</v>
      </c>
      <c r="I32" s="162">
        <f>ROUND(E32*H32,2)</f>
        <v>0</v>
      </c>
      <c r="J32" s="161">
        <v>1273</v>
      </c>
      <c r="K32" s="162">
        <f>ROUND(E32*J32,2)</f>
        <v>45828</v>
      </c>
      <c r="L32" s="162">
        <v>21</v>
      </c>
      <c r="M32" s="162">
        <f>G32*(1+L32/100)</f>
        <v>0</v>
      </c>
      <c r="N32" s="162">
        <v>0</v>
      </c>
      <c r="O32" s="162">
        <f>ROUND(E32*N32,2)</f>
        <v>0</v>
      </c>
      <c r="P32" s="162">
        <v>0</v>
      </c>
      <c r="Q32" s="162">
        <f>ROUND(E32*P32,2)</f>
        <v>0</v>
      </c>
      <c r="R32" s="162" t="s">
        <v>115</v>
      </c>
      <c r="S32" s="162" t="s">
        <v>322</v>
      </c>
      <c r="T32" s="162" t="s">
        <v>322</v>
      </c>
      <c r="U32" s="149"/>
      <c r="V32" s="149"/>
      <c r="W32" s="149"/>
      <c r="X32" s="149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</row>
    <row r="33" spans="1:60" outlineLevel="1" x14ac:dyDescent="0.25">
      <c r="A33" s="147"/>
      <c r="B33" s="148"/>
      <c r="C33" s="290" t="s">
        <v>180</v>
      </c>
      <c r="D33" s="291"/>
      <c r="E33" s="291"/>
      <c r="F33" s="291"/>
      <c r="G33" s="291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</row>
    <row r="34" spans="1:60" outlineLevel="1" x14ac:dyDescent="0.25">
      <c r="A34" s="147"/>
      <c r="B34" s="148"/>
      <c r="C34" s="169"/>
      <c r="D34" s="164"/>
      <c r="E34" s="164"/>
      <c r="F34" s="164"/>
      <c r="G34" s="164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</row>
    <row r="35" spans="1:60" outlineLevel="1" x14ac:dyDescent="0.25">
      <c r="A35" s="157">
        <f>A32+1</f>
        <v>11</v>
      </c>
      <c r="B35" s="158" t="s">
        <v>118</v>
      </c>
      <c r="C35" s="168" t="s">
        <v>317</v>
      </c>
      <c r="D35" s="159" t="s">
        <v>116</v>
      </c>
      <c r="E35" s="160">
        <f>E28+E32+E25</f>
        <v>355.80000000000007</v>
      </c>
      <c r="F35" s="161"/>
      <c r="G35" s="162">
        <f>ROUND(E35*F35,2)</f>
        <v>0</v>
      </c>
      <c r="H35" s="161">
        <v>0</v>
      </c>
      <c r="I35" s="162">
        <f>ROUND(E35*H35,2)</f>
        <v>0</v>
      </c>
      <c r="J35" s="161">
        <v>259.5</v>
      </c>
      <c r="K35" s="162">
        <f>ROUND(E35*J35,2)</f>
        <v>92330.1</v>
      </c>
      <c r="L35" s="162">
        <v>21</v>
      </c>
      <c r="M35" s="162">
        <f>G35*(1+L35/100)</f>
        <v>0</v>
      </c>
      <c r="N35" s="162">
        <v>0</v>
      </c>
      <c r="O35" s="162">
        <f>ROUND(E35*N35,2)</f>
        <v>0</v>
      </c>
      <c r="P35" s="162">
        <v>0</v>
      </c>
      <c r="Q35" s="162">
        <f>ROUND(E35*P35,2)</f>
        <v>0</v>
      </c>
      <c r="R35" s="162" t="s">
        <v>115</v>
      </c>
      <c r="S35" s="162" t="s">
        <v>322</v>
      </c>
      <c r="T35" s="162" t="s">
        <v>322</v>
      </c>
      <c r="U35" s="149">
        <v>5.1999999999999998E-3</v>
      </c>
      <c r="V35" s="149">
        <f>ROUND(E35*U35,2)</f>
        <v>1.85</v>
      </c>
      <c r="W35" s="149"/>
      <c r="X35" s="149" t="s">
        <v>110</v>
      </c>
      <c r="Y35" s="140"/>
      <c r="Z35" s="140"/>
      <c r="AA35" s="140"/>
      <c r="AB35" s="140"/>
      <c r="AC35" s="140"/>
      <c r="AD35" s="140"/>
      <c r="AE35" s="140"/>
      <c r="AF35" s="140"/>
      <c r="AG35" s="140" t="s">
        <v>111</v>
      </c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</row>
    <row r="36" spans="1:60" outlineLevel="1" x14ac:dyDescent="0.25">
      <c r="A36" s="147"/>
      <c r="B36" s="148"/>
      <c r="C36" s="290" t="s">
        <v>119</v>
      </c>
      <c r="D36" s="291"/>
      <c r="E36" s="291"/>
      <c r="F36" s="291"/>
      <c r="G36" s="291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0"/>
      <c r="Z36" s="140"/>
      <c r="AA36" s="140"/>
      <c r="AB36" s="140"/>
      <c r="AC36" s="140"/>
      <c r="AD36" s="140"/>
      <c r="AE36" s="140"/>
      <c r="AF36" s="140"/>
      <c r="AG36" s="140" t="s">
        <v>112</v>
      </c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</row>
    <row r="37" spans="1:60" outlineLevel="1" x14ac:dyDescent="0.25">
      <c r="A37" s="147"/>
      <c r="B37" s="148"/>
      <c r="C37" s="292"/>
      <c r="D37" s="293"/>
      <c r="E37" s="293"/>
      <c r="F37" s="293"/>
      <c r="G37" s="293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0"/>
      <c r="Z37" s="140"/>
      <c r="AA37" s="140"/>
      <c r="AB37" s="140"/>
      <c r="AC37" s="140"/>
      <c r="AD37" s="140"/>
      <c r="AE37" s="140"/>
      <c r="AF37" s="140"/>
      <c r="AG37" s="140" t="s">
        <v>93</v>
      </c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</row>
    <row r="38" spans="1:60" outlineLevel="1" x14ac:dyDescent="0.25">
      <c r="A38" s="157">
        <f>A35+1</f>
        <v>12</v>
      </c>
      <c r="B38" s="158" t="s">
        <v>120</v>
      </c>
      <c r="C38" s="168" t="s">
        <v>164</v>
      </c>
      <c r="D38" s="159" t="s">
        <v>116</v>
      </c>
      <c r="E38" s="160">
        <f>E35</f>
        <v>355.80000000000007</v>
      </c>
      <c r="F38" s="161"/>
      <c r="G38" s="162">
        <f>ROUND(E38*F38,2)</f>
        <v>0</v>
      </c>
      <c r="H38" s="161">
        <v>0</v>
      </c>
      <c r="I38" s="162">
        <f>ROUND(E38*H38,2)</f>
        <v>0</v>
      </c>
      <c r="J38" s="161">
        <v>265</v>
      </c>
      <c r="K38" s="162">
        <f>ROUND(E38*J38,2)</f>
        <v>94287</v>
      </c>
      <c r="L38" s="162">
        <v>21</v>
      </c>
      <c r="M38" s="162">
        <f>G38*(1+L38/100)</f>
        <v>0</v>
      </c>
      <c r="N38" s="162">
        <v>0</v>
      </c>
      <c r="O38" s="162">
        <f>ROUND(E38*N38,2)</f>
        <v>0</v>
      </c>
      <c r="P38" s="162">
        <v>0</v>
      </c>
      <c r="Q38" s="162">
        <f>ROUND(E38*P38,2)</f>
        <v>0</v>
      </c>
      <c r="R38" s="162" t="s">
        <v>115</v>
      </c>
      <c r="S38" s="162" t="s">
        <v>322</v>
      </c>
      <c r="T38" s="162" t="s">
        <v>322</v>
      </c>
      <c r="U38" s="149">
        <v>0.65200000000000002</v>
      </c>
      <c r="V38" s="149">
        <f>ROUND(E38*U38,2)</f>
        <v>231.98</v>
      </c>
      <c r="W38" s="149"/>
      <c r="X38" s="149" t="s">
        <v>110</v>
      </c>
      <c r="Y38" s="140"/>
      <c r="Z38" s="140"/>
      <c r="AA38" s="140"/>
      <c r="AB38" s="140"/>
      <c r="AC38" s="140"/>
      <c r="AD38" s="140"/>
      <c r="AE38" s="140"/>
      <c r="AF38" s="140"/>
      <c r="AG38" s="140" t="s">
        <v>111</v>
      </c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</row>
    <row r="39" spans="1:60" outlineLevel="1" x14ac:dyDescent="0.25">
      <c r="A39" s="147"/>
      <c r="B39" s="148"/>
      <c r="C39" s="295"/>
      <c r="D39" s="296"/>
      <c r="E39" s="296"/>
      <c r="F39" s="296"/>
      <c r="G39" s="296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0"/>
      <c r="Z39" s="140"/>
      <c r="AA39" s="140"/>
      <c r="AB39" s="140"/>
      <c r="AC39" s="140"/>
      <c r="AD39" s="140"/>
      <c r="AE39" s="140"/>
      <c r="AF39" s="140"/>
      <c r="AG39" s="140" t="s">
        <v>93</v>
      </c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</row>
    <row r="40" spans="1:60" outlineLevel="1" x14ac:dyDescent="0.25">
      <c r="A40" s="157">
        <f>A38+1</f>
        <v>13</v>
      </c>
      <c r="B40" s="158" t="s">
        <v>121</v>
      </c>
      <c r="C40" s="168" t="s">
        <v>160</v>
      </c>
      <c r="D40" s="159" t="s">
        <v>98</v>
      </c>
      <c r="E40" s="160">
        <v>378</v>
      </c>
      <c r="F40" s="161"/>
      <c r="G40" s="162">
        <f>ROUND(E40*F40,2)</f>
        <v>0</v>
      </c>
      <c r="H40" s="161">
        <v>1.68</v>
      </c>
      <c r="I40" s="162">
        <f>ROUND(E40*H40,2)</f>
        <v>635.04</v>
      </c>
      <c r="J40" s="161">
        <v>22.42</v>
      </c>
      <c r="K40" s="162">
        <f>ROUND(E40*J40,2)</f>
        <v>8474.76</v>
      </c>
      <c r="L40" s="162">
        <v>21</v>
      </c>
      <c r="M40" s="162">
        <f>G40*(1+L40/100)</f>
        <v>0</v>
      </c>
      <c r="N40" s="162">
        <v>0</v>
      </c>
      <c r="O40" s="162">
        <f>ROUND(E40*N40,2)</f>
        <v>0</v>
      </c>
      <c r="P40" s="162">
        <v>0</v>
      </c>
      <c r="Q40" s="162">
        <f>ROUND(E40*P40,2)</f>
        <v>0</v>
      </c>
      <c r="R40" s="162" t="s">
        <v>122</v>
      </c>
      <c r="S40" s="162" t="s">
        <v>322</v>
      </c>
      <c r="T40" s="162" t="s">
        <v>322</v>
      </c>
      <c r="U40" s="149">
        <v>0.06</v>
      </c>
      <c r="V40" s="149">
        <f>ROUND(E40*U40,2)</f>
        <v>22.68</v>
      </c>
      <c r="W40" s="149"/>
      <c r="X40" s="149" t="s">
        <v>110</v>
      </c>
      <c r="Y40" s="140"/>
      <c r="Z40" s="140"/>
      <c r="AA40" s="140"/>
      <c r="AB40" s="140"/>
      <c r="AC40" s="140"/>
      <c r="AD40" s="140"/>
      <c r="AE40" s="140"/>
      <c r="AF40" s="140"/>
      <c r="AG40" s="140" t="s">
        <v>111</v>
      </c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</row>
    <row r="41" spans="1:60" outlineLevel="1" x14ac:dyDescent="0.25">
      <c r="A41" s="147"/>
      <c r="B41" s="148"/>
      <c r="C41" s="290" t="s">
        <v>123</v>
      </c>
      <c r="D41" s="291"/>
      <c r="E41" s="291"/>
      <c r="F41" s="291"/>
      <c r="G41" s="291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0"/>
      <c r="Z41" s="140"/>
      <c r="AA41" s="140"/>
      <c r="AB41" s="140"/>
      <c r="AC41" s="140"/>
      <c r="AD41" s="140"/>
      <c r="AE41" s="140"/>
      <c r="AF41" s="140"/>
      <c r="AG41" s="140" t="s">
        <v>112</v>
      </c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</row>
    <row r="42" spans="1:60" outlineLevel="1" x14ac:dyDescent="0.25">
      <c r="A42" s="147"/>
      <c r="B42" s="148"/>
      <c r="C42" s="292"/>
      <c r="D42" s="293"/>
      <c r="E42" s="293"/>
      <c r="F42" s="293"/>
      <c r="G42" s="293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0"/>
      <c r="Z42" s="140"/>
      <c r="AA42" s="140"/>
      <c r="AB42" s="140"/>
      <c r="AC42" s="140"/>
      <c r="AD42" s="140"/>
      <c r="AE42" s="140"/>
      <c r="AF42" s="140"/>
      <c r="AG42" s="140" t="s">
        <v>93</v>
      </c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</row>
    <row r="43" spans="1:60" outlineLevel="1" x14ac:dyDescent="0.25">
      <c r="A43" s="157">
        <f>A40+1</f>
        <v>14</v>
      </c>
      <c r="B43" s="158" t="s">
        <v>192</v>
      </c>
      <c r="C43" s="168" t="s">
        <v>182</v>
      </c>
      <c r="D43" s="159" t="s">
        <v>98</v>
      </c>
      <c r="E43" s="160">
        <f>E40</f>
        <v>378</v>
      </c>
      <c r="F43" s="161"/>
      <c r="G43" s="162">
        <f>ROUND(E43*F43,2)</f>
        <v>0</v>
      </c>
      <c r="H43" s="161">
        <v>0</v>
      </c>
      <c r="I43" s="162">
        <f>ROUND(E43*H43,2)</f>
        <v>0</v>
      </c>
      <c r="J43" s="161">
        <v>17.399999999999999</v>
      </c>
      <c r="K43" s="162">
        <f>ROUND(E43*J43,2)</f>
        <v>6577.2</v>
      </c>
      <c r="L43" s="162">
        <v>21</v>
      </c>
      <c r="M43" s="162">
        <f>G43*(1+L43/100)</f>
        <v>0</v>
      </c>
      <c r="N43" s="162">
        <v>0</v>
      </c>
      <c r="O43" s="162">
        <f>ROUND(E43*N43,2)</f>
        <v>0</v>
      </c>
      <c r="P43" s="162">
        <v>0</v>
      </c>
      <c r="Q43" s="162">
        <f>ROUND(E43*P43,2)</f>
        <v>0</v>
      </c>
      <c r="R43" s="162" t="s">
        <v>181</v>
      </c>
      <c r="S43" s="162" t="s">
        <v>322</v>
      </c>
      <c r="T43" s="162" t="s">
        <v>322</v>
      </c>
      <c r="U43" s="149"/>
      <c r="V43" s="149"/>
      <c r="W43" s="149"/>
      <c r="X43" s="149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</row>
    <row r="44" spans="1:60" ht="13.2" customHeight="1" outlineLevel="1" x14ac:dyDescent="0.25">
      <c r="A44" s="147"/>
      <c r="B44" s="148"/>
      <c r="C44" s="290" t="s">
        <v>183</v>
      </c>
      <c r="D44" s="291"/>
      <c r="E44" s="291"/>
      <c r="F44" s="291"/>
      <c r="G44" s="291"/>
      <c r="H44" s="181"/>
      <c r="I44" s="149"/>
      <c r="J44" s="181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</row>
    <row r="45" spans="1:60" outlineLevel="1" x14ac:dyDescent="0.25">
      <c r="A45" s="147"/>
      <c r="B45" s="148"/>
      <c r="C45" s="169"/>
      <c r="D45" s="164"/>
      <c r="E45" s="164"/>
      <c r="F45" s="164"/>
      <c r="G45" s="164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</row>
    <row r="46" spans="1:60" outlineLevel="1" x14ac:dyDescent="0.25">
      <c r="A46" s="157">
        <f>A43+1</f>
        <v>15</v>
      </c>
      <c r="B46" s="158" t="s">
        <v>189</v>
      </c>
      <c r="C46" s="168" t="s">
        <v>190</v>
      </c>
      <c r="D46" s="159" t="s">
        <v>98</v>
      </c>
      <c r="E46" s="160">
        <v>1660</v>
      </c>
      <c r="F46" s="161"/>
      <c r="G46" s="162">
        <f>ROUND(E46*F46,2)</f>
        <v>0</v>
      </c>
      <c r="H46" s="161">
        <v>0</v>
      </c>
      <c r="I46" s="162">
        <f>ROUND(E46*H46,2)</f>
        <v>0</v>
      </c>
      <c r="J46" s="161">
        <v>13.3</v>
      </c>
      <c r="K46" s="162">
        <f>ROUND(E46*J46,2)</f>
        <v>22078</v>
      </c>
      <c r="L46" s="162">
        <v>21</v>
      </c>
      <c r="M46" s="162">
        <f>G46*(1+L46/100)</f>
        <v>0</v>
      </c>
      <c r="N46" s="162">
        <v>0</v>
      </c>
      <c r="O46" s="162">
        <f>ROUND(E46*N46,2)</f>
        <v>0</v>
      </c>
      <c r="P46" s="162">
        <v>0</v>
      </c>
      <c r="Q46" s="162">
        <f>ROUND(E46*P46,2)</f>
        <v>0</v>
      </c>
      <c r="R46" s="162" t="s">
        <v>115</v>
      </c>
      <c r="S46" s="162" t="s">
        <v>322</v>
      </c>
      <c r="T46" s="162" t="s">
        <v>322</v>
      </c>
      <c r="U46" s="149"/>
      <c r="V46" s="149"/>
      <c r="W46" s="149"/>
      <c r="X46" s="149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</row>
    <row r="47" spans="1:60" outlineLevel="1" x14ac:dyDescent="0.25">
      <c r="A47" s="147"/>
      <c r="B47" s="148"/>
      <c r="C47" s="169"/>
      <c r="D47" s="164"/>
      <c r="E47" s="164"/>
      <c r="F47" s="164"/>
      <c r="G47" s="164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</row>
    <row r="48" spans="1:60" outlineLevel="1" x14ac:dyDescent="0.25">
      <c r="A48" s="157">
        <f>A46+1</f>
        <v>16</v>
      </c>
      <c r="B48" s="158" t="s">
        <v>124</v>
      </c>
      <c r="C48" s="168" t="s">
        <v>125</v>
      </c>
      <c r="D48" s="159" t="s">
        <v>116</v>
      </c>
      <c r="E48" s="160">
        <f>E38</f>
        <v>355.80000000000007</v>
      </c>
      <c r="F48" s="161"/>
      <c r="G48" s="162">
        <f>ROUND(E48*F48,2)</f>
        <v>0</v>
      </c>
      <c r="H48" s="161">
        <v>0</v>
      </c>
      <c r="I48" s="162">
        <f>ROUND(E48*H48,2)</f>
        <v>0</v>
      </c>
      <c r="J48" s="161">
        <v>282.5</v>
      </c>
      <c r="K48" s="162">
        <f>ROUND(E48*J48,2)</f>
        <v>100513.5</v>
      </c>
      <c r="L48" s="162">
        <v>21</v>
      </c>
      <c r="M48" s="162">
        <f>G48*(1+L48/100)</f>
        <v>0</v>
      </c>
      <c r="N48" s="162">
        <v>0</v>
      </c>
      <c r="O48" s="162">
        <f>ROUND(E48*N48,2)</f>
        <v>0</v>
      </c>
      <c r="P48" s="162">
        <v>0</v>
      </c>
      <c r="Q48" s="162">
        <f>ROUND(E48*P48,2)</f>
        <v>0</v>
      </c>
      <c r="R48" s="162" t="s">
        <v>115</v>
      </c>
      <c r="S48" s="162" t="s">
        <v>322</v>
      </c>
      <c r="T48" s="162" t="s">
        <v>322</v>
      </c>
      <c r="U48" s="149">
        <v>0</v>
      </c>
      <c r="V48" s="149">
        <f>ROUND(E48*U48,2)</f>
        <v>0</v>
      </c>
      <c r="W48" s="149"/>
      <c r="X48" s="149" t="s">
        <v>110</v>
      </c>
      <c r="Y48" s="140"/>
      <c r="Z48" s="140"/>
      <c r="AA48" s="140"/>
      <c r="AB48" s="140"/>
      <c r="AC48" s="140"/>
      <c r="AD48" s="140"/>
      <c r="AE48" s="140"/>
      <c r="AF48" s="140"/>
      <c r="AG48" s="140" t="s">
        <v>111</v>
      </c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</row>
    <row r="49" spans="1:60" outlineLevel="1" x14ac:dyDescent="0.25">
      <c r="A49" s="147"/>
      <c r="B49" s="148"/>
      <c r="C49" s="295"/>
      <c r="D49" s="296"/>
      <c r="E49" s="296"/>
      <c r="F49" s="296"/>
      <c r="G49" s="296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0"/>
      <c r="Z49" s="140"/>
      <c r="AA49" s="140"/>
      <c r="AB49" s="140"/>
      <c r="AC49" s="140"/>
      <c r="AD49" s="140"/>
      <c r="AE49" s="140"/>
      <c r="AF49" s="140"/>
      <c r="AG49" s="140" t="s">
        <v>93</v>
      </c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</row>
    <row r="50" spans="1:60" x14ac:dyDescent="0.25">
      <c r="A50" s="151" t="s">
        <v>91</v>
      </c>
      <c r="B50" s="152" t="s">
        <v>54</v>
      </c>
      <c r="C50" s="167" t="s">
        <v>55</v>
      </c>
      <c r="D50" s="153"/>
      <c r="E50" s="154"/>
      <c r="F50" s="155"/>
      <c r="G50" s="155">
        <f>SUMIF(AG51:AG84,"&lt;&gt;NOR",G51:G84)</f>
        <v>0</v>
      </c>
      <c r="H50" s="155"/>
      <c r="I50" s="155">
        <f>SUM(I53:I69)</f>
        <v>703840.79999999993</v>
      </c>
      <c r="J50" s="155"/>
      <c r="K50" s="155">
        <f>SUM(K53:K69)</f>
        <v>374900.4</v>
      </c>
      <c r="L50" s="155"/>
      <c r="M50" s="155">
        <f>SUM(M51:M84)</f>
        <v>0</v>
      </c>
      <c r="N50" s="155"/>
      <c r="O50" s="155">
        <f>SUM(O53:O69)</f>
        <v>793.96</v>
      </c>
      <c r="P50" s="155"/>
      <c r="Q50" s="155">
        <f>SUM(Q53:Q69)</f>
        <v>0</v>
      </c>
      <c r="R50" s="155"/>
      <c r="S50" s="155"/>
      <c r="T50" s="156"/>
      <c r="U50" s="150"/>
      <c r="V50" s="150">
        <f>SUM(V53:V69)</f>
        <v>71.22</v>
      </c>
      <c r="W50" s="150"/>
      <c r="X50" s="150"/>
      <c r="Y50" s="84"/>
      <c r="AG50" t="s">
        <v>92</v>
      </c>
    </row>
    <row r="51" spans="1:60" ht="20.399999999999999" x14ac:dyDescent="0.25">
      <c r="A51" s="157">
        <f>A48+1</f>
        <v>17</v>
      </c>
      <c r="B51" s="158" t="s">
        <v>193</v>
      </c>
      <c r="C51" s="168" t="s">
        <v>239</v>
      </c>
      <c r="D51" s="159" t="s">
        <v>98</v>
      </c>
      <c r="E51" s="160">
        <f>1250+E63+E66+E80</f>
        <v>1628</v>
      </c>
      <c r="F51" s="161"/>
      <c r="G51" s="162">
        <f>ROUND(E51*F51,2)</f>
        <v>0</v>
      </c>
      <c r="H51" s="161">
        <v>164.95</v>
      </c>
      <c r="I51" s="162">
        <f>ROUND(E51*H51,2)</f>
        <v>268538.59999999998</v>
      </c>
      <c r="J51" s="161">
        <v>26.05</v>
      </c>
      <c r="K51" s="162">
        <f>ROUND(E51*J51,2)</f>
        <v>42409.4</v>
      </c>
      <c r="L51" s="162">
        <v>21</v>
      </c>
      <c r="M51" s="162">
        <f>G51*(1+L51/100)</f>
        <v>0</v>
      </c>
      <c r="N51" s="162">
        <v>0.378</v>
      </c>
      <c r="O51" s="162">
        <f>ROUND(E51*N51,2)</f>
        <v>615.38</v>
      </c>
      <c r="P51" s="162">
        <v>0</v>
      </c>
      <c r="Q51" s="162">
        <f>ROUND(E51*P51,2)</f>
        <v>0</v>
      </c>
      <c r="R51" s="162" t="s">
        <v>109</v>
      </c>
      <c r="S51" s="162" t="s">
        <v>322</v>
      </c>
      <c r="T51" s="162" t="s">
        <v>322</v>
      </c>
      <c r="U51" s="150"/>
      <c r="V51" s="150"/>
      <c r="W51" s="150"/>
      <c r="X51" s="150"/>
      <c r="Y51" s="84"/>
    </row>
    <row r="52" spans="1:60" x14ac:dyDescent="0.25">
      <c r="A52" s="147"/>
      <c r="B52" s="148"/>
      <c r="C52" s="295"/>
      <c r="D52" s="296"/>
      <c r="E52" s="296"/>
      <c r="F52" s="296"/>
      <c r="G52" s="296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50"/>
      <c r="V52" s="150"/>
      <c r="W52" s="150"/>
      <c r="X52" s="150"/>
      <c r="Y52" s="84"/>
    </row>
    <row r="53" spans="1:60" outlineLevel="1" x14ac:dyDescent="0.25">
      <c r="A53" s="157">
        <f>A51+1</f>
        <v>18</v>
      </c>
      <c r="B53" s="158" t="s">
        <v>236</v>
      </c>
      <c r="C53" s="168" t="s">
        <v>235</v>
      </c>
      <c r="D53" s="159" t="s">
        <v>98</v>
      </c>
      <c r="E53" s="160">
        <f>1250</f>
        <v>1250</v>
      </c>
      <c r="F53" s="161"/>
      <c r="G53" s="162">
        <f>ROUND(E53*F53,2)</f>
        <v>0</v>
      </c>
      <c r="H53" s="161">
        <v>164.95</v>
      </c>
      <c r="I53" s="162">
        <f>ROUND(E53*H53,2)</f>
        <v>206187.5</v>
      </c>
      <c r="J53" s="161">
        <v>26.05</v>
      </c>
      <c r="K53" s="162">
        <f>ROUND(E53*J53,2)</f>
        <v>32562.5</v>
      </c>
      <c r="L53" s="162">
        <v>21</v>
      </c>
      <c r="M53" s="162">
        <f>G53*(1+L53/100)</f>
        <v>0</v>
      </c>
      <c r="N53" s="162">
        <v>0.378</v>
      </c>
      <c r="O53" s="162">
        <f>ROUND(E53*N53,2)</f>
        <v>472.5</v>
      </c>
      <c r="P53" s="162">
        <v>0</v>
      </c>
      <c r="Q53" s="162">
        <f>ROUND(E53*P53,2)</f>
        <v>0</v>
      </c>
      <c r="R53" s="162" t="s">
        <v>109</v>
      </c>
      <c r="S53" s="162" t="s">
        <v>322</v>
      </c>
      <c r="T53" s="162" t="s">
        <v>322</v>
      </c>
      <c r="U53" s="149">
        <v>2.5999999999999999E-2</v>
      </c>
      <c r="V53" s="149">
        <f>ROUND(E53*U53,2)</f>
        <v>32.5</v>
      </c>
      <c r="W53" s="149"/>
      <c r="X53" s="149" t="s">
        <v>110</v>
      </c>
      <c r="Y53" s="140"/>
      <c r="Z53" s="140"/>
      <c r="AA53" s="140"/>
      <c r="AB53" s="140"/>
      <c r="AC53" s="140"/>
      <c r="AD53" s="140"/>
      <c r="AE53" s="140"/>
      <c r="AF53" s="140"/>
      <c r="AG53" s="140" t="s">
        <v>111</v>
      </c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</row>
    <row r="54" spans="1:60" outlineLevel="1" x14ac:dyDescent="0.25">
      <c r="A54" s="147"/>
      <c r="B54" s="148"/>
      <c r="C54" s="295"/>
      <c r="D54" s="296"/>
      <c r="E54" s="296"/>
      <c r="F54" s="296"/>
      <c r="G54" s="296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0"/>
      <c r="Z54" s="140"/>
      <c r="AA54" s="140"/>
      <c r="AB54" s="140"/>
      <c r="AC54" s="140"/>
      <c r="AD54" s="140"/>
      <c r="AE54" s="140"/>
      <c r="AF54" s="140"/>
      <c r="AG54" s="140" t="s">
        <v>93</v>
      </c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</row>
    <row r="55" spans="1:60" outlineLevel="1" x14ac:dyDescent="0.25">
      <c r="A55" s="157">
        <f>A53+1</f>
        <v>19</v>
      </c>
      <c r="B55" s="158" t="s">
        <v>237</v>
      </c>
      <c r="C55" s="168" t="s">
        <v>238</v>
      </c>
      <c r="D55" s="159" t="s">
        <v>98</v>
      </c>
      <c r="E55" s="160">
        <f>E80</f>
        <v>110</v>
      </c>
      <c r="F55" s="161"/>
      <c r="G55" s="162">
        <f>ROUND(E55*F55,2)</f>
        <v>0</v>
      </c>
      <c r="H55" s="161">
        <v>164.95</v>
      </c>
      <c r="I55" s="162">
        <f>ROUND(E55*H55,2)</f>
        <v>18144.5</v>
      </c>
      <c r="J55" s="161">
        <v>26.05</v>
      </c>
      <c r="K55" s="162">
        <f>ROUND(E55*J55,2)</f>
        <v>2865.5</v>
      </c>
      <c r="L55" s="162">
        <v>21</v>
      </c>
      <c r="M55" s="162">
        <f>G55*(1+L55/100)</f>
        <v>0</v>
      </c>
      <c r="N55" s="162">
        <v>0.378</v>
      </c>
      <c r="O55" s="162">
        <f>ROUND(E55*N55,2)</f>
        <v>41.58</v>
      </c>
      <c r="P55" s="162">
        <v>0</v>
      </c>
      <c r="Q55" s="162">
        <f>ROUND(E55*P55,2)</f>
        <v>0</v>
      </c>
      <c r="R55" s="162" t="s">
        <v>109</v>
      </c>
      <c r="S55" s="162" t="s">
        <v>322</v>
      </c>
      <c r="T55" s="162" t="s">
        <v>322</v>
      </c>
      <c r="U55" s="149"/>
      <c r="V55" s="149"/>
      <c r="W55" s="149"/>
      <c r="X55" s="149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</row>
    <row r="56" spans="1:60" outlineLevel="1" x14ac:dyDescent="0.25">
      <c r="A56" s="147"/>
      <c r="B56" s="148"/>
      <c r="C56" s="178"/>
      <c r="D56" s="179"/>
      <c r="E56" s="179"/>
      <c r="F56" s="179"/>
      <c r="G56" s="17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</row>
    <row r="57" spans="1:60" ht="20.399999999999999" outlineLevel="1" x14ac:dyDescent="0.25">
      <c r="A57" s="157">
        <f>A55+1</f>
        <v>20</v>
      </c>
      <c r="B57" s="158" t="s">
        <v>217</v>
      </c>
      <c r="C57" s="168" t="s">
        <v>218</v>
      </c>
      <c r="D57" s="159" t="s">
        <v>98</v>
      </c>
      <c r="E57" s="160">
        <f>E53-E77</f>
        <v>1064</v>
      </c>
      <c r="F57" s="161"/>
      <c r="G57" s="162">
        <f>ROUND(E57*F57,2)</f>
        <v>0</v>
      </c>
      <c r="H57" s="161">
        <v>13.66</v>
      </c>
      <c r="I57" s="162">
        <f>ROUND(E57*H57,2)</f>
        <v>14534.24</v>
      </c>
      <c r="J57" s="161">
        <v>1.1399999999999999</v>
      </c>
      <c r="K57" s="162">
        <f>ROUND(E57*J57,2)</f>
        <v>1212.96</v>
      </c>
      <c r="L57" s="162">
        <v>21</v>
      </c>
      <c r="M57" s="162">
        <f>G57*(1+L57/100)</f>
        <v>0</v>
      </c>
      <c r="N57" s="162">
        <v>6.0999999999999997E-4</v>
      </c>
      <c r="O57" s="162">
        <f>ROUND(E57*N57,2)</f>
        <v>0.65</v>
      </c>
      <c r="P57" s="162">
        <v>0</v>
      </c>
      <c r="Q57" s="162">
        <f>ROUND(E57*P57,2)</f>
        <v>0</v>
      </c>
      <c r="R57" s="162" t="s">
        <v>109</v>
      </c>
      <c r="S57" s="162" t="s">
        <v>322</v>
      </c>
      <c r="T57" s="162" t="s">
        <v>322</v>
      </c>
      <c r="U57" s="149"/>
      <c r="V57" s="149"/>
      <c r="W57" s="149"/>
      <c r="X57" s="149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</row>
    <row r="58" spans="1:60" outlineLevel="1" x14ac:dyDescent="0.25">
      <c r="A58" s="147"/>
      <c r="B58" s="148"/>
      <c r="C58" s="294"/>
      <c r="D58" s="294"/>
      <c r="E58" s="294"/>
      <c r="F58" s="294"/>
      <c r="G58" s="294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</row>
    <row r="59" spans="1:60" outlineLevel="1" x14ac:dyDescent="0.25">
      <c r="A59" s="157">
        <f>A57+1</f>
        <v>21</v>
      </c>
      <c r="B59" s="158" t="s">
        <v>457</v>
      </c>
      <c r="C59" s="168" t="s">
        <v>456</v>
      </c>
      <c r="D59" s="159" t="s">
        <v>98</v>
      </c>
      <c r="E59" s="160">
        <f>E57</f>
        <v>1064</v>
      </c>
      <c r="F59" s="161"/>
      <c r="G59" s="162">
        <f>ROUND(E59*F59,2)</f>
        <v>0</v>
      </c>
      <c r="H59" s="161">
        <v>212.06</v>
      </c>
      <c r="I59" s="162">
        <f>ROUND(E59*H59,2)</f>
        <v>225631.84</v>
      </c>
      <c r="J59" s="161">
        <v>128.94</v>
      </c>
      <c r="K59" s="162">
        <f>ROUND(E59*J59,2)</f>
        <v>137192.16</v>
      </c>
      <c r="L59" s="162">
        <v>21</v>
      </c>
      <c r="M59" s="162">
        <f>G59*(1+L59/100)</f>
        <v>0</v>
      </c>
      <c r="N59" s="162">
        <v>0.10373</v>
      </c>
      <c r="O59" s="162">
        <f>ROUND(E59*N59,2)</f>
        <v>110.37</v>
      </c>
      <c r="P59" s="162">
        <v>0</v>
      </c>
      <c r="Q59" s="162">
        <f>ROUND(E59*P59,2)</f>
        <v>0</v>
      </c>
      <c r="R59" s="162" t="s">
        <v>109</v>
      </c>
      <c r="S59" s="162" t="s">
        <v>322</v>
      </c>
      <c r="T59" s="162" t="s">
        <v>322</v>
      </c>
      <c r="U59" s="149"/>
      <c r="V59" s="149"/>
      <c r="W59" s="149"/>
      <c r="X59" s="149"/>
      <c r="Y59" s="140"/>
      <c r="Z59" s="140"/>
      <c r="AA59" s="140"/>
      <c r="AB59" s="140"/>
      <c r="AC59" s="140"/>
      <c r="AD59" s="140"/>
      <c r="AE59" s="140"/>
      <c r="AF59" s="140"/>
      <c r="AG59" s="140" t="s">
        <v>93</v>
      </c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</row>
    <row r="60" spans="1:60" ht="12.75" customHeight="1" outlineLevel="1" x14ac:dyDescent="0.25">
      <c r="A60" s="147"/>
      <c r="B60" s="148"/>
      <c r="C60" s="294"/>
      <c r="D60" s="294"/>
      <c r="E60" s="294"/>
      <c r="F60" s="294"/>
      <c r="G60" s="294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</row>
    <row r="61" spans="1:60" ht="22.95" customHeight="1" outlineLevel="1" x14ac:dyDescent="0.25">
      <c r="A61" s="157">
        <f>A59+1</f>
        <v>22</v>
      </c>
      <c r="B61" s="158" t="s">
        <v>240</v>
      </c>
      <c r="C61" s="168" t="s">
        <v>319</v>
      </c>
      <c r="D61" s="159" t="s">
        <v>98</v>
      </c>
      <c r="E61" s="160">
        <f>E59</f>
        <v>1064</v>
      </c>
      <c r="F61" s="161"/>
      <c r="G61" s="162">
        <f>ROUND(E61*F61,2)</f>
        <v>0</v>
      </c>
      <c r="H61" s="161">
        <v>212.06</v>
      </c>
      <c r="I61" s="162">
        <f>ROUND(E61*H61,2)</f>
        <v>225631.84</v>
      </c>
      <c r="J61" s="161">
        <v>128.94</v>
      </c>
      <c r="K61" s="162">
        <f>ROUND(E61*J61,2)</f>
        <v>137192.16</v>
      </c>
      <c r="L61" s="162">
        <v>21</v>
      </c>
      <c r="M61" s="162">
        <f>G61*(1+L61/100)</f>
        <v>0</v>
      </c>
      <c r="N61" s="162">
        <v>0.10373</v>
      </c>
      <c r="O61" s="162">
        <f>ROUND(E61*N61,2)</f>
        <v>110.37</v>
      </c>
      <c r="P61" s="162">
        <v>0</v>
      </c>
      <c r="Q61" s="162">
        <f>ROUND(E61*P61,2)</f>
        <v>0</v>
      </c>
      <c r="R61" s="162" t="s">
        <v>109</v>
      </c>
      <c r="S61" s="162" t="s">
        <v>322</v>
      </c>
      <c r="T61" s="162" t="s">
        <v>322</v>
      </c>
      <c r="U61" s="149"/>
      <c r="V61" s="149"/>
      <c r="W61" s="149"/>
      <c r="X61" s="149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</row>
    <row r="62" spans="1:60" ht="12.75" customHeight="1" outlineLevel="1" x14ac:dyDescent="0.25">
      <c r="A62" s="147"/>
      <c r="B62" s="148"/>
      <c r="C62" s="178"/>
      <c r="D62" s="179"/>
      <c r="E62" s="179"/>
      <c r="F62" s="179"/>
      <c r="G62" s="17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</row>
    <row r="63" spans="1:60" ht="12.75" customHeight="1" outlineLevel="1" x14ac:dyDescent="0.25">
      <c r="A63" s="157">
        <f>A61+1</f>
        <v>23</v>
      </c>
      <c r="B63" s="158" t="s">
        <v>168</v>
      </c>
      <c r="C63" s="168" t="s">
        <v>162</v>
      </c>
      <c r="D63" s="159" t="s">
        <v>98</v>
      </c>
      <c r="E63" s="160">
        <v>187</v>
      </c>
      <c r="F63" s="161"/>
      <c r="G63" s="162">
        <f>ROUND(E63*F63,2)</f>
        <v>0</v>
      </c>
      <c r="H63" s="161">
        <v>51.16</v>
      </c>
      <c r="I63" s="162">
        <f>ROUND(E63*H63,2)</f>
        <v>9566.92</v>
      </c>
      <c r="J63" s="161">
        <v>238.34</v>
      </c>
      <c r="K63" s="162">
        <f>ROUND(E63*J63,2)</f>
        <v>44569.58</v>
      </c>
      <c r="L63" s="162">
        <v>21</v>
      </c>
      <c r="M63" s="162">
        <f>G63*(1+L63/100)</f>
        <v>0</v>
      </c>
      <c r="N63" s="162">
        <v>9.2799999999999994E-2</v>
      </c>
      <c r="O63" s="162">
        <f>ROUND(E63*N63,2)</f>
        <v>17.350000000000001</v>
      </c>
      <c r="P63" s="162">
        <v>0</v>
      </c>
      <c r="Q63" s="162">
        <f>ROUND(E63*P63,2)</f>
        <v>0</v>
      </c>
      <c r="R63" s="162" t="s">
        <v>109</v>
      </c>
      <c r="S63" s="162" t="s">
        <v>322</v>
      </c>
      <c r="T63" s="162" t="s">
        <v>322</v>
      </c>
      <c r="U63" s="149"/>
      <c r="V63" s="149"/>
      <c r="W63" s="149"/>
      <c r="X63" s="149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</row>
    <row r="64" spans="1:60" ht="12.75" customHeight="1" outlineLevel="1" x14ac:dyDescent="0.25">
      <c r="A64" s="147"/>
      <c r="B64" s="148"/>
      <c r="C64" s="290" t="s">
        <v>128</v>
      </c>
      <c r="D64" s="291"/>
      <c r="E64" s="291"/>
      <c r="F64" s="291"/>
      <c r="G64" s="291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</row>
    <row r="65" spans="1:60" ht="12.75" customHeight="1" outlineLevel="1" x14ac:dyDescent="0.25">
      <c r="A65" s="147"/>
      <c r="B65" s="148"/>
      <c r="C65" s="169"/>
      <c r="D65" s="164"/>
      <c r="E65" s="164"/>
      <c r="F65" s="164"/>
      <c r="G65" s="164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</row>
    <row r="66" spans="1:60" outlineLevel="1" x14ac:dyDescent="0.25">
      <c r="A66" s="157">
        <f>A63+1</f>
        <v>24</v>
      </c>
      <c r="B66" s="158" t="s">
        <v>245</v>
      </c>
      <c r="C66" s="168" t="s">
        <v>163</v>
      </c>
      <c r="D66" s="159" t="s">
        <v>98</v>
      </c>
      <c r="E66" s="160">
        <f>56+25</f>
        <v>81</v>
      </c>
      <c r="F66" s="161"/>
      <c r="G66" s="162">
        <f>ROUND(E66*F66,2)</f>
        <v>0</v>
      </c>
      <c r="H66" s="161">
        <v>51.16</v>
      </c>
      <c r="I66" s="162">
        <f>ROUND(E66*H66,2)</f>
        <v>4143.96</v>
      </c>
      <c r="J66" s="161">
        <v>238.34</v>
      </c>
      <c r="K66" s="162">
        <f>ROUND(E66*J66,2)</f>
        <v>19305.54</v>
      </c>
      <c r="L66" s="162">
        <v>21</v>
      </c>
      <c r="M66" s="162">
        <f>G66*(1+L66/100)</f>
        <v>0</v>
      </c>
      <c r="N66" s="162">
        <v>9.2799999999999994E-2</v>
      </c>
      <c r="O66" s="162">
        <f>ROUND(E66*N66,2)</f>
        <v>7.52</v>
      </c>
      <c r="P66" s="162">
        <v>0</v>
      </c>
      <c r="Q66" s="162">
        <f>ROUND(E66*P66,2)</f>
        <v>0</v>
      </c>
      <c r="R66" s="162" t="s">
        <v>109</v>
      </c>
      <c r="S66" s="162" t="s">
        <v>322</v>
      </c>
      <c r="T66" s="162" t="s">
        <v>322</v>
      </c>
      <c r="U66" s="149">
        <v>0.47799999999999998</v>
      </c>
      <c r="V66" s="149">
        <f>ROUND(E66*U66,2)</f>
        <v>38.72</v>
      </c>
      <c r="W66" s="149"/>
      <c r="X66" s="149" t="s">
        <v>110</v>
      </c>
      <c r="Y66" s="140"/>
      <c r="Z66" s="140"/>
      <c r="AA66" s="140"/>
      <c r="AB66" s="140"/>
      <c r="AC66" s="140"/>
      <c r="AD66" s="140"/>
      <c r="AE66" s="140"/>
      <c r="AF66" s="140"/>
      <c r="AG66" s="140" t="s">
        <v>111</v>
      </c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</row>
    <row r="67" spans="1:60" ht="21" outlineLevel="1" x14ac:dyDescent="0.25">
      <c r="A67" s="147"/>
      <c r="B67" s="148"/>
      <c r="C67" s="290" t="s">
        <v>128</v>
      </c>
      <c r="D67" s="291"/>
      <c r="E67" s="291"/>
      <c r="F67" s="291"/>
      <c r="G67" s="291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0"/>
      <c r="Z67" s="140"/>
      <c r="AA67" s="140"/>
      <c r="AB67" s="140"/>
      <c r="AC67" s="140"/>
      <c r="AD67" s="140"/>
      <c r="AE67" s="140"/>
      <c r="AF67" s="140"/>
      <c r="AG67" s="140" t="s">
        <v>112</v>
      </c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65" t="str">
        <f>C67</f>
        <v>s provedením lože z kameniva drceného, s vyplněním spár, s dvojitým hutněním a se smetením přebytečného materiálu na krajnici. S dodáním hmot pro lože a výplň spár.</v>
      </c>
      <c r="BB67" s="140"/>
      <c r="BC67" s="140"/>
      <c r="BD67" s="140"/>
      <c r="BE67" s="140"/>
      <c r="BF67" s="140"/>
      <c r="BG67" s="140"/>
      <c r="BH67" s="140"/>
    </row>
    <row r="68" spans="1:60" outlineLevel="1" x14ac:dyDescent="0.25">
      <c r="A68" s="147"/>
      <c r="B68" s="148"/>
      <c r="C68" s="292"/>
      <c r="D68" s="293"/>
      <c r="E68" s="293"/>
      <c r="F68" s="293"/>
      <c r="G68" s="293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0"/>
      <c r="Z68" s="140"/>
      <c r="AA68" s="140"/>
      <c r="AB68" s="140"/>
      <c r="AC68" s="140"/>
      <c r="AD68" s="140"/>
      <c r="AE68" s="140"/>
      <c r="AF68" s="140"/>
      <c r="AG68" s="140" t="s">
        <v>93</v>
      </c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</row>
    <row r="69" spans="1:60" outlineLevel="1" x14ac:dyDescent="0.25">
      <c r="A69" s="157">
        <f>A66+1</f>
        <v>25</v>
      </c>
      <c r="B69" s="158" t="s">
        <v>195</v>
      </c>
      <c r="C69" s="168" t="s">
        <v>194</v>
      </c>
      <c r="D69" s="159" t="s">
        <v>98</v>
      </c>
      <c r="E69" s="160">
        <f>199*0.96</f>
        <v>191.04</v>
      </c>
      <c r="F69" s="161"/>
      <c r="G69" s="162">
        <f>ROUND(E69*F69,2)</f>
        <v>0</v>
      </c>
      <c r="H69" s="149"/>
      <c r="I69" s="149"/>
      <c r="J69" s="149"/>
      <c r="K69" s="149"/>
      <c r="L69" s="162">
        <v>21</v>
      </c>
      <c r="M69" s="162">
        <f>G69*(1+L69/100)</f>
        <v>0</v>
      </c>
      <c r="N69" s="162">
        <v>0.17599999999999999</v>
      </c>
      <c r="O69" s="162">
        <f>ROUND(E69*N69,2)</f>
        <v>33.619999999999997</v>
      </c>
      <c r="P69" s="162">
        <v>0</v>
      </c>
      <c r="Q69" s="162">
        <f>ROUND(E69*P69,2)</f>
        <v>0</v>
      </c>
      <c r="R69" s="162" t="s">
        <v>94</v>
      </c>
      <c r="S69" s="162" t="s">
        <v>322</v>
      </c>
      <c r="T69" s="162" t="s">
        <v>101</v>
      </c>
      <c r="U69" s="149"/>
      <c r="V69" s="149"/>
      <c r="W69" s="149"/>
      <c r="X69" s="149"/>
      <c r="Y69" s="140"/>
      <c r="Z69" s="140"/>
      <c r="AA69" s="140"/>
      <c r="AB69" s="140"/>
      <c r="AC69" s="140"/>
      <c r="AD69" s="140"/>
      <c r="AE69" s="140"/>
      <c r="AF69" s="140"/>
      <c r="AG69" s="140" t="s">
        <v>93</v>
      </c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</row>
    <row r="70" spans="1:60" outlineLevel="1" x14ac:dyDescent="0.25">
      <c r="A70" s="147"/>
      <c r="B70" s="148"/>
      <c r="C70" s="295"/>
      <c r="D70" s="296"/>
      <c r="E70" s="296"/>
      <c r="F70" s="296"/>
      <c r="G70" s="296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</row>
    <row r="71" spans="1:60" outlineLevel="1" x14ac:dyDescent="0.25">
      <c r="A71" s="157">
        <f>A69+1</f>
        <v>26</v>
      </c>
      <c r="B71" s="158" t="s">
        <v>320</v>
      </c>
      <c r="C71" s="168" t="s">
        <v>329</v>
      </c>
      <c r="D71" s="159" t="s">
        <v>98</v>
      </c>
      <c r="E71" s="160">
        <f>15*0.96</f>
        <v>14.399999999999999</v>
      </c>
      <c r="F71" s="161"/>
      <c r="G71" s="162">
        <f>ROUND(E71*F71,2)</f>
        <v>0</v>
      </c>
      <c r="H71" s="149"/>
      <c r="I71" s="149"/>
      <c r="J71" s="149"/>
      <c r="K71" s="149"/>
      <c r="L71" s="162">
        <v>21</v>
      </c>
      <c r="M71" s="162">
        <f>G71*(1+L71/100)</f>
        <v>0</v>
      </c>
      <c r="N71" s="162">
        <v>0.17599999999999999</v>
      </c>
      <c r="O71" s="162">
        <f>ROUND(E71*N71,2)</f>
        <v>2.5299999999999998</v>
      </c>
      <c r="P71" s="162">
        <v>0</v>
      </c>
      <c r="Q71" s="162">
        <f>ROUND(E71*P71,2)</f>
        <v>0</v>
      </c>
      <c r="R71" s="162" t="s">
        <v>94</v>
      </c>
      <c r="S71" s="162" t="s">
        <v>322</v>
      </c>
      <c r="T71" s="162" t="s">
        <v>101</v>
      </c>
      <c r="U71" s="149"/>
      <c r="V71" s="149"/>
      <c r="W71" s="149"/>
      <c r="X71" s="149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</row>
    <row r="72" spans="1:60" outlineLevel="1" x14ac:dyDescent="0.25">
      <c r="A72" s="147"/>
      <c r="B72" s="148"/>
      <c r="C72" s="178"/>
      <c r="D72" s="179"/>
      <c r="E72" s="179"/>
      <c r="F72" s="179"/>
      <c r="G72" s="17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</row>
    <row r="73" spans="1:60" outlineLevel="1" x14ac:dyDescent="0.25">
      <c r="A73" s="157">
        <f>A71+1</f>
        <v>27</v>
      </c>
      <c r="B73" s="158" t="s">
        <v>321</v>
      </c>
      <c r="C73" s="168" t="s">
        <v>330</v>
      </c>
      <c r="D73" s="159" t="s">
        <v>98</v>
      </c>
      <c r="E73" s="160">
        <v>82.62</v>
      </c>
      <c r="F73" s="161"/>
      <c r="G73" s="162">
        <f>ROUND(E73*F73,2)</f>
        <v>0</v>
      </c>
      <c r="H73" s="149"/>
      <c r="I73" s="149"/>
      <c r="J73" s="149"/>
      <c r="K73" s="149"/>
      <c r="L73" s="162">
        <v>21</v>
      </c>
      <c r="M73" s="162">
        <f>G73*(1+L73/100)</f>
        <v>0</v>
      </c>
      <c r="N73" s="162">
        <v>0.17599999999999999</v>
      </c>
      <c r="O73" s="162">
        <f>ROUND(E73*N73,2)</f>
        <v>14.54</v>
      </c>
      <c r="P73" s="162">
        <v>0</v>
      </c>
      <c r="Q73" s="162">
        <f>ROUND(E73*P73,2)</f>
        <v>0</v>
      </c>
      <c r="R73" s="162" t="s">
        <v>94</v>
      </c>
      <c r="S73" s="162" t="s">
        <v>322</v>
      </c>
      <c r="T73" s="162" t="s">
        <v>101</v>
      </c>
      <c r="U73" s="149"/>
      <c r="V73" s="149"/>
      <c r="W73" s="149"/>
      <c r="X73" s="149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</row>
    <row r="74" spans="1:60" outlineLevel="1" x14ac:dyDescent="0.25">
      <c r="A74" s="147"/>
      <c r="B74" s="148"/>
      <c r="C74" s="178"/>
      <c r="D74" s="179"/>
      <c r="E74" s="179"/>
      <c r="F74" s="179"/>
      <c r="G74" s="17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62"/>
      <c r="T74" s="162"/>
      <c r="U74" s="149"/>
      <c r="V74" s="149"/>
      <c r="W74" s="149"/>
      <c r="X74" s="149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</row>
    <row r="75" spans="1:60" outlineLevel="1" x14ac:dyDescent="0.25">
      <c r="A75" s="157">
        <f>A73+1</f>
        <v>28</v>
      </c>
      <c r="B75" s="158" t="s">
        <v>331</v>
      </c>
      <c r="C75" s="168" t="s">
        <v>332</v>
      </c>
      <c r="D75" s="159" t="s">
        <v>98</v>
      </c>
      <c r="E75" s="160">
        <v>16.32</v>
      </c>
      <c r="F75" s="161"/>
      <c r="G75" s="162">
        <f>ROUND(E75*F75,2)</f>
        <v>0</v>
      </c>
      <c r="H75" s="149"/>
      <c r="I75" s="149"/>
      <c r="J75" s="149"/>
      <c r="K75" s="149"/>
      <c r="L75" s="162">
        <v>21</v>
      </c>
      <c r="M75" s="162">
        <f>G75*(1+L75/100)</f>
        <v>0</v>
      </c>
      <c r="N75" s="162">
        <v>0.188</v>
      </c>
      <c r="O75" s="162">
        <f>ROUND(E75*N75,2)</f>
        <v>3.07</v>
      </c>
      <c r="P75" s="162">
        <v>0</v>
      </c>
      <c r="Q75" s="162">
        <f>ROUND(E75*P75,2)</f>
        <v>0</v>
      </c>
      <c r="R75" s="162" t="s">
        <v>94</v>
      </c>
      <c r="S75" s="162" t="s">
        <v>322</v>
      </c>
      <c r="T75" s="162" t="s">
        <v>101</v>
      </c>
      <c r="U75" s="149"/>
      <c r="V75" s="149"/>
      <c r="W75" s="149"/>
      <c r="X75" s="149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</row>
    <row r="76" spans="1:60" outlineLevel="1" x14ac:dyDescent="0.25">
      <c r="A76" s="147"/>
      <c r="B76" s="148"/>
      <c r="C76" s="169"/>
      <c r="D76" s="164"/>
      <c r="E76" s="164"/>
      <c r="F76" s="164"/>
      <c r="G76" s="164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</row>
    <row r="77" spans="1:60" outlineLevel="1" x14ac:dyDescent="0.25">
      <c r="A77" s="157">
        <f>A75+1</f>
        <v>29</v>
      </c>
      <c r="B77" s="158" t="s">
        <v>244</v>
      </c>
      <c r="C77" s="168" t="s">
        <v>243</v>
      </c>
      <c r="D77" s="159" t="s">
        <v>98</v>
      </c>
      <c r="E77" s="160">
        <v>186</v>
      </c>
      <c r="F77" s="161"/>
      <c r="G77" s="162">
        <f>ROUND(E77*F77,2)</f>
        <v>0</v>
      </c>
      <c r="H77" s="161">
        <v>51.16</v>
      </c>
      <c r="I77" s="162">
        <f>ROUND(E77*H77,2)</f>
        <v>9515.76</v>
      </c>
      <c r="J77" s="161">
        <v>238.34</v>
      </c>
      <c r="K77" s="162">
        <f>ROUND(E77*J77,2)</f>
        <v>44331.24</v>
      </c>
      <c r="L77" s="162">
        <v>21</v>
      </c>
      <c r="M77" s="162">
        <f>G77*(1+L77/100)</f>
        <v>0</v>
      </c>
      <c r="N77" s="162">
        <v>9.2799999999999994E-2</v>
      </c>
      <c r="O77" s="162">
        <f>ROUND(E77*N77,2)</f>
        <v>17.260000000000002</v>
      </c>
      <c r="P77" s="162">
        <v>0</v>
      </c>
      <c r="Q77" s="162">
        <f>ROUND(E77*P77,2)</f>
        <v>0</v>
      </c>
      <c r="R77" s="162" t="s">
        <v>109</v>
      </c>
      <c r="S77" s="162" t="s">
        <v>322</v>
      </c>
      <c r="T77" s="162" t="s">
        <v>101</v>
      </c>
      <c r="U77" s="149"/>
      <c r="V77" s="149"/>
      <c r="W77" s="149"/>
      <c r="X77" s="149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</row>
    <row r="78" spans="1:60" ht="25.5" customHeight="1" outlineLevel="1" x14ac:dyDescent="0.25">
      <c r="A78" s="147"/>
      <c r="B78" s="148"/>
      <c r="C78" s="290" t="s">
        <v>458</v>
      </c>
      <c r="D78" s="291"/>
      <c r="E78" s="291"/>
      <c r="F78" s="291"/>
      <c r="G78" s="291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</row>
    <row r="79" spans="1:60" outlineLevel="1" x14ac:dyDescent="0.25">
      <c r="A79" s="147"/>
      <c r="B79" s="148"/>
      <c r="C79" s="169"/>
      <c r="D79" s="164"/>
      <c r="E79" s="164"/>
      <c r="F79" s="164"/>
      <c r="G79" s="164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</row>
    <row r="80" spans="1:60" ht="12.75" customHeight="1" outlineLevel="1" x14ac:dyDescent="0.25">
      <c r="A80" s="157">
        <f>A77+1</f>
        <v>30</v>
      </c>
      <c r="B80" s="158" t="s">
        <v>127</v>
      </c>
      <c r="C80" s="168" t="s">
        <v>246</v>
      </c>
      <c r="D80" s="159" t="s">
        <v>98</v>
      </c>
      <c r="E80" s="160">
        <v>110</v>
      </c>
      <c r="F80" s="161"/>
      <c r="G80" s="162">
        <f>ROUND(E80*F80,2)</f>
        <v>0</v>
      </c>
      <c r="H80" s="161">
        <v>51.16</v>
      </c>
      <c r="I80" s="162">
        <f>ROUND(E80*H80,2)</f>
        <v>5627.6</v>
      </c>
      <c r="J80" s="161">
        <v>238.34</v>
      </c>
      <c r="K80" s="162">
        <f>ROUND(E80*J80,2)</f>
        <v>26217.4</v>
      </c>
      <c r="L80" s="162">
        <v>21</v>
      </c>
      <c r="M80" s="162">
        <f>G80*(1+L80/100)</f>
        <v>0</v>
      </c>
      <c r="N80" s="162">
        <v>9.2799999999999994E-2</v>
      </c>
      <c r="O80" s="162">
        <f>ROUND(E80*N80,2)</f>
        <v>10.210000000000001</v>
      </c>
      <c r="P80" s="162">
        <v>0</v>
      </c>
      <c r="Q80" s="162">
        <f>ROUND(E80*P80,2)</f>
        <v>0</v>
      </c>
      <c r="R80" s="162" t="s">
        <v>109</v>
      </c>
      <c r="S80" s="162" t="s">
        <v>322</v>
      </c>
      <c r="T80" s="162" t="s">
        <v>322</v>
      </c>
      <c r="U80" s="149"/>
      <c r="V80" s="149"/>
      <c r="W80" s="149"/>
      <c r="X80" s="149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</row>
    <row r="81" spans="1:60" outlineLevel="1" x14ac:dyDescent="0.25">
      <c r="A81" s="147"/>
      <c r="B81" s="148"/>
      <c r="C81" s="290" t="s">
        <v>128</v>
      </c>
      <c r="D81" s="291"/>
      <c r="E81" s="291"/>
      <c r="F81" s="291"/>
      <c r="G81" s="291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</row>
    <row r="82" spans="1:60" outlineLevel="1" x14ac:dyDescent="0.25">
      <c r="A82" s="147"/>
      <c r="B82" s="148"/>
      <c r="C82" s="292"/>
      <c r="D82" s="293"/>
      <c r="E82" s="293"/>
      <c r="F82" s="293"/>
      <c r="G82" s="293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</row>
    <row r="83" spans="1:60" outlineLevel="1" x14ac:dyDescent="0.25">
      <c r="A83" s="157">
        <f>A80+1</f>
        <v>31</v>
      </c>
      <c r="B83" s="158" t="s">
        <v>248</v>
      </c>
      <c r="C83" s="168" t="s">
        <v>247</v>
      </c>
      <c r="D83" s="159" t="s">
        <v>98</v>
      </c>
      <c r="E83" s="160">
        <f>122*0.96</f>
        <v>117.11999999999999</v>
      </c>
      <c r="F83" s="161"/>
      <c r="G83" s="162">
        <f>ROUND(E83*F83,2)</f>
        <v>0</v>
      </c>
      <c r="H83" s="149"/>
      <c r="I83" s="149"/>
      <c r="J83" s="149"/>
      <c r="K83" s="149"/>
      <c r="L83" s="162">
        <v>21</v>
      </c>
      <c r="M83" s="162">
        <f>G83*(1+L83/100)</f>
        <v>0</v>
      </c>
      <c r="N83" s="162">
        <v>0.17599999999999999</v>
      </c>
      <c r="O83" s="162">
        <f>ROUND(E83*N83,2)</f>
        <v>20.61</v>
      </c>
      <c r="P83" s="162">
        <v>0</v>
      </c>
      <c r="Q83" s="162">
        <f>ROUND(E83*P83,2)</f>
        <v>0</v>
      </c>
      <c r="R83" s="162" t="s">
        <v>94</v>
      </c>
      <c r="S83" s="162" t="s">
        <v>322</v>
      </c>
      <c r="T83" s="162" t="s">
        <v>101</v>
      </c>
      <c r="U83" s="149"/>
      <c r="V83" s="149"/>
      <c r="W83" s="149"/>
      <c r="X83" s="149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</row>
    <row r="84" spans="1:60" outlineLevel="1" x14ac:dyDescent="0.25">
      <c r="A84" s="147"/>
      <c r="B84" s="148"/>
      <c r="C84" s="169"/>
      <c r="D84" s="164"/>
      <c r="E84" s="164"/>
      <c r="F84" s="164"/>
      <c r="G84" s="164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</row>
    <row r="85" spans="1:60" outlineLevel="1" x14ac:dyDescent="0.25">
      <c r="A85" s="151" t="s">
        <v>91</v>
      </c>
      <c r="B85" s="152" t="s">
        <v>291</v>
      </c>
      <c r="C85" s="167" t="s">
        <v>292</v>
      </c>
      <c r="D85" s="153"/>
      <c r="E85" s="154"/>
      <c r="F85" s="155"/>
      <c r="G85" s="155">
        <f>G86+G89</f>
        <v>0</v>
      </c>
      <c r="H85" s="155"/>
      <c r="I85" s="155">
        <f>SUM(I97:I98)</f>
        <v>0</v>
      </c>
      <c r="J85" s="155"/>
      <c r="K85" s="155">
        <f>SUM(K97:K98)</f>
        <v>0</v>
      </c>
      <c r="L85" s="155"/>
      <c r="M85" s="155">
        <f>M86+M89</f>
        <v>0</v>
      </c>
      <c r="N85" s="155"/>
      <c r="O85" s="155">
        <f>SUM(O97:O98)</f>
        <v>0</v>
      </c>
      <c r="P85" s="155"/>
      <c r="Q85" s="155">
        <f>SUM(Q97:Q98)</f>
        <v>0</v>
      </c>
      <c r="R85" s="155"/>
      <c r="S85" s="155"/>
      <c r="T85" s="156"/>
      <c r="U85" s="149"/>
      <c r="V85" s="149"/>
      <c r="W85" s="149"/>
      <c r="X85" s="149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</row>
    <row r="86" spans="1:60" outlineLevel="1" x14ac:dyDescent="0.25">
      <c r="A86" s="157">
        <f>A83+1</f>
        <v>32</v>
      </c>
      <c r="B86" s="158" t="s">
        <v>293</v>
      </c>
      <c r="C86" s="209" t="s">
        <v>294</v>
      </c>
      <c r="D86" s="210" t="s">
        <v>95</v>
      </c>
      <c r="E86" s="211">
        <v>3</v>
      </c>
      <c r="F86" s="212"/>
      <c r="G86" s="213">
        <f>ROUND(E86*F86,2)</f>
        <v>0</v>
      </c>
      <c r="H86" s="161">
        <v>212.06</v>
      </c>
      <c r="I86" s="162">
        <f>ROUND(E86*H86,2)</f>
        <v>636.17999999999995</v>
      </c>
      <c r="J86" s="161">
        <v>128.94</v>
      </c>
      <c r="K86" s="162">
        <f>ROUND(E86*J86,2)</f>
        <v>386.82</v>
      </c>
      <c r="L86" s="162">
        <v>21</v>
      </c>
      <c r="M86" s="162">
        <f>G86*(1+L86/100)</f>
        <v>0</v>
      </c>
      <c r="N86" s="162">
        <v>0.10373</v>
      </c>
      <c r="O86" s="162">
        <f>ROUND(E86*N86,2)</f>
        <v>0.31</v>
      </c>
      <c r="P86" s="162">
        <v>0</v>
      </c>
      <c r="Q86" s="162">
        <f>ROUND(E86*P86,2)</f>
        <v>0</v>
      </c>
      <c r="R86" s="162" t="s">
        <v>109</v>
      </c>
      <c r="S86" s="162" t="s">
        <v>322</v>
      </c>
      <c r="T86" s="163" t="s">
        <v>101</v>
      </c>
      <c r="U86" s="149"/>
      <c r="V86" s="149"/>
      <c r="W86" s="149"/>
      <c r="X86" s="149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</row>
    <row r="87" spans="1:60" ht="20.399999999999999" outlineLevel="1" x14ac:dyDescent="0.25">
      <c r="A87" s="147"/>
      <c r="B87" s="148"/>
      <c r="C87" s="182" t="s">
        <v>295</v>
      </c>
      <c r="D87" s="183"/>
      <c r="E87" s="184"/>
      <c r="F87" s="192"/>
      <c r="G87" s="185"/>
      <c r="H87" s="181"/>
      <c r="I87" s="149"/>
      <c r="J87" s="181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</row>
    <row r="88" spans="1:60" outlineLevel="1" x14ac:dyDescent="0.25">
      <c r="A88" s="147"/>
      <c r="B88" s="148"/>
      <c r="C88" s="292"/>
      <c r="D88" s="293"/>
      <c r="E88" s="293"/>
      <c r="F88" s="293"/>
      <c r="G88" s="293"/>
      <c r="H88" s="181"/>
      <c r="I88" s="149"/>
      <c r="J88" s="181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</row>
    <row r="89" spans="1:60" ht="20.399999999999999" outlineLevel="1" x14ac:dyDescent="0.25">
      <c r="A89" s="157">
        <f>A86+1</f>
        <v>33</v>
      </c>
      <c r="B89" s="158" t="s">
        <v>293</v>
      </c>
      <c r="C89" s="209" t="s">
        <v>459</v>
      </c>
      <c r="D89" s="210" t="s">
        <v>114</v>
      </c>
      <c r="E89" s="211">
        <v>5.5</v>
      </c>
      <c r="F89" s="212"/>
      <c r="G89" s="213">
        <f>ROUND(E89*F89,2)</f>
        <v>0</v>
      </c>
      <c r="H89" s="161">
        <v>212.06</v>
      </c>
      <c r="I89" s="162">
        <f>ROUND(E89*H89,2)</f>
        <v>1166.33</v>
      </c>
      <c r="J89" s="161">
        <v>128.94</v>
      </c>
      <c r="K89" s="162">
        <f>ROUND(E89*J89,2)</f>
        <v>709.17</v>
      </c>
      <c r="L89" s="162">
        <v>21</v>
      </c>
      <c r="M89" s="162">
        <f>G89*(1+L89/100)</f>
        <v>0</v>
      </c>
      <c r="N89" s="162">
        <v>0.10373</v>
      </c>
      <c r="O89" s="162">
        <f>ROUND(E89*N89,2)</f>
        <v>0.56999999999999995</v>
      </c>
      <c r="P89" s="162">
        <v>0</v>
      </c>
      <c r="Q89" s="162">
        <f>ROUND(E89*P89,2)</f>
        <v>0</v>
      </c>
      <c r="R89" s="162" t="s">
        <v>109</v>
      </c>
      <c r="S89" s="162" t="s">
        <v>322</v>
      </c>
      <c r="T89" s="163" t="s">
        <v>101</v>
      </c>
      <c r="U89" s="149"/>
      <c r="V89" s="149"/>
      <c r="W89" s="149"/>
      <c r="X89" s="149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</row>
    <row r="90" spans="1:60" ht="20.399999999999999" outlineLevel="1" x14ac:dyDescent="0.25">
      <c r="A90" s="147"/>
      <c r="B90" s="148"/>
      <c r="C90" s="182" t="s">
        <v>296</v>
      </c>
      <c r="D90" s="183"/>
      <c r="E90" s="184"/>
      <c r="F90" s="192"/>
      <c r="G90" s="185"/>
      <c r="H90" s="181"/>
      <c r="I90" s="149"/>
      <c r="J90" s="181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</row>
    <row r="91" spans="1:60" outlineLevel="1" x14ac:dyDescent="0.25">
      <c r="A91" s="147"/>
      <c r="B91" s="148"/>
      <c r="C91" s="169"/>
      <c r="D91" s="164"/>
      <c r="E91" s="164"/>
      <c r="F91" s="164"/>
      <c r="G91" s="164"/>
      <c r="H91" s="181"/>
      <c r="I91" s="149"/>
      <c r="J91" s="181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</row>
    <row r="92" spans="1:60" x14ac:dyDescent="0.25">
      <c r="A92" s="151" t="s">
        <v>91</v>
      </c>
      <c r="B92" s="152" t="s">
        <v>56</v>
      </c>
      <c r="C92" s="167" t="s">
        <v>57</v>
      </c>
      <c r="D92" s="153"/>
      <c r="E92" s="154"/>
      <c r="F92" s="155"/>
      <c r="G92" s="155">
        <f>SUMIF(AG93:AG124,"&lt;&gt;NOR",G93:G124)</f>
        <v>0</v>
      </c>
      <c r="H92" s="155"/>
      <c r="I92" s="155">
        <f>SUM(I108:I124)</f>
        <v>364989.53</v>
      </c>
      <c r="J92" s="155"/>
      <c r="K92" s="155">
        <f>SUM(K108:K124)</f>
        <v>98712.87</v>
      </c>
      <c r="L92" s="155"/>
      <c r="M92" s="155">
        <f>SUM(M93:M124)</f>
        <v>0</v>
      </c>
      <c r="N92" s="155"/>
      <c r="O92" s="155">
        <f>SUM(O108:O124)</f>
        <v>262.72000000000003</v>
      </c>
      <c r="P92" s="155"/>
      <c r="Q92" s="155">
        <f>SUM(Q108:Q124)</f>
        <v>0</v>
      </c>
      <c r="R92" s="155"/>
      <c r="S92" s="155"/>
      <c r="T92" s="156"/>
      <c r="U92" s="150"/>
      <c r="V92" s="150">
        <f>SUM(V108:V124)</f>
        <v>86.039999999999992</v>
      </c>
      <c r="W92" s="150"/>
      <c r="X92" s="150"/>
      <c r="AG92" t="s">
        <v>92</v>
      </c>
    </row>
    <row r="93" spans="1:60" x14ac:dyDescent="0.25">
      <c r="A93" s="157">
        <f>A86+1</f>
        <v>33</v>
      </c>
      <c r="B93" s="158" t="s">
        <v>210</v>
      </c>
      <c r="C93" s="168" t="s">
        <v>211</v>
      </c>
      <c r="D93" s="159" t="s">
        <v>95</v>
      </c>
      <c r="E93" s="160">
        <v>4</v>
      </c>
      <c r="F93" s="161"/>
      <c r="G93" s="162">
        <f>ROUND(E93*F93,2)</f>
        <v>0</v>
      </c>
      <c r="H93" s="161">
        <v>339.99</v>
      </c>
      <c r="I93" s="162">
        <f>ROUND(E93*H93,2)</f>
        <v>1359.96</v>
      </c>
      <c r="J93" s="161">
        <v>352.01</v>
      </c>
      <c r="K93" s="162">
        <f>ROUND(E93*J93,2)</f>
        <v>1408.04</v>
      </c>
      <c r="L93" s="162">
        <v>21</v>
      </c>
      <c r="M93" s="162">
        <f>G93*(1+L93/100)</f>
        <v>0</v>
      </c>
      <c r="N93" s="162">
        <v>0.25080000000000002</v>
      </c>
      <c r="O93" s="162">
        <f>ROUND(E93*N93,2)</f>
        <v>1</v>
      </c>
      <c r="P93" s="162">
        <v>0</v>
      </c>
      <c r="Q93" s="162">
        <f>ROUND(E93*P93,2)</f>
        <v>0</v>
      </c>
      <c r="R93" s="162" t="s">
        <v>109</v>
      </c>
      <c r="S93" s="162" t="s">
        <v>322</v>
      </c>
      <c r="T93" s="162" t="s">
        <v>322</v>
      </c>
      <c r="U93" s="150"/>
      <c r="V93" s="150"/>
      <c r="W93" s="150"/>
      <c r="X93" s="150"/>
    </row>
    <row r="94" spans="1:60" x14ac:dyDescent="0.25">
      <c r="A94" s="147"/>
      <c r="B94" s="148"/>
      <c r="C94" s="182" t="s">
        <v>212</v>
      </c>
      <c r="D94" s="183"/>
      <c r="E94" s="184"/>
      <c r="F94" s="192"/>
      <c r="G94" s="185"/>
      <c r="H94" s="181"/>
      <c r="I94" s="149"/>
      <c r="J94" s="181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50"/>
      <c r="V94" s="150"/>
      <c r="W94" s="150"/>
      <c r="X94" s="150"/>
    </row>
    <row r="95" spans="1:60" x14ac:dyDescent="0.25">
      <c r="A95" s="147"/>
      <c r="B95" s="148"/>
      <c r="C95" s="292"/>
      <c r="D95" s="293"/>
      <c r="E95" s="293"/>
      <c r="F95" s="293"/>
      <c r="G95" s="293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50"/>
      <c r="V95" s="150"/>
      <c r="W95" s="150"/>
      <c r="X95" s="150"/>
    </row>
    <row r="96" spans="1:60" x14ac:dyDescent="0.25">
      <c r="A96" s="157">
        <f>A93+1</f>
        <v>34</v>
      </c>
      <c r="B96" s="158" t="s">
        <v>196</v>
      </c>
      <c r="C96" s="168" t="s">
        <v>203</v>
      </c>
      <c r="D96" s="159" t="s">
        <v>95</v>
      </c>
      <c r="E96" s="160">
        <v>6</v>
      </c>
      <c r="F96" s="161"/>
      <c r="G96" s="162">
        <f>ROUND(E96*F96,2)</f>
        <v>0</v>
      </c>
      <c r="H96" s="161">
        <v>339.99</v>
      </c>
      <c r="I96" s="162">
        <f>ROUND(E96*H96,2)</f>
        <v>2039.94</v>
      </c>
      <c r="J96" s="161">
        <v>352.01</v>
      </c>
      <c r="K96" s="162">
        <f>ROUND(E96*J96,2)</f>
        <v>2112.06</v>
      </c>
      <c r="L96" s="162">
        <v>21</v>
      </c>
      <c r="M96" s="162">
        <f>G96*(1+L96/100)</f>
        <v>0</v>
      </c>
      <c r="N96" s="162">
        <v>0.25080000000000002</v>
      </c>
      <c r="O96" s="162">
        <f>ROUND(E96*N96,2)</f>
        <v>1.5</v>
      </c>
      <c r="P96" s="162">
        <v>0</v>
      </c>
      <c r="Q96" s="162">
        <f>ROUND(E96*P96,2)</f>
        <v>0</v>
      </c>
      <c r="R96" s="162" t="s">
        <v>109</v>
      </c>
      <c r="S96" s="162" t="s">
        <v>322</v>
      </c>
      <c r="T96" s="162" t="s">
        <v>322</v>
      </c>
      <c r="U96" s="150"/>
      <c r="V96" s="150"/>
      <c r="W96" s="150"/>
      <c r="X96" s="150"/>
    </row>
    <row r="97" spans="1:60" x14ac:dyDescent="0.25">
      <c r="A97" s="147"/>
      <c r="B97" s="148"/>
      <c r="C97" s="182" t="s">
        <v>204</v>
      </c>
      <c r="D97" s="183"/>
      <c r="E97" s="184"/>
      <c r="F97" s="192"/>
      <c r="G97" s="185"/>
      <c r="H97" s="181"/>
      <c r="I97" s="149"/>
      <c r="J97" s="181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50"/>
      <c r="V97" s="150"/>
      <c r="W97" s="150"/>
      <c r="X97" s="150"/>
    </row>
    <row r="98" spans="1:60" x14ac:dyDescent="0.25">
      <c r="A98" s="147"/>
      <c r="B98" s="148"/>
      <c r="C98" s="292"/>
      <c r="D98" s="293"/>
      <c r="E98" s="293"/>
      <c r="F98" s="293"/>
      <c r="G98" s="293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50"/>
      <c r="V98" s="150"/>
      <c r="W98" s="150"/>
      <c r="X98" s="150"/>
    </row>
    <row r="99" spans="1:60" x14ac:dyDescent="0.25">
      <c r="A99" s="157">
        <f>A96+1</f>
        <v>35</v>
      </c>
      <c r="B99" s="158" t="s">
        <v>205</v>
      </c>
      <c r="C99" s="168" t="s">
        <v>208</v>
      </c>
      <c r="D99" s="159" t="s">
        <v>95</v>
      </c>
      <c r="E99" s="160">
        <v>6</v>
      </c>
      <c r="F99" s="161"/>
      <c r="G99" s="162">
        <f>ROUND(E99*F99,2)</f>
        <v>0</v>
      </c>
      <c r="H99" s="200">
        <v>339.99</v>
      </c>
      <c r="I99" s="162">
        <f>ROUND(E99*H99,2)</f>
        <v>2039.94</v>
      </c>
      <c r="J99" s="200">
        <v>352.01</v>
      </c>
      <c r="K99" s="162">
        <f>ROUND(E99*J99,2)</f>
        <v>2112.06</v>
      </c>
      <c r="L99" s="162">
        <v>21</v>
      </c>
      <c r="M99" s="162">
        <f>G99*(1+L99/100)</f>
        <v>0</v>
      </c>
      <c r="N99" s="162">
        <v>0.25080000000000002</v>
      </c>
      <c r="O99" s="162">
        <f>ROUND(E99*N99,2)</f>
        <v>1.5</v>
      </c>
      <c r="P99" s="162">
        <v>0</v>
      </c>
      <c r="Q99" s="162">
        <f>ROUND(E99*P99,2)</f>
        <v>0</v>
      </c>
      <c r="R99" s="162" t="s">
        <v>109</v>
      </c>
      <c r="S99" s="162" t="s">
        <v>322</v>
      </c>
      <c r="T99" s="162" t="s">
        <v>101</v>
      </c>
      <c r="U99" s="150"/>
      <c r="V99" s="150"/>
      <c r="W99" s="150"/>
      <c r="X99" s="150"/>
    </row>
    <row r="100" spans="1:60" x14ac:dyDescent="0.25">
      <c r="A100" s="147"/>
      <c r="B100" s="148"/>
      <c r="C100" s="169"/>
      <c r="D100" s="164"/>
      <c r="E100" s="164"/>
      <c r="F100" s="164"/>
      <c r="G100" s="164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50"/>
      <c r="V100" s="150"/>
      <c r="W100" s="150"/>
      <c r="X100" s="150"/>
    </row>
    <row r="101" spans="1:60" x14ac:dyDescent="0.25">
      <c r="A101" s="157">
        <f>A99+1</f>
        <v>36</v>
      </c>
      <c r="B101" s="158" t="s">
        <v>333</v>
      </c>
      <c r="C101" s="168" t="s">
        <v>334</v>
      </c>
      <c r="D101" s="159" t="s">
        <v>98</v>
      </c>
      <c r="E101" s="160">
        <f>E108*0.5</f>
        <v>157</v>
      </c>
      <c r="F101" s="161"/>
      <c r="G101" s="162">
        <f>ROUND(E101*F101,2)</f>
        <v>0</v>
      </c>
      <c r="H101" s="200">
        <v>339.99</v>
      </c>
      <c r="I101" s="162">
        <f>ROUND(E101*H101,2)</f>
        <v>53378.43</v>
      </c>
      <c r="J101" s="200">
        <v>352.01</v>
      </c>
      <c r="K101" s="162">
        <f>ROUND(E101*J101,2)</f>
        <v>55265.57</v>
      </c>
      <c r="L101" s="162">
        <v>21</v>
      </c>
      <c r="M101" s="162">
        <f>G101*(1+L101/100)</f>
        <v>0</v>
      </c>
      <c r="N101" s="162">
        <v>0.25080000000000002</v>
      </c>
      <c r="O101" s="162">
        <f>ROUND(E101*N101,2)</f>
        <v>39.380000000000003</v>
      </c>
      <c r="P101" s="162">
        <v>0</v>
      </c>
      <c r="Q101" s="162">
        <f>ROUND(E101*P101,2)</f>
        <v>0</v>
      </c>
      <c r="R101" s="162" t="s">
        <v>109</v>
      </c>
      <c r="S101" s="162" t="s">
        <v>322</v>
      </c>
      <c r="T101" s="162" t="s">
        <v>101</v>
      </c>
      <c r="U101" s="150"/>
      <c r="V101" s="150"/>
      <c r="W101" s="150"/>
      <c r="X101" s="150"/>
    </row>
    <row r="102" spans="1:60" x14ac:dyDescent="0.25">
      <c r="A102" s="147"/>
      <c r="B102" s="148"/>
      <c r="C102" s="169"/>
      <c r="D102" s="164"/>
      <c r="E102" s="164"/>
      <c r="F102" s="164"/>
      <c r="G102" s="164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50"/>
      <c r="V102" s="150"/>
      <c r="W102" s="150"/>
      <c r="X102" s="150"/>
    </row>
    <row r="103" spans="1:60" x14ac:dyDescent="0.25">
      <c r="A103" s="157">
        <f>A101+1</f>
        <v>37</v>
      </c>
      <c r="B103" s="158" t="s">
        <v>335</v>
      </c>
      <c r="C103" s="168" t="s">
        <v>336</v>
      </c>
      <c r="D103" s="159" t="s">
        <v>116</v>
      </c>
      <c r="E103" s="160">
        <f>E108*0.2*0.3</f>
        <v>18.84</v>
      </c>
      <c r="F103" s="161"/>
      <c r="G103" s="162">
        <f>ROUND(E103*F103,2)</f>
        <v>0</v>
      </c>
      <c r="H103" s="200">
        <v>339.99</v>
      </c>
      <c r="I103" s="162">
        <f>ROUND(E103*H103,2)</f>
        <v>6405.41</v>
      </c>
      <c r="J103" s="200">
        <v>352.01</v>
      </c>
      <c r="K103" s="162">
        <f>ROUND(E103*J103,2)</f>
        <v>6631.87</v>
      </c>
      <c r="L103" s="162">
        <v>21</v>
      </c>
      <c r="M103" s="162">
        <f>G103*(1+L103/100)</f>
        <v>0</v>
      </c>
      <c r="N103" s="162">
        <v>0.25080000000000002</v>
      </c>
      <c r="O103" s="162">
        <f>ROUND(E103*N103,2)</f>
        <v>4.7300000000000004</v>
      </c>
      <c r="P103" s="162">
        <v>0</v>
      </c>
      <c r="Q103" s="162">
        <f>ROUND(E103*P103,2)</f>
        <v>0</v>
      </c>
      <c r="R103" s="162" t="s">
        <v>109</v>
      </c>
      <c r="S103" s="162" t="s">
        <v>322</v>
      </c>
      <c r="T103" s="162" t="s">
        <v>101</v>
      </c>
      <c r="U103" s="150"/>
      <c r="V103" s="150"/>
      <c r="W103" s="150"/>
      <c r="X103" s="150"/>
    </row>
    <row r="104" spans="1:60" x14ac:dyDescent="0.25">
      <c r="A104" s="147"/>
      <c r="B104" s="148"/>
      <c r="C104" s="219" t="s">
        <v>337</v>
      </c>
      <c r="D104" s="220"/>
      <c r="E104" s="221"/>
      <c r="F104" s="181"/>
      <c r="G104" s="149"/>
      <c r="H104" s="222"/>
      <c r="I104" s="149"/>
      <c r="J104" s="222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50"/>
      <c r="V104" s="150"/>
      <c r="W104" s="150"/>
      <c r="X104" s="150"/>
    </row>
    <row r="105" spans="1:60" x14ac:dyDescent="0.25">
      <c r="A105" s="147"/>
      <c r="B105" s="148"/>
      <c r="C105" s="169"/>
      <c r="D105" s="164"/>
      <c r="E105" s="164"/>
      <c r="F105" s="164"/>
      <c r="G105" s="164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50"/>
      <c r="V105" s="150"/>
      <c r="W105" s="150"/>
      <c r="X105" s="150"/>
    </row>
    <row r="106" spans="1:60" x14ac:dyDescent="0.25">
      <c r="A106" s="157">
        <f>A103+1</f>
        <v>38</v>
      </c>
      <c r="B106" s="158" t="s">
        <v>241</v>
      </c>
      <c r="C106" s="168" t="s">
        <v>242</v>
      </c>
      <c r="D106" s="159" t="s">
        <v>95</v>
      </c>
      <c r="E106" s="160">
        <v>1</v>
      </c>
      <c r="F106" s="161"/>
      <c r="G106" s="162">
        <f>ROUND(E106*F106,2)</f>
        <v>0</v>
      </c>
      <c r="H106" s="161">
        <v>339.99</v>
      </c>
      <c r="I106" s="162">
        <f>ROUND(E106*H106,2)</f>
        <v>339.99</v>
      </c>
      <c r="J106" s="161">
        <v>352.01</v>
      </c>
      <c r="K106" s="162">
        <f>ROUND(E106*J106,2)</f>
        <v>352.01</v>
      </c>
      <c r="L106" s="162">
        <v>21</v>
      </c>
      <c r="M106" s="162">
        <f>G106*(1+L106/100)</f>
        <v>0</v>
      </c>
      <c r="N106" s="162">
        <v>0.25080000000000002</v>
      </c>
      <c r="O106" s="162">
        <f>ROUND(E106*N106,2)</f>
        <v>0.25</v>
      </c>
      <c r="P106" s="162">
        <v>0</v>
      </c>
      <c r="Q106" s="162">
        <f>ROUND(E106*P106,2)</f>
        <v>0</v>
      </c>
      <c r="R106" s="162" t="s">
        <v>109</v>
      </c>
      <c r="S106" s="162" t="s">
        <v>322</v>
      </c>
      <c r="T106" s="162" t="s">
        <v>101</v>
      </c>
      <c r="U106" s="150"/>
      <c r="V106" s="150"/>
      <c r="W106" s="150"/>
      <c r="X106" s="150"/>
    </row>
    <row r="107" spans="1:60" x14ac:dyDescent="0.25">
      <c r="A107" s="147"/>
      <c r="B107" s="148"/>
      <c r="C107" s="169"/>
      <c r="D107" s="164"/>
      <c r="E107" s="164"/>
      <c r="F107" s="164"/>
      <c r="G107" s="164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50"/>
      <c r="V107" s="150"/>
      <c r="W107" s="150"/>
      <c r="X107" s="150"/>
    </row>
    <row r="108" spans="1:60" ht="20.399999999999999" outlineLevel="1" x14ac:dyDescent="0.25">
      <c r="A108" s="157">
        <f>A106+1</f>
        <v>39</v>
      </c>
      <c r="B108" s="158" t="s">
        <v>167</v>
      </c>
      <c r="C108" s="168" t="s">
        <v>169</v>
      </c>
      <c r="D108" s="159" t="s">
        <v>114</v>
      </c>
      <c r="E108" s="160">
        <f>74+80+160</f>
        <v>314</v>
      </c>
      <c r="F108" s="161"/>
      <c r="G108" s="162">
        <f>ROUND(E108*F108,2)</f>
        <v>0</v>
      </c>
      <c r="H108" s="161">
        <v>320.33</v>
      </c>
      <c r="I108" s="162">
        <f>ROUND(E108*H108,2)</f>
        <v>100583.62</v>
      </c>
      <c r="J108" s="161">
        <v>128.16999999999999</v>
      </c>
      <c r="K108" s="162">
        <f>ROUND(E108*J108,2)</f>
        <v>40245.379999999997</v>
      </c>
      <c r="L108" s="162">
        <v>21</v>
      </c>
      <c r="M108" s="162">
        <f>G108*(1+L108/100)</f>
        <v>0</v>
      </c>
      <c r="N108" s="162">
        <v>0.26980999999999999</v>
      </c>
      <c r="O108" s="162">
        <f>ROUND(E108*N108,2)</f>
        <v>84.72</v>
      </c>
      <c r="P108" s="162">
        <v>0</v>
      </c>
      <c r="Q108" s="162">
        <f>ROUND(E108*P108,2)</f>
        <v>0</v>
      </c>
      <c r="R108" s="162" t="s">
        <v>109</v>
      </c>
      <c r="S108" s="162" t="s">
        <v>322</v>
      </c>
      <c r="T108" s="162" t="s">
        <v>322</v>
      </c>
      <c r="U108" s="149">
        <v>0.27200000000000002</v>
      </c>
      <c r="V108" s="149">
        <f>ROUND(E108*U108,2)</f>
        <v>85.41</v>
      </c>
      <c r="W108" s="149"/>
      <c r="X108" s="149" t="s">
        <v>110</v>
      </c>
      <c r="Y108" s="140"/>
      <c r="Z108" s="140"/>
      <c r="AA108" s="140"/>
      <c r="AB108" s="140"/>
      <c r="AC108" s="140"/>
      <c r="AD108" s="140"/>
      <c r="AE108" s="140"/>
      <c r="AF108" s="140"/>
      <c r="AG108" s="140" t="s">
        <v>111</v>
      </c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F108" s="140"/>
      <c r="BG108" s="140"/>
      <c r="BH108" s="140"/>
    </row>
    <row r="109" spans="1:60" outlineLevel="1" x14ac:dyDescent="0.25">
      <c r="A109" s="147"/>
      <c r="B109" s="148"/>
      <c r="C109" s="290" t="s">
        <v>165</v>
      </c>
      <c r="D109" s="291"/>
      <c r="E109" s="291"/>
      <c r="F109" s="291"/>
      <c r="G109" s="291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0"/>
      <c r="Z109" s="140"/>
      <c r="AA109" s="140"/>
      <c r="AB109" s="140"/>
      <c r="AC109" s="140"/>
      <c r="AD109" s="140"/>
      <c r="AE109" s="140"/>
      <c r="AF109" s="140"/>
      <c r="AG109" s="140" t="s">
        <v>112</v>
      </c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  <c r="BG109" s="140"/>
      <c r="BH109" s="140"/>
    </row>
    <row r="110" spans="1:60" outlineLevel="1" x14ac:dyDescent="0.25">
      <c r="A110" s="147"/>
      <c r="B110" s="148"/>
      <c r="C110" s="292"/>
      <c r="D110" s="293"/>
      <c r="E110" s="293"/>
      <c r="F110" s="293"/>
      <c r="G110" s="293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0"/>
      <c r="BG110" s="140"/>
      <c r="BH110" s="140"/>
    </row>
    <row r="111" spans="1:60" ht="20.399999999999999" outlineLevel="1" x14ac:dyDescent="0.25">
      <c r="A111" s="157">
        <f>A108+1</f>
        <v>40</v>
      </c>
      <c r="B111" s="158" t="s">
        <v>152</v>
      </c>
      <c r="C111" s="168" t="s">
        <v>166</v>
      </c>
      <c r="D111" s="159" t="s">
        <v>114</v>
      </c>
      <c r="E111" s="160">
        <v>452</v>
      </c>
      <c r="F111" s="161"/>
      <c r="G111" s="162">
        <f>ROUND(E111*F111,2)</f>
        <v>0</v>
      </c>
      <c r="H111" s="161">
        <v>320.33</v>
      </c>
      <c r="I111" s="162">
        <f>ROUND(E111*H111,2)</f>
        <v>144789.16</v>
      </c>
      <c r="J111" s="161">
        <v>128.16999999999999</v>
      </c>
      <c r="K111" s="162">
        <f>ROUND(E111*J111,2)</f>
        <v>57932.84</v>
      </c>
      <c r="L111" s="162">
        <v>21</v>
      </c>
      <c r="M111" s="162">
        <f>G111*(1+L111/100)</f>
        <v>0</v>
      </c>
      <c r="N111" s="162">
        <v>0.26980999999999999</v>
      </c>
      <c r="O111" s="162">
        <f>ROUND(E111*N111,2)</f>
        <v>121.95</v>
      </c>
      <c r="P111" s="162">
        <v>0</v>
      </c>
      <c r="Q111" s="162">
        <f>ROUND(E111*P111,2)</f>
        <v>0</v>
      </c>
      <c r="R111" s="162" t="s">
        <v>109</v>
      </c>
      <c r="S111" s="162" t="s">
        <v>322</v>
      </c>
      <c r="T111" s="162" t="s">
        <v>322</v>
      </c>
      <c r="U111" s="149"/>
      <c r="V111" s="149"/>
      <c r="W111" s="149"/>
      <c r="X111" s="149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</row>
    <row r="112" spans="1:60" outlineLevel="1" x14ac:dyDescent="0.25">
      <c r="A112" s="147"/>
      <c r="B112" s="148"/>
      <c r="C112" s="290" t="s">
        <v>165</v>
      </c>
      <c r="D112" s="291"/>
      <c r="E112" s="291"/>
      <c r="F112" s="291"/>
      <c r="G112" s="291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F112" s="140"/>
      <c r="BG112" s="140"/>
      <c r="BH112" s="140"/>
    </row>
    <row r="113" spans="1:60" outlineLevel="1" x14ac:dyDescent="0.25">
      <c r="A113" s="147"/>
      <c r="B113" s="148"/>
      <c r="C113" s="292"/>
      <c r="D113" s="293"/>
      <c r="E113" s="293"/>
      <c r="F113" s="293"/>
      <c r="G113" s="293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</row>
    <row r="114" spans="1:60" outlineLevel="1" x14ac:dyDescent="0.25">
      <c r="A114" s="157">
        <f>A111+1</f>
        <v>41</v>
      </c>
      <c r="B114" s="158" t="s">
        <v>216</v>
      </c>
      <c r="C114" s="168" t="s">
        <v>249</v>
      </c>
      <c r="D114" s="159" t="s">
        <v>95</v>
      </c>
      <c r="E114" s="160">
        <f>83+85+160</f>
        <v>328</v>
      </c>
      <c r="F114" s="161"/>
      <c r="G114" s="162">
        <f>ROUND(E114*F114,2)</f>
        <v>0</v>
      </c>
      <c r="H114" s="161">
        <v>143</v>
      </c>
      <c r="I114" s="162">
        <f>ROUND(E114*H114,2)</f>
        <v>46904</v>
      </c>
      <c r="J114" s="161">
        <v>0</v>
      </c>
      <c r="K114" s="162">
        <f>ROUND(E114*J114,2)</f>
        <v>0</v>
      </c>
      <c r="L114" s="162">
        <v>21</v>
      </c>
      <c r="M114" s="162">
        <f>G114*(1+L114/100)</f>
        <v>0</v>
      </c>
      <c r="N114" s="162">
        <v>5.4170000000000003E-2</v>
      </c>
      <c r="O114" s="162">
        <f>ROUND(E114*N114,2)</f>
        <v>17.77</v>
      </c>
      <c r="P114" s="162">
        <v>0</v>
      </c>
      <c r="Q114" s="162">
        <f>ROUND(E114*P114,2)</f>
        <v>0</v>
      </c>
      <c r="R114" s="162" t="s">
        <v>94</v>
      </c>
      <c r="S114" s="162" t="s">
        <v>322</v>
      </c>
      <c r="T114" s="162" t="s">
        <v>101</v>
      </c>
      <c r="U114" s="149"/>
      <c r="V114" s="149"/>
      <c r="W114" s="149"/>
      <c r="X114" s="149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</row>
    <row r="115" spans="1:60" outlineLevel="1" x14ac:dyDescent="0.25">
      <c r="A115" s="147"/>
      <c r="B115" s="148"/>
      <c r="C115" s="178"/>
      <c r="D115" s="179"/>
      <c r="E115" s="179"/>
      <c r="F115" s="179"/>
      <c r="G115" s="17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0"/>
      <c r="BG115" s="140"/>
      <c r="BH115" s="140"/>
    </row>
    <row r="116" spans="1:60" outlineLevel="1" x14ac:dyDescent="0.25">
      <c r="A116" s="157">
        <f>A114+1</f>
        <v>42</v>
      </c>
      <c r="B116" s="158" t="s">
        <v>96</v>
      </c>
      <c r="C116" s="168" t="s">
        <v>97</v>
      </c>
      <c r="D116" s="159" t="s">
        <v>95</v>
      </c>
      <c r="E116" s="160">
        <f>(E111-E118-E120)*1.05-0.1</f>
        <v>317</v>
      </c>
      <c r="F116" s="161"/>
      <c r="G116" s="162">
        <f>ROUND(E116*F116,2)</f>
        <v>0</v>
      </c>
      <c r="H116" s="161">
        <v>154</v>
      </c>
      <c r="I116" s="162">
        <f>ROUND(E116*H116,2)</f>
        <v>48818</v>
      </c>
      <c r="J116" s="161">
        <v>0</v>
      </c>
      <c r="K116" s="162">
        <f>ROUND(E116*J116,2)</f>
        <v>0</v>
      </c>
      <c r="L116" s="162">
        <v>21</v>
      </c>
      <c r="M116" s="162">
        <f>G116*(1+L116/100)</f>
        <v>0</v>
      </c>
      <c r="N116" s="162">
        <v>8.1970000000000001E-2</v>
      </c>
      <c r="O116" s="162">
        <f>ROUND(E116*N116,2)</f>
        <v>25.98</v>
      </c>
      <c r="P116" s="162">
        <v>0</v>
      </c>
      <c r="Q116" s="162">
        <f>ROUND(E116*P116,2)</f>
        <v>0</v>
      </c>
      <c r="R116" s="162" t="s">
        <v>94</v>
      </c>
      <c r="S116" s="162" t="s">
        <v>322</v>
      </c>
      <c r="T116" s="162" t="s">
        <v>101</v>
      </c>
      <c r="U116" s="149"/>
      <c r="V116" s="149"/>
      <c r="W116" s="149"/>
      <c r="X116" s="149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0"/>
      <c r="BG116" s="140"/>
      <c r="BH116" s="140"/>
    </row>
    <row r="117" spans="1:60" outlineLevel="1" x14ac:dyDescent="0.25">
      <c r="A117" s="147"/>
      <c r="B117" s="148"/>
      <c r="C117" s="178"/>
      <c r="D117" s="179"/>
      <c r="E117" s="179"/>
      <c r="F117" s="179"/>
      <c r="G117" s="17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0"/>
      <c r="Z117" s="140"/>
      <c r="AA117" s="140"/>
      <c r="AB117" s="140"/>
      <c r="AC117" s="140"/>
      <c r="AD117" s="140"/>
      <c r="AE117" s="140"/>
      <c r="AF117" s="140"/>
      <c r="AG117" s="140"/>
      <c r="AH117" s="140"/>
      <c r="AI117" s="140"/>
      <c r="AJ117" s="140"/>
      <c r="AK117" s="140"/>
      <c r="AL117" s="140"/>
      <c r="AM117" s="140"/>
      <c r="AN117" s="140"/>
      <c r="AO117" s="140"/>
      <c r="AP117" s="140"/>
      <c r="AQ117" s="140"/>
      <c r="AR117" s="140"/>
      <c r="AS117" s="140"/>
      <c r="AT117" s="140"/>
      <c r="AU117" s="140"/>
      <c r="AV117" s="140"/>
      <c r="AW117" s="140"/>
      <c r="AX117" s="140"/>
      <c r="AY117" s="140"/>
      <c r="AZ117" s="140"/>
      <c r="BA117" s="140"/>
      <c r="BB117" s="140"/>
      <c r="BC117" s="140"/>
      <c r="BD117" s="140"/>
      <c r="BE117" s="140"/>
      <c r="BF117" s="140"/>
      <c r="BG117" s="140"/>
      <c r="BH117" s="140"/>
    </row>
    <row r="118" spans="1:60" ht="24" customHeight="1" outlineLevel="1" x14ac:dyDescent="0.25">
      <c r="A118" s="157">
        <f>A116+1</f>
        <v>43</v>
      </c>
      <c r="B118" s="158" t="s">
        <v>96</v>
      </c>
      <c r="C118" s="168" t="s">
        <v>323</v>
      </c>
      <c r="D118" s="159" t="s">
        <v>95</v>
      </c>
      <c r="E118" s="160">
        <v>130</v>
      </c>
      <c r="F118" s="161"/>
      <c r="G118" s="162">
        <f>ROUND(E118*F118,2)</f>
        <v>0</v>
      </c>
      <c r="H118" s="161">
        <v>154</v>
      </c>
      <c r="I118" s="162">
        <f>ROUND(E118*H118,2)</f>
        <v>20020</v>
      </c>
      <c r="J118" s="161">
        <v>0</v>
      </c>
      <c r="K118" s="162">
        <f>ROUND(E118*J118,2)</f>
        <v>0</v>
      </c>
      <c r="L118" s="162">
        <v>21</v>
      </c>
      <c r="M118" s="162">
        <f>G118*(1+L118/100)</f>
        <v>0</v>
      </c>
      <c r="N118" s="162">
        <v>8.1970000000000001E-2</v>
      </c>
      <c r="O118" s="162">
        <f>ROUND(E118*N118,2)</f>
        <v>10.66</v>
      </c>
      <c r="P118" s="162">
        <v>0</v>
      </c>
      <c r="Q118" s="162">
        <f>ROUND(E118*P118,2)</f>
        <v>0</v>
      </c>
      <c r="R118" s="162" t="s">
        <v>94</v>
      </c>
      <c r="S118" s="162" t="s">
        <v>322</v>
      </c>
      <c r="T118" s="162" t="s">
        <v>101</v>
      </c>
      <c r="U118" s="149"/>
      <c r="V118" s="149"/>
      <c r="W118" s="149"/>
      <c r="X118" s="149"/>
      <c r="Y118" s="140"/>
      <c r="Z118" s="140"/>
      <c r="AA118" s="140"/>
      <c r="AB118" s="140"/>
      <c r="AC118" s="140"/>
      <c r="AD118" s="140"/>
      <c r="AE118" s="140"/>
      <c r="AF118" s="140"/>
      <c r="AG118" s="140"/>
      <c r="AH118" s="140"/>
      <c r="AI118" s="140"/>
      <c r="AJ118" s="140"/>
      <c r="AK118" s="140"/>
      <c r="AL118" s="140"/>
      <c r="AM118" s="140"/>
      <c r="AN118" s="140"/>
      <c r="AO118" s="140"/>
      <c r="AP118" s="140"/>
      <c r="AQ118" s="140"/>
      <c r="AR118" s="140"/>
      <c r="AS118" s="140"/>
      <c r="AT118" s="140"/>
      <c r="AU118" s="140"/>
      <c r="AV118" s="140"/>
      <c r="AW118" s="140"/>
      <c r="AX118" s="140"/>
      <c r="AY118" s="140"/>
      <c r="AZ118" s="140"/>
      <c r="BA118" s="140"/>
      <c r="BB118" s="140"/>
      <c r="BC118" s="140"/>
      <c r="BD118" s="140"/>
      <c r="BE118" s="140"/>
      <c r="BF118" s="140"/>
      <c r="BG118" s="140"/>
      <c r="BH118" s="140"/>
    </row>
    <row r="119" spans="1:60" outlineLevel="1" x14ac:dyDescent="0.25">
      <c r="A119" s="147"/>
      <c r="B119" s="148"/>
      <c r="C119" s="178"/>
      <c r="D119" s="179"/>
      <c r="E119" s="179"/>
      <c r="F119" s="179"/>
      <c r="G119" s="17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F119" s="140"/>
      <c r="BG119" s="140"/>
      <c r="BH119" s="140"/>
    </row>
    <row r="120" spans="1:60" ht="24.75" customHeight="1" outlineLevel="1" x14ac:dyDescent="0.25">
      <c r="A120" s="157">
        <f>A118+1</f>
        <v>44</v>
      </c>
      <c r="B120" s="158" t="s">
        <v>96</v>
      </c>
      <c r="C120" s="168" t="s">
        <v>324</v>
      </c>
      <c r="D120" s="159" t="s">
        <v>95</v>
      </c>
      <c r="E120" s="160">
        <v>20</v>
      </c>
      <c r="F120" s="161"/>
      <c r="G120" s="162">
        <f>ROUND(E120*F120,2)</f>
        <v>0</v>
      </c>
      <c r="H120" s="161">
        <v>154</v>
      </c>
      <c r="I120" s="162">
        <f>ROUND(E120*H120,2)</f>
        <v>3080</v>
      </c>
      <c r="J120" s="161">
        <v>0</v>
      </c>
      <c r="K120" s="162">
        <f>ROUND(E120*J120,2)</f>
        <v>0</v>
      </c>
      <c r="L120" s="162">
        <v>21</v>
      </c>
      <c r="M120" s="162">
        <f>G120*(1+L120/100)</f>
        <v>0</v>
      </c>
      <c r="N120" s="162">
        <v>8.1970000000000001E-2</v>
      </c>
      <c r="O120" s="162">
        <f>ROUND(E120*N120,2)</f>
        <v>1.64</v>
      </c>
      <c r="P120" s="162">
        <v>0</v>
      </c>
      <c r="Q120" s="162">
        <f>ROUND(E120*P120,2)</f>
        <v>0</v>
      </c>
      <c r="R120" s="162" t="s">
        <v>94</v>
      </c>
      <c r="S120" s="162" t="s">
        <v>322</v>
      </c>
      <c r="T120" s="162" t="s">
        <v>101</v>
      </c>
      <c r="U120" s="149"/>
      <c r="V120" s="149"/>
      <c r="W120" s="149"/>
      <c r="X120" s="149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F120" s="140"/>
      <c r="BG120" s="140"/>
      <c r="BH120" s="140"/>
    </row>
    <row r="121" spans="1:60" outlineLevel="1" x14ac:dyDescent="0.25">
      <c r="A121" s="147"/>
      <c r="B121" s="148"/>
      <c r="C121" s="295"/>
      <c r="D121" s="296"/>
      <c r="E121" s="296"/>
      <c r="F121" s="296"/>
      <c r="G121" s="296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  <c r="AT121" s="140"/>
      <c r="AU121" s="140"/>
      <c r="AV121" s="140"/>
      <c r="AW121" s="140"/>
      <c r="AX121" s="140"/>
      <c r="AY121" s="140"/>
      <c r="AZ121" s="140"/>
      <c r="BA121" s="140"/>
      <c r="BB121" s="140"/>
      <c r="BC121" s="140"/>
      <c r="BD121" s="140"/>
      <c r="BE121" s="140"/>
      <c r="BF121" s="140"/>
      <c r="BG121" s="140"/>
      <c r="BH121" s="140"/>
    </row>
    <row r="122" spans="1:60" outlineLevel="1" x14ac:dyDescent="0.25">
      <c r="A122" s="157">
        <f>A120+1</f>
        <v>45</v>
      </c>
      <c r="B122" s="158" t="s">
        <v>129</v>
      </c>
      <c r="C122" s="168" t="s">
        <v>130</v>
      </c>
      <c r="D122" s="159" t="s">
        <v>114</v>
      </c>
      <c r="E122" s="160">
        <v>17</v>
      </c>
      <c r="F122" s="161"/>
      <c r="G122" s="162">
        <f>ROUND(E122*F122,2)</f>
        <v>0</v>
      </c>
      <c r="H122" s="161">
        <v>46.75</v>
      </c>
      <c r="I122" s="162">
        <f>ROUND(E122*H122,2)</f>
        <v>794.75</v>
      </c>
      <c r="J122" s="161">
        <v>31.45</v>
      </c>
      <c r="K122" s="162">
        <f>ROUND(E122*J122,2)</f>
        <v>534.65</v>
      </c>
      <c r="L122" s="162">
        <v>21</v>
      </c>
      <c r="M122" s="162">
        <f>G122*(1+L122/100)</f>
        <v>0</v>
      </c>
      <c r="N122" s="162">
        <v>0</v>
      </c>
      <c r="O122" s="162">
        <f>ROUND(E122*N122,2)</f>
        <v>0</v>
      </c>
      <c r="P122" s="162">
        <v>0</v>
      </c>
      <c r="Q122" s="162">
        <f>ROUND(E122*P122,2)</f>
        <v>0</v>
      </c>
      <c r="R122" s="162" t="s">
        <v>109</v>
      </c>
      <c r="S122" s="162" t="s">
        <v>322</v>
      </c>
      <c r="T122" s="162" t="s">
        <v>322</v>
      </c>
      <c r="U122" s="149">
        <v>3.6999999999999998E-2</v>
      </c>
      <c r="V122" s="149">
        <f>ROUND(E122*U122,2)</f>
        <v>0.63</v>
      </c>
      <c r="W122" s="149"/>
      <c r="X122" s="149" t="s">
        <v>110</v>
      </c>
      <c r="Y122" s="140"/>
      <c r="Z122" s="140"/>
      <c r="AA122" s="140"/>
      <c r="AB122" s="140"/>
      <c r="AC122" s="140"/>
      <c r="AD122" s="140"/>
      <c r="AE122" s="140"/>
      <c r="AF122" s="140"/>
      <c r="AG122" s="140" t="s">
        <v>111</v>
      </c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0"/>
      <c r="AZ122" s="140"/>
      <c r="BA122" s="140"/>
      <c r="BB122" s="140"/>
      <c r="BC122" s="140"/>
      <c r="BD122" s="140"/>
      <c r="BE122" s="140"/>
      <c r="BF122" s="140"/>
      <c r="BG122" s="140"/>
      <c r="BH122" s="140"/>
    </row>
    <row r="123" spans="1:60" outlineLevel="1" x14ac:dyDescent="0.25">
      <c r="A123" s="147"/>
      <c r="B123" s="148"/>
      <c r="C123" s="290" t="s">
        <v>131</v>
      </c>
      <c r="D123" s="291"/>
      <c r="E123" s="291"/>
      <c r="F123" s="291"/>
      <c r="G123" s="291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0"/>
      <c r="Z123" s="140"/>
      <c r="AA123" s="140"/>
      <c r="AB123" s="140"/>
      <c r="AC123" s="140"/>
      <c r="AD123" s="140"/>
      <c r="AE123" s="140"/>
      <c r="AF123" s="140"/>
      <c r="AG123" s="140" t="s">
        <v>112</v>
      </c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0"/>
      <c r="AZ123" s="140"/>
      <c r="BA123" s="140"/>
      <c r="BB123" s="140"/>
      <c r="BC123" s="140"/>
      <c r="BD123" s="140"/>
      <c r="BE123" s="140"/>
      <c r="BF123" s="140"/>
      <c r="BG123" s="140"/>
      <c r="BH123" s="140"/>
    </row>
    <row r="124" spans="1:60" outlineLevel="1" x14ac:dyDescent="0.25">
      <c r="A124" s="147"/>
      <c r="B124" s="148"/>
      <c r="C124" s="292"/>
      <c r="D124" s="293"/>
      <c r="E124" s="293"/>
      <c r="F124" s="293"/>
      <c r="G124" s="293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0"/>
      <c r="Z124" s="140"/>
      <c r="AA124" s="140"/>
      <c r="AB124" s="140"/>
      <c r="AC124" s="140"/>
      <c r="AD124" s="140"/>
      <c r="AE124" s="140"/>
      <c r="AF124" s="140"/>
      <c r="AG124" s="140" t="s">
        <v>93</v>
      </c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  <c r="AS124" s="140"/>
      <c r="AT124" s="140"/>
      <c r="AU124" s="140"/>
      <c r="AV124" s="140"/>
      <c r="AW124" s="140"/>
      <c r="AX124" s="140"/>
      <c r="AY124" s="140"/>
      <c r="AZ124" s="140"/>
      <c r="BA124" s="140"/>
      <c r="BB124" s="140"/>
      <c r="BC124" s="140"/>
      <c r="BD124" s="140"/>
      <c r="BE124" s="140"/>
      <c r="BF124" s="140"/>
      <c r="BG124" s="140"/>
      <c r="BH124" s="140"/>
    </row>
    <row r="125" spans="1:60" outlineLevel="1" x14ac:dyDescent="0.25">
      <c r="A125" s="151" t="s">
        <v>91</v>
      </c>
      <c r="B125" s="152" t="s">
        <v>184</v>
      </c>
      <c r="C125" s="167" t="s">
        <v>185</v>
      </c>
      <c r="D125" s="153"/>
      <c r="E125" s="154"/>
      <c r="F125" s="155"/>
      <c r="G125" s="155">
        <f>G126+G129</f>
        <v>0</v>
      </c>
      <c r="H125" s="155"/>
      <c r="I125" s="155">
        <f>SUM(I126:I128)</f>
        <v>12288.57</v>
      </c>
      <c r="J125" s="155"/>
      <c r="K125" s="155">
        <f>SUM(K126:K128)</f>
        <v>14129.43</v>
      </c>
      <c r="L125" s="155"/>
      <c r="M125" s="155">
        <f>M126+M129</f>
        <v>0</v>
      </c>
      <c r="N125" s="155"/>
      <c r="O125" s="155">
        <f>SUM(O126:O128)</f>
        <v>6.63</v>
      </c>
      <c r="P125" s="155"/>
      <c r="Q125" s="155">
        <f>SUM(Q126:Q128)</f>
        <v>0</v>
      </c>
      <c r="R125" s="155"/>
      <c r="S125" s="155"/>
      <c r="T125" s="156"/>
      <c r="U125" s="149"/>
      <c r="V125" s="149"/>
      <c r="W125" s="149"/>
      <c r="X125" s="149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  <c r="AP125" s="140"/>
      <c r="AQ125" s="140"/>
      <c r="AR125" s="140"/>
      <c r="AS125" s="140"/>
      <c r="AT125" s="140"/>
      <c r="AU125" s="140"/>
      <c r="AV125" s="140"/>
      <c r="AW125" s="140"/>
      <c r="AX125" s="140"/>
      <c r="AY125" s="140"/>
      <c r="AZ125" s="140"/>
      <c r="BA125" s="140"/>
      <c r="BB125" s="140"/>
      <c r="BC125" s="140"/>
      <c r="BD125" s="140"/>
      <c r="BE125" s="140"/>
      <c r="BF125" s="140"/>
      <c r="BG125" s="140"/>
      <c r="BH125" s="140"/>
    </row>
    <row r="126" spans="1:60" outlineLevel="1" x14ac:dyDescent="0.25">
      <c r="A126" s="157">
        <f>A122+1</f>
        <v>46</v>
      </c>
      <c r="B126" s="158" t="s">
        <v>213</v>
      </c>
      <c r="C126" s="168" t="s">
        <v>214</v>
      </c>
      <c r="D126" s="159" t="s">
        <v>95</v>
      </c>
      <c r="E126" s="160">
        <v>21</v>
      </c>
      <c r="F126" s="161"/>
      <c r="G126" s="162">
        <f>ROUND(E126*F126,2)</f>
        <v>0</v>
      </c>
      <c r="H126" s="161">
        <v>585.16999999999996</v>
      </c>
      <c r="I126" s="162">
        <f>ROUND(E126*H126,2)</f>
        <v>12288.57</v>
      </c>
      <c r="J126" s="161">
        <v>672.83</v>
      </c>
      <c r="K126" s="162">
        <f>ROUND(E126*J126,2)</f>
        <v>14129.43</v>
      </c>
      <c r="L126" s="162">
        <v>21</v>
      </c>
      <c r="M126" s="162">
        <f>G126*(1+L126/100)</f>
        <v>0</v>
      </c>
      <c r="N126" s="162">
        <v>0.31590000000000001</v>
      </c>
      <c r="O126" s="162">
        <f>ROUND(E126*N126,2)</f>
        <v>6.63</v>
      </c>
      <c r="P126" s="162">
        <v>0</v>
      </c>
      <c r="Q126" s="162">
        <f>ROUND(E126*P126,2)</f>
        <v>0</v>
      </c>
      <c r="R126" s="162" t="s">
        <v>109</v>
      </c>
      <c r="S126" s="162" t="s">
        <v>322</v>
      </c>
      <c r="T126" s="162" t="s">
        <v>322</v>
      </c>
      <c r="U126" s="149"/>
      <c r="V126" s="149"/>
      <c r="W126" s="149"/>
      <c r="X126" s="149"/>
      <c r="Y126" s="140"/>
      <c r="Z126" s="140"/>
      <c r="AA126" s="140"/>
      <c r="AB126" s="140"/>
      <c r="AC126" s="140"/>
      <c r="AD126" s="140"/>
      <c r="AE126" s="140"/>
      <c r="AF126" s="140"/>
      <c r="AG126" s="140"/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140"/>
      <c r="AT126" s="140"/>
      <c r="AU126" s="140"/>
      <c r="AV126" s="140"/>
      <c r="AW126" s="140"/>
      <c r="AX126" s="140"/>
      <c r="AY126" s="140"/>
      <c r="AZ126" s="140"/>
      <c r="BA126" s="140"/>
      <c r="BB126" s="140"/>
      <c r="BC126" s="140"/>
      <c r="BD126" s="140"/>
      <c r="BE126" s="140"/>
      <c r="BF126" s="140"/>
      <c r="BG126" s="140"/>
      <c r="BH126" s="140"/>
    </row>
    <row r="127" spans="1:60" ht="12.75" customHeight="1" outlineLevel="1" x14ac:dyDescent="0.25">
      <c r="A127" s="147"/>
      <c r="B127" s="148"/>
      <c r="C127" s="290" t="s">
        <v>215</v>
      </c>
      <c r="D127" s="291"/>
      <c r="E127" s="291"/>
      <c r="F127" s="291"/>
      <c r="G127" s="291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0"/>
      <c r="Z127" s="140"/>
      <c r="AA127" s="140"/>
      <c r="AB127" s="140"/>
      <c r="AC127" s="140"/>
      <c r="AD127" s="140"/>
      <c r="AE127" s="140"/>
      <c r="AF127" s="140"/>
      <c r="AG127" s="140"/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140"/>
      <c r="AT127" s="140"/>
      <c r="AU127" s="140"/>
      <c r="AV127" s="140"/>
      <c r="AW127" s="140"/>
      <c r="AX127" s="140"/>
      <c r="AY127" s="140"/>
      <c r="AZ127" s="140"/>
      <c r="BA127" s="140"/>
      <c r="BB127" s="140"/>
      <c r="BC127" s="140"/>
      <c r="BD127" s="140"/>
      <c r="BE127" s="140"/>
      <c r="BF127" s="140"/>
      <c r="BG127" s="140"/>
      <c r="BH127" s="140"/>
    </row>
    <row r="128" spans="1:60" outlineLevel="1" x14ac:dyDescent="0.25">
      <c r="A128" s="147"/>
      <c r="B128" s="148"/>
      <c r="C128" s="292"/>
      <c r="D128" s="293"/>
      <c r="E128" s="293"/>
      <c r="F128" s="293"/>
      <c r="G128" s="293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0"/>
      <c r="AP128" s="140"/>
      <c r="AQ128" s="140"/>
      <c r="AR128" s="140"/>
      <c r="AS128" s="140"/>
      <c r="AT128" s="140"/>
      <c r="AU128" s="140"/>
      <c r="AV128" s="140"/>
      <c r="AW128" s="140"/>
      <c r="AX128" s="140"/>
      <c r="AY128" s="140"/>
      <c r="AZ128" s="140"/>
      <c r="BA128" s="140"/>
      <c r="BB128" s="140"/>
      <c r="BC128" s="140"/>
      <c r="BD128" s="140"/>
      <c r="BE128" s="140"/>
      <c r="BF128" s="140"/>
      <c r="BG128" s="140"/>
      <c r="BH128" s="140"/>
    </row>
    <row r="129" spans="1:60" outlineLevel="1" x14ac:dyDescent="0.25">
      <c r="A129" s="157">
        <f>A126+1</f>
        <v>47</v>
      </c>
      <c r="B129" s="158" t="s">
        <v>290</v>
      </c>
      <c r="C129" s="168" t="s">
        <v>289</v>
      </c>
      <c r="D129" s="159" t="s">
        <v>114</v>
      </c>
      <c r="E129" s="160">
        <f>E122</f>
        <v>17</v>
      </c>
      <c r="F129" s="161"/>
      <c r="G129" s="162">
        <f>E129*F129</f>
        <v>0</v>
      </c>
      <c r="H129" s="161">
        <v>5.52</v>
      </c>
      <c r="I129" s="162">
        <v>5.52</v>
      </c>
      <c r="J129" s="161">
        <v>183.48</v>
      </c>
      <c r="K129" s="162">
        <v>183.48</v>
      </c>
      <c r="L129" s="162">
        <v>21</v>
      </c>
      <c r="M129" s="162">
        <f>G129*1.21</f>
        <v>0</v>
      </c>
      <c r="N129" s="162">
        <v>4.6800000000000001E-3</v>
      </c>
      <c r="O129" s="162">
        <v>0</v>
      </c>
      <c r="P129" s="162">
        <v>0</v>
      </c>
      <c r="Q129" s="162">
        <v>0</v>
      </c>
      <c r="R129" s="162" t="s">
        <v>186</v>
      </c>
      <c r="S129" s="162" t="s">
        <v>322</v>
      </c>
      <c r="T129" s="162" t="s">
        <v>101</v>
      </c>
      <c r="U129" s="149"/>
      <c r="V129" s="149"/>
      <c r="W129" s="149"/>
      <c r="X129" s="149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140"/>
      <c r="AO129" s="140"/>
      <c r="AP129" s="140"/>
      <c r="AQ129" s="140"/>
      <c r="AR129" s="140"/>
      <c r="AS129" s="140"/>
      <c r="AT129" s="140"/>
      <c r="AU129" s="140"/>
      <c r="AV129" s="140"/>
      <c r="AW129" s="140"/>
      <c r="AX129" s="140"/>
      <c r="AY129" s="140"/>
      <c r="AZ129" s="140"/>
      <c r="BA129" s="140"/>
      <c r="BB129" s="140"/>
      <c r="BC129" s="140"/>
      <c r="BD129" s="140"/>
      <c r="BE129" s="140"/>
      <c r="BF129" s="140"/>
      <c r="BG129" s="140"/>
      <c r="BH129" s="140"/>
    </row>
    <row r="130" spans="1:60" outlineLevel="1" x14ac:dyDescent="0.25">
      <c r="A130" s="147"/>
      <c r="B130" s="148"/>
      <c r="C130" s="178"/>
      <c r="D130" s="179"/>
      <c r="E130" s="179"/>
      <c r="F130" s="179"/>
      <c r="G130" s="17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F130" s="140"/>
      <c r="BG130" s="140"/>
      <c r="BH130" s="140"/>
    </row>
    <row r="131" spans="1:60" x14ac:dyDescent="0.25">
      <c r="A131" s="151" t="s">
        <v>91</v>
      </c>
      <c r="B131" s="152" t="s">
        <v>58</v>
      </c>
      <c r="C131" s="167" t="s">
        <v>59</v>
      </c>
      <c r="D131" s="153"/>
      <c r="E131" s="154"/>
      <c r="F131" s="155"/>
      <c r="G131" s="155">
        <f>SUMIF(AG132:AG137,"&lt;&gt;NOR",G132:G137)</f>
        <v>0</v>
      </c>
      <c r="H131" s="155"/>
      <c r="I131" s="155">
        <f>SUM(I132:I137)</f>
        <v>0</v>
      </c>
      <c r="J131" s="155"/>
      <c r="K131" s="155">
        <f>SUM(K132:K137)</f>
        <v>115711.8</v>
      </c>
      <c r="L131" s="155"/>
      <c r="M131" s="155">
        <f>SUM(M132:M137)</f>
        <v>0</v>
      </c>
      <c r="N131" s="155"/>
      <c r="O131" s="155">
        <f>SUM(O132:O137)</f>
        <v>0</v>
      </c>
      <c r="P131" s="155"/>
      <c r="Q131" s="155">
        <f>SUM(Q132:Q137)</f>
        <v>0</v>
      </c>
      <c r="R131" s="155"/>
      <c r="S131" s="155"/>
      <c r="T131" s="156"/>
      <c r="U131" s="150"/>
      <c r="V131" s="150">
        <f>SUM(V132:V137)</f>
        <v>40.03</v>
      </c>
      <c r="W131" s="150"/>
      <c r="X131" s="150"/>
      <c r="AG131" t="s">
        <v>92</v>
      </c>
    </row>
    <row r="132" spans="1:60" outlineLevel="1" x14ac:dyDescent="0.25">
      <c r="A132" s="157">
        <f>A129+1</f>
        <v>48</v>
      </c>
      <c r="B132" s="158" t="s">
        <v>153</v>
      </c>
      <c r="C132" s="168" t="s">
        <v>134</v>
      </c>
      <c r="D132" s="159" t="s">
        <v>126</v>
      </c>
      <c r="E132" s="160">
        <f>(E80*0.08+E77*0.1*2.2+E66*0.08*2+E63*0.06*2)*1.05</f>
        <v>89.376000000000005</v>
      </c>
      <c r="F132" s="161"/>
      <c r="G132" s="162">
        <f>ROUND(E132*F132,2)</f>
        <v>0</v>
      </c>
      <c r="H132" s="161">
        <v>0</v>
      </c>
      <c r="I132" s="162">
        <f>ROUND(E132*H132,2)</f>
        <v>0</v>
      </c>
      <c r="J132" s="161">
        <v>225.5</v>
      </c>
      <c r="K132" s="162">
        <f>ROUND(E132*J132,2)</f>
        <v>20154.29</v>
      </c>
      <c r="L132" s="162">
        <v>21</v>
      </c>
      <c r="M132" s="162">
        <f>G132*(1+L132/100)</f>
        <v>0</v>
      </c>
      <c r="N132" s="162">
        <v>0</v>
      </c>
      <c r="O132" s="162">
        <f>ROUND(E132*N132,2)</f>
        <v>0</v>
      </c>
      <c r="P132" s="162">
        <v>0</v>
      </c>
      <c r="Q132" s="162">
        <f>ROUND(E132*P132,2)</f>
        <v>0</v>
      </c>
      <c r="R132" s="162" t="s">
        <v>109</v>
      </c>
      <c r="S132" s="162" t="s">
        <v>322</v>
      </c>
      <c r="T132" s="162" t="s">
        <v>322</v>
      </c>
      <c r="U132" s="149">
        <v>0.39</v>
      </c>
      <c r="V132" s="149">
        <f>ROUND(E132*U132,2)</f>
        <v>34.86</v>
      </c>
      <c r="W132" s="149"/>
      <c r="X132" s="149" t="s">
        <v>132</v>
      </c>
      <c r="Y132" s="140"/>
      <c r="Z132" s="140"/>
      <c r="AA132" s="140"/>
      <c r="AB132" s="140"/>
      <c r="AC132" s="140"/>
      <c r="AD132" s="140"/>
      <c r="AE132" s="140"/>
      <c r="AF132" s="140"/>
      <c r="AG132" s="140" t="s">
        <v>133</v>
      </c>
      <c r="AH132" s="140"/>
      <c r="AI132" s="140"/>
      <c r="AJ132" s="140"/>
      <c r="AK132" s="140"/>
      <c r="AL132" s="140"/>
      <c r="AM132" s="140"/>
      <c r="AN132" s="140"/>
      <c r="AO132" s="140"/>
      <c r="AP132" s="140"/>
      <c r="AQ132" s="140"/>
      <c r="AR132" s="140"/>
      <c r="AS132" s="140"/>
      <c r="AT132" s="140"/>
      <c r="AU132" s="140"/>
      <c r="AV132" s="140"/>
      <c r="AW132" s="140"/>
      <c r="AX132" s="140"/>
      <c r="AY132" s="140"/>
      <c r="AZ132" s="140"/>
      <c r="BA132" s="140"/>
      <c r="BB132" s="140"/>
      <c r="BC132" s="140"/>
      <c r="BD132" s="140"/>
      <c r="BE132" s="140"/>
      <c r="BF132" s="140"/>
      <c r="BG132" s="140"/>
      <c r="BH132" s="140"/>
    </row>
    <row r="133" spans="1:60" outlineLevel="1" x14ac:dyDescent="0.25">
      <c r="A133" s="147"/>
      <c r="B133" s="148"/>
      <c r="C133" s="292"/>
      <c r="D133" s="293"/>
      <c r="E133" s="293"/>
      <c r="F133" s="293"/>
      <c r="G133" s="293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0"/>
      <c r="Z133" s="140"/>
      <c r="AA133" s="140"/>
      <c r="AB133" s="140"/>
      <c r="AC133" s="140"/>
      <c r="AD133" s="140"/>
      <c r="AE133" s="140"/>
      <c r="AF133" s="140"/>
      <c r="AG133" s="140" t="s">
        <v>93</v>
      </c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0"/>
      <c r="BG133" s="140"/>
      <c r="BH133" s="140"/>
    </row>
    <row r="134" spans="1:60" outlineLevel="1" x14ac:dyDescent="0.25">
      <c r="A134" s="157">
        <f>A132+1</f>
        <v>49</v>
      </c>
      <c r="B134" s="158" t="s">
        <v>187</v>
      </c>
      <c r="C134" s="168" t="s">
        <v>188</v>
      </c>
      <c r="D134" s="159" t="s">
        <v>126</v>
      </c>
      <c r="E134" s="160">
        <f>E55*0.18*2+E53*0.15*2+E51*0.2*2</f>
        <v>1065.8000000000002</v>
      </c>
      <c r="F134" s="161"/>
      <c r="G134" s="162">
        <f>ROUND(E134*F134,2)</f>
        <v>0</v>
      </c>
      <c r="H134" s="161">
        <v>0</v>
      </c>
      <c r="I134" s="162">
        <f>ROUND(E134*H134,2)</f>
        <v>0</v>
      </c>
      <c r="J134" s="161">
        <v>71.2</v>
      </c>
      <c r="K134" s="162">
        <f>ROUND(E134*J134,2)</f>
        <v>75884.960000000006</v>
      </c>
      <c r="L134" s="162">
        <v>21</v>
      </c>
      <c r="M134" s="162">
        <f>G134*(1+L134/100)</f>
        <v>0</v>
      </c>
      <c r="N134" s="162">
        <v>0</v>
      </c>
      <c r="O134" s="162">
        <f>ROUND(E134*N134,2)</f>
        <v>0</v>
      </c>
      <c r="P134" s="162">
        <v>0</v>
      </c>
      <c r="Q134" s="162">
        <f>ROUND(E134*P134,2)</f>
        <v>0</v>
      </c>
      <c r="R134" s="162" t="s">
        <v>109</v>
      </c>
      <c r="S134" s="162" t="s">
        <v>322</v>
      </c>
      <c r="T134" s="162" t="s">
        <v>322</v>
      </c>
      <c r="U134" s="149"/>
      <c r="V134" s="149"/>
      <c r="W134" s="149"/>
      <c r="X134" s="149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140"/>
      <c r="AO134" s="140"/>
      <c r="AP134" s="140"/>
      <c r="AQ134" s="140"/>
      <c r="AR134" s="140"/>
      <c r="AS134" s="140"/>
      <c r="AT134" s="140"/>
      <c r="AU134" s="140"/>
      <c r="AV134" s="140"/>
      <c r="AW134" s="140"/>
      <c r="AX134" s="140"/>
      <c r="AY134" s="140"/>
      <c r="AZ134" s="140"/>
      <c r="BA134" s="140"/>
      <c r="BB134" s="140"/>
      <c r="BC134" s="140"/>
      <c r="BD134" s="140"/>
      <c r="BE134" s="140"/>
      <c r="BF134" s="140"/>
      <c r="BG134" s="140"/>
      <c r="BH134" s="140"/>
    </row>
    <row r="135" spans="1:60" outlineLevel="1" x14ac:dyDescent="0.25">
      <c r="A135" s="147"/>
      <c r="B135" s="148"/>
      <c r="C135" s="292"/>
      <c r="D135" s="293"/>
      <c r="E135" s="293"/>
      <c r="F135" s="293"/>
      <c r="G135" s="293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0"/>
      <c r="Z135" s="140"/>
      <c r="AA135" s="140"/>
      <c r="AB135" s="140"/>
      <c r="AC135" s="140"/>
      <c r="AD135" s="140"/>
      <c r="AE135" s="140"/>
      <c r="AF135" s="140"/>
      <c r="AG135" s="140"/>
      <c r="AH135" s="140"/>
      <c r="AI135" s="140"/>
      <c r="AJ135" s="140"/>
      <c r="AK135" s="140"/>
      <c r="AL135" s="140"/>
      <c r="AM135" s="140"/>
      <c r="AN135" s="140"/>
      <c r="AO135" s="140"/>
      <c r="AP135" s="140"/>
      <c r="AQ135" s="140"/>
      <c r="AR135" s="140"/>
      <c r="AS135" s="140"/>
      <c r="AT135" s="140"/>
      <c r="AU135" s="140"/>
      <c r="AV135" s="140"/>
      <c r="AW135" s="140"/>
      <c r="AX135" s="140"/>
      <c r="AY135" s="140"/>
      <c r="AZ135" s="140"/>
      <c r="BA135" s="140"/>
      <c r="BB135" s="140"/>
      <c r="BC135" s="140"/>
      <c r="BD135" s="140"/>
      <c r="BE135" s="140"/>
      <c r="BF135" s="140"/>
      <c r="BG135" s="140"/>
      <c r="BH135" s="140"/>
    </row>
    <row r="136" spans="1:60" outlineLevel="1" x14ac:dyDescent="0.25">
      <c r="A136" s="157">
        <f>A134+1</f>
        <v>50</v>
      </c>
      <c r="B136" s="158" t="s">
        <v>154</v>
      </c>
      <c r="C136" s="168" t="s">
        <v>220</v>
      </c>
      <c r="D136" s="159" t="s">
        <v>126</v>
      </c>
      <c r="E136" s="160">
        <f>E61*0.12*2.53</f>
        <v>323.03039999999993</v>
      </c>
      <c r="F136" s="161"/>
      <c r="G136" s="162">
        <f>ROUND(E136*F136,2)</f>
        <v>0</v>
      </c>
      <c r="H136" s="161">
        <v>0</v>
      </c>
      <c r="I136" s="162">
        <f>ROUND(E136*H136,2)</f>
        <v>0</v>
      </c>
      <c r="J136" s="161">
        <v>60.9</v>
      </c>
      <c r="K136" s="162">
        <f>ROUND(E136*J136,2)</f>
        <v>19672.55</v>
      </c>
      <c r="L136" s="162">
        <v>21</v>
      </c>
      <c r="M136" s="162">
        <f>G136*(1+L136/100)</f>
        <v>0</v>
      </c>
      <c r="N136" s="162">
        <v>0</v>
      </c>
      <c r="O136" s="162">
        <f>ROUND(E136*N136,2)</f>
        <v>0</v>
      </c>
      <c r="P136" s="162">
        <v>0</v>
      </c>
      <c r="Q136" s="162">
        <f>ROUND(E136*P136,2)</f>
        <v>0</v>
      </c>
      <c r="R136" s="162" t="s">
        <v>109</v>
      </c>
      <c r="S136" s="162" t="s">
        <v>322</v>
      </c>
      <c r="T136" s="162" t="s">
        <v>322</v>
      </c>
      <c r="U136" s="149">
        <v>1.6E-2</v>
      </c>
      <c r="V136" s="149">
        <f>ROUND(E136*U136,2)</f>
        <v>5.17</v>
      </c>
      <c r="W136" s="149"/>
      <c r="X136" s="149" t="s">
        <v>132</v>
      </c>
      <c r="Y136" s="140"/>
      <c r="Z136" s="140"/>
      <c r="AA136" s="140"/>
      <c r="AB136" s="140"/>
      <c r="AC136" s="140"/>
      <c r="AD136" s="140"/>
      <c r="AE136" s="140"/>
      <c r="AF136" s="140"/>
      <c r="AG136" s="140" t="s">
        <v>133</v>
      </c>
      <c r="AH136" s="140"/>
      <c r="AI136" s="140"/>
      <c r="AJ136" s="140"/>
      <c r="AK136" s="140"/>
      <c r="AL136" s="140"/>
      <c r="AM136" s="140"/>
      <c r="AN136" s="140"/>
      <c r="AO136" s="140"/>
      <c r="AP136" s="140"/>
      <c r="AQ136" s="140"/>
      <c r="AR136" s="140"/>
      <c r="AS136" s="140"/>
      <c r="AT136" s="140"/>
      <c r="AU136" s="140"/>
      <c r="AV136" s="140"/>
      <c r="AW136" s="140"/>
      <c r="AX136" s="140"/>
      <c r="AY136" s="140"/>
      <c r="AZ136" s="140"/>
      <c r="BA136" s="140"/>
      <c r="BB136" s="140"/>
      <c r="BC136" s="140"/>
      <c r="BD136" s="140"/>
      <c r="BE136" s="140"/>
      <c r="BF136" s="140"/>
      <c r="BG136" s="140"/>
      <c r="BH136" s="140"/>
    </row>
    <row r="137" spans="1:60" outlineLevel="1" x14ac:dyDescent="0.25">
      <c r="A137" s="147"/>
      <c r="B137" s="148"/>
      <c r="C137" s="292"/>
      <c r="D137" s="293"/>
      <c r="E137" s="293"/>
      <c r="F137" s="293"/>
      <c r="G137" s="293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0"/>
      <c r="Z137" s="140"/>
      <c r="AA137" s="140"/>
      <c r="AB137" s="140"/>
      <c r="AC137" s="140"/>
      <c r="AD137" s="140"/>
      <c r="AE137" s="140"/>
      <c r="AF137" s="140"/>
      <c r="AG137" s="140" t="s">
        <v>93</v>
      </c>
      <c r="AH137" s="140"/>
      <c r="AI137" s="140"/>
      <c r="AJ137" s="140"/>
      <c r="AK137" s="140"/>
      <c r="AL137" s="140"/>
      <c r="AM137" s="140"/>
      <c r="AN137" s="140"/>
      <c r="AO137" s="140"/>
      <c r="AP137" s="140"/>
      <c r="AQ137" s="140"/>
      <c r="AR137" s="140"/>
      <c r="AS137" s="140"/>
      <c r="AT137" s="140"/>
      <c r="AU137" s="140"/>
      <c r="AV137" s="140"/>
      <c r="AW137" s="140"/>
      <c r="AX137" s="140"/>
      <c r="AY137" s="140"/>
      <c r="AZ137" s="140"/>
      <c r="BA137" s="140"/>
      <c r="BB137" s="140"/>
      <c r="BC137" s="140"/>
      <c r="BD137" s="140"/>
      <c r="BE137" s="140"/>
      <c r="BF137" s="140"/>
      <c r="BG137" s="140"/>
      <c r="BH137" s="140"/>
    </row>
    <row r="138" spans="1:60" x14ac:dyDescent="0.25">
      <c r="A138" s="151" t="s">
        <v>91</v>
      </c>
      <c r="B138" s="152" t="s">
        <v>60</v>
      </c>
      <c r="C138" s="167" t="s">
        <v>61</v>
      </c>
      <c r="D138" s="153"/>
      <c r="E138" s="154"/>
      <c r="F138" s="155"/>
      <c r="G138" s="155">
        <f>SUMIF(AG139:AG144,"&lt;&gt;NOR",G139:G144)</f>
        <v>0</v>
      </c>
      <c r="H138" s="155"/>
      <c r="I138" s="155">
        <f>SUM(I139:I144)</f>
        <v>0</v>
      </c>
      <c r="J138" s="155"/>
      <c r="K138" s="155">
        <f>SUM(K139:K144)</f>
        <v>953034.25</v>
      </c>
      <c r="L138" s="155"/>
      <c r="M138" s="155">
        <f>SUM(M139:M144)</f>
        <v>0</v>
      </c>
      <c r="N138" s="155"/>
      <c r="O138" s="155">
        <f>SUM(O139:O144)</f>
        <v>0</v>
      </c>
      <c r="P138" s="155"/>
      <c r="Q138" s="155">
        <f>SUM(Q139:Q144)</f>
        <v>0</v>
      </c>
      <c r="R138" s="155"/>
      <c r="S138" s="155"/>
      <c r="T138" s="156"/>
      <c r="U138" s="150"/>
      <c r="V138" s="150">
        <f>SUM(V139:V144)</f>
        <v>249.29</v>
      </c>
      <c r="W138" s="150"/>
      <c r="X138" s="150"/>
      <c r="Z138" s="84"/>
      <c r="AG138" t="s">
        <v>92</v>
      </c>
    </row>
    <row r="139" spans="1:60" outlineLevel="1" x14ac:dyDescent="0.25">
      <c r="A139" s="157">
        <f>A136+1</f>
        <v>51</v>
      </c>
      <c r="B139" s="158" t="s">
        <v>221</v>
      </c>
      <c r="C139" s="168" t="s">
        <v>222</v>
      </c>
      <c r="D139" s="159" t="s">
        <v>126</v>
      </c>
      <c r="E139" s="160">
        <f>E18*2+E20*0.05*2.2+E22*0.3*0.3*2</f>
        <v>856.66</v>
      </c>
      <c r="F139" s="161"/>
      <c r="G139" s="162">
        <f>ROUND(E139*F139,2)</f>
        <v>0</v>
      </c>
      <c r="H139" s="161">
        <v>0</v>
      </c>
      <c r="I139" s="162">
        <f>ROUND(E139*H139,2)</f>
        <v>0</v>
      </c>
      <c r="J139" s="161">
        <v>406.5</v>
      </c>
      <c r="K139" s="162">
        <f>ROUND(E139*J139,2)</f>
        <v>348232.29</v>
      </c>
      <c r="L139" s="162">
        <v>21</v>
      </c>
      <c r="M139" s="162">
        <f>G139*(1+L139/100)</f>
        <v>0</v>
      </c>
      <c r="N139" s="162">
        <v>0</v>
      </c>
      <c r="O139" s="162">
        <f>ROUND(E139*N139,2)</f>
        <v>0</v>
      </c>
      <c r="P139" s="162">
        <v>0</v>
      </c>
      <c r="Q139" s="162">
        <f>ROUND(E139*P139,2)</f>
        <v>0</v>
      </c>
      <c r="R139" s="162"/>
      <c r="S139" s="162" t="s">
        <v>322</v>
      </c>
      <c r="T139" s="162" t="s">
        <v>322</v>
      </c>
      <c r="U139" s="149">
        <v>0.29099999999999998</v>
      </c>
      <c r="V139" s="149">
        <f>ROUND(E139*U139,2)</f>
        <v>249.29</v>
      </c>
      <c r="W139" s="149"/>
      <c r="X139" s="149" t="s">
        <v>135</v>
      </c>
      <c r="Y139" s="176"/>
      <c r="Z139" s="140"/>
      <c r="AA139" s="140"/>
      <c r="AB139" s="140"/>
      <c r="AC139" s="140"/>
      <c r="AD139" s="140"/>
      <c r="AE139" s="140"/>
      <c r="AF139" s="140"/>
      <c r="AG139" s="140" t="s">
        <v>136</v>
      </c>
      <c r="AH139" s="140"/>
      <c r="AI139" s="140"/>
      <c r="AJ139" s="140"/>
      <c r="AK139" s="140"/>
      <c r="AL139" s="140"/>
      <c r="AM139" s="140"/>
      <c r="AN139" s="140"/>
      <c r="AO139" s="140"/>
      <c r="AP139" s="140"/>
      <c r="AQ139" s="140"/>
      <c r="AR139" s="140"/>
      <c r="AS139" s="140"/>
      <c r="AT139" s="140"/>
      <c r="AU139" s="140"/>
      <c r="AV139" s="140"/>
      <c r="AW139" s="140"/>
      <c r="AX139" s="140"/>
      <c r="AY139" s="140"/>
      <c r="AZ139" s="140"/>
      <c r="BA139" s="140"/>
      <c r="BB139" s="140"/>
      <c r="BC139" s="140"/>
      <c r="BD139" s="140"/>
      <c r="BE139" s="140"/>
      <c r="BF139" s="140"/>
      <c r="BG139" s="140"/>
      <c r="BH139" s="140"/>
    </row>
    <row r="140" spans="1:60" outlineLevel="1" x14ac:dyDescent="0.25">
      <c r="A140" s="147"/>
      <c r="B140" s="148"/>
      <c r="C140" s="295"/>
      <c r="D140" s="296"/>
      <c r="E140" s="296"/>
      <c r="F140" s="296"/>
      <c r="G140" s="296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0"/>
      <c r="Z140" s="140"/>
      <c r="AA140" s="140"/>
      <c r="AB140" s="140"/>
      <c r="AC140" s="140"/>
      <c r="AD140" s="140"/>
      <c r="AE140" s="140"/>
      <c r="AF140" s="140"/>
      <c r="AG140" s="140" t="s">
        <v>93</v>
      </c>
      <c r="AH140" s="140"/>
      <c r="AI140" s="140"/>
      <c r="AJ140" s="140"/>
      <c r="AK140" s="140"/>
      <c r="AL140" s="140"/>
      <c r="AM140" s="140"/>
      <c r="AN140" s="140"/>
      <c r="AO140" s="140"/>
      <c r="AP140" s="140"/>
      <c r="AQ140" s="140"/>
      <c r="AR140" s="140"/>
      <c r="AS140" s="140"/>
      <c r="AT140" s="140"/>
      <c r="AU140" s="140"/>
      <c r="AV140" s="140"/>
      <c r="AW140" s="140"/>
      <c r="AX140" s="140"/>
      <c r="AY140" s="140"/>
      <c r="AZ140" s="140"/>
      <c r="BA140" s="140"/>
      <c r="BB140" s="140"/>
      <c r="BC140" s="140"/>
      <c r="BD140" s="140"/>
      <c r="BE140" s="140"/>
      <c r="BF140" s="140"/>
      <c r="BG140" s="140"/>
      <c r="BH140" s="140"/>
    </row>
    <row r="141" spans="1:60" outlineLevel="1" x14ac:dyDescent="0.25">
      <c r="A141" s="157">
        <f>A139+1</f>
        <v>52</v>
      </c>
      <c r="B141" s="158" t="s">
        <v>223</v>
      </c>
      <c r="C141" s="168" t="s">
        <v>224</v>
      </c>
      <c r="D141" s="159" t="s">
        <v>126</v>
      </c>
      <c r="E141" s="160">
        <f>E139*14</f>
        <v>11993.24</v>
      </c>
      <c r="F141" s="161"/>
      <c r="G141" s="162">
        <f>ROUND(E141*F141,2)</f>
        <v>0</v>
      </c>
      <c r="H141" s="161">
        <v>0</v>
      </c>
      <c r="I141" s="162">
        <f>ROUND(E141*H141,2)</f>
        <v>0</v>
      </c>
      <c r="J141" s="161">
        <v>29</v>
      </c>
      <c r="K141" s="162">
        <f>ROUND(E141*J141,2)</f>
        <v>347803.96</v>
      </c>
      <c r="L141" s="162">
        <v>21</v>
      </c>
      <c r="M141" s="162">
        <f>G141*(1+L141/100)</f>
        <v>0</v>
      </c>
      <c r="N141" s="162">
        <v>0</v>
      </c>
      <c r="O141" s="162">
        <f>ROUND(E141*N141,2)</f>
        <v>0</v>
      </c>
      <c r="P141" s="162">
        <v>0</v>
      </c>
      <c r="Q141" s="201">
        <f>ROUND(E141*P141,2)</f>
        <v>0</v>
      </c>
      <c r="R141" s="162" t="s">
        <v>109</v>
      </c>
      <c r="S141" s="162" t="s">
        <v>322</v>
      </c>
      <c r="T141" s="162" t="s">
        <v>322</v>
      </c>
      <c r="U141" s="149"/>
      <c r="V141" s="149"/>
      <c r="W141" s="149"/>
      <c r="X141" s="149"/>
      <c r="Y141" s="140"/>
      <c r="Z141" s="140"/>
      <c r="AA141" s="140"/>
      <c r="AB141" s="140"/>
      <c r="AC141" s="140"/>
      <c r="AD141" s="140"/>
      <c r="AE141" s="140"/>
      <c r="AF141" s="140"/>
      <c r="AG141" s="140"/>
      <c r="AH141" s="140"/>
      <c r="AI141" s="140"/>
      <c r="AJ141" s="140"/>
      <c r="AK141" s="140"/>
      <c r="AL141" s="140"/>
      <c r="AM141" s="140"/>
      <c r="AN141" s="140"/>
      <c r="AO141" s="140"/>
      <c r="AP141" s="140"/>
      <c r="AQ141" s="140"/>
      <c r="AR141" s="140"/>
      <c r="AS141" s="140"/>
      <c r="AT141" s="140"/>
      <c r="AU141" s="140"/>
      <c r="AV141" s="140"/>
      <c r="AW141" s="140"/>
      <c r="AX141" s="140"/>
      <c r="AY141" s="140"/>
      <c r="AZ141" s="140"/>
      <c r="BA141" s="140"/>
      <c r="BB141" s="140"/>
      <c r="BC141" s="140"/>
      <c r="BD141" s="140"/>
      <c r="BE141" s="140"/>
      <c r="BF141" s="140"/>
      <c r="BG141" s="140"/>
      <c r="BH141" s="140"/>
    </row>
    <row r="142" spans="1:60" outlineLevel="1" x14ac:dyDescent="0.25">
      <c r="A142" s="147"/>
      <c r="B142" s="148"/>
      <c r="C142" s="294"/>
      <c r="D142" s="294"/>
      <c r="E142" s="294"/>
      <c r="F142" s="294"/>
      <c r="G142" s="294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0"/>
      <c r="Z142" s="140"/>
      <c r="AA142" s="140"/>
      <c r="AB142" s="140"/>
      <c r="AC142" s="140"/>
      <c r="AD142" s="140"/>
      <c r="AE142" s="140"/>
      <c r="AF142" s="140"/>
      <c r="AG142" s="140"/>
      <c r="AH142" s="140"/>
      <c r="AI142" s="140"/>
      <c r="AJ142" s="140"/>
      <c r="AK142" s="140"/>
      <c r="AL142" s="140"/>
      <c r="AM142" s="140"/>
      <c r="AN142" s="140"/>
      <c r="AO142" s="140"/>
      <c r="AP142" s="140"/>
      <c r="AQ142" s="140"/>
      <c r="AR142" s="140"/>
      <c r="AS142" s="140"/>
      <c r="AT142" s="140"/>
      <c r="AU142" s="140"/>
      <c r="AV142" s="140"/>
      <c r="AW142" s="140"/>
      <c r="AX142" s="140"/>
      <c r="AY142" s="140"/>
      <c r="AZ142" s="140"/>
      <c r="BA142" s="140"/>
      <c r="BB142" s="140"/>
      <c r="BC142" s="140"/>
      <c r="BD142" s="140"/>
      <c r="BE142" s="140"/>
      <c r="BF142" s="140"/>
      <c r="BG142" s="140"/>
      <c r="BH142" s="140"/>
    </row>
    <row r="143" spans="1:60" outlineLevel="1" x14ac:dyDescent="0.25">
      <c r="A143" s="157">
        <f>A141+1</f>
        <v>53</v>
      </c>
      <c r="B143" s="158" t="s">
        <v>156</v>
      </c>
      <c r="C143" s="168" t="s">
        <v>155</v>
      </c>
      <c r="D143" s="159" t="s">
        <v>126</v>
      </c>
      <c r="E143" s="160">
        <f>E139</f>
        <v>856.66</v>
      </c>
      <c r="F143" s="161"/>
      <c r="G143" s="162">
        <f>ROUND(E143*F143,2)</f>
        <v>0</v>
      </c>
      <c r="H143" s="161">
        <v>0</v>
      </c>
      <c r="I143" s="162">
        <f>ROUND(E143*H143,2)</f>
        <v>0</v>
      </c>
      <c r="J143" s="161">
        <v>300</v>
      </c>
      <c r="K143" s="162">
        <f>ROUND(E143*J143,2)</f>
        <v>256998</v>
      </c>
      <c r="L143" s="162">
        <v>21</v>
      </c>
      <c r="M143" s="162">
        <f>G143*(1+L143/100)</f>
        <v>0</v>
      </c>
      <c r="N143" s="162">
        <v>0</v>
      </c>
      <c r="O143" s="162">
        <f>ROUND(E143*N143,2)</f>
        <v>0</v>
      </c>
      <c r="P143" s="162">
        <v>0</v>
      </c>
      <c r="Q143" s="162">
        <f>ROUND(E143*P143,2)</f>
        <v>0</v>
      </c>
      <c r="R143" s="162" t="s">
        <v>137</v>
      </c>
      <c r="S143" s="162" t="s">
        <v>322</v>
      </c>
      <c r="T143" s="162" t="s">
        <v>322</v>
      </c>
      <c r="U143" s="149">
        <v>0</v>
      </c>
      <c r="V143" s="149">
        <f>ROUND(E143*U143,2)</f>
        <v>0</v>
      </c>
      <c r="W143" s="149"/>
      <c r="X143" s="149" t="s">
        <v>135</v>
      </c>
      <c r="Y143" s="140"/>
      <c r="Z143" s="140"/>
      <c r="AA143" s="140"/>
      <c r="AB143" s="140"/>
      <c r="AC143" s="140"/>
      <c r="AD143" s="140"/>
      <c r="AE143" s="140"/>
      <c r="AF143" s="140"/>
      <c r="AG143" s="140" t="s">
        <v>136</v>
      </c>
      <c r="AH143" s="140"/>
      <c r="AI143" s="140"/>
      <c r="AJ143" s="140"/>
      <c r="AK143" s="140"/>
      <c r="AL143" s="140"/>
      <c r="AM143" s="140"/>
      <c r="AN143" s="140"/>
      <c r="AO143" s="140"/>
      <c r="AP143" s="140"/>
      <c r="AQ143" s="140"/>
      <c r="AR143" s="140"/>
      <c r="AS143" s="140"/>
      <c r="AT143" s="140"/>
      <c r="AU143" s="140"/>
      <c r="AV143" s="140"/>
      <c r="AW143" s="140"/>
      <c r="AX143" s="140"/>
      <c r="AY143" s="140"/>
      <c r="AZ143" s="140"/>
      <c r="BA143" s="140"/>
      <c r="BB143" s="140"/>
      <c r="BC143" s="140"/>
      <c r="BD143" s="140"/>
      <c r="BE143" s="140"/>
      <c r="BF143" s="140"/>
      <c r="BG143" s="140"/>
      <c r="BH143" s="140"/>
    </row>
    <row r="144" spans="1:60" outlineLevel="1" x14ac:dyDescent="0.25">
      <c r="A144" s="147"/>
      <c r="B144" s="148"/>
      <c r="C144" s="295"/>
      <c r="D144" s="296"/>
      <c r="E144" s="296"/>
      <c r="F144" s="296"/>
      <c r="G144" s="296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0"/>
      <c r="Z144" s="140"/>
      <c r="AA144" s="140"/>
      <c r="AB144" s="140"/>
      <c r="AC144" s="140"/>
      <c r="AD144" s="140"/>
      <c r="AE144" s="140"/>
      <c r="AF144" s="140"/>
      <c r="AG144" s="140" t="s">
        <v>93</v>
      </c>
      <c r="AH144" s="140"/>
      <c r="AI144" s="140"/>
      <c r="AJ144" s="140"/>
      <c r="AK144" s="140"/>
      <c r="AL144" s="140"/>
      <c r="AM144" s="140"/>
      <c r="AN144" s="140"/>
      <c r="AO144" s="140"/>
      <c r="AP144" s="140"/>
      <c r="AQ144" s="140"/>
      <c r="AR144" s="140"/>
      <c r="AS144" s="140"/>
      <c r="AT144" s="140"/>
      <c r="AU144" s="140"/>
      <c r="AV144" s="140"/>
      <c r="AW144" s="140"/>
      <c r="AX144" s="140"/>
      <c r="AY144" s="140"/>
      <c r="AZ144" s="140"/>
      <c r="BA144" s="140"/>
      <c r="BB144" s="140"/>
      <c r="BC144" s="140"/>
      <c r="BD144" s="140"/>
      <c r="BE144" s="140"/>
      <c r="BF144" s="140"/>
      <c r="BG144" s="140"/>
      <c r="BH144" s="140"/>
    </row>
    <row r="145" spans="1:60" x14ac:dyDescent="0.25">
      <c r="A145" s="151" t="s">
        <v>91</v>
      </c>
      <c r="B145" s="152" t="s">
        <v>63</v>
      </c>
      <c r="C145" s="167" t="s">
        <v>26</v>
      </c>
      <c r="D145" s="153"/>
      <c r="E145" s="154"/>
      <c r="F145" s="155"/>
      <c r="G145" s="155">
        <f>G146+G148+G151+G153</f>
        <v>0</v>
      </c>
      <c r="H145" s="155"/>
      <c r="I145" s="155">
        <f>SUM(I148:I150)</f>
        <v>0</v>
      </c>
      <c r="J145" s="155"/>
      <c r="K145" s="155">
        <f>SUM(K148:K150)</f>
        <v>0</v>
      </c>
      <c r="L145" s="155"/>
      <c r="M145" s="155">
        <f>M146+M148+M151+M153</f>
        <v>0</v>
      </c>
      <c r="N145" s="155"/>
      <c r="O145" s="155">
        <f>SUM(O148:O150)</f>
        <v>0</v>
      </c>
      <c r="P145" s="155"/>
      <c r="Q145" s="155">
        <f>SUM(Q148:Q150)</f>
        <v>0</v>
      </c>
      <c r="R145" s="155"/>
      <c r="S145" s="155"/>
      <c r="T145" s="156"/>
      <c r="U145" s="150"/>
      <c r="V145" s="150">
        <f>SUM(V148:V150)</f>
        <v>0</v>
      </c>
      <c r="W145" s="150"/>
      <c r="X145" s="150"/>
      <c r="Z145" s="84"/>
      <c r="AG145" t="s">
        <v>92</v>
      </c>
    </row>
    <row r="146" spans="1:60" x14ac:dyDescent="0.25">
      <c r="A146" s="157">
        <f>A143+1</f>
        <v>54</v>
      </c>
      <c r="B146" s="158" t="s">
        <v>161</v>
      </c>
      <c r="C146" s="168" t="s">
        <v>104</v>
      </c>
      <c r="D146" s="159" t="s">
        <v>100</v>
      </c>
      <c r="E146" s="160">
        <v>1</v>
      </c>
      <c r="F146" s="161"/>
      <c r="G146" s="162">
        <f>ROUND(E146*F146,2)</f>
        <v>0</v>
      </c>
      <c r="H146" s="161">
        <v>0</v>
      </c>
      <c r="I146" s="162">
        <f>ROUND(E146*H146,2)</f>
        <v>0</v>
      </c>
      <c r="J146" s="161">
        <v>0</v>
      </c>
      <c r="K146" s="162">
        <f>ROUND(E146*J146,2)</f>
        <v>0</v>
      </c>
      <c r="L146" s="162">
        <v>21</v>
      </c>
      <c r="M146" s="162">
        <f>G146*(1+L146/100)</f>
        <v>0</v>
      </c>
      <c r="N146" s="162">
        <v>0</v>
      </c>
      <c r="O146" s="162">
        <f>ROUND(E146*N146,2)</f>
        <v>0</v>
      </c>
      <c r="P146" s="162">
        <v>0</v>
      </c>
      <c r="Q146" s="162">
        <f>ROUND(E146*P146,2)</f>
        <v>0</v>
      </c>
      <c r="R146" s="162"/>
      <c r="S146" s="162" t="s">
        <v>322</v>
      </c>
      <c r="T146" s="163" t="s">
        <v>101</v>
      </c>
      <c r="U146" s="150"/>
      <c r="V146" s="150"/>
      <c r="W146" s="150"/>
      <c r="X146" s="150"/>
    </row>
    <row r="147" spans="1:60" x14ac:dyDescent="0.25">
      <c r="A147" s="173"/>
      <c r="B147" s="174"/>
      <c r="C147" s="295"/>
      <c r="D147" s="296"/>
      <c r="E147" s="296"/>
      <c r="F147" s="296"/>
      <c r="G147" s="296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50"/>
      <c r="V147" s="150"/>
      <c r="W147" s="150"/>
      <c r="X147" s="150"/>
    </row>
    <row r="148" spans="1:60" outlineLevel="1" x14ac:dyDescent="0.25">
      <c r="A148" s="157">
        <f>A146+1</f>
        <v>55</v>
      </c>
      <c r="B148" s="158" t="s">
        <v>138</v>
      </c>
      <c r="C148" s="168" t="s">
        <v>139</v>
      </c>
      <c r="D148" s="159" t="s">
        <v>100</v>
      </c>
      <c r="E148" s="160">
        <v>1</v>
      </c>
      <c r="F148" s="161"/>
      <c r="G148" s="162">
        <f>ROUND(E148*F148,2)</f>
        <v>0</v>
      </c>
      <c r="H148" s="161">
        <v>0</v>
      </c>
      <c r="I148" s="162">
        <f>ROUND(E148*H148,2)</f>
        <v>0</v>
      </c>
      <c r="J148" s="161">
        <v>0</v>
      </c>
      <c r="K148" s="162">
        <f>ROUND(E148*J148,2)</f>
        <v>0</v>
      </c>
      <c r="L148" s="162">
        <v>21</v>
      </c>
      <c r="M148" s="162">
        <f>G148*(1+L148/100)</f>
        <v>0</v>
      </c>
      <c r="N148" s="162">
        <v>0</v>
      </c>
      <c r="O148" s="162">
        <f>ROUND(E148*N148,2)</f>
        <v>0</v>
      </c>
      <c r="P148" s="162">
        <v>0</v>
      </c>
      <c r="Q148" s="162">
        <f>ROUND(E148*P148,2)</f>
        <v>0</v>
      </c>
      <c r="R148" s="162"/>
      <c r="S148" s="162" t="s">
        <v>322</v>
      </c>
      <c r="T148" s="163" t="s">
        <v>101</v>
      </c>
      <c r="U148" s="149">
        <v>0</v>
      </c>
      <c r="V148" s="149">
        <f>ROUND(E148*U148,2)</f>
        <v>0</v>
      </c>
      <c r="W148" s="149"/>
      <c r="X148" s="149" t="s">
        <v>102</v>
      </c>
      <c r="Y148" s="140"/>
      <c r="Z148" s="140"/>
      <c r="AA148" s="140"/>
      <c r="AB148" s="140"/>
      <c r="AC148" s="140"/>
      <c r="AD148" s="140"/>
      <c r="AE148" s="140"/>
      <c r="AF148" s="140"/>
      <c r="AG148" s="140" t="s">
        <v>103</v>
      </c>
      <c r="AH148" s="140"/>
      <c r="AI148" s="140"/>
      <c r="AJ148" s="140"/>
      <c r="AK148" s="140"/>
      <c r="AL148" s="140"/>
      <c r="AM148" s="140"/>
      <c r="AN148" s="140"/>
      <c r="AO148" s="140"/>
      <c r="AP148" s="140"/>
      <c r="AQ148" s="140"/>
      <c r="AR148" s="140"/>
      <c r="AS148" s="140"/>
      <c r="AT148" s="140"/>
      <c r="AU148" s="140"/>
      <c r="AV148" s="140"/>
      <c r="AW148" s="140"/>
      <c r="AX148" s="140"/>
      <c r="AY148" s="140"/>
      <c r="AZ148" s="140"/>
      <c r="BA148" s="140"/>
      <c r="BB148" s="140"/>
      <c r="BC148" s="140"/>
      <c r="BD148" s="140"/>
      <c r="BE148" s="140"/>
      <c r="BF148" s="140"/>
      <c r="BG148" s="140"/>
      <c r="BH148" s="140"/>
    </row>
    <row r="149" spans="1:60" ht="21" outlineLevel="1" x14ac:dyDescent="0.25">
      <c r="A149" s="147"/>
      <c r="B149" s="148"/>
      <c r="C149" s="297" t="s">
        <v>140</v>
      </c>
      <c r="D149" s="298"/>
      <c r="E149" s="298"/>
      <c r="F149" s="298"/>
      <c r="G149" s="298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0"/>
      <c r="Z149" s="140"/>
      <c r="AA149" s="140"/>
      <c r="AB149" s="140"/>
      <c r="AC149" s="140"/>
      <c r="AD149" s="140"/>
      <c r="AE149" s="140"/>
      <c r="AF149" s="140"/>
      <c r="AG149" s="140" t="s">
        <v>105</v>
      </c>
      <c r="AH149" s="140"/>
      <c r="AI149" s="140"/>
      <c r="AJ149" s="140"/>
      <c r="AK149" s="140"/>
      <c r="AL149" s="140"/>
      <c r="AM149" s="140"/>
      <c r="AN149" s="140"/>
      <c r="AO149" s="140"/>
      <c r="AP149" s="140"/>
      <c r="AQ149" s="140"/>
      <c r="AR149" s="140"/>
      <c r="AS149" s="140"/>
      <c r="AT149" s="140"/>
      <c r="AU149" s="140"/>
      <c r="AV149" s="140"/>
      <c r="AW149" s="140"/>
      <c r="AX149" s="140"/>
      <c r="AY149" s="140"/>
      <c r="AZ149" s="140"/>
      <c r="BA149" s="165" t="str">
        <f>C149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49" s="140"/>
      <c r="BC149" s="140"/>
      <c r="BD149" s="140"/>
      <c r="BE149" s="140"/>
      <c r="BF149" s="140"/>
      <c r="BG149" s="140"/>
      <c r="BH149" s="140"/>
    </row>
    <row r="150" spans="1:60" outlineLevel="1" x14ac:dyDescent="0.25">
      <c r="A150" s="147"/>
      <c r="B150" s="148"/>
      <c r="C150" s="292"/>
      <c r="D150" s="293"/>
      <c r="E150" s="293"/>
      <c r="F150" s="293"/>
      <c r="G150" s="293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0"/>
      <c r="Z150" s="140"/>
      <c r="AA150" s="140"/>
      <c r="AB150" s="140"/>
      <c r="AC150" s="140"/>
      <c r="AD150" s="140"/>
      <c r="AE150" s="140"/>
      <c r="AF150" s="140"/>
      <c r="AG150" s="140" t="s">
        <v>93</v>
      </c>
      <c r="AH150" s="140"/>
      <c r="AI150" s="140"/>
      <c r="AJ150" s="140"/>
      <c r="AK150" s="140"/>
      <c r="AL150" s="140"/>
      <c r="AM150" s="140"/>
      <c r="AN150" s="140"/>
      <c r="AO150" s="140"/>
      <c r="AP150" s="140"/>
      <c r="AQ150" s="140"/>
      <c r="AR150" s="140"/>
      <c r="AS150" s="140"/>
      <c r="AT150" s="140"/>
      <c r="AU150" s="140"/>
      <c r="AV150" s="140"/>
      <c r="AW150" s="140"/>
      <c r="AX150" s="140"/>
      <c r="AY150" s="140"/>
      <c r="AZ150" s="140"/>
      <c r="BA150" s="140"/>
      <c r="BB150" s="140"/>
      <c r="BC150" s="140"/>
      <c r="BD150" s="140"/>
      <c r="BE150" s="140"/>
      <c r="BF150" s="140"/>
      <c r="BG150" s="140"/>
      <c r="BH150" s="140"/>
    </row>
    <row r="151" spans="1:60" outlineLevel="1" x14ac:dyDescent="0.25">
      <c r="A151" s="157">
        <f>A148+1</f>
        <v>56</v>
      </c>
      <c r="B151" s="158" t="s">
        <v>157</v>
      </c>
      <c r="C151" s="168" t="s">
        <v>99</v>
      </c>
      <c r="D151" s="159" t="s">
        <v>100</v>
      </c>
      <c r="E151" s="160">
        <v>1</v>
      </c>
      <c r="F151" s="161"/>
      <c r="G151" s="162">
        <f>ROUND(E151*F151,2)</f>
        <v>0</v>
      </c>
      <c r="H151" s="161">
        <v>0</v>
      </c>
      <c r="I151" s="162">
        <f>ROUND(E151*H151,2)</f>
        <v>0</v>
      </c>
      <c r="J151" s="161">
        <v>0</v>
      </c>
      <c r="K151" s="162">
        <f>ROUND(E151*J151,2)</f>
        <v>0</v>
      </c>
      <c r="L151" s="162">
        <v>21</v>
      </c>
      <c r="M151" s="162">
        <f>G151*(1+L151/100)</f>
        <v>0</v>
      </c>
      <c r="N151" s="162">
        <v>0</v>
      </c>
      <c r="O151" s="162">
        <f>ROUND(E151*N151,2)</f>
        <v>0</v>
      </c>
      <c r="P151" s="162">
        <v>0</v>
      </c>
      <c r="Q151" s="162">
        <f>ROUND(E151*P151,2)</f>
        <v>0</v>
      </c>
      <c r="R151" s="162"/>
      <c r="S151" s="162" t="s">
        <v>322</v>
      </c>
      <c r="T151" s="163" t="s">
        <v>101</v>
      </c>
      <c r="U151" s="149"/>
      <c r="V151" s="149"/>
      <c r="W151" s="149"/>
      <c r="X151" s="149"/>
      <c r="Y151" s="140"/>
      <c r="Z151" s="140"/>
      <c r="AA151" s="140"/>
      <c r="AB151" s="140"/>
      <c r="AC151" s="140"/>
      <c r="AD151" s="140"/>
      <c r="AE151" s="140"/>
      <c r="AF151" s="140"/>
      <c r="AG151" s="140"/>
      <c r="AH151" s="140"/>
      <c r="AI151" s="140"/>
      <c r="AJ151" s="140"/>
      <c r="AK151" s="140"/>
      <c r="AL151" s="140"/>
      <c r="AM151" s="140"/>
      <c r="AN151" s="140"/>
      <c r="AO151" s="140"/>
      <c r="AP151" s="140"/>
      <c r="AQ151" s="140"/>
      <c r="AR151" s="140"/>
      <c r="AS151" s="140"/>
      <c r="AT151" s="140"/>
      <c r="AU151" s="140"/>
      <c r="AV151" s="140"/>
      <c r="AW151" s="140"/>
      <c r="AX151" s="140"/>
      <c r="AY151" s="140"/>
      <c r="AZ151" s="140"/>
      <c r="BA151" s="140"/>
      <c r="BB151" s="140"/>
      <c r="BC151" s="140"/>
      <c r="BD151" s="140"/>
      <c r="BE151" s="140"/>
      <c r="BF151" s="140"/>
      <c r="BG151" s="140"/>
      <c r="BH151" s="140"/>
    </row>
    <row r="152" spans="1:60" outlineLevel="1" x14ac:dyDescent="0.25">
      <c r="A152" s="147"/>
      <c r="B152" s="148"/>
      <c r="C152" s="295"/>
      <c r="D152" s="296"/>
      <c r="E152" s="296"/>
      <c r="F152" s="296"/>
      <c r="G152" s="296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0"/>
      <c r="Z152" s="140"/>
      <c r="AA152" s="140"/>
      <c r="AB152" s="140"/>
      <c r="AC152" s="140"/>
      <c r="AD152" s="140"/>
      <c r="AE152" s="140"/>
      <c r="AF152" s="140"/>
      <c r="AG152" s="140"/>
      <c r="AH152" s="140"/>
      <c r="AI152" s="140"/>
      <c r="AJ152" s="140"/>
      <c r="AK152" s="140"/>
      <c r="AL152" s="140"/>
      <c r="AM152" s="140"/>
      <c r="AN152" s="140"/>
      <c r="AO152" s="140"/>
      <c r="AP152" s="140"/>
      <c r="AQ152" s="140"/>
      <c r="AR152" s="140"/>
      <c r="AS152" s="140"/>
      <c r="AT152" s="140"/>
      <c r="AU152" s="140"/>
      <c r="AV152" s="140"/>
      <c r="AW152" s="140"/>
      <c r="AX152" s="140"/>
      <c r="AY152" s="140"/>
      <c r="AZ152" s="140"/>
      <c r="BA152" s="140"/>
      <c r="BB152" s="140"/>
      <c r="BC152" s="140"/>
      <c r="BD152" s="140"/>
      <c r="BE152" s="140"/>
      <c r="BF152" s="140"/>
      <c r="BG152" s="140"/>
      <c r="BH152" s="140"/>
    </row>
    <row r="153" spans="1:60" outlineLevel="1" x14ac:dyDescent="0.25">
      <c r="A153" s="157">
        <f>A151+1</f>
        <v>57</v>
      </c>
      <c r="B153" s="158" t="s">
        <v>106</v>
      </c>
      <c r="C153" s="168" t="s">
        <v>107</v>
      </c>
      <c r="D153" s="159" t="s">
        <v>100</v>
      </c>
      <c r="E153" s="160">
        <v>1</v>
      </c>
      <c r="F153" s="161"/>
      <c r="G153" s="162">
        <f>ROUND(E153*F153,2)</f>
        <v>0</v>
      </c>
      <c r="H153" s="161">
        <v>0</v>
      </c>
      <c r="I153" s="162">
        <f>ROUND(E153*H153,2)</f>
        <v>0</v>
      </c>
      <c r="J153" s="161">
        <v>0</v>
      </c>
      <c r="K153" s="162">
        <f>ROUND(E153*J153,2)</f>
        <v>0</v>
      </c>
      <c r="L153" s="162">
        <v>21</v>
      </c>
      <c r="M153" s="162">
        <f>G153*(1+L153/100)</f>
        <v>0</v>
      </c>
      <c r="N153" s="162">
        <v>0</v>
      </c>
      <c r="O153" s="162">
        <f>ROUND(E153*N153,2)</f>
        <v>0</v>
      </c>
      <c r="P153" s="162">
        <v>0</v>
      </c>
      <c r="Q153" s="162">
        <f>ROUND(E153*P153,2)</f>
        <v>0</v>
      </c>
      <c r="R153" s="162"/>
      <c r="S153" s="162" t="s">
        <v>322</v>
      </c>
      <c r="T153" s="163" t="s">
        <v>101</v>
      </c>
      <c r="U153" s="149"/>
      <c r="V153" s="149"/>
      <c r="W153" s="149"/>
      <c r="X153" s="149"/>
      <c r="Y153" s="140"/>
      <c r="Z153" s="140"/>
      <c r="AA153" s="140"/>
      <c r="AB153" s="140"/>
      <c r="AC153" s="140"/>
      <c r="AD153" s="140"/>
      <c r="AE153" s="140"/>
      <c r="AF153" s="140"/>
      <c r="AG153" s="140"/>
      <c r="AH153" s="140"/>
      <c r="AI153" s="140"/>
      <c r="AJ153" s="140"/>
      <c r="AK153" s="140"/>
      <c r="AL153" s="140"/>
      <c r="AM153" s="140"/>
      <c r="AN153" s="140"/>
      <c r="AO153" s="140"/>
      <c r="AP153" s="140"/>
      <c r="AQ153" s="140"/>
      <c r="AR153" s="140"/>
      <c r="AS153" s="140"/>
      <c r="AT153" s="140"/>
      <c r="AU153" s="140"/>
      <c r="AV153" s="140"/>
      <c r="AW153" s="140"/>
      <c r="AX153" s="140"/>
      <c r="AY153" s="140"/>
      <c r="AZ153" s="140"/>
      <c r="BA153" s="140"/>
      <c r="BB153" s="140"/>
      <c r="BC153" s="140"/>
      <c r="BD153" s="140"/>
      <c r="BE153" s="140"/>
      <c r="BF153" s="140"/>
      <c r="BG153" s="140"/>
      <c r="BH153" s="140"/>
    </row>
    <row r="154" spans="1:60" ht="22.5" customHeight="1" outlineLevel="1" x14ac:dyDescent="0.25">
      <c r="A154" s="147"/>
      <c r="B154" s="148"/>
      <c r="C154" s="297" t="s">
        <v>108</v>
      </c>
      <c r="D154" s="298"/>
      <c r="E154" s="298"/>
      <c r="F154" s="298"/>
      <c r="G154" s="298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0"/>
      <c r="AO154" s="140"/>
      <c r="AP154" s="140"/>
      <c r="AQ154" s="140"/>
      <c r="AR154" s="140"/>
      <c r="AS154" s="140"/>
      <c r="AT154" s="140"/>
      <c r="AU154" s="140"/>
      <c r="AV154" s="140"/>
      <c r="AW154" s="140"/>
      <c r="AX154" s="140"/>
      <c r="AY154" s="140"/>
      <c r="AZ154" s="140"/>
      <c r="BA154" s="140"/>
      <c r="BB154" s="140"/>
      <c r="BC154" s="140"/>
      <c r="BD154" s="140"/>
      <c r="BE154" s="140"/>
      <c r="BF154" s="140"/>
      <c r="BG154" s="140"/>
      <c r="BH154" s="140"/>
    </row>
    <row r="155" spans="1:60" outlineLevel="1" x14ac:dyDescent="0.25">
      <c r="A155" s="147"/>
      <c r="B155" s="148"/>
      <c r="C155" s="169"/>
      <c r="D155" s="164"/>
      <c r="E155" s="164"/>
      <c r="F155" s="164"/>
      <c r="G155" s="164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0"/>
      <c r="Z155" s="140"/>
      <c r="AA155" s="140"/>
      <c r="AB155" s="140"/>
      <c r="AC155" s="140"/>
      <c r="AD155" s="140"/>
      <c r="AE155" s="140"/>
      <c r="AF155" s="140"/>
      <c r="AG155" s="140"/>
      <c r="AH155" s="140"/>
      <c r="AI155" s="140"/>
      <c r="AJ155" s="140"/>
      <c r="AK155" s="140"/>
      <c r="AL155" s="140"/>
      <c r="AM155" s="140"/>
      <c r="AN155" s="140"/>
      <c r="AO155" s="140"/>
      <c r="AP155" s="140"/>
      <c r="AQ155" s="140"/>
      <c r="AR155" s="140"/>
      <c r="AS155" s="140"/>
      <c r="AT155" s="140"/>
      <c r="AU155" s="140"/>
      <c r="AV155" s="140"/>
      <c r="AW155" s="140"/>
      <c r="AX155" s="140"/>
      <c r="AY155" s="140"/>
      <c r="AZ155" s="140"/>
      <c r="BA155" s="140"/>
      <c r="BB155" s="140"/>
      <c r="BC155" s="140"/>
      <c r="BD155" s="140"/>
      <c r="BE155" s="140"/>
      <c r="BF155" s="140"/>
      <c r="BG155" s="140"/>
      <c r="BH155" s="140"/>
    </row>
    <row r="156" spans="1:60" x14ac:dyDescent="0.25">
      <c r="A156" s="151" t="s">
        <v>91</v>
      </c>
      <c r="B156" s="152" t="s">
        <v>64</v>
      </c>
      <c r="C156" s="167" t="s">
        <v>27</v>
      </c>
      <c r="D156" s="153"/>
      <c r="E156" s="154"/>
      <c r="F156" s="155"/>
      <c r="G156" s="155">
        <f>SUMIF(AG157:AG165,"&lt;&gt;NOR",G157:G165)</f>
        <v>0</v>
      </c>
      <c r="H156" s="155"/>
      <c r="I156" s="155">
        <f>SUM(I157:I165)</f>
        <v>0</v>
      </c>
      <c r="J156" s="155"/>
      <c r="K156" s="155">
        <f>SUM(K157:K165)</f>
        <v>0</v>
      </c>
      <c r="L156" s="155"/>
      <c r="M156" s="155">
        <f>SUM(M157:M165)</f>
        <v>0</v>
      </c>
      <c r="N156" s="155"/>
      <c r="O156" s="155">
        <f>SUM(O157:O165)</f>
        <v>0</v>
      </c>
      <c r="P156" s="155"/>
      <c r="Q156" s="155">
        <f>SUM(Q157:Q165)</f>
        <v>0</v>
      </c>
      <c r="R156" s="155"/>
      <c r="S156" s="155"/>
      <c r="T156" s="156"/>
      <c r="U156" s="150"/>
      <c r="V156" s="150">
        <f>SUM(V157:V165)</f>
        <v>0</v>
      </c>
      <c r="W156" s="150"/>
      <c r="X156" s="150"/>
      <c r="AG156" t="s">
        <v>92</v>
      </c>
    </row>
    <row r="157" spans="1:60" outlineLevel="1" x14ac:dyDescent="0.25">
      <c r="A157" s="157">
        <f>A153+1</f>
        <v>58</v>
      </c>
      <c r="B157" s="158" t="s">
        <v>141</v>
      </c>
      <c r="C157" s="168" t="s">
        <v>142</v>
      </c>
      <c r="D157" s="159" t="s">
        <v>100</v>
      </c>
      <c r="E157" s="160">
        <v>1</v>
      </c>
      <c r="F157" s="161"/>
      <c r="G157" s="162">
        <f>ROUND(E157*F157,2)</f>
        <v>0</v>
      </c>
      <c r="H157" s="161">
        <v>0</v>
      </c>
      <c r="I157" s="162">
        <f>ROUND(E157*H157,2)</f>
        <v>0</v>
      </c>
      <c r="J157" s="161">
        <v>0</v>
      </c>
      <c r="K157" s="162">
        <f>ROUND(E157*J157,2)</f>
        <v>0</v>
      </c>
      <c r="L157" s="162">
        <v>21</v>
      </c>
      <c r="M157" s="162">
        <f>G157*(1+L157/100)</f>
        <v>0</v>
      </c>
      <c r="N157" s="162">
        <v>0</v>
      </c>
      <c r="O157" s="162">
        <f>ROUND(E157*N157,2)</f>
        <v>0</v>
      </c>
      <c r="P157" s="162">
        <v>0</v>
      </c>
      <c r="Q157" s="162">
        <f>ROUND(E157*P157,2)</f>
        <v>0</v>
      </c>
      <c r="R157" s="162"/>
      <c r="S157" s="162" t="s">
        <v>322</v>
      </c>
      <c r="T157" s="163" t="s">
        <v>101</v>
      </c>
      <c r="U157" s="149">
        <v>0</v>
      </c>
      <c r="V157" s="149">
        <f>ROUND(E157*U157,2)</f>
        <v>0</v>
      </c>
      <c r="W157" s="149"/>
      <c r="X157" s="149" t="s">
        <v>102</v>
      </c>
      <c r="Y157" s="176"/>
      <c r="Z157" s="140"/>
      <c r="AA157" s="140"/>
      <c r="AB157" s="140"/>
      <c r="AC157" s="140"/>
      <c r="AD157" s="140"/>
      <c r="AE157" s="140"/>
      <c r="AF157" s="140"/>
      <c r="AG157" s="140" t="s">
        <v>103</v>
      </c>
      <c r="AH157" s="140"/>
      <c r="AI157" s="140"/>
      <c r="AJ157" s="140"/>
      <c r="AK157" s="140"/>
      <c r="AL157" s="140"/>
      <c r="AM157" s="140"/>
      <c r="AN157" s="140"/>
      <c r="AO157" s="140"/>
      <c r="AP157" s="140"/>
      <c r="AQ157" s="140"/>
      <c r="AR157" s="140"/>
      <c r="AS157" s="140"/>
      <c r="AT157" s="140"/>
      <c r="AU157" s="140"/>
      <c r="AV157" s="140"/>
      <c r="AW157" s="140"/>
      <c r="AX157" s="140"/>
      <c r="AY157" s="140"/>
      <c r="AZ157" s="140"/>
      <c r="BA157" s="140"/>
      <c r="BB157" s="140"/>
      <c r="BC157" s="140"/>
      <c r="BD157" s="140"/>
      <c r="BE157" s="140"/>
      <c r="BF157" s="140"/>
      <c r="BG157" s="140"/>
      <c r="BH157" s="140"/>
    </row>
    <row r="158" spans="1:60" ht="33.75" customHeight="1" outlineLevel="1" x14ac:dyDescent="0.25">
      <c r="A158" s="147"/>
      <c r="B158" s="148"/>
      <c r="C158" s="297" t="s">
        <v>158</v>
      </c>
      <c r="D158" s="298"/>
      <c r="E158" s="298"/>
      <c r="F158" s="298"/>
      <c r="G158" s="298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0"/>
      <c r="Z158" s="140"/>
      <c r="AA158" s="140"/>
      <c r="AB158" s="140"/>
      <c r="AC158" s="140"/>
      <c r="AD158" s="140"/>
      <c r="AE158" s="140"/>
      <c r="AF158" s="140"/>
      <c r="AG158" s="140" t="s">
        <v>105</v>
      </c>
      <c r="AH158" s="140"/>
      <c r="AI158" s="140"/>
      <c r="AJ158" s="140"/>
      <c r="AK158" s="140"/>
      <c r="AL158" s="140"/>
      <c r="AM158" s="140"/>
      <c r="AN158" s="140"/>
      <c r="AO158" s="140"/>
      <c r="AP158" s="140"/>
      <c r="AQ158" s="140"/>
      <c r="AR158" s="140"/>
      <c r="AS158" s="140"/>
      <c r="AT158" s="140"/>
      <c r="AU158" s="140"/>
      <c r="AV158" s="140"/>
      <c r="AW158" s="140"/>
      <c r="AX158" s="140"/>
      <c r="AY158" s="140"/>
      <c r="AZ158" s="140"/>
      <c r="BA158" s="165" t="str">
        <f>C158</f>
        <v>Náklady na vyhotovení návrhu dočasného dopravního značení, jeho projednání s dotčenými orgány a organizacemi, dodání dopravních značek i případné světelné signalizace, jejich rozmístění a přemísťování a jejich údržba v průběhu výstavby včetně následného odstranění po ukončení stavebních prací.</v>
      </c>
      <c r="BB158" s="140"/>
      <c r="BC158" s="140"/>
      <c r="BD158" s="140"/>
      <c r="BE158" s="140"/>
      <c r="BF158" s="140"/>
      <c r="BG158" s="140"/>
      <c r="BH158" s="140"/>
    </row>
    <row r="159" spans="1:60" outlineLevel="1" x14ac:dyDescent="0.25">
      <c r="A159" s="147"/>
      <c r="B159" s="148"/>
      <c r="C159" s="292"/>
      <c r="D159" s="293"/>
      <c r="E159" s="293"/>
      <c r="F159" s="293"/>
      <c r="G159" s="293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0"/>
      <c r="Z159" s="140"/>
      <c r="AA159" s="140"/>
      <c r="AB159" s="140"/>
      <c r="AC159" s="140"/>
      <c r="AD159" s="140"/>
      <c r="AE159" s="140"/>
      <c r="AF159" s="140"/>
      <c r="AG159" s="140" t="s">
        <v>93</v>
      </c>
      <c r="AH159" s="140"/>
      <c r="AI159" s="140"/>
      <c r="AJ159" s="140"/>
      <c r="AK159" s="140"/>
      <c r="AL159" s="140"/>
      <c r="AM159" s="140"/>
      <c r="AN159" s="140"/>
      <c r="AO159" s="140"/>
      <c r="AP159" s="140"/>
      <c r="AQ159" s="140"/>
      <c r="AR159" s="140"/>
      <c r="AS159" s="140"/>
      <c r="AT159" s="140"/>
      <c r="AU159" s="140"/>
      <c r="AV159" s="140"/>
      <c r="AW159" s="140"/>
      <c r="AX159" s="140"/>
      <c r="AY159" s="140"/>
      <c r="AZ159" s="140"/>
      <c r="BA159" s="140"/>
      <c r="BB159" s="140"/>
      <c r="BC159" s="140"/>
      <c r="BD159" s="140"/>
      <c r="BE159" s="140"/>
      <c r="BF159" s="140"/>
      <c r="BG159" s="140"/>
      <c r="BH159" s="140"/>
    </row>
    <row r="160" spans="1:60" outlineLevel="1" x14ac:dyDescent="0.25">
      <c r="A160" s="157">
        <f>A157+1</f>
        <v>59</v>
      </c>
      <c r="B160" s="158" t="s">
        <v>143</v>
      </c>
      <c r="C160" s="168" t="s">
        <v>144</v>
      </c>
      <c r="D160" s="159" t="s">
        <v>100</v>
      </c>
      <c r="E160" s="160">
        <v>1</v>
      </c>
      <c r="F160" s="161"/>
      <c r="G160" s="162">
        <f>ROUND(E160*F160,2)</f>
        <v>0</v>
      </c>
      <c r="H160" s="161">
        <v>0</v>
      </c>
      <c r="I160" s="162">
        <f>ROUND(E160*H160,2)</f>
        <v>0</v>
      </c>
      <c r="J160" s="161">
        <v>0</v>
      </c>
      <c r="K160" s="162">
        <f>ROUND(E160*J160,2)</f>
        <v>0</v>
      </c>
      <c r="L160" s="162">
        <v>21</v>
      </c>
      <c r="M160" s="162">
        <f>G160*(1+L160/100)</f>
        <v>0</v>
      </c>
      <c r="N160" s="162">
        <v>0</v>
      </c>
      <c r="O160" s="162">
        <f>ROUND(E160*N160,2)</f>
        <v>0</v>
      </c>
      <c r="P160" s="162">
        <v>0</v>
      </c>
      <c r="Q160" s="162">
        <f>ROUND(E160*P160,2)</f>
        <v>0</v>
      </c>
      <c r="R160" s="162"/>
      <c r="S160" s="162" t="s">
        <v>209</v>
      </c>
      <c r="T160" s="163" t="s">
        <v>101</v>
      </c>
      <c r="U160" s="149">
        <v>0</v>
      </c>
      <c r="V160" s="149">
        <f>ROUND(E160*U160,2)</f>
        <v>0</v>
      </c>
      <c r="W160" s="149"/>
      <c r="X160" s="149" t="s">
        <v>102</v>
      </c>
      <c r="Y160" s="140"/>
      <c r="Z160" s="140"/>
      <c r="AA160" s="140"/>
      <c r="AB160" s="140"/>
      <c r="AC160" s="140"/>
      <c r="AD160" s="140"/>
      <c r="AE160" s="140"/>
      <c r="AF160" s="140"/>
      <c r="AG160" s="140" t="s">
        <v>103</v>
      </c>
      <c r="AH160" s="140"/>
      <c r="AI160" s="140"/>
      <c r="AJ160" s="140"/>
      <c r="AK160" s="140"/>
      <c r="AL160" s="140"/>
      <c r="AM160" s="140"/>
      <c r="AN160" s="140"/>
      <c r="AO160" s="140"/>
      <c r="AP160" s="140"/>
      <c r="AQ160" s="140"/>
      <c r="AR160" s="140"/>
      <c r="AS160" s="140"/>
      <c r="AT160" s="140"/>
      <c r="AU160" s="140"/>
      <c r="AV160" s="140"/>
      <c r="AW160" s="140"/>
      <c r="AX160" s="140"/>
      <c r="AY160" s="140"/>
      <c r="AZ160" s="140"/>
      <c r="BA160" s="140"/>
      <c r="BB160" s="140"/>
      <c r="BC160" s="140"/>
      <c r="BD160" s="140"/>
      <c r="BE160" s="140"/>
      <c r="BF160" s="140"/>
      <c r="BG160" s="140"/>
      <c r="BH160" s="140"/>
    </row>
    <row r="161" spans="1:60" outlineLevel="1" x14ac:dyDescent="0.25">
      <c r="A161" s="147"/>
      <c r="B161" s="148"/>
      <c r="C161" s="297" t="s">
        <v>145</v>
      </c>
      <c r="D161" s="298"/>
      <c r="E161" s="298"/>
      <c r="F161" s="298"/>
      <c r="G161" s="298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0"/>
      <c r="Z161" s="140"/>
      <c r="AA161" s="140"/>
      <c r="AB161" s="140"/>
      <c r="AC161" s="140"/>
      <c r="AD161" s="140"/>
      <c r="AE161" s="140"/>
      <c r="AF161" s="140"/>
      <c r="AG161" s="140" t="s">
        <v>105</v>
      </c>
      <c r="AH161" s="140"/>
      <c r="AI161" s="140"/>
      <c r="AJ161" s="140"/>
      <c r="AK161" s="140"/>
      <c r="AL161" s="140"/>
      <c r="AM161" s="140"/>
      <c r="AN161" s="140"/>
      <c r="AO161" s="140"/>
      <c r="AP161" s="140"/>
      <c r="AQ161" s="140"/>
      <c r="AR161" s="140"/>
      <c r="AS161" s="140"/>
      <c r="AT161" s="140"/>
      <c r="AU161" s="140"/>
      <c r="AV161" s="140"/>
      <c r="AW161" s="140"/>
      <c r="AX161" s="140"/>
      <c r="AY161" s="140"/>
      <c r="AZ161" s="140"/>
      <c r="BA161" s="165" t="str">
        <f>C161</f>
        <v>Náklady na vyhotovení dokumentace skutečného provedení stavby a její předání objednateli v požadované formě a požadovaném počtu.</v>
      </c>
      <c r="BB161" s="140"/>
      <c r="BC161" s="140"/>
      <c r="BD161" s="140"/>
      <c r="BE161" s="140"/>
      <c r="BF161" s="140"/>
      <c r="BG161" s="140"/>
      <c r="BH161" s="140"/>
    </row>
    <row r="162" spans="1:60" outlineLevel="1" x14ac:dyDescent="0.25">
      <c r="A162" s="147"/>
      <c r="B162" s="148"/>
      <c r="C162" s="292"/>
      <c r="D162" s="293"/>
      <c r="E162" s="293"/>
      <c r="F162" s="293"/>
      <c r="G162" s="293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0"/>
      <c r="Z162" s="140"/>
      <c r="AA162" s="140"/>
      <c r="AB162" s="140"/>
      <c r="AC162" s="140"/>
      <c r="AD162" s="140"/>
      <c r="AE162" s="140"/>
      <c r="AF162" s="140"/>
      <c r="AG162" s="140" t="s">
        <v>93</v>
      </c>
      <c r="AH162" s="140"/>
      <c r="AI162" s="140"/>
      <c r="AJ162" s="140"/>
      <c r="AK162" s="140"/>
      <c r="AL162" s="140"/>
      <c r="AM162" s="140"/>
      <c r="AN162" s="140"/>
      <c r="AO162" s="140"/>
      <c r="AP162" s="140"/>
      <c r="AQ162" s="140"/>
      <c r="AR162" s="140"/>
      <c r="AS162" s="140"/>
      <c r="AT162" s="140"/>
      <c r="AU162" s="140"/>
      <c r="AV162" s="140"/>
      <c r="AW162" s="140"/>
      <c r="AX162" s="140"/>
      <c r="AY162" s="140"/>
      <c r="AZ162" s="140"/>
      <c r="BA162" s="140"/>
      <c r="BB162" s="140"/>
      <c r="BC162" s="140"/>
      <c r="BD162" s="140"/>
      <c r="BE162" s="140"/>
      <c r="BF162" s="140"/>
      <c r="BG162" s="140"/>
      <c r="BH162" s="140"/>
    </row>
    <row r="163" spans="1:60" outlineLevel="1" x14ac:dyDescent="0.25">
      <c r="A163" s="157">
        <f>A160+1</f>
        <v>60</v>
      </c>
      <c r="B163" s="158" t="s">
        <v>146</v>
      </c>
      <c r="C163" s="168" t="s">
        <v>147</v>
      </c>
      <c r="D163" s="159" t="s">
        <v>100</v>
      </c>
      <c r="E163" s="160">
        <v>1</v>
      </c>
      <c r="F163" s="161"/>
      <c r="G163" s="162">
        <f>ROUND(E163*F163,2)</f>
        <v>0</v>
      </c>
      <c r="H163" s="161">
        <v>0</v>
      </c>
      <c r="I163" s="162">
        <f>ROUND(E163*H163,2)</f>
        <v>0</v>
      </c>
      <c r="J163" s="161">
        <v>0</v>
      </c>
      <c r="K163" s="162">
        <f>ROUND(E163*J163,2)</f>
        <v>0</v>
      </c>
      <c r="L163" s="162">
        <v>21</v>
      </c>
      <c r="M163" s="162">
        <f>G163*(1+L163/100)</f>
        <v>0</v>
      </c>
      <c r="N163" s="162">
        <v>0</v>
      </c>
      <c r="O163" s="162">
        <f>ROUND(E163*N163,2)</f>
        <v>0</v>
      </c>
      <c r="P163" s="162">
        <v>0</v>
      </c>
      <c r="Q163" s="162">
        <f>ROUND(E163*P163,2)</f>
        <v>0</v>
      </c>
      <c r="R163" s="162"/>
      <c r="S163" s="162" t="s">
        <v>209</v>
      </c>
      <c r="T163" s="163" t="s">
        <v>101</v>
      </c>
      <c r="U163" s="149">
        <v>0</v>
      </c>
      <c r="V163" s="149">
        <f>ROUND(E163*U163,2)</f>
        <v>0</v>
      </c>
      <c r="W163" s="149"/>
      <c r="X163" s="149" t="s">
        <v>102</v>
      </c>
      <c r="Y163" s="140"/>
      <c r="Z163" s="140"/>
      <c r="AA163" s="140"/>
      <c r="AB163" s="140"/>
      <c r="AC163" s="140"/>
      <c r="AD163" s="140"/>
      <c r="AE163" s="140"/>
      <c r="AF163" s="140"/>
      <c r="AG163" s="140" t="s">
        <v>103</v>
      </c>
      <c r="AH163" s="140"/>
      <c r="AI163" s="140"/>
      <c r="AJ163" s="140"/>
      <c r="AK163" s="140"/>
      <c r="AL163" s="140"/>
      <c r="AM163" s="140"/>
      <c r="AN163" s="140"/>
      <c r="AO163" s="140"/>
      <c r="AP163" s="140"/>
      <c r="AQ163" s="140"/>
      <c r="AR163" s="140"/>
      <c r="AS163" s="140"/>
      <c r="AT163" s="140"/>
      <c r="AU163" s="140"/>
      <c r="AV163" s="140"/>
      <c r="AW163" s="140"/>
      <c r="AX163" s="140"/>
      <c r="AY163" s="140"/>
      <c r="AZ163" s="140"/>
      <c r="BA163" s="140"/>
      <c r="BB163" s="140"/>
      <c r="BC163" s="140"/>
      <c r="BD163" s="140"/>
      <c r="BE163" s="140"/>
      <c r="BF163" s="140"/>
      <c r="BG163" s="140"/>
      <c r="BH163" s="140"/>
    </row>
    <row r="164" spans="1:60" ht="13.95" customHeight="1" outlineLevel="1" x14ac:dyDescent="0.25">
      <c r="A164" s="147"/>
      <c r="B164" s="148"/>
      <c r="C164" s="297" t="s">
        <v>159</v>
      </c>
      <c r="D164" s="298"/>
      <c r="E164" s="298"/>
      <c r="F164" s="298"/>
      <c r="G164" s="298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0"/>
      <c r="Z164" s="140"/>
      <c r="AA164" s="140"/>
      <c r="AB164" s="140"/>
      <c r="AC164" s="140"/>
      <c r="AD164" s="140"/>
      <c r="AE164" s="140"/>
      <c r="AF164" s="140"/>
      <c r="AG164" s="140" t="s">
        <v>105</v>
      </c>
      <c r="AH164" s="140"/>
      <c r="AI164" s="140"/>
      <c r="AJ164" s="140"/>
      <c r="AK164" s="140"/>
      <c r="AL164" s="140"/>
      <c r="AM164" s="140"/>
      <c r="AN164" s="140"/>
      <c r="AO164" s="140"/>
      <c r="AP164" s="140"/>
      <c r="AQ164" s="140"/>
      <c r="AR164" s="140"/>
      <c r="AS164" s="140"/>
      <c r="AT164" s="140"/>
      <c r="AU164" s="140"/>
      <c r="AV164" s="140"/>
      <c r="AW164" s="140"/>
      <c r="AX164" s="140"/>
      <c r="AY164" s="140"/>
      <c r="AZ164" s="140"/>
      <c r="BA164" s="165" t="str">
        <f>C164</f>
        <v>Náklady spojené s povinnou publicitou. Zahrnuje zejména náklady na propagační a informační billboardy, tabule, internetovou propagaci, tiskoviny apod.</v>
      </c>
      <c r="BB164" s="140"/>
      <c r="BC164" s="140"/>
      <c r="BD164" s="140"/>
      <c r="BE164" s="140"/>
      <c r="BF164" s="140"/>
      <c r="BG164" s="140"/>
      <c r="BH164" s="140"/>
    </row>
    <row r="165" spans="1:60" outlineLevel="1" x14ac:dyDescent="0.25">
      <c r="A165" s="147"/>
      <c r="B165" s="148"/>
      <c r="C165" s="292"/>
      <c r="D165" s="293"/>
      <c r="E165" s="293"/>
      <c r="F165" s="293"/>
      <c r="G165" s="293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0"/>
      <c r="Z165" s="140"/>
      <c r="AA165" s="140"/>
      <c r="AB165" s="140"/>
      <c r="AC165" s="140"/>
      <c r="AD165" s="140"/>
      <c r="AE165" s="140"/>
      <c r="AF165" s="140"/>
      <c r="AG165" s="140" t="s">
        <v>93</v>
      </c>
      <c r="AH165" s="140"/>
      <c r="AI165" s="140"/>
      <c r="AJ165" s="140"/>
      <c r="AK165" s="140"/>
      <c r="AL165" s="140"/>
      <c r="AM165" s="140"/>
      <c r="AN165" s="140"/>
      <c r="AO165" s="140"/>
      <c r="AP165" s="140"/>
      <c r="AQ165" s="140"/>
      <c r="AR165" s="140"/>
      <c r="AS165" s="140"/>
      <c r="AT165" s="140"/>
      <c r="AU165" s="140"/>
      <c r="AV165" s="140"/>
      <c r="AW165" s="140"/>
      <c r="AX165" s="140"/>
      <c r="AY165" s="140"/>
      <c r="AZ165" s="140"/>
      <c r="BA165" s="140"/>
      <c r="BB165" s="140"/>
      <c r="BC165" s="140"/>
      <c r="BD165" s="140"/>
      <c r="BE165" s="140"/>
      <c r="BF165" s="140"/>
      <c r="BG165" s="140"/>
      <c r="BH165" s="140"/>
    </row>
    <row r="166" spans="1:60" x14ac:dyDescent="0.25">
      <c r="A166" s="3"/>
      <c r="B166" s="4"/>
      <c r="C166" s="170"/>
      <c r="D166" s="6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AE166">
        <v>15</v>
      </c>
      <c r="AF166">
        <v>21</v>
      </c>
      <c r="AG166" t="s">
        <v>78</v>
      </c>
    </row>
    <row r="167" spans="1:60" x14ac:dyDescent="0.25">
      <c r="A167" s="143"/>
      <c r="B167" s="144" t="s">
        <v>28</v>
      </c>
      <c r="C167" s="171"/>
      <c r="D167" s="145"/>
      <c r="E167" s="146"/>
      <c r="F167" s="146"/>
      <c r="G167" s="166">
        <f>G156+G145+G138+G131+G125+G92+G50+G8+G85</f>
        <v>0</v>
      </c>
      <c r="H167" s="3"/>
      <c r="I167" s="3"/>
      <c r="J167" s="3"/>
      <c r="K167" s="3"/>
      <c r="L167" s="142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AE167">
        <f>SUMIF(L7:L165,AE166,G7:G165)</f>
        <v>0</v>
      </c>
      <c r="AF167">
        <f>SUMIF(L7:L165,AF166,G7:G165)</f>
        <v>0</v>
      </c>
      <c r="AG167" t="s">
        <v>148</v>
      </c>
    </row>
    <row r="168" spans="1:60" x14ac:dyDescent="0.25">
      <c r="C168" s="172"/>
      <c r="D168" s="10"/>
      <c r="AG168" t="s">
        <v>149</v>
      </c>
    </row>
    <row r="169" spans="1:60" x14ac:dyDescent="0.25">
      <c r="D169" s="10"/>
    </row>
    <row r="170" spans="1:60" x14ac:dyDescent="0.25">
      <c r="D170" s="10"/>
    </row>
    <row r="171" spans="1:60" x14ac:dyDescent="0.25">
      <c r="D171" s="10"/>
    </row>
    <row r="172" spans="1:60" x14ac:dyDescent="0.25">
      <c r="D172" s="10"/>
    </row>
    <row r="173" spans="1:60" x14ac:dyDescent="0.25">
      <c r="D173" s="10"/>
    </row>
    <row r="174" spans="1:60" x14ac:dyDescent="0.25">
      <c r="D174" s="10"/>
    </row>
    <row r="175" spans="1:60" x14ac:dyDescent="0.25">
      <c r="D175" s="10"/>
    </row>
    <row r="176" spans="1:60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</sheetData>
  <sheetProtection algorithmName="SHA-512" hashValue="VMmfc7YuAk7c23jrHoHur7oBOQeQoFVucOgFqbouWgYEzu7rZ1U8YmF3TufMwKzcFlxOE9gaeAYO0YMrueYoVA==" saltValue="hsqLB2Kvghjz3pIc1oBBGQ==" spinCount="100000" sheet="1" objects="1" scenarios="1"/>
  <mergeCells count="61">
    <mergeCell ref="A1:G1"/>
    <mergeCell ref="C3:G3"/>
    <mergeCell ref="C31:G31"/>
    <mergeCell ref="C19:G19"/>
    <mergeCell ref="C21:G21"/>
    <mergeCell ref="C23:G23"/>
    <mergeCell ref="C2:H2"/>
    <mergeCell ref="C4:H4"/>
    <mergeCell ref="C26:G26"/>
    <mergeCell ref="C29:G29"/>
    <mergeCell ref="C16:G16"/>
    <mergeCell ref="C164:G164"/>
    <mergeCell ref="C165:G165"/>
    <mergeCell ref="C140:G140"/>
    <mergeCell ref="C144:G144"/>
    <mergeCell ref="C149:G149"/>
    <mergeCell ref="C150:G150"/>
    <mergeCell ref="C147:G147"/>
    <mergeCell ref="C152:G152"/>
    <mergeCell ref="C154:G154"/>
    <mergeCell ref="C158:G158"/>
    <mergeCell ref="C162:G162"/>
    <mergeCell ref="C142:G142"/>
    <mergeCell ref="C159:G159"/>
    <mergeCell ref="C161:G161"/>
    <mergeCell ref="C113:G113"/>
    <mergeCell ref="C135:G135"/>
    <mergeCell ref="C36:G36"/>
    <mergeCell ref="C37:G37"/>
    <mergeCell ref="C49:G49"/>
    <mergeCell ref="C70:G70"/>
    <mergeCell ref="C58:G58"/>
    <mergeCell ref="C67:G67"/>
    <mergeCell ref="C68:G68"/>
    <mergeCell ref="C109:G109"/>
    <mergeCell ref="C112:G112"/>
    <mergeCell ref="C98:G98"/>
    <mergeCell ref="C110:G110"/>
    <mergeCell ref="C64:G64"/>
    <mergeCell ref="C121:G121"/>
    <mergeCell ref="C78:G78"/>
    <mergeCell ref="C137:G137"/>
    <mergeCell ref="C133:G133"/>
    <mergeCell ref="C123:G123"/>
    <mergeCell ref="C124:G124"/>
    <mergeCell ref="C128:G128"/>
    <mergeCell ref="C127:G127"/>
    <mergeCell ref="C10:G10"/>
    <mergeCell ref="C13:G13"/>
    <mergeCell ref="C44:G44"/>
    <mergeCell ref="C95:G95"/>
    <mergeCell ref="C60:G60"/>
    <mergeCell ref="C52:G52"/>
    <mergeCell ref="C81:G81"/>
    <mergeCell ref="C88:G88"/>
    <mergeCell ref="C82:G82"/>
    <mergeCell ref="C33:G33"/>
    <mergeCell ref="C54:G54"/>
    <mergeCell ref="C39:G39"/>
    <mergeCell ref="C41:G41"/>
    <mergeCell ref="C42:G42"/>
  </mergeCells>
  <pageMargins left="0.59055118110236204" right="0.196850393700787" top="0.78740157499999996" bottom="0.78740157499999996" header="0.3" footer="0.3"/>
  <pageSetup paperSize="9" scale="88" fitToHeight="0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BG4867"/>
  <sheetViews>
    <sheetView tabSelected="1" topLeftCell="C1" zoomScaleNormal="100" workbookViewId="0">
      <pane ySplit="7" topLeftCell="A27" activePane="bottomLeft" state="frozen"/>
      <selection pane="bottomLeft" activeCell="C33" sqref="C33"/>
    </sheetView>
  </sheetViews>
  <sheetFormatPr defaultColWidth="8.88671875" defaultRowHeight="13.2" outlineLevelRow="1" x14ac:dyDescent="0.25"/>
  <cols>
    <col min="1" max="1" width="3.44140625" customWidth="1"/>
    <col min="2" max="2" width="12.5546875" style="123" customWidth="1"/>
    <col min="3" max="3" width="63.33203125" style="123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1" width="0" hidden="1" customWidth="1"/>
    <col min="12" max="12" width="11.6640625" bestFit="1" customWidth="1"/>
    <col min="13" max="13" width="11.6640625" customWidth="1"/>
    <col min="14" max="17" width="0" hidden="1" customWidth="1"/>
    <col min="18" max="18" width="6.88671875" customWidth="1"/>
    <col min="19" max="19" width="9.109375"/>
    <col min="20" max="20" width="8.44140625" customWidth="1"/>
    <col min="21" max="24" width="0" hidden="1" customWidth="1"/>
    <col min="25" max="25" width="11.6640625" bestFit="1" customWidth="1"/>
    <col min="26" max="27" width="9.109375"/>
    <col min="28" max="28" width="0" hidden="1" customWidth="1"/>
    <col min="29" max="29" width="9.109375"/>
    <col min="30" max="40" width="0" hidden="1" customWidth="1"/>
    <col min="41" max="51" width="9.109375"/>
    <col min="52" max="52" width="98.6640625" customWidth="1"/>
  </cols>
  <sheetData>
    <row r="1" spans="1:59" ht="15.75" customHeight="1" x14ac:dyDescent="0.3">
      <c r="A1" s="299" t="s">
        <v>65</v>
      </c>
      <c r="B1" s="300"/>
      <c r="C1" s="300"/>
      <c r="D1" s="300"/>
      <c r="E1" s="300"/>
      <c r="F1" s="300"/>
      <c r="G1" s="300"/>
      <c r="H1" s="186"/>
      <c r="L1" s="190"/>
      <c r="AF1" t="s">
        <v>66</v>
      </c>
    </row>
    <row r="2" spans="1:59" ht="24.9" customHeight="1" x14ac:dyDescent="0.25">
      <c r="A2" s="187" t="s">
        <v>7</v>
      </c>
      <c r="B2" s="193" t="s">
        <v>326</v>
      </c>
      <c r="C2" s="304" t="s">
        <v>304</v>
      </c>
      <c r="D2" s="305"/>
      <c r="E2" s="305"/>
      <c r="F2" s="305"/>
      <c r="G2" s="305"/>
      <c r="H2" s="306"/>
      <c r="L2" s="190"/>
      <c r="AF2" t="s">
        <v>67</v>
      </c>
    </row>
    <row r="3" spans="1:59" ht="24.9" customHeight="1" x14ac:dyDescent="0.25">
      <c r="A3" s="187" t="s">
        <v>8</v>
      </c>
      <c r="B3" s="193" t="s">
        <v>43</v>
      </c>
      <c r="C3" s="301" t="s">
        <v>450</v>
      </c>
      <c r="D3" s="302"/>
      <c r="E3" s="302"/>
      <c r="F3" s="302"/>
      <c r="G3" s="303"/>
      <c r="H3" s="188"/>
      <c r="L3" s="190"/>
      <c r="AB3" s="123" t="s">
        <v>67</v>
      </c>
      <c r="AF3" t="s">
        <v>68</v>
      </c>
    </row>
    <row r="4" spans="1:59" ht="24.9" customHeight="1" x14ac:dyDescent="0.25">
      <c r="A4" s="189" t="s">
        <v>9</v>
      </c>
      <c r="B4" s="180" t="s">
        <v>326</v>
      </c>
      <c r="C4" s="260" t="s">
        <v>305</v>
      </c>
      <c r="D4" s="261"/>
      <c r="E4" s="261"/>
      <c r="F4" s="261"/>
      <c r="G4" s="261"/>
      <c r="H4" s="262"/>
      <c r="L4" s="190"/>
      <c r="AF4" t="s">
        <v>69</v>
      </c>
    </row>
    <row r="5" spans="1:59" x14ac:dyDescent="0.25">
      <c r="D5" s="10"/>
    </row>
    <row r="6" spans="1:59" ht="39.6" x14ac:dyDescent="0.25">
      <c r="A6" s="136" t="s">
        <v>70</v>
      </c>
      <c r="B6" s="138" t="s">
        <v>71</v>
      </c>
      <c r="C6" s="138" t="s">
        <v>72</v>
      </c>
      <c r="D6" s="137" t="s">
        <v>73</v>
      </c>
      <c r="E6" s="136" t="s">
        <v>74</v>
      </c>
      <c r="F6" s="135" t="s">
        <v>75</v>
      </c>
      <c r="G6" s="136" t="s">
        <v>28</v>
      </c>
      <c r="H6" s="139" t="s">
        <v>29</v>
      </c>
      <c r="I6" s="139" t="s">
        <v>76</v>
      </c>
      <c r="J6" s="139" t="s">
        <v>30</v>
      </c>
      <c r="K6" s="139" t="s">
        <v>77</v>
      </c>
      <c r="L6" s="139" t="s">
        <v>78</v>
      </c>
      <c r="M6" s="139" t="s">
        <v>79</v>
      </c>
      <c r="N6" s="139" t="s">
        <v>80</v>
      </c>
      <c r="O6" s="139" t="s">
        <v>81</v>
      </c>
      <c r="P6" s="139" t="s">
        <v>82</v>
      </c>
      <c r="Q6" s="139" t="s">
        <v>83</v>
      </c>
      <c r="R6" s="139" t="s">
        <v>84</v>
      </c>
      <c r="S6" s="139" t="s">
        <v>85</v>
      </c>
      <c r="T6" s="139" t="s">
        <v>86</v>
      </c>
      <c r="U6" s="139" t="s">
        <v>87</v>
      </c>
      <c r="V6" s="139" t="s">
        <v>88</v>
      </c>
      <c r="W6" s="139" t="s">
        <v>89</v>
      </c>
      <c r="X6" s="139" t="s">
        <v>90</v>
      </c>
    </row>
    <row r="7" spans="1:59" hidden="1" x14ac:dyDescent="0.25">
      <c r="A7" s="3"/>
      <c r="B7" s="4"/>
      <c r="C7" s="4"/>
      <c r="D7" s="6"/>
      <c r="E7" s="141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</row>
    <row r="8" spans="1:59" x14ac:dyDescent="0.25">
      <c r="A8" s="151" t="s">
        <v>91</v>
      </c>
      <c r="B8" s="152" t="s">
        <v>52</v>
      </c>
      <c r="C8" s="167" t="s">
        <v>53</v>
      </c>
      <c r="D8" s="153"/>
      <c r="E8" s="154"/>
      <c r="F8" s="155"/>
      <c r="G8" s="155">
        <f>SUMIF(AF9:AF30,"&lt;&gt;NOR",G9:G30)</f>
        <v>0</v>
      </c>
      <c r="H8" s="155"/>
      <c r="I8" s="155">
        <f>SUM(I9:I30)</f>
        <v>75.599999999999994</v>
      </c>
      <c r="J8" s="155"/>
      <c r="K8" s="155">
        <f>SUM(K9:K30)</f>
        <v>38262.820000000007</v>
      </c>
      <c r="L8" s="155"/>
      <c r="M8" s="155">
        <f>SUM(M9:M30)</f>
        <v>0</v>
      </c>
      <c r="N8" s="155"/>
      <c r="O8" s="155">
        <f>SUM(O9:O30)</f>
        <v>0</v>
      </c>
      <c r="P8" s="155"/>
      <c r="Q8" s="155">
        <f>SUM(Q9:Q30)</f>
        <v>0</v>
      </c>
      <c r="R8" s="155"/>
      <c r="S8" s="155"/>
      <c r="T8" s="156"/>
      <c r="U8" s="150"/>
      <c r="V8" s="150" t="e">
        <f>SUM(#REF!)</f>
        <v>#REF!</v>
      </c>
      <c r="W8" s="150"/>
      <c r="X8" s="150"/>
      <c r="Y8" s="84"/>
      <c r="AF8" t="s">
        <v>92</v>
      </c>
    </row>
    <row r="9" spans="1:59" outlineLevel="1" x14ac:dyDescent="0.25">
      <c r="A9" s="157">
        <v>1</v>
      </c>
      <c r="B9" s="158" t="s">
        <v>360</v>
      </c>
      <c r="C9" s="168" t="s">
        <v>252</v>
      </c>
      <c r="D9" s="159" t="s">
        <v>116</v>
      </c>
      <c r="E9" s="160">
        <v>5.98</v>
      </c>
      <c r="F9" s="161"/>
      <c r="G9" s="162">
        <f>ROUND(E9*F9,2)</f>
        <v>0</v>
      </c>
      <c r="H9" s="161">
        <v>0</v>
      </c>
      <c r="I9" s="162">
        <f>ROUND(E9*H9,2)</f>
        <v>0</v>
      </c>
      <c r="J9" s="161">
        <v>240</v>
      </c>
      <c r="K9" s="162">
        <f>ROUND(E9*J9,2)</f>
        <v>1435.2</v>
      </c>
      <c r="L9" s="162">
        <v>21</v>
      </c>
      <c r="M9" s="162">
        <f>G9*(1+L9/100)</f>
        <v>0</v>
      </c>
      <c r="N9" s="162">
        <v>0</v>
      </c>
      <c r="O9" s="162">
        <f>ROUND(E9*N9,2)</f>
        <v>0</v>
      </c>
      <c r="P9" s="162">
        <v>0</v>
      </c>
      <c r="Q9" s="162">
        <f>ROUND(E9*P9,2)</f>
        <v>0</v>
      </c>
      <c r="R9" s="162" t="s">
        <v>115</v>
      </c>
      <c r="S9" s="162" t="s">
        <v>322</v>
      </c>
      <c r="T9" s="162" t="s">
        <v>322</v>
      </c>
      <c r="U9" s="149"/>
      <c r="V9" s="149"/>
      <c r="W9" s="149"/>
      <c r="X9" s="149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</row>
    <row r="10" spans="1:59" ht="12.75" customHeight="1" outlineLevel="1" x14ac:dyDescent="0.25">
      <c r="A10" s="147"/>
      <c r="B10" s="148"/>
      <c r="C10" s="290" t="s">
        <v>253</v>
      </c>
      <c r="D10" s="290"/>
      <c r="E10" s="290"/>
      <c r="F10" s="290"/>
      <c r="G10" s="290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</row>
    <row r="11" spans="1:59" outlineLevel="1" x14ac:dyDescent="0.25">
      <c r="A11" s="147"/>
      <c r="B11" s="148"/>
      <c r="C11" s="307"/>
      <c r="D11" s="307"/>
      <c r="E11" s="307"/>
      <c r="F11" s="307"/>
      <c r="G11" s="307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</row>
    <row r="12" spans="1:59" outlineLevel="1" x14ac:dyDescent="0.25">
      <c r="A12" s="157">
        <f>A9+1</f>
        <v>2</v>
      </c>
      <c r="B12" s="158" t="s">
        <v>254</v>
      </c>
      <c r="C12" s="168" t="s">
        <v>255</v>
      </c>
      <c r="D12" s="159" t="s">
        <v>116</v>
      </c>
      <c r="E12" s="160">
        <v>17.95</v>
      </c>
      <c r="F12" s="161"/>
      <c r="G12" s="162">
        <f>ROUND(E12*F12,2)</f>
        <v>0</v>
      </c>
      <c r="H12" s="161">
        <v>0</v>
      </c>
      <c r="I12" s="162">
        <f>ROUND(E12*H12,2)</f>
        <v>0</v>
      </c>
      <c r="J12" s="161">
        <v>758</v>
      </c>
      <c r="K12" s="162">
        <f>ROUND(E12*J12,2)</f>
        <v>13606.1</v>
      </c>
      <c r="L12" s="162">
        <v>21</v>
      </c>
      <c r="M12" s="162">
        <f>G12*(1+L12/100)</f>
        <v>0</v>
      </c>
      <c r="N12" s="162">
        <v>0</v>
      </c>
      <c r="O12" s="162">
        <f>ROUND(E12*N12,2)</f>
        <v>0</v>
      </c>
      <c r="P12" s="162">
        <v>0</v>
      </c>
      <c r="Q12" s="162">
        <f>ROUND(E12*P12,2)</f>
        <v>0</v>
      </c>
      <c r="R12" s="162" t="s">
        <v>115</v>
      </c>
      <c r="S12" s="162" t="s">
        <v>322</v>
      </c>
      <c r="T12" s="162" t="s">
        <v>322</v>
      </c>
      <c r="U12" s="149"/>
      <c r="V12" s="149"/>
      <c r="W12" s="149"/>
      <c r="X12" s="149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</row>
    <row r="13" spans="1:59" outlineLevel="1" x14ac:dyDescent="0.25">
      <c r="A13" s="147"/>
      <c r="B13" s="148"/>
      <c r="C13" s="290" t="s">
        <v>256</v>
      </c>
      <c r="D13" s="290"/>
      <c r="E13" s="290"/>
      <c r="F13" s="290"/>
      <c r="G13" s="290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</row>
    <row r="14" spans="1:59" outlineLevel="1" x14ac:dyDescent="0.25">
      <c r="A14" s="147"/>
      <c r="B14" s="148"/>
      <c r="C14" s="307"/>
      <c r="D14" s="307"/>
      <c r="E14" s="307"/>
      <c r="F14" s="307"/>
      <c r="G14" s="307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</row>
    <row r="15" spans="1:59" outlineLevel="1" x14ac:dyDescent="0.25">
      <c r="A15" s="157">
        <f>A12+1</f>
        <v>3</v>
      </c>
      <c r="B15" s="158" t="s">
        <v>257</v>
      </c>
      <c r="C15" s="168" t="s">
        <v>258</v>
      </c>
      <c r="D15" s="159" t="s">
        <v>116</v>
      </c>
      <c r="E15" s="160">
        <v>17.95</v>
      </c>
      <c r="F15" s="161"/>
      <c r="G15" s="162">
        <f>ROUND(E15*F15,2)</f>
        <v>0</v>
      </c>
      <c r="H15" s="161">
        <v>0</v>
      </c>
      <c r="I15" s="162">
        <f>ROUND(E15*H15,2)</f>
        <v>0</v>
      </c>
      <c r="J15" s="161">
        <v>118</v>
      </c>
      <c r="K15" s="162">
        <f>ROUND(E15*J15,2)</f>
        <v>2118.1</v>
      </c>
      <c r="L15" s="162">
        <v>21</v>
      </c>
      <c r="M15" s="162">
        <f>G15*(1+L15/100)</f>
        <v>0</v>
      </c>
      <c r="N15" s="162">
        <v>0</v>
      </c>
      <c r="O15" s="162">
        <f>ROUND(E15*N15,2)</f>
        <v>0</v>
      </c>
      <c r="P15" s="162">
        <v>0</v>
      </c>
      <c r="Q15" s="162">
        <f>ROUND(E15*P15,2)</f>
        <v>0</v>
      </c>
      <c r="R15" s="162" t="s">
        <v>115</v>
      </c>
      <c r="S15" s="162" t="s">
        <v>322</v>
      </c>
      <c r="T15" s="162" t="s">
        <v>322</v>
      </c>
      <c r="U15" s="149"/>
      <c r="V15" s="149"/>
      <c r="W15" s="149"/>
      <c r="X15" s="149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</row>
    <row r="16" spans="1:59" outlineLevel="1" x14ac:dyDescent="0.25">
      <c r="A16" s="147"/>
      <c r="B16" s="148"/>
      <c r="C16" s="290" t="s">
        <v>256</v>
      </c>
      <c r="D16" s="291"/>
      <c r="E16" s="291"/>
      <c r="F16" s="291"/>
      <c r="G16" s="291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0"/>
      <c r="Z16" s="223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</row>
    <row r="17" spans="1:59" outlineLevel="1" x14ac:dyDescent="0.25">
      <c r="A17" s="147"/>
      <c r="B17" s="148"/>
      <c r="C17" s="292"/>
      <c r="D17" s="293"/>
      <c r="E17" s="293"/>
      <c r="F17" s="293"/>
      <c r="G17" s="293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</row>
    <row r="18" spans="1:59" outlineLevel="1" x14ac:dyDescent="0.25">
      <c r="A18" s="157">
        <f>A15+1</f>
        <v>4</v>
      </c>
      <c r="B18" s="158" t="s">
        <v>118</v>
      </c>
      <c r="C18" s="168" t="s">
        <v>317</v>
      </c>
      <c r="D18" s="159" t="s">
        <v>116</v>
      </c>
      <c r="E18" s="160">
        <f>E9+E12</f>
        <v>23.93</v>
      </c>
      <c r="F18" s="161"/>
      <c r="G18" s="162">
        <f>ROUND(E18*F18,2)</f>
        <v>0</v>
      </c>
      <c r="H18" s="161">
        <v>0</v>
      </c>
      <c r="I18" s="162">
        <f>ROUND(E18*H18,2)</f>
        <v>0</v>
      </c>
      <c r="J18" s="161">
        <v>259.5</v>
      </c>
      <c r="K18" s="162">
        <f>ROUND(E18*J18,2)</f>
        <v>6209.84</v>
      </c>
      <c r="L18" s="162">
        <v>21</v>
      </c>
      <c r="M18" s="162">
        <f>G18*(1+L18/100)</f>
        <v>0</v>
      </c>
      <c r="N18" s="162">
        <v>0</v>
      </c>
      <c r="O18" s="162">
        <f>ROUND(E18*N18,2)</f>
        <v>0</v>
      </c>
      <c r="P18" s="162">
        <v>0</v>
      </c>
      <c r="Q18" s="162">
        <f>ROUND(E18*P18,2)</f>
        <v>0</v>
      </c>
      <c r="R18" s="162" t="s">
        <v>115</v>
      </c>
      <c r="S18" s="162" t="s">
        <v>322</v>
      </c>
      <c r="T18" s="162" t="s">
        <v>322</v>
      </c>
      <c r="U18" s="149"/>
      <c r="V18" s="149"/>
      <c r="W18" s="149"/>
      <c r="X18" s="149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</row>
    <row r="19" spans="1:59" ht="12.75" customHeight="1" outlineLevel="1" x14ac:dyDescent="0.25">
      <c r="A19" s="147"/>
      <c r="B19" s="148"/>
      <c r="C19" s="290" t="s">
        <v>119</v>
      </c>
      <c r="D19" s="291"/>
      <c r="E19" s="291"/>
      <c r="F19" s="291"/>
      <c r="G19" s="291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</row>
    <row r="20" spans="1:59" outlineLevel="1" x14ac:dyDescent="0.25">
      <c r="A20" s="147"/>
      <c r="B20" s="148"/>
      <c r="C20" s="292"/>
      <c r="D20" s="293"/>
      <c r="E20" s="293"/>
      <c r="F20" s="293"/>
      <c r="G20" s="293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</row>
    <row r="21" spans="1:59" outlineLevel="1" x14ac:dyDescent="0.25">
      <c r="A21" s="157">
        <f>A18+1</f>
        <v>5</v>
      </c>
      <c r="B21" s="158" t="s">
        <v>120</v>
      </c>
      <c r="C21" s="168" t="s">
        <v>164</v>
      </c>
      <c r="D21" s="159" t="s">
        <v>116</v>
      </c>
      <c r="E21" s="160">
        <f>E18</f>
        <v>23.93</v>
      </c>
      <c r="F21" s="161"/>
      <c r="G21" s="162">
        <f>ROUND(E21*F21,2)</f>
        <v>0</v>
      </c>
      <c r="H21" s="161">
        <v>0</v>
      </c>
      <c r="I21" s="162">
        <f>ROUND(E21*H21,2)</f>
        <v>0</v>
      </c>
      <c r="J21" s="161">
        <v>265</v>
      </c>
      <c r="K21" s="162">
        <f>ROUND(E21*J21,2)</f>
        <v>6341.45</v>
      </c>
      <c r="L21" s="162">
        <v>21</v>
      </c>
      <c r="M21" s="162">
        <f>G21*(1+L21/100)</f>
        <v>0</v>
      </c>
      <c r="N21" s="162">
        <v>0</v>
      </c>
      <c r="O21" s="162">
        <f>ROUND(E21*N21,2)</f>
        <v>0</v>
      </c>
      <c r="P21" s="162">
        <v>0</v>
      </c>
      <c r="Q21" s="162">
        <f>ROUND(E21*P21,2)</f>
        <v>0</v>
      </c>
      <c r="R21" s="162" t="s">
        <v>115</v>
      </c>
      <c r="S21" s="162" t="s">
        <v>322</v>
      </c>
      <c r="T21" s="162" t="s">
        <v>322</v>
      </c>
      <c r="U21" s="149"/>
      <c r="V21" s="149"/>
      <c r="W21" s="149"/>
      <c r="X21" s="149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</row>
    <row r="22" spans="1:59" ht="12.75" customHeight="1" outlineLevel="1" x14ac:dyDescent="0.25">
      <c r="A22" s="147"/>
      <c r="B22" s="148"/>
      <c r="C22" s="295"/>
      <c r="D22" s="296"/>
      <c r="E22" s="296"/>
      <c r="F22" s="296"/>
      <c r="G22" s="296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</row>
    <row r="23" spans="1:59" outlineLevel="1" x14ac:dyDescent="0.25">
      <c r="A23" s="157">
        <f>A21+1</f>
        <v>6</v>
      </c>
      <c r="B23" s="158" t="s">
        <v>121</v>
      </c>
      <c r="C23" s="168" t="s">
        <v>160</v>
      </c>
      <c r="D23" s="159" t="s">
        <v>98</v>
      </c>
      <c r="E23" s="160">
        <f>3*3*5</f>
        <v>45</v>
      </c>
      <c r="F23" s="161"/>
      <c r="G23" s="162">
        <f>ROUND(E23*F23,2)</f>
        <v>0</v>
      </c>
      <c r="H23" s="161">
        <v>1.68</v>
      </c>
      <c r="I23" s="162">
        <f>ROUND(E23*H23,2)</f>
        <v>75.599999999999994</v>
      </c>
      <c r="J23" s="161">
        <v>22.42</v>
      </c>
      <c r="K23" s="162">
        <f>ROUND(E23*J23,2)</f>
        <v>1008.9</v>
      </c>
      <c r="L23" s="162">
        <v>21</v>
      </c>
      <c r="M23" s="162">
        <f>G23*(1+L23/100)</f>
        <v>0</v>
      </c>
      <c r="N23" s="162">
        <v>0</v>
      </c>
      <c r="O23" s="162">
        <f>ROUND(E23*N23,2)</f>
        <v>0</v>
      </c>
      <c r="P23" s="162">
        <v>0</v>
      </c>
      <c r="Q23" s="162">
        <f>ROUND(E23*P23,2)</f>
        <v>0</v>
      </c>
      <c r="R23" s="162" t="s">
        <v>122</v>
      </c>
      <c r="S23" s="162" t="s">
        <v>322</v>
      </c>
      <c r="T23" s="162" t="s">
        <v>322</v>
      </c>
      <c r="U23" s="149"/>
      <c r="V23" s="149"/>
      <c r="W23" s="149"/>
      <c r="X23" s="149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</row>
    <row r="24" spans="1:59" ht="12.75" customHeight="1" outlineLevel="1" x14ac:dyDescent="0.25">
      <c r="A24" s="147"/>
      <c r="B24" s="148"/>
      <c r="C24" s="290" t="s">
        <v>123</v>
      </c>
      <c r="D24" s="291"/>
      <c r="E24" s="291"/>
      <c r="F24" s="291"/>
      <c r="G24" s="291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</row>
    <row r="25" spans="1:59" outlineLevel="1" x14ac:dyDescent="0.25">
      <c r="A25" s="147"/>
      <c r="B25" s="148"/>
      <c r="C25" s="292"/>
      <c r="D25" s="293"/>
      <c r="E25" s="293"/>
      <c r="F25" s="293"/>
      <c r="G25" s="293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</row>
    <row r="26" spans="1:59" ht="13.5" customHeight="1" outlineLevel="1" x14ac:dyDescent="0.25">
      <c r="A26" s="157">
        <f>A23+1</f>
        <v>7</v>
      </c>
      <c r="B26" s="158" t="s">
        <v>192</v>
      </c>
      <c r="C26" s="168" t="s">
        <v>182</v>
      </c>
      <c r="D26" s="159" t="s">
        <v>98</v>
      </c>
      <c r="E26" s="160">
        <f>E23</f>
        <v>45</v>
      </c>
      <c r="F26" s="161"/>
      <c r="G26" s="162">
        <f>ROUND(E26*F26,2)</f>
        <v>0</v>
      </c>
      <c r="H26" s="161">
        <v>0</v>
      </c>
      <c r="I26" s="162">
        <f>ROUND(E26*H26,2)</f>
        <v>0</v>
      </c>
      <c r="J26" s="161">
        <v>17.399999999999999</v>
      </c>
      <c r="K26" s="162">
        <f>ROUND(E26*J26,2)</f>
        <v>783</v>
      </c>
      <c r="L26" s="162">
        <v>21</v>
      </c>
      <c r="M26" s="162">
        <f>G26*(1+L26/100)</f>
        <v>0</v>
      </c>
      <c r="N26" s="162">
        <v>0</v>
      </c>
      <c r="O26" s="162">
        <f>ROUND(E26*N26,2)</f>
        <v>0</v>
      </c>
      <c r="P26" s="162">
        <v>0</v>
      </c>
      <c r="Q26" s="162">
        <f>ROUND(E26*P26,2)</f>
        <v>0</v>
      </c>
      <c r="R26" s="162" t="s">
        <v>181</v>
      </c>
      <c r="S26" s="162" t="s">
        <v>322</v>
      </c>
      <c r="T26" s="162" t="s">
        <v>322</v>
      </c>
      <c r="U26" s="149"/>
      <c r="V26" s="149"/>
      <c r="W26" s="149"/>
      <c r="X26" s="149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</row>
    <row r="27" spans="1:59" ht="12.75" customHeight="1" outlineLevel="1" x14ac:dyDescent="0.25">
      <c r="A27" s="147"/>
      <c r="B27" s="148"/>
      <c r="C27" s="290" t="s">
        <v>183</v>
      </c>
      <c r="D27" s="291"/>
      <c r="E27" s="291"/>
      <c r="F27" s="291"/>
      <c r="G27" s="291"/>
      <c r="H27" s="181"/>
      <c r="I27" s="149"/>
      <c r="J27" s="181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</row>
    <row r="28" spans="1:59" outlineLevel="1" x14ac:dyDescent="0.25">
      <c r="A28" s="147"/>
      <c r="B28" s="148"/>
      <c r="C28" s="169"/>
      <c r="D28" s="164"/>
      <c r="E28" s="164"/>
      <c r="F28" s="164"/>
      <c r="G28" s="164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</row>
    <row r="29" spans="1:59" outlineLevel="1" x14ac:dyDescent="0.25">
      <c r="A29" s="157">
        <f>A26+1</f>
        <v>8</v>
      </c>
      <c r="B29" s="158" t="s">
        <v>362</v>
      </c>
      <c r="C29" s="168" t="s">
        <v>361</v>
      </c>
      <c r="D29" s="159" t="s">
        <v>116</v>
      </c>
      <c r="E29" s="160">
        <f>E18</f>
        <v>23.93</v>
      </c>
      <c r="F29" s="161"/>
      <c r="G29" s="162">
        <f>ROUND(E29*F29,2)</f>
        <v>0</v>
      </c>
      <c r="H29" s="161">
        <v>0</v>
      </c>
      <c r="I29" s="162">
        <f>ROUND(E29*H29,2)</f>
        <v>0</v>
      </c>
      <c r="J29" s="161">
        <v>282.5</v>
      </c>
      <c r="K29" s="162">
        <f>ROUND(E29*J29,2)</f>
        <v>6760.23</v>
      </c>
      <c r="L29" s="162">
        <v>21</v>
      </c>
      <c r="M29" s="162">
        <f>G29*(1+L29/100)</f>
        <v>0</v>
      </c>
      <c r="N29" s="162">
        <v>0</v>
      </c>
      <c r="O29" s="162">
        <f>ROUND(E29*N29,2)</f>
        <v>0</v>
      </c>
      <c r="P29" s="162">
        <v>0</v>
      </c>
      <c r="Q29" s="162">
        <f>ROUND(E29*P29,2)</f>
        <v>0</v>
      </c>
      <c r="R29" s="162" t="s">
        <v>115</v>
      </c>
      <c r="S29" s="162" t="s">
        <v>322</v>
      </c>
      <c r="T29" s="162" t="s">
        <v>322</v>
      </c>
      <c r="U29" s="149"/>
      <c r="V29" s="149"/>
      <c r="W29" s="149"/>
      <c r="X29" s="149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</row>
    <row r="30" spans="1:59" outlineLevel="1" x14ac:dyDescent="0.25">
      <c r="A30" s="147"/>
      <c r="B30" s="148"/>
      <c r="C30" s="295"/>
      <c r="D30" s="296"/>
      <c r="E30" s="296"/>
      <c r="F30" s="296"/>
      <c r="G30" s="296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</row>
    <row r="31" spans="1:59" x14ac:dyDescent="0.25">
      <c r="A31" s="151" t="s">
        <v>91</v>
      </c>
      <c r="B31" s="152" t="s">
        <v>200</v>
      </c>
      <c r="C31" s="167" t="s">
        <v>201</v>
      </c>
      <c r="D31" s="153"/>
      <c r="E31" s="154"/>
      <c r="F31" s="155"/>
      <c r="G31" s="155">
        <f>SUMIF(AF32:AF49,"&lt;&gt;NOR",G32:G49)</f>
        <v>0</v>
      </c>
      <c r="H31" s="155"/>
      <c r="I31" s="155">
        <f>SUM(I32:I49)</f>
        <v>51515.460000000006</v>
      </c>
      <c r="J31" s="155"/>
      <c r="K31" s="155">
        <f>SUM(K32:K49)</f>
        <v>143349.88</v>
      </c>
      <c r="L31" s="155"/>
      <c r="M31" s="155">
        <f>SUM(M32:M49)</f>
        <v>0</v>
      </c>
      <c r="N31" s="155"/>
      <c r="O31" s="155">
        <f>SUM(O32:O49)</f>
        <v>40.340000000000003</v>
      </c>
      <c r="P31" s="155"/>
      <c r="Q31" s="155">
        <f>SUM(Q32:Q49)</f>
        <v>0</v>
      </c>
      <c r="R31" s="155"/>
      <c r="S31" s="155"/>
      <c r="T31" s="156"/>
      <c r="U31" s="150"/>
      <c r="V31" s="150">
        <f>SUM(V32:V34)</f>
        <v>0</v>
      </c>
      <c r="W31" s="150"/>
      <c r="X31" s="150"/>
      <c r="Y31" s="84"/>
      <c r="AF31" t="s">
        <v>92</v>
      </c>
    </row>
    <row r="32" spans="1:59" outlineLevel="1" x14ac:dyDescent="0.25">
      <c r="A32" s="157">
        <f>A29+1</f>
        <v>9</v>
      </c>
      <c r="B32" s="158" t="s">
        <v>315</v>
      </c>
      <c r="C32" s="168" t="s">
        <v>314</v>
      </c>
      <c r="D32" s="159" t="s">
        <v>98</v>
      </c>
      <c r="E32" s="160">
        <v>38</v>
      </c>
      <c r="F32" s="161"/>
      <c r="G32" s="162">
        <f>ROUND(E32*F32,2)</f>
        <v>0</v>
      </c>
      <c r="H32" s="161">
        <v>375.32</v>
      </c>
      <c r="I32" s="162">
        <f>ROUND(E32*H32,2)</f>
        <v>14262.16</v>
      </c>
      <c r="J32" s="161">
        <v>1367.68</v>
      </c>
      <c r="K32" s="162">
        <f>ROUND(E32*J32,2)</f>
        <v>51971.839999999997</v>
      </c>
      <c r="L32" s="162">
        <v>21</v>
      </c>
      <c r="M32" s="162">
        <f>G32*(1+L32/100)</f>
        <v>0</v>
      </c>
      <c r="N32" s="162">
        <v>0.26595000000000002</v>
      </c>
      <c r="O32" s="162">
        <f>ROUND(E32*N32,2)</f>
        <v>10.11</v>
      </c>
      <c r="P32" s="162">
        <v>0</v>
      </c>
      <c r="Q32" s="162">
        <f>ROUND(E32*P32,2)</f>
        <v>0</v>
      </c>
      <c r="R32" s="162" t="s">
        <v>262</v>
      </c>
      <c r="S32" s="163" t="s">
        <v>101</v>
      </c>
      <c r="T32" s="163" t="s">
        <v>101</v>
      </c>
      <c r="U32" s="149"/>
      <c r="V32" s="149"/>
      <c r="W32" s="149"/>
      <c r="X32" s="149"/>
      <c r="Y32" s="140"/>
      <c r="Z32" s="140"/>
      <c r="AA32" s="140"/>
      <c r="AB32" s="140"/>
      <c r="AC32" s="140"/>
      <c r="AD32" s="140"/>
      <c r="AE32" s="140"/>
      <c r="AF32" s="140" t="s">
        <v>105</v>
      </c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65" t="str">
        <f>C32</f>
        <v>Zřízení mostovky z panelů z předpjatého betonu hladkých, vč. dodávky, ukládky a lože</v>
      </c>
      <c r="BA32" s="140"/>
      <c r="BB32" s="140"/>
      <c r="BC32" s="140"/>
      <c r="BD32" s="140"/>
      <c r="BE32" s="140"/>
      <c r="BF32" s="140"/>
      <c r="BG32" s="140"/>
    </row>
    <row r="33" spans="1:59" outlineLevel="1" x14ac:dyDescent="0.25">
      <c r="A33" s="147"/>
      <c r="B33" s="148"/>
      <c r="C33" s="219" t="s">
        <v>338</v>
      </c>
      <c r="D33" s="220"/>
      <c r="E33" s="221"/>
      <c r="F33" s="222"/>
      <c r="G33" s="149"/>
      <c r="H33" s="181"/>
      <c r="I33" s="149"/>
      <c r="J33" s="181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65"/>
      <c r="BA33" s="140"/>
      <c r="BB33" s="140"/>
      <c r="BC33" s="140"/>
      <c r="BD33" s="140"/>
      <c r="BE33" s="140"/>
      <c r="BF33" s="140"/>
      <c r="BG33" s="140"/>
    </row>
    <row r="34" spans="1:59" outlineLevel="1" x14ac:dyDescent="0.25">
      <c r="A34" s="147"/>
      <c r="B34" s="148"/>
      <c r="C34" s="292"/>
      <c r="D34" s="293"/>
      <c r="E34" s="293"/>
      <c r="F34" s="293"/>
      <c r="G34" s="293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0"/>
      <c r="Z34" s="140"/>
      <c r="AA34" s="140"/>
      <c r="AB34" s="140"/>
      <c r="AC34" s="140"/>
      <c r="AD34" s="140"/>
      <c r="AE34" s="140"/>
      <c r="AF34" s="140" t="s">
        <v>93</v>
      </c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</row>
    <row r="35" spans="1:59" outlineLevel="1" x14ac:dyDescent="0.25">
      <c r="A35" s="157">
        <f>A32+1</f>
        <v>10</v>
      </c>
      <c r="B35" s="158" t="s">
        <v>316</v>
      </c>
      <c r="C35" s="168" t="s">
        <v>378</v>
      </c>
      <c r="D35" s="159" t="s">
        <v>116</v>
      </c>
      <c r="E35" s="160">
        <v>3.6</v>
      </c>
      <c r="F35" s="161"/>
      <c r="G35" s="162">
        <f>ROUND(E35*F35,2)</f>
        <v>0</v>
      </c>
      <c r="H35" s="161">
        <v>375.32</v>
      </c>
      <c r="I35" s="162">
        <f>ROUND(E35*H35,2)</f>
        <v>1351.15</v>
      </c>
      <c r="J35" s="161">
        <v>1367.68</v>
      </c>
      <c r="K35" s="162">
        <f>ROUND(E35*J35,2)</f>
        <v>4923.6499999999996</v>
      </c>
      <c r="L35" s="162">
        <v>21</v>
      </c>
      <c r="M35" s="162">
        <f>G35*(1+L35/100)</f>
        <v>0</v>
      </c>
      <c r="N35" s="162">
        <v>0.26595000000000002</v>
      </c>
      <c r="O35" s="162">
        <f>ROUND(E35*N35,2)</f>
        <v>0.96</v>
      </c>
      <c r="P35" s="162">
        <v>0</v>
      </c>
      <c r="Q35" s="162">
        <f>ROUND(E35*P35,2)</f>
        <v>0</v>
      </c>
      <c r="R35" s="162" t="s">
        <v>262</v>
      </c>
      <c r="S35" s="162" t="s">
        <v>322</v>
      </c>
      <c r="T35" s="162" t="s">
        <v>322</v>
      </c>
      <c r="U35" s="149"/>
      <c r="V35" s="149"/>
      <c r="W35" s="149"/>
      <c r="X35" s="149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</row>
    <row r="36" spans="1:59" outlineLevel="1" x14ac:dyDescent="0.25">
      <c r="A36" s="147"/>
      <c r="B36" s="148"/>
      <c r="C36" s="219" t="s">
        <v>338</v>
      </c>
      <c r="D36" s="220"/>
      <c r="E36" s="221"/>
      <c r="F36" s="222"/>
      <c r="G36" s="149"/>
      <c r="H36" s="181"/>
      <c r="I36" s="149"/>
      <c r="J36" s="181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</row>
    <row r="37" spans="1:59" outlineLevel="1" x14ac:dyDescent="0.25">
      <c r="A37" s="147"/>
      <c r="B37" s="148"/>
      <c r="C37" s="169"/>
      <c r="D37" s="164"/>
      <c r="E37" s="164"/>
      <c r="F37" s="164"/>
      <c r="G37" s="164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</row>
    <row r="38" spans="1:59" outlineLevel="1" x14ac:dyDescent="0.25">
      <c r="A38" s="157">
        <f>A35+1</f>
        <v>11</v>
      </c>
      <c r="B38" s="158" t="s">
        <v>381</v>
      </c>
      <c r="C38" s="168" t="s">
        <v>379</v>
      </c>
      <c r="D38" s="159" t="s">
        <v>98</v>
      </c>
      <c r="E38" s="160">
        <f>(7.82+0.85)*2*0.5*2</f>
        <v>17.34</v>
      </c>
      <c r="F38" s="161"/>
      <c r="G38" s="162">
        <f>ROUND(E38*F38,2)</f>
        <v>0</v>
      </c>
      <c r="H38" s="161">
        <v>375.32</v>
      </c>
      <c r="I38" s="162">
        <f>ROUND(E38*H38,2)</f>
        <v>6508.05</v>
      </c>
      <c r="J38" s="161">
        <v>1367.68</v>
      </c>
      <c r="K38" s="162">
        <f>ROUND(E38*J38,2)</f>
        <v>23715.57</v>
      </c>
      <c r="L38" s="162">
        <v>21</v>
      </c>
      <c r="M38" s="162">
        <f>G38*(1+L38/100)</f>
        <v>0</v>
      </c>
      <c r="N38" s="162">
        <v>0.26595000000000002</v>
      </c>
      <c r="O38" s="162">
        <f>ROUND(E38*N38,2)</f>
        <v>4.6100000000000003</v>
      </c>
      <c r="P38" s="162">
        <v>0</v>
      </c>
      <c r="Q38" s="162">
        <f>ROUND(E38*P38,2)</f>
        <v>0</v>
      </c>
      <c r="R38" s="162" t="s">
        <v>262</v>
      </c>
      <c r="S38" s="162" t="s">
        <v>322</v>
      </c>
      <c r="T38" s="162" t="s">
        <v>322</v>
      </c>
      <c r="U38" s="149"/>
      <c r="V38" s="149"/>
      <c r="W38" s="149"/>
      <c r="X38" s="149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</row>
    <row r="39" spans="1:59" outlineLevel="1" x14ac:dyDescent="0.25">
      <c r="A39" s="147"/>
      <c r="B39" s="148"/>
      <c r="C39" s="169"/>
      <c r="D39" s="164"/>
      <c r="E39" s="164"/>
      <c r="F39" s="164"/>
      <c r="G39" s="164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</row>
    <row r="40" spans="1:59" outlineLevel="1" x14ac:dyDescent="0.25">
      <c r="A40" s="157">
        <f>A38+1</f>
        <v>12</v>
      </c>
      <c r="B40" s="158" t="s">
        <v>382</v>
      </c>
      <c r="C40" s="168" t="s">
        <v>380</v>
      </c>
      <c r="D40" s="159" t="s">
        <v>98</v>
      </c>
      <c r="E40" s="160">
        <v>3.6</v>
      </c>
      <c r="F40" s="161"/>
      <c r="G40" s="162">
        <f>ROUND(E40*F40,2)</f>
        <v>0</v>
      </c>
      <c r="H40" s="161">
        <v>375.32</v>
      </c>
      <c r="I40" s="162">
        <f>ROUND(E40*H40,2)</f>
        <v>1351.15</v>
      </c>
      <c r="J40" s="161">
        <v>1367.68</v>
      </c>
      <c r="K40" s="162">
        <f>ROUND(E40*J40,2)</f>
        <v>4923.6499999999996</v>
      </c>
      <c r="L40" s="162">
        <v>21</v>
      </c>
      <c r="M40" s="162">
        <f>G40*(1+L40/100)</f>
        <v>0</v>
      </c>
      <c r="N40" s="162">
        <v>0.26595000000000002</v>
      </c>
      <c r="O40" s="162">
        <f>ROUND(E40*N40,2)</f>
        <v>0.96</v>
      </c>
      <c r="P40" s="162">
        <v>0</v>
      </c>
      <c r="Q40" s="162">
        <f>ROUND(E40*P40,2)</f>
        <v>0</v>
      </c>
      <c r="R40" s="162" t="s">
        <v>262</v>
      </c>
      <c r="S40" s="162" t="s">
        <v>322</v>
      </c>
      <c r="T40" s="162" t="s">
        <v>322</v>
      </c>
      <c r="U40" s="149"/>
      <c r="V40" s="149"/>
      <c r="W40" s="149"/>
      <c r="X40" s="149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</row>
    <row r="41" spans="1:59" outlineLevel="1" x14ac:dyDescent="0.25">
      <c r="A41" s="147"/>
      <c r="B41" s="148"/>
      <c r="C41" s="169"/>
      <c r="D41" s="164"/>
      <c r="E41" s="164"/>
      <c r="F41" s="164"/>
      <c r="G41" s="164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</row>
    <row r="42" spans="1:59" outlineLevel="1" x14ac:dyDescent="0.25">
      <c r="A42" s="157">
        <f>A40+1</f>
        <v>13</v>
      </c>
      <c r="B42" s="158" t="s">
        <v>384</v>
      </c>
      <c r="C42" s="168" t="s">
        <v>383</v>
      </c>
      <c r="D42" s="159" t="s">
        <v>126</v>
      </c>
      <c r="E42" s="160">
        <f>E35*0.146</f>
        <v>0.52559999999999996</v>
      </c>
      <c r="F42" s="161"/>
      <c r="G42" s="162">
        <f>ROUND(E42*F42,2)</f>
        <v>0</v>
      </c>
      <c r="H42" s="161">
        <v>375.32</v>
      </c>
      <c r="I42" s="162">
        <f>ROUND(E42*H42,2)</f>
        <v>197.27</v>
      </c>
      <c r="J42" s="161">
        <v>1367.68</v>
      </c>
      <c r="K42" s="162">
        <f>ROUND(E42*J42,2)</f>
        <v>718.85</v>
      </c>
      <c r="L42" s="162">
        <v>21</v>
      </c>
      <c r="M42" s="162">
        <f>G42*(1+L42/100)</f>
        <v>0</v>
      </c>
      <c r="N42" s="162">
        <v>0.26595000000000002</v>
      </c>
      <c r="O42" s="162">
        <f>ROUND(E42*N42,2)</f>
        <v>0.14000000000000001</v>
      </c>
      <c r="P42" s="162">
        <v>0</v>
      </c>
      <c r="Q42" s="162">
        <f>ROUND(E42*P42,2)</f>
        <v>0</v>
      </c>
      <c r="R42" s="162" t="s">
        <v>262</v>
      </c>
      <c r="S42" s="162" t="s">
        <v>322</v>
      </c>
      <c r="T42" s="162" t="s">
        <v>322</v>
      </c>
      <c r="U42" s="149"/>
      <c r="V42" s="149"/>
      <c r="W42" s="149"/>
      <c r="X42" s="149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</row>
    <row r="43" spans="1:59" outlineLevel="1" x14ac:dyDescent="0.25">
      <c r="A43" s="147"/>
      <c r="B43" s="148"/>
      <c r="C43" s="169"/>
      <c r="D43" s="164"/>
      <c r="E43" s="164"/>
      <c r="F43" s="164"/>
      <c r="G43" s="164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</row>
    <row r="44" spans="1:59" outlineLevel="1" x14ac:dyDescent="0.25">
      <c r="A44" s="157">
        <f>A42+1</f>
        <v>14</v>
      </c>
      <c r="B44" s="158" t="s">
        <v>376</v>
      </c>
      <c r="C44" s="168" t="s">
        <v>375</v>
      </c>
      <c r="D44" s="159" t="s">
        <v>95</v>
      </c>
      <c r="E44" s="160">
        <f>(2*8+1)*2</f>
        <v>34</v>
      </c>
      <c r="F44" s="161"/>
      <c r="G44" s="162">
        <f>ROUND(E44*F44,2)</f>
        <v>0</v>
      </c>
      <c r="H44" s="161">
        <v>375.32</v>
      </c>
      <c r="I44" s="162">
        <f>ROUND(E44*H44,2)</f>
        <v>12760.88</v>
      </c>
      <c r="J44" s="161">
        <v>1367.68</v>
      </c>
      <c r="K44" s="162">
        <f>ROUND(E44*J44,2)</f>
        <v>46501.120000000003</v>
      </c>
      <c r="L44" s="162">
        <v>21</v>
      </c>
      <c r="M44" s="162">
        <f>G44*(1+L44/100)</f>
        <v>0</v>
      </c>
      <c r="N44" s="162">
        <v>0.26595000000000002</v>
      </c>
      <c r="O44" s="162">
        <f>ROUND(E44*N44,2)</f>
        <v>9.0399999999999991</v>
      </c>
      <c r="P44" s="162">
        <v>0</v>
      </c>
      <c r="Q44" s="162">
        <f>ROUND(E44*P44,2)</f>
        <v>0</v>
      </c>
      <c r="R44" s="162" t="s">
        <v>262</v>
      </c>
      <c r="S44" s="162" t="s">
        <v>322</v>
      </c>
      <c r="T44" s="163" t="s">
        <v>101</v>
      </c>
      <c r="U44" s="149"/>
      <c r="V44" s="149"/>
      <c r="W44" s="149"/>
      <c r="X44" s="149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</row>
    <row r="45" spans="1:59" outlineLevel="1" x14ac:dyDescent="0.25">
      <c r="A45" s="147"/>
      <c r="B45" s="148"/>
      <c r="C45" s="219" t="s">
        <v>377</v>
      </c>
      <c r="D45" s="220"/>
      <c r="E45" s="221"/>
      <c r="F45" s="222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</row>
    <row r="46" spans="1:59" outlineLevel="1" x14ac:dyDescent="0.25">
      <c r="A46" s="147"/>
      <c r="B46" s="148"/>
      <c r="C46" s="169"/>
      <c r="D46" s="164"/>
      <c r="E46" s="164"/>
      <c r="F46" s="164"/>
      <c r="G46" s="164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</row>
    <row r="47" spans="1:59" ht="20.399999999999999" outlineLevel="1" x14ac:dyDescent="0.25">
      <c r="A47" s="157">
        <f>A44+1</f>
        <v>15</v>
      </c>
      <c r="B47" s="158" t="s">
        <v>263</v>
      </c>
      <c r="C47" s="168" t="s">
        <v>385</v>
      </c>
      <c r="D47" s="159" t="s">
        <v>98</v>
      </c>
      <c r="E47" s="160">
        <v>20</v>
      </c>
      <c r="F47" s="161"/>
      <c r="G47" s="162">
        <f>ROUND(E47*F47,2)</f>
        <v>0</v>
      </c>
      <c r="H47" s="161">
        <v>754.24</v>
      </c>
      <c r="I47" s="162">
        <f>ROUND(E47*H47,2)</f>
        <v>15084.8</v>
      </c>
      <c r="J47" s="161">
        <v>529.76</v>
      </c>
      <c r="K47" s="162">
        <f>ROUND(E47*J47,2)</f>
        <v>10595.2</v>
      </c>
      <c r="L47" s="162">
        <v>21</v>
      </c>
      <c r="M47" s="162">
        <f>G47*(1+L47/100)</f>
        <v>0</v>
      </c>
      <c r="N47" s="162">
        <v>0.72618000000000005</v>
      </c>
      <c r="O47" s="162">
        <f>ROUND(E47*N47,2)</f>
        <v>14.52</v>
      </c>
      <c r="P47" s="162">
        <v>0</v>
      </c>
      <c r="Q47" s="162">
        <f>ROUND(E47*P47,2)</f>
        <v>0</v>
      </c>
      <c r="R47" s="162" t="s">
        <v>264</v>
      </c>
      <c r="S47" s="162" t="s">
        <v>322</v>
      </c>
      <c r="T47" s="162" t="s">
        <v>322</v>
      </c>
      <c r="U47" s="149"/>
      <c r="V47" s="149"/>
      <c r="W47" s="149"/>
      <c r="X47" s="149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</row>
    <row r="48" spans="1:59" outlineLevel="1" x14ac:dyDescent="0.25">
      <c r="A48" s="147"/>
      <c r="B48" s="148"/>
      <c r="C48" s="290" t="s">
        <v>265</v>
      </c>
      <c r="D48" s="291"/>
      <c r="E48" s="291"/>
      <c r="F48" s="291"/>
      <c r="G48" s="291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</row>
    <row r="49" spans="1:59" outlineLevel="1" x14ac:dyDescent="0.25">
      <c r="A49" s="147"/>
      <c r="B49" s="148"/>
      <c r="C49" s="292"/>
      <c r="D49" s="293"/>
      <c r="E49" s="293"/>
      <c r="F49" s="293"/>
      <c r="G49" s="293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</row>
    <row r="50" spans="1:59" ht="15" customHeight="1" outlineLevel="1" x14ac:dyDescent="0.25">
      <c r="A50" s="151" t="s">
        <v>91</v>
      </c>
      <c r="B50" s="152" t="s">
        <v>54</v>
      </c>
      <c r="C50" s="167" t="s">
        <v>55</v>
      </c>
      <c r="D50" s="153"/>
      <c r="E50" s="154"/>
      <c r="F50" s="155"/>
      <c r="G50" s="155">
        <f>SUMIF(AF51:AF60,"&lt;&gt;NOR",G51:G60)</f>
        <v>0</v>
      </c>
      <c r="H50" s="155"/>
      <c r="I50" s="155">
        <f>SUM(I51:I60)</f>
        <v>11044.39</v>
      </c>
      <c r="J50" s="155"/>
      <c r="K50" s="155">
        <f>SUM(K51:K60)</f>
        <v>7621.41</v>
      </c>
      <c r="L50" s="155"/>
      <c r="M50" s="155">
        <f>SUM(M51:M60)</f>
        <v>0</v>
      </c>
      <c r="N50" s="155"/>
      <c r="O50" s="155">
        <f>SUM(O51:O60)</f>
        <v>10.17</v>
      </c>
      <c r="P50" s="155"/>
      <c r="Q50" s="155">
        <f>SUM(Q51:Q60)</f>
        <v>0</v>
      </c>
      <c r="R50" s="155"/>
      <c r="S50" s="155"/>
      <c r="T50" s="156"/>
      <c r="U50" s="149"/>
      <c r="V50" s="149"/>
      <c r="W50" s="149"/>
      <c r="X50" s="149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</row>
    <row r="51" spans="1:59" ht="20.399999999999999" outlineLevel="1" x14ac:dyDescent="0.25">
      <c r="A51" s="157">
        <f>A47+1</f>
        <v>16</v>
      </c>
      <c r="B51" s="158" t="s">
        <v>328</v>
      </c>
      <c r="C51" s="168" t="s">
        <v>327</v>
      </c>
      <c r="D51" s="159" t="s">
        <v>116</v>
      </c>
      <c r="E51" s="160">
        <f>6.6*2.5*0.3*2</f>
        <v>9.9</v>
      </c>
      <c r="F51" s="161"/>
      <c r="G51" s="162">
        <f>ROUND(E51*F51,2)</f>
        <v>0</v>
      </c>
      <c r="H51" s="161">
        <v>241.18</v>
      </c>
      <c r="I51" s="162">
        <f>ROUND(E51*H51,2)</f>
        <v>2387.6799999999998</v>
      </c>
      <c r="J51" s="161">
        <v>31.82</v>
      </c>
      <c r="K51" s="162">
        <f>ROUND(E51*J51,2)</f>
        <v>315.02</v>
      </c>
      <c r="L51" s="162">
        <v>21</v>
      </c>
      <c r="M51" s="162">
        <f>G51*(1+L51/100)</f>
        <v>0</v>
      </c>
      <c r="N51" s="162">
        <v>0.55125000000000002</v>
      </c>
      <c r="O51" s="162">
        <f>ROUND(E51*N51,2)</f>
        <v>5.46</v>
      </c>
      <c r="P51" s="162">
        <v>0</v>
      </c>
      <c r="Q51" s="162">
        <f>ROUND(E51*P51,2)</f>
        <v>0</v>
      </c>
      <c r="R51" s="162" t="s">
        <v>109</v>
      </c>
      <c r="S51" s="162" t="s">
        <v>322</v>
      </c>
      <c r="T51" s="162" t="s">
        <v>322</v>
      </c>
      <c r="U51" s="149"/>
      <c r="V51" s="149"/>
      <c r="W51" s="149"/>
      <c r="X51" s="149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</row>
    <row r="52" spans="1:59" x14ac:dyDescent="0.25">
      <c r="A52" s="147"/>
      <c r="B52" s="148"/>
      <c r="C52" s="294"/>
      <c r="D52" s="294"/>
      <c r="E52" s="294"/>
      <c r="F52" s="294"/>
      <c r="G52" s="294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50"/>
      <c r="V52" s="150">
        <f>SUM(V53:V55)</f>
        <v>0</v>
      </c>
      <c r="W52" s="150"/>
      <c r="X52" s="150"/>
      <c r="AF52" t="s">
        <v>92</v>
      </c>
    </row>
    <row r="53" spans="1:59" outlineLevel="1" x14ac:dyDescent="0.25">
      <c r="A53" s="157">
        <f>A51+1</f>
        <v>17</v>
      </c>
      <c r="B53" s="158" t="s">
        <v>266</v>
      </c>
      <c r="C53" s="168" t="s">
        <v>313</v>
      </c>
      <c r="D53" s="159" t="s">
        <v>116</v>
      </c>
      <c r="E53" s="160">
        <f>6.6*2.5*0.2*2</f>
        <v>6.6000000000000005</v>
      </c>
      <c r="F53" s="161"/>
      <c r="G53" s="162">
        <f>ROUND(E53*F53,2)</f>
        <v>0</v>
      </c>
      <c r="H53" s="161">
        <v>242.51</v>
      </c>
      <c r="I53" s="162">
        <f>ROUND(E53*H53,2)</f>
        <v>1600.57</v>
      </c>
      <c r="J53" s="161">
        <v>34.49</v>
      </c>
      <c r="K53" s="162">
        <f>ROUND(E53*J53,2)</f>
        <v>227.63</v>
      </c>
      <c r="L53" s="162">
        <v>21</v>
      </c>
      <c r="M53" s="162">
        <f>G53*(1+L53/100)</f>
        <v>0</v>
      </c>
      <c r="N53" s="162">
        <v>0.30651</v>
      </c>
      <c r="O53" s="162">
        <f>ROUND(E53*N53,2)</f>
        <v>2.02</v>
      </c>
      <c r="P53" s="162">
        <v>0</v>
      </c>
      <c r="Q53" s="162">
        <f>ROUND(E53*P53,2)</f>
        <v>0</v>
      </c>
      <c r="R53" s="162" t="s">
        <v>109</v>
      </c>
      <c r="S53" s="162" t="s">
        <v>322</v>
      </c>
      <c r="T53" s="162" t="s">
        <v>322</v>
      </c>
      <c r="U53" s="149">
        <v>0</v>
      </c>
      <c r="V53" s="149">
        <f>ROUND(E53*U53,2)</f>
        <v>0</v>
      </c>
      <c r="W53" s="149"/>
      <c r="X53" s="149" t="s">
        <v>102</v>
      </c>
      <c r="Y53" s="140"/>
      <c r="Z53" s="140"/>
      <c r="AA53" s="140"/>
      <c r="AB53" s="140"/>
      <c r="AC53" s="140"/>
      <c r="AD53" s="140"/>
      <c r="AE53" s="140"/>
      <c r="AF53" s="140" t="s">
        <v>103</v>
      </c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</row>
    <row r="54" spans="1:59" ht="12.75" customHeight="1" outlineLevel="1" x14ac:dyDescent="0.25">
      <c r="A54" s="147"/>
      <c r="B54" s="148"/>
      <c r="C54" s="290" t="s">
        <v>267</v>
      </c>
      <c r="D54" s="291"/>
      <c r="E54" s="291"/>
      <c r="F54" s="291"/>
      <c r="G54" s="291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0"/>
      <c r="Z54" s="140"/>
      <c r="AA54" s="140"/>
      <c r="AB54" s="140"/>
      <c r="AC54" s="140"/>
      <c r="AD54" s="140"/>
      <c r="AE54" s="140"/>
      <c r="AF54" s="140" t="s">
        <v>105</v>
      </c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65" t="str">
        <f>C54</f>
        <v>bez dilatačních spár, s rozprostřením a zhutněním, ošetřením povrchu podkladu vodou</v>
      </c>
      <c r="BA54" s="140"/>
      <c r="BB54" s="140"/>
      <c r="BC54" s="140"/>
      <c r="BD54" s="140"/>
      <c r="BE54" s="140"/>
      <c r="BF54" s="140"/>
      <c r="BG54" s="140"/>
    </row>
    <row r="55" spans="1:59" outlineLevel="1" x14ac:dyDescent="0.25">
      <c r="A55" s="147"/>
      <c r="B55" s="148"/>
      <c r="C55" s="292"/>
      <c r="D55" s="293"/>
      <c r="E55" s="293"/>
      <c r="F55" s="293"/>
      <c r="G55" s="293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0"/>
      <c r="Z55" s="140"/>
      <c r="AA55" s="140"/>
      <c r="AB55" s="140"/>
      <c r="AC55" s="140"/>
      <c r="AD55" s="140"/>
      <c r="AE55" s="140"/>
      <c r="AF55" s="140" t="s">
        <v>93</v>
      </c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</row>
    <row r="56" spans="1:59" x14ac:dyDescent="0.25">
      <c r="A56" s="157">
        <f>A53+1</f>
        <v>18</v>
      </c>
      <c r="B56" s="158" t="s">
        <v>268</v>
      </c>
      <c r="C56" s="168" t="s">
        <v>269</v>
      </c>
      <c r="D56" s="159" t="s">
        <v>114</v>
      </c>
      <c r="E56" s="160">
        <v>13</v>
      </c>
      <c r="F56" s="161"/>
      <c r="G56" s="162">
        <f>ROUND(E56*F56,2)</f>
        <v>0</v>
      </c>
      <c r="H56" s="161">
        <v>9.66</v>
      </c>
      <c r="I56" s="162">
        <f>ROUND(E56*H56,2)</f>
        <v>125.58</v>
      </c>
      <c r="J56" s="161">
        <v>13.64</v>
      </c>
      <c r="K56" s="162">
        <f>ROUND(E56*J56,2)</f>
        <v>177.32</v>
      </c>
      <c r="L56" s="162">
        <v>21</v>
      </c>
      <c r="M56" s="162">
        <f>G56*(1+L56/100)</f>
        <v>0</v>
      </c>
      <c r="N56" s="162">
        <v>5.0000000000000001E-4</v>
      </c>
      <c r="O56" s="162">
        <f>ROUND(E56*N56,2)</f>
        <v>0.01</v>
      </c>
      <c r="P56" s="162">
        <v>0</v>
      </c>
      <c r="Q56" s="162">
        <f>ROUND(E56*P56,2)</f>
        <v>0</v>
      </c>
      <c r="R56" s="162" t="s">
        <v>264</v>
      </c>
      <c r="S56" s="162" t="s">
        <v>322</v>
      </c>
      <c r="T56" s="162" t="s">
        <v>322</v>
      </c>
    </row>
    <row r="57" spans="1:59" x14ac:dyDescent="0.25">
      <c r="A57" s="147"/>
      <c r="B57" s="148"/>
      <c r="C57" s="178"/>
      <c r="D57" s="179"/>
      <c r="E57" s="179"/>
      <c r="F57" s="179"/>
      <c r="G57" s="17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</row>
    <row r="58" spans="1:59" x14ac:dyDescent="0.25">
      <c r="A58" s="157">
        <f>A56+1</f>
        <v>19</v>
      </c>
      <c r="B58" s="158" t="s">
        <v>270</v>
      </c>
      <c r="C58" s="168" t="s">
        <v>386</v>
      </c>
      <c r="D58" s="159" t="s">
        <v>98</v>
      </c>
      <c r="E58" s="160">
        <f>5.6*6.5</f>
        <v>36.4</v>
      </c>
      <c r="F58" s="161"/>
      <c r="G58" s="162">
        <f>ROUND(E58*F58,2)</f>
        <v>0</v>
      </c>
      <c r="H58" s="161">
        <v>190.4</v>
      </c>
      <c r="I58" s="162">
        <f>ROUND(E58*H58,2)</f>
        <v>6930.56</v>
      </c>
      <c r="J58" s="161">
        <v>189.6</v>
      </c>
      <c r="K58" s="162">
        <f>ROUND(E58*J58,2)</f>
        <v>6901.44</v>
      </c>
      <c r="L58" s="162">
        <v>21</v>
      </c>
      <c r="M58" s="162">
        <f>G58*(1+L58/100)</f>
        <v>0</v>
      </c>
      <c r="N58" s="162">
        <v>7.349E-2</v>
      </c>
      <c r="O58" s="162">
        <f>ROUND(E58*N58,2)</f>
        <v>2.68</v>
      </c>
      <c r="P58" s="162">
        <v>0</v>
      </c>
      <c r="Q58" s="162">
        <f>ROUND(E58*P58,2)</f>
        <v>0</v>
      </c>
      <c r="R58" s="162" t="s">
        <v>109</v>
      </c>
      <c r="S58" s="162" t="s">
        <v>322</v>
      </c>
      <c r="T58" s="162" t="s">
        <v>322</v>
      </c>
    </row>
    <row r="59" spans="1:59" ht="12.75" customHeight="1" x14ac:dyDescent="0.25">
      <c r="A59" s="147"/>
      <c r="B59" s="148"/>
      <c r="C59" s="290" t="s">
        <v>387</v>
      </c>
      <c r="D59" s="291"/>
      <c r="E59" s="291"/>
      <c r="F59" s="291"/>
      <c r="G59" s="291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</row>
    <row r="60" spans="1:59" x14ac:dyDescent="0.25">
      <c r="A60" s="147"/>
      <c r="B60" s="148"/>
      <c r="C60" s="292"/>
      <c r="D60" s="293"/>
      <c r="E60" s="293"/>
      <c r="F60" s="293"/>
      <c r="G60" s="293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</row>
    <row r="61" spans="1:59" x14ac:dyDescent="0.25">
      <c r="A61" s="151" t="s">
        <v>91</v>
      </c>
      <c r="B61" s="152" t="s">
        <v>392</v>
      </c>
      <c r="C61" s="167" t="s">
        <v>391</v>
      </c>
      <c r="D61" s="153"/>
      <c r="E61" s="154"/>
      <c r="F61" s="155"/>
      <c r="G61" s="155">
        <f>SUMIF(AF62:AF74,"&lt;&gt;NOR",G62:G74)</f>
        <v>0</v>
      </c>
      <c r="H61" s="155"/>
      <c r="I61" s="155">
        <f>SUM(I62:I74)</f>
        <v>49977.39</v>
      </c>
      <c r="J61" s="155"/>
      <c r="K61" s="155">
        <f>SUM(K62:K74)</f>
        <v>653906.6100000001</v>
      </c>
      <c r="L61" s="155"/>
      <c r="M61" s="155">
        <f>SUM(M62:M74)</f>
        <v>0</v>
      </c>
      <c r="N61" s="155"/>
      <c r="O61" s="155">
        <f>SUM(O62:O74)</f>
        <v>3.54</v>
      </c>
      <c r="P61" s="155"/>
      <c r="Q61" s="155">
        <f>SUM(Q62:Q74)</f>
        <v>3.85</v>
      </c>
      <c r="R61" s="155"/>
      <c r="S61" s="155"/>
      <c r="T61" s="156"/>
    </row>
    <row r="62" spans="1:59" ht="20.399999999999999" x14ac:dyDescent="0.25">
      <c r="A62" s="157">
        <f>A58+1</f>
        <v>20</v>
      </c>
      <c r="B62" s="158" t="s">
        <v>310</v>
      </c>
      <c r="C62" s="168" t="s">
        <v>309</v>
      </c>
      <c r="D62" s="159" t="s">
        <v>114</v>
      </c>
      <c r="E62" s="160">
        <v>15.6</v>
      </c>
      <c r="F62" s="161"/>
      <c r="G62" s="162">
        <f>ROUND(E62*F62,2)</f>
        <v>0</v>
      </c>
      <c r="H62" s="161">
        <v>462.5</v>
      </c>
      <c r="I62" s="162">
        <f>ROUND(E62*H62,2)</f>
        <v>7215</v>
      </c>
      <c r="J62" s="161">
        <v>0</v>
      </c>
      <c r="K62" s="162">
        <f>ROUND(E62*J62,2)</f>
        <v>0</v>
      </c>
      <c r="L62" s="162">
        <v>21</v>
      </c>
      <c r="M62" s="162">
        <f>G62*(1+L62/100)</f>
        <v>0</v>
      </c>
      <c r="N62" s="162">
        <v>1.2E-2</v>
      </c>
      <c r="O62" s="162">
        <f>ROUND(E62*N62,2)</f>
        <v>0.19</v>
      </c>
      <c r="P62" s="162">
        <v>0</v>
      </c>
      <c r="Q62" s="162">
        <f>ROUND(E62*P62,2)</f>
        <v>0</v>
      </c>
      <c r="R62" s="162" t="s">
        <v>94</v>
      </c>
      <c r="S62" s="162" t="s">
        <v>322</v>
      </c>
      <c r="T62" s="163" t="s">
        <v>101</v>
      </c>
    </row>
    <row r="63" spans="1:59" x14ac:dyDescent="0.25">
      <c r="A63" s="147"/>
      <c r="B63" s="148"/>
      <c r="C63" s="219" t="s">
        <v>338</v>
      </c>
      <c r="D63" s="220"/>
      <c r="E63" s="221"/>
      <c r="F63" s="222"/>
      <c r="G63" s="149"/>
      <c r="H63" s="181"/>
      <c r="I63" s="149"/>
      <c r="J63" s="181"/>
      <c r="K63" s="149"/>
      <c r="L63" s="149"/>
      <c r="M63" s="149"/>
      <c r="N63" s="149"/>
      <c r="O63" s="149"/>
      <c r="P63" s="149"/>
      <c r="Q63" s="149"/>
      <c r="R63" s="149"/>
      <c r="S63" s="149"/>
      <c r="T63" s="149"/>
    </row>
    <row r="64" spans="1:59" x14ac:dyDescent="0.25">
      <c r="A64" s="147"/>
      <c r="B64" s="148"/>
      <c r="C64" s="292"/>
      <c r="D64" s="293"/>
      <c r="E64" s="293"/>
      <c r="F64" s="293"/>
      <c r="G64" s="293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</row>
    <row r="65" spans="1:20" ht="20.399999999999999" x14ac:dyDescent="0.25">
      <c r="A65" s="157">
        <f>A62+1</f>
        <v>21</v>
      </c>
      <c r="B65" s="158" t="s">
        <v>394</v>
      </c>
      <c r="C65" s="168" t="s">
        <v>393</v>
      </c>
      <c r="D65" s="159" t="s">
        <v>98</v>
      </c>
      <c r="E65" s="160">
        <f>10*2*2</f>
        <v>40</v>
      </c>
      <c r="F65" s="161"/>
      <c r="G65" s="162">
        <f>ROUND(E65*F65,2)</f>
        <v>0</v>
      </c>
      <c r="H65" s="161">
        <v>33.33</v>
      </c>
      <c r="I65" s="162">
        <f>ROUND(E65*H65,2)</f>
        <v>1333.2</v>
      </c>
      <c r="J65" s="161">
        <v>509.67</v>
      </c>
      <c r="K65" s="162">
        <f>ROUND(E65*J65,2)</f>
        <v>20386.8</v>
      </c>
      <c r="L65" s="162">
        <v>21</v>
      </c>
      <c r="M65" s="162">
        <f>G65*(1+L65/100)</f>
        <v>0</v>
      </c>
      <c r="N65" s="162">
        <v>2.6199999999999999E-3</v>
      </c>
      <c r="O65" s="162">
        <f>ROUND(E65*N65,2)</f>
        <v>0.1</v>
      </c>
      <c r="P65" s="162">
        <v>3.0000000000000001E-3</v>
      </c>
      <c r="Q65" s="162">
        <f>ROUND(E65*P65,2)</f>
        <v>0.12</v>
      </c>
      <c r="R65" s="162" t="s">
        <v>274</v>
      </c>
      <c r="S65" s="162" t="s">
        <v>322</v>
      </c>
      <c r="T65" s="162" t="s">
        <v>345</v>
      </c>
    </row>
    <row r="66" spans="1:20" x14ac:dyDescent="0.25">
      <c r="A66" s="147"/>
      <c r="B66" s="148"/>
      <c r="C66" s="169"/>
      <c r="D66" s="164"/>
      <c r="E66" s="164"/>
      <c r="F66" s="164"/>
      <c r="G66" s="164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</row>
    <row r="67" spans="1:20" ht="20.399999999999999" x14ac:dyDescent="0.25">
      <c r="A67" s="157">
        <f>A65+1</f>
        <v>22</v>
      </c>
      <c r="B67" s="158" t="s">
        <v>396</v>
      </c>
      <c r="C67" s="168" t="s">
        <v>395</v>
      </c>
      <c r="D67" s="159" t="s">
        <v>98</v>
      </c>
      <c r="E67" s="160">
        <f>E65*30</f>
        <v>1200</v>
      </c>
      <c r="F67" s="161"/>
      <c r="G67" s="162">
        <f>ROUND(E67*F67,2)</f>
        <v>0</v>
      </c>
      <c r="H67" s="161">
        <v>33.33</v>
      </c>
      <c r="I67" s="162">
        <f>ROUND(E67*H67,2)</f>
        <v>39996</v>
      </c>
      <c r="J67" s="161">
        <v>509.67</v>
      </c>
      <c r="K67" s="162">
        <f>ROUND(E67*J67,2)</f>
        <v>611604</v>
      </c>
      <c r="L67" s="162">
        <v>21</v>
      </c>
      <c r="M67" s="162">
        <f>G67*(1+L67/100)</f>
        <v>0</v>
      </c>
      <c r="N67" s="162">
        <v>2.6199999999999999E-3</v>
      </c>
      <c r="O67" s="162">
        <f>ROUND(E67*N67,2)</f>
        <v>3.14</v>
      </c>
      <c r="P67" s="162">
        <v>3.0000000000000001E-3</v>
      </c>
      <c r="Q67" s="162">
        <f>ROUND(E67*P67,2)</f>
        <v>3.6</v>
      </c>
      <c r="R67" s="162" t="s">
        <v>274</v>
      </c>
      <c r="S67" s="162" t="s">
        <v>322</v>
      </c>
      <c r="T67" s="162" t="s">
        <v>345</v>
      </c>
    </row>
    <row r="68" spans="1:20" x14ac:dyDescent="0.25">
      <c r="A68" s="147"/>
      <c r="B68" s="148"/>
      <c r="C68" s="169"/>
      <c r="D68" s="164"/>
      <c r="E68" s="164"/>
      <c r="F68" s="164"/>
      <c r="G68" s="164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</row>
    <row r="69" spans="1:20" ht="20.399999999999999" x14ac:dyDescent="0.25">
      <c r="A69" s="157">
        <f>A67+1</f>
        <v>23</v>
      </c>
      <c r="B69" s="158" t="s">
        <v>398</v>
      </c>
      <c r="C69" s="168" t="s">
        <v>397</v>
      </c>
      <c r="D69" s="159" t="s">
        <v>98</v>
      </c>
      <c r="E69" s="160">
        <f>E65</f>
        <v>40</v>
      </c>
      <c r="F69" s="161"/>
      <c r="G69" s="162">
        <f>ROUND(E69*F69,2)</f>
        <v>0</v>
      </c>
      <c r="H69" s="161">
        <v>33.33</v>
      </c>
      <c r="I69" s="162">
        <f>ROUND(E69*H69,2)</f>
        <v>1333.2</v>
      </c>
      <c r="J69" s="161">
        <v>509.67</v>
      </c>
      <c r="K69" s="162">
        <f>ROUND(E69*J69,2)</f>
        <v>20386.8</v>
      </c>
      <c r="L69" s="162">
        <v>21</v>
      </c>
      <c r="M69" s="162">
        <f>G69*(1+L69/100)</f>
        <v>0</v>
      </c>
      <c r="N69" s="162">
        <v>2.6199999999999999E-3</v>
      </c>
      <c r="O69" s="162">
        <f>ROUND(E69*N69,2)</f>
        <v>0.1</v>
      </c>
      <c r="P69" s="162">
        <v>3.0000000000000001E-3</v>
      </c>
      <c r="Q69" s="162">
        <f>ROUND(E69*P69,2)</f>
        <v>0.12</v>
      </c>
      <c r="R69" s="162" t="s">
        <v>274</v>
      </c>
      <c r="S69" s="162" t="s">
        <v>322</v>
      </c>
      <c r="T69" s="162" t="s">
        <v>345</v>
      </c>
    </row>
    <row r="70" spans="1:20" x14ac:dyDescent="0.25">
      <c r="A70" s="147"/>
      <c r="B70" s="148"/>
      <c r="C70" s="169"/>
      <c r="D70" s="164"/>
      <c r="E70" s="164"/>
      <c r="F70" s="164"/>
      <c r="G70" s="164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</row>
    <row r="71" spans="1:20" ht="12.75" customHeight="1" x14ac:dyDescent="0.25">
      <c r="A71" s="157">
        <f>A69+1</f>
        <v>24</v>
      </c>
      <c r="B71" s="158" t="s">
        <v>343</v>
      </c>
      <c r="C71" s="168" t="s">
        <v>347</v>
      </c>
      <c r="D71" s="159" t="s">
        <v>95</v>
      </c>
      <c r="E71" s="160">
        <v>2</v>
      </c>
      <c r="F71" s="161"/>
      <c r="G71" s="162">
        <f>ROUND(E71*F71,2)</f>
        <v>0</v>
      </c>
      <c r="H71" s="161">
        <v>33.33</v>
      </c>
      <c r="I71" s="162">
        <f>ROUND(E71*H71,2)</f>
        <v>66.66</v>
      </c>
      <c r="J71" s="161">
        <v>509.67</v>
      </c>
      <c r="K71" s="162">
        <f>ROUND(E71*J71,2)</f>
        <v>1019.34</v>
      </c>
      <c r="L71" s="162">
        <v>21</v>
      </c>
      <c r="M71" s="162">
        <f>G71*(1+L71/100)</f>
        <v>0</v>
      </c>
      <c r="N71" s="162">
        <v>2.6199999999999999E-3</v>
      </c>
      <c r="O71" s="162">
        <f>ROUND(E71*N71,2)</f>
        <v>0.01</v>
      </c>
      <c r="P71" s="162">
        <v>3.0000000000000001E-3</v>
      </c>
      <c r="Q71" s="162">
        <f>ROUND(E71*P71,2)</f>
        <v>0.01</v>
      </c>
      <c r="R71" s="162" t="s">
        <v>274</v>
      </c>
      <c r="S71" s="162" t="s">
        <v>322</v>
      </c>
      <c r="T71" s="162" t="s">
        <v>345</v>
      </c>
    </row>
    <row r="72" spans="1:20" x14ac:dyDescent="0.25">
      <c r="A72" s="147"/>
      <c r="B72" s="148"/>
      <c r="C72" s="169"/>
      <c r="D72" s="164"/>
      <c r="E72" s="164"/>
      <c r="F72" s="164"/>
      <c r="G72" s="164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</row>
    <row r="73" spans="1:20" ht="12.75" customHeight="1" x14ac:dyDescent="0.25">
      <c r="A73" s="157">
        <f>A71+1</f>
        <v>25</v>
      </c>
      <c r="B73" s="158" t="s">
        <v>344</v>
      </c>
      <c r="C73" s="168" t="s">
        <v>346</v>
      </c>
      <c r="D73" s="159" t="s">
        <v>95</v>
      </c>
      <c r="E73" s="160">
        <v>1</v>
      </c>
      <c r="F73" s="161"/>
      <c r="G73" s="162">
        <f>ROUND(E73*F73,2)</f>
        <v>0</v>
      </c>
      <c r="H73" s="161">
        <v>33.33</v>
      </c>
      <c r="I73" s="162">
        <f>ROUND(E73*H73,2)</f>
        <v>33.33</v>
      </c>
      <c r="J73" s="161">
        <v>509.67</v>
      </c>
      <c r="K73" s="162">
        <f>ROUND(E73*J73,2)</f>
        <v>509.67</v>
      </c>
      <c r="L73" s="162">
        <v>21</v>
      </c>
      <c r="M73" s="162">
        <f>G73*(1+L73/100)</f>
        <v>0</v>
      </c>
      <c r="N73" s="162">
        <v>2.6199999999999999E-3</v>
      </c>
      <c r="O73" s="162">
        <f>ROUND(E73*N73,2)</f>
        <v>0</v>
      </c>
      <c r="P73" s="162">
        <v>3.0000000000000001E-3</v>
      </c>
      <c r="Q73" s="162">
        <f>ROUND(E73*P73,2)</f>
        <v>0</v>
      </c>
      <c r="R73" s="162" t="s">
        <v>274</v>
      </c>
      <c r="S73" s="162" t="s">
        <v>322</v>
      </c>
      <c r="T73" s="162" t="s">
        <v>322</v>
      </c>
    </row>
    <row r="74" spans="1:20" x14ac:dyDescent="0.25">
      <c r="A74" s="147"/>
      <c r="B74" s="148"/>
      <c r="C74" s="292"/>
      <c r="D74" s="293"/>
      <c r="E74" s="293"/>
      <c r="F74" s="293"/>
      <c r="G74" s="293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</row>
    <row r="75" spans="1:20" x14ac:dyDescent="0.25">
      <c r="A75" s="151" t="s">
        <v>91</v>
      </c>
      <c r="B75" s="152" t="s">
        <v>175</v>
      </c>
      <c r="C75" s="167" t="s">
        <v>174</v>
      </c>
      <c r="D75" s="153"/>
      <c r="E75" s="154"/>
      <c r="F75" s="155"/>
      <c r="G75" s="155">
        <f>SUMIF(AF76:AF82,"&lt;&gt;NOR",G76:G82)</f>
        <v>0</v>
      </c>
      <c r="H75" s="155"/>
      <c r="I75" s="155">
        <f>SUM(I76:I82)</f>
        <v>10985.5</v>
      </c>
      <c r="J75" s="155"/>
      <c r="K75" s="155">
        <f>SUM(K76:K82)</f>
        <v>198854.5</v>
      </c>
      <c r="L75" s="155"/>
      <c r="M75" s="155">
        <f>SUM(M76:M82)</f>
        <v>0</v>
      </c>
      <c r="N75" s="155"/>
      <c r="O75" s="155">
        <f>SUM(O76:O82)</f>
        <v>2.4700000000000002</v>
      </c>
      <c r="P75" s="155"/>
      <c r="Q75" s="155">
        <f>SUM(Q76:Q82)</f>
        <v>47.16</v>
      </c>
      <c r="R75" s="155"/>
      <c r="S75" s="155"/>
      <c r="T75" s="156"/>
    </row>
    <row r="76" spans="1:20" x14ac:dyDescent="0.25">
      <c r="A76" s="157">
        <f>A73+1</f>
        <v>26</v>
      </c>
      <c r="B76" s="158" t="s">
        <v>271</v>
      </c>
      <c r="C76" s="168" t="s">
        <v>272</v>
      </c>
      <c r="D76" s="159" t="s">
        <v>116</v>
      </c>
      <c r="E76" s="160">
        <f>8*4.8*0.4+8*0.85*0.3*2</f>
        <v>19.439999999999998</v>
      </c>
      <c r="F76" s="161"/>
      <c r="G76" s="162">
        <f>ROUND(E76*F76,2)</f>
        <v>0</v>
      </c>
      <c r="H76" s="161">
        <v>502.69</v>
      </c>
      <c r="I76" s="162">
        <f>ROUND(E76*H76,2)</f>
        <v>9772.2900000000009</v>
      </c>
      <c r="J76" s="161">
        <v>8987.31</v>
      </c>
      <c r="K76" s="162">
        <f>ROUND(E76*J76,2)</f>
        <v>174713.31</v>
      </c>
      <c r="L76" s="162">
        <v>21</v>
      </c>
      <c r="M76" s="162">
        <f>G76*(1+L76/100)</f>
        <v>0</v>
      </c>
      <c r="N76" s="162">
        <v>0.12173</v>
      </c>
      <c r="O76" s="162">
        <f>ROUND(E76*N76,2)</f>
        <v>2.37</v>
      </c>
      <c r="P76" s="162">
        <v>2.4</v>
      </c>
      <c r="Q76" s="162">
        <f>ROUND(E76*P76,2)</f>
        <v>46.66</v>
      </c>
      <c r="R76" s="162" t="s">
        <v>261</v>
      </c>
      <c r="S76" s="162" t="s">
        <v>322</v>
      </c>
      <c r="T76" s="162" t="s">
        <v>322</v>
      </c>
    </row>
    <row r="77" spans="1:20" x14ac:dyDescent="0.25">
      <c r="A77" s="147"/>
      <c r="B77" s="148"/>
      <c r="C77" s="182" t="s">
        <v>388</v>
      </c>
      <c r="D77" s="183"/>
      <c r="E77" s="184"/>
      <c r="F77" s="192"/>
      <c r="G77" s="185"/>
      <c r="H77" s="181"/>
      <c r="I77" s="149"/>
      <c r="J77" s="181"/>
      <c r="K77" s="149"/>
      <c r="L77" s="149"/>
      <c r="M77" s="149"/>
      <c r="N77" s="149"/>
      <c r="O77" s="149"/>
      <c r="P77" s="149"/>
      <c r="Q77" s="149"/>
      <c r="R77" s="149"/>
      <c r="S77" s="149"/>
      <c r="T77" s="149"/>
    </row>
    <row r="78" spans="1:20" x14ac:dyDescent="0.25">
      <c r="A78" s="147"/>
      <c r="B78" s="148"/>
      <c r="C78" s="292"/>
      <c r="D78" s="293"/>
      <c r="E78" s="293"/>
      <c r="F78" s="293"/>
      <c r="G78" s="293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</row>
    <row r="79" spans="1:20" ht="15.75" customHeight="1" x14ac:dyDescent="0.25">
      <c r="A79" s="157">
        <f>A76+1</f>
        <v>27</v>
      </c>
      <c r="B79" s="158" t="s">
        <v>273</v>
      </c>
      <c r="C79" s="168" t="s">
        <v>307</v>
      </c>
      <c r="D79" s="159" t="s">
        <v>98</v>
      </c>
      <c r="E79" s="160">
        <f>E58</f>
        <v>36.4</v>
      </c>
      <c r="F79" s="161"/>
      <c r="G79" s="162">
        <f>ROUND(E79*F79,2)</f>
        <v>0</v>
      </c>
      <c r="H79" s="161">
        <v>33.33</v>
      </c>
      <c r="I79" s="162">
        <f>ROUND(E79*H79,2)</f>
        <v>1213.21</v>
      </c>
      <c r="J79" s="161">
        <v>509.67</v>
      </c>
      <c r="K79" s="162">
        <f>ROUND(E79*J79,2)</f>
        <v>18551.990000000002</v>
      </c>
      <c r="L79" s="162">
        <v>21</v>
      </c>
      <c r="M79" s="162">
        <f>G79*(1+L79/100)</f>
        <v>0</v>
      </c>
      <c r="N79" s="162">
        <v>2.6199999999999999E-3</v>
      </c>
      <c r="O79" s="162">
        <f>ROUND(E79*N79,2)</f>
        <v>0.1</v>
      </c>
      <c r="P79" s="162">
        <v>3.0000000000000001E-3</v>
      </c>
      <c r="Q79" s="162">
        <f>ROUND(E79*P79,2)</f>
        <v>0.11</v>
      </c>
      <c r="R79" s="162" t="s">
        <v>274</v>
      </c>
      <c r="S79" s="162" t="s">
        <v>322</v>
      </c>
      <c r="T79" s="162" t="s">
        <v>322</v>
      </c>
    </row>
    <row r="80" spans="1:20" x14ac:dyDescent="0.25">
      <c r="A80" s="147"/>
      <c r="B80" s="148"/>
      <c r="C80" s="178"/>
      <c r="D80" s="179"/>
      <c r="E80" s="179"/>
      <c r="F80" s="179"/>
      <c r="G80" s="17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</row>
    <row r="81" spans="1:20" ht="20.399999999999999" x14ac:dyDescent="0.25">
      <c r="A81" s="157">
        <f>A79+1</f>
        <v>28</v>
      </c>
      <c r="B81" s="158" t="s">
        <v>275</v>
      </c>
      <c r="C81" s="168" t="s">
        <v>308</v>
      </c>
      <c r="D81" s="159" t="s">
        <v>114</v>
      </c>
      <c r="E81" s="160">
        <f>2*7.85</f>
        <v>15.7</v>
      </c>
      <c r="F81" s="161"/>
      <c r="G81" s="162">
        <f>ROUND(E81*F81,2)</f>
        <v>0</v>
      </c>
      <c r="H81" s="161">
        <v>0</v>
      </c>
      <c r="I81" s="162">
        <f>ROUND(E81*H81,2)</f>
        <v>0</v>
      </c>
      <c r="J81" s="161">
        <v>356</v>
      </c>
      <c r="K81" s="162">
        <f>ROUND(E81*J81,2)</f>
        <v>5589.2</v>
      </c>
      <c r="L81" s="162">
        <v>21</v>
      </c>
      <c r="M81" s="162">
        <f>G81*(1+L81/100)</f>
        <v>0</v>
      </c>
      <c r="N81" s="162">
        <v>0</v>
      </c>
      <c r="O81" s="162">
        <f>ROUND(E81*N81,2)</f>
        <v>0</v>
      </c>
      <c r="P81" s="162">
        <v>2.5000000000000001E-2</v>
      </c>
      <c r="Q81" s="162">
        <f>ROUND(E81*P81,2)</f>
        <v>0.39</v>
      </c>
      <c r="R81" s="162" t="s">
        <v>109</v>
      </c>
      <c r="S81" s="162" t="s">
        <v>322</v>
      </c>
      <c r="T81" s="162" t="s">
        <v>322</v>
      </c>
    </row>
    <row r="82" spans="1:20" x14ac:dyDescent="0.25">
      <c r="A82" s="147"/>
      <c r="B82" s="148"/>
      <c r="C82" s="292"/>
      <c r="D82" s="293"/>
      <c r="E82" s="293"/>
      <c r="F82" s="293"/>
      <c r="G82" s="293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</row>
    <row r="83" spans="1:20" x14ac:dyDescent="0.25">
      <c r="A83" s="151" t="s">
        <v>91</v>
      </c>
      <c r="B83" s="152" t="s">
        <v>439</v>
      </c>
      <c r="C83" s="167" t="s">
        <v>132</v>
      </c>
      <c r="D83" s="153"/>
      <c r="E83" s="154"/>
      <c r="F83" s="155"/>
      <c r="G83" s="155">
        <f>SUMIF(AF84:AF86,"&lt;&gt;NOR",G84:G86)</f>
        <v>0</v>
      </c>
      <c r="H83" s="155"/>
      <c r="I83" s="155">
        <f>SUM(I84:I86)</f>
        <v>0</v>
      </c>
      <c r="J83" s="155"/>
      <c r="K83" s="155">
        <f>SUM(K84:K86)</f>
        <v>10727.07</v>
      </c>
      <c r="L83" s="155"/>
      <c r="M83" s="155">
        <f>SUM(M84:M86)</f>
        <v>0</v>
      </c>
      <c r="N83" s="155"/>
      <c r="O83" s="155">
        <f>SUM(O84:O86)</f>
        <v>0</v>
      </c>
      <c r="P83" s="155"/>
      <c r="Q83" s="155">
        <f>SUM(Q84:Q86)</f>
        <v>0</v>
      </c>
      <c r="R83" s="155"/>
      <c r="S83" s="155"/>
      <c r="T83" s="156"/>
    </row>
    <row r="84" spans="1:20" x14ac:dyDescent="0.25">
      <c r="A84" s="157">
        <f>A81+1</f>
        <v>29</v>
      </c>
      <c r="B84" s="158" t="s">
        <v>440</v>
      </c>
      <c r="C84" s="168" t="s">
        <v>276</v>
      </c>
      <c r="D84" s="159" t="s">
        <v>126</v>
      </c>
      <c r="E84" s="160">
        <f>36.4*0.4*1.8+E35*2.28+E42</f>
        <v>34.941600000000001</v>
      </c>
      <c r="F84" s="161"/>
      <c r="G84" s="162">
        <f>ROUND(E84*F84,2)</f>
        <v>0</v>
      </c>
      <c r="H84" s="161">
        <v>0</v>
      </c>
      <c r="I84" s="162">
        <f>ROUND(E84*H84,2)</f>
        <v>0</v>
      </c>
      <c r="J84" s="161">
        <v>307</v>
      </c>
      <c r="K84" s="162">
        <f>ROUND(E84*J84,2)</f>
        <v>10727.07</v>
      </c>
      <c r="L84" s="162">
        <v>21</v>
      </c>
      <c r="M84" s="162">
        <f>G84*(1+L84/100)</f>
        <v>0</v>
      </c>
      <c r="N84" s="162">
        <v>0</v>
      </c>
      <c r="O84" s="162">
        <f>ROUND(E84*N84,2)</f>
        <v>0</v>
      </c>
      <c r="P84" s="162">
        <v>0</v>
      </c>
      <c r="Q84" s="162">
        <f>ROUND(E84*P84,2)</f>
        <v>0</v>
      </c>
      <c r="R84" s="162" t="s">
        <v>261</v>
      </c>
      <c r="S84" s="162" t="s">
        <v>322</v>
      </c>
      <c r="T84" s="162" t="s">
        <v>322</v>
      </c>
    </row>
    <row r="85" spans="1:20" ht="12.75" customHeight="1" x14ac:dyDescent="0.25">
      <c r="A85" s="147"/>
      <c r="B85" s="148"/>
      <c r="C85" s="290" t="s">
        <v>277</v>
      </c>
      <c r="D85" s="291"/>
      <c r="E85" s="291"/>
      <c r="F85" s="291"/>
      <c r="G85" s="291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</row>
    <row r="86" spans="1:20" x14ac:dyDescent="0.25">
      <c r="A86" s="147"/>
      <c r="B86" s="148"/>
      <c r="C86" s="292"/>
      <c r="D86" s="293"/>
      <c r="E86" s="293"/>
      <c r="F86" s="293"/>
      <c r="G86" s="293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</row>
    <row r="87" spans="1:20" x14ac:dyDescent="0.25">
      <c r="A87" s="151" t="s">
        <v>91</v>
      </c>
      <c r="B87" s="152" t="s">
        <v>278</v>
      </c>
      <c r="C87" s="167" t="s">
        <v>279</v>
      </c>
      <c r="D87" s="153"/>
      <c r="E87" s="154"/>
      <c r="F87" s="155"/>
      <c r="G87" s="155">
        <f>SUMIF(AF88:AF94,"&lt;&gt;NOR",G88:G94)</f>
        <v>0</v>
      </c>
      <c r="H87" s="155"/>
      <c r="I87" s="155">
        <f>SUM(I88:I94)</f>
        <v>13348.97</v>
      </c>
      <c r="J87" s="155"/>
      <c r="K87" s="155">
        <f>SUM(K88:K94)</f>
        <v>19170.79</v>
      </c>
      <c r="L87" s="155"/>
      <c r="M87" s="155">
        <f>SUM(M88:M94)</f>
        <v>0</v>
      </c>
      <c r="N87" s="155"/>
      <c r="O87" s="155">
        <f>SUM(O88:O94)</f>
        <v>0.41</v>
      </c>
      <c r="P87" s="155"/>
      <c r="Q87" s="155">
        <f>SUM(Q88:Q94)</f>
        <v>0</v>
      </c>
      <c r="R87" s="155"/>
      <c r="S87" s="155"/>
      <c r="T87" s="156"/>
    </row>
    <row r="88" spans="1:20" ht="20.399999999999999" x14ac:dyDescent="0.25">
      <c r="A88" s="157">
        <f>A84+1</f>
        <v>30</v>
      </c>
      <c r="B88" s="158" t="s">
        <v>389</v>
      </c>
      <c r="C88" s="168" t="s">
        <v>390</v>
      </c>
      <c r="D88" s="159" t="s">
        <v>98</v>
      </c>
      <c r="E88" s="160">
        <f>E79</f>
        <v>36.4</v>
      </c>
      <c r="F88" s="161"/>
      <c r="G88" s="162">
        <f>ROUND(E88*F88,2)</f>
        <v>0</v>
      </c>
      <c r="H88" s="161">
        <v>0</v>
      </c>
      <c r="I88" s="162">
        <f>ROUND(E88*H88,2)</f>
        <v>0</v>
      </c>
      <c r="J88" s="161">
        <v>12.4</v>
      </c>
      <c r="K88" s="162">
        <f>ROUND(E88*J88,2)</f>
        <v>451.36</v>
      </c>
      <c r="L88" s="162">
        <v>21</v>
      </c>
      <c r="M88" s="162">
        <f>G88*(1+L88/100)</f>
        <v>0</v>
      </c>
      <c r="N88" s="162">
        <v>0</v>
      </c>
      <c r="O88" s="162">
        <f>ROUND(E88*N88,2)</f>
        <v>0</v>
      </c>
      <c r="P88" s="162">
        <v>0</v>
      </c>
      <c r="Q88" s="162">
        <f>ROUND(E88*P88,2)</f>
        <v>0</v>
      </c>
      <c r="R88" s="162" t="s">
        <v>280</v>
      </c>
      <c r="S88" s="162" t="s">
        <v>322</v>
      </c>
      <c r="T88" s="162" t="s">
        <v>322</v>
      </c>
    </row>
    <row r="89" spans="1:20" x14ac:dyDescent="0.25">
      <c r="A89" s="147"/>
      <c r="B89" s="148"/>
      <c r="C89" s="295"/>
      <c r="D89" s="296"/>
      <c r="E89" s="296"/>
      <c r="F89" s="296"/>
      <c r="G89" s="296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</row>
    <row r="90" spans="1:20" ht="30.6" x14ac:dyDescent="0.25">
      <c r="A90" s="157">
        <f>A88+1</f>
        <v>31</v>
      </c>
      <c r="B90" s="158" t="s">
        <v>281</v>
      </c>
      <c r="C90" s="168" t="s">
        <v>311</v>
      </c>
      <c r="D90" s="159" t="s">
        <v>98</v>
      </c>
      <c r="E90" s="160">
        <f>E88</f>
        <v>36.4</v>
      </c>
      <c r="F90" s="161"/>
      <c r="G90" s="162">
        <f>ROUND(E90*F90,2)</f>
        <v>0</v>
      </c>
      <c r="H90" s="161">
        <v>366.73</v>
      </c>
      <c r="I90" s="162">
        <f>ROUND(E90*H90,2)</f>
        <v>13348.97</v>
      </c>
      <c r="J90" s="161">
        <v>207.27</v>
      </c>
      <c r="K90" s="162">
        <f>ROUND(E90*J90,2)</f>
        <v>7544.63</v>
      </c>
      <c r="L90" s="162">
        <v>21</v>
      </c>
      <c r="M90" s="162">
        <f>G90*(1+L90/100)</f>
        <v>0</v>
      </c>
      <c r="N90" s="162">
        <v>1.1169999999999999E-2</v>
      </c>
      <c r="O90" s="162">
        <f>ROUND(E90*N90,2)</f>
        <v>0.41</v>
      </c>
      <c r="P90" s="162">
        <v>0</v>
      </c>
      <c r="Q90" s="162">
        <f>ROUND(E90*P90,2)</f>
        <v>0</v>
      </c>
      <c r="R90" s="162" t="s">
        <v>280</v>
      </c>
      <c r="S90" s="162" t="s">
        <v>322</v>
      </c>
      <c r="T90" s="162" t="s">
        <v>322</v>
      </c>
    </row>
    <row r="91" spans="1:20" ht="12.75" customHeight="1" x14ac:dyDescent="0.25">
      <c r="A91" s="147"/>
      <c r="B91" s="148"/>
      <c r="C91" s="297" t="s">
        <v>282</v>
      </c>
      <c r="D91" s="298"/>
      <c r="E91" s="298"/>
      <c r="F91" s="298"/>
      <c r="G91" s="298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</row>
    <row r="92" spans="1:20" ht="12.75" customHeight="1" x14ac:dyDescent="0.25">
      <c r="A92" s="147"/>
      <c r="B92" s="148"/>
      <c r="C92" s="292"/>
      <c r="D92" s="293"/>
      <c r="E92" s="293"/>
      <c r="F92" s="293"/>
      <c r="G92" s="293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</row>
    <row r="93" spans="1:20" ht="12.75" customHeight="1" x14ac:dyDescent="0.25">
      <c r="A93" s="157">
        <f>A90+1</f>
        <v>32</v>
      </c>
      <c r="B93" s="158" t="s">
        <v>454</v>
      </c>
      <c r="C93" s="168" t="s">
        <v>455</v>
      </c>
      <c r="D93" s="159" t="s">
        <v>98</v>
      </c>
      <c r="E93" s="160">
        <f>E88</f>
        <v>36.4</v>
      </c>
      <c r="F93" s="161"/>
      <c r="G93" s="162">
        <f>ROUND(E93*F93,2)</f>
        <v>0</v>
      </c>
      <c r="H93" s="161">
        <v>0</v>
      </c>
      <c r="I93" s="162">
        <f>ROUND(E93*H93,2)</f>
        <v>0</v>
      </c>
      <c r="J93" s="161">
        <v>307</v>
      </c>
      <c r="K93" s="162">
        <f>ROUND(E93*J93,2)</f>
        <v>11174.8</v>
      </c>
      <c r="L93" s="162">
        <v>21</v>
      </c>
      <c r="M93" s="162">
        <f>G93*(1+L93/100)</f>
        <v>0</v>
      </c>
      <c r="N93" s="162">
        <v>0</v>
      </c>
      <c r="O93" s="162">
        <f>ROUND(E93*N93,2)</f>
        <v>0</v>
      </c>
      <c r="P93" s="162">
        <v>0</v>
      </c>
      <c r="Q93" s="162">
        <f>ROUND(E93*P93,2)</f>
        <v>0</v>
      </c>
      <c r="R93" s="162" t="s">
        <v>261</v>
      </c>
      <c r="S93" s="162" t="s">
        <v>351</v>
      </c>
      <c r="T93" s="162" t="s">
        <v>351</v>
      </c>
    </row>
    <row r="94" spans="1:20" x14ac:dyDescent="0.25">
      <c r="A94" s="147"/>
      <c r="B94" s="148"/>
      <c r="C94" s="292"/>
      <c r="D94" s="293"/>
      <c r="E94" s="293"/>
      <c r="F94" s="293"/>
      <c r="G94" s="293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</row>
    <row r="95" spans="1:20" x14ac:dyDescent="0.25">
      <c r="A95" s="151" t="s">
        <v>91</v>
      </c>
      <c r="B95" s="152" t="s">
        <v>283</v>
      </c>
      <c r="C95" s="167" t="s">
        <v>284</v>
      </c>
      <c r="D95" s="153"/>
      <c r="E95" s="154"/>
      <c r="F95" s="155"/>
      <c r="G95" s="155">
        <f>SUMIF(AF96:AF97,"&lt;&gt;NOR",G96:G97)</f>
        <v>0</v>
      </c>
      <c r="H95" s="155"/>
      <c r="I95" s="155">
        <f>SUM(I96:I97)</f>
        <v>0</v>
      </c>
      <c r="J95" s="155"/>
      <c r="K95" s="155">
        <f>SUM(K96:K97)</f>
        <v>804</v>
      </c>
      <c r="L95" s="155"/>
      <c r="M95" s="155">
        <f>SUM(M96:M97)</f>
        <v>0</v>
      </c>
      <c r="N95" s="155"/>
      <c r="O95" s="155">
        <f>SUM(O96:O97)</f>
        <v>0</v>
      </c>
      <c r="P95" s="155"/>
      <c r="Q95" s="155">
        <f>SUM(Q96:Q97)</f>
        <v>0</v>
      </c>
      <c r="R95" s="155"/>
      <c r="S95" s="155"/>
      <c r="T95" s="156"/>
    </row>
    <row r="96" spans="1:20" x14ac:dyDescent="0.25">
      <c r="A96" s="157">
        <f>A93+1</f>
        <v>33</v>
      </c>
      <c r="B96" s="158" t="s">
        <v>285</v>
      </c>
      <c r="C96" s="168" t="s">
        <v>312</v>
      </c>
      <c r="D96" s="159" t="s">
        <v>114</v>
      </c>
      <c r="E96" s="160">
        <v>12</v>
      </c>
      <c r="F96" s="161"/>
      <c r="G96" s="162">
        <f>ROUND(E96*F96,2)</f>
        <v>0</v>
      </c>
      <c r="H96" s="161">
        <v>0</v>
      </c>
      <c r="I96" s="162">
        <f>ROUND(E96*H96,2)</f>
        <v>0</v>
      </c>
      <c r="J96" s="161">
        <v>67</v>
      </c>
      <c r="K96" s="162">
        <f>ROUND(E96*J96,2)</f>
        <v>804</v>
      </c>
      <c r="L96" s="162">
        <v>21</v>
      </c>
      <c r="M96" s="162">
        <f>G96*(1+L96/100)</f>
        <v>0</v>
      </c>
      <c r="N96" s="162">
        <v>0</v>
      </c>
      <c r="O96" s="162">
        <f>ROUND(E96*N96,2)</f>
        <v>0</v>
      </c>
      <c r="P96" s="162">
        <v>0</v>
      </c>
      <c r="Q96" s="162">
        <f>ROUND(E96*P96,2)</f>
        <v>0</v>
      </c>
      <c r="R96" s="162"/>
      <c r="S96" s="162" t="s">
        <v>322</v>
      </c>
      <c r="T96" s="162" t="s">
        <v>322</v>
      </c>
    </row>
    <row r="97" spans="1:20" x14ac:dyDescent="0.25">
      <c r="A97" s="147"/>
      <c r="B97" s="148"/>
      <c r="C97" s="295"/>
      <c r="D97" s="296"/>
      <c r="E97" s="296"/>
      <c r="F97" s="296"/>
      <c r="G97" s="296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</row>
    <row r="98" spans="1:20" x14ac:dyDescent="0.25">
      <c r="A98" s="151" t="s">
        <v>91</v>
      </c>
      <c r="B98" s="152" t="s">
        <v>436</v>
      </c>
      <c r="C98" s="167" t="s">
        <v>61</v>
      </c>
      <c r="D98" s="153"/>
      <c r="E98" s="154"/>
      <c r="F98" s="155"/>
      <c r="G98" s="155">
        <f>G99+G102+G106+G108+G104</f>
        <v>0</v>
      </c>
      <c r="H98" s="155"/>
      <c r="I98" s="155">
        <f>SUM(I99:I109)</f>
        <v>0</v>
      </c>
      <c r="J98" s="155"/>
      <c r="K98" s="155">
        <f>SUM(K99:K109)</f>
        <v>79697.090000000011</v>
      </c>
      <c r="L98" s="155"/>
      <c r="M98" s="155">
        <f>SUM(M99:M109)</f>
        <v>0</v>
      </c>
      <c r="N98" s="155"/>
      <c r="O98" s="155">
        <f>SUM(O99:O109)</f>
        <v>0</v>
      </c>
      <c r="P98" s="155"/>
      <c r="Q98" s="155">
        <f>SUM(Q99:Q109)</f>
        <v>0</v>
      </c>
      <c r="R98" s="155"/>
      <c r="S98" s="155"/>
      <c r="T98" s="156"/>
    </row>
    <row r="99" spans="1:20" x14ac:dyDescent="0.25">
      <c r="A99" s="157">
        <f>A96+1</f>
        <v>34</v>
      </c>
      <c r="B99" s="158" t="s">
        <v>437</v>
      </c>
      <c r="C99" s="168" t="s">
        <v>222</v>
      </c>
      <c r="D99" s="159" t="s">
        <v>126</v>
      </c>
      <c r="E99" s="160">
        <f>E106+E108</f>
        <v>44.503199999999993</v>
      </c>
      <c r="F99" s="161"/>
      <c r="G99" s="162">
        <f>ROUND(E99*F99,2)</f>
        <v>0</v>
      </c>
      <c r="H99" s="161">
        <v>0</v>
      </c>
      <c r="I99" s="162">
        <f>ROUND(E99*H99,2)</f>
        <v>0</v>
      </c>
      <c r="J99" s="161">
        <v>227</v>
      </c>
      <c r="K99" s="162">
        <f>ROUND(E99*J99,2)</f>
        <v>10102.23</v>
      </c>
      <c r="L99" s="162">
        <v>21</v>
      </c>
      <c r="M99" s="162">
        <f>G99*(1+L99/100)</f>
        <v>0</v>
      </c>
      <c r="N99" s="162">
        <v>0</v>
      </c>
      <c r="O99" s="162">
        <f>ROUND(E99*N99,2)</f>
        <v>0</v>
      </c>
      <c r="P99" s="162">
        <v>0</v>
      </c>
      <c r="Q99" s="162">
        <f>ROUND(E99*P99,2)</f>
        <v>0</v>
      </c>
      <c r="R99" s="162" t="s">
        <v>137</v>
      </c>
      <c r="S99" s="162" t="s">
        <v>322</v>
      </c>
      <c r="T99" s="162" t="s">
        <v>322</v>
      </c>
    </row>
    <row r="100" spans="1:20" x14ac:dyDescent="0.25">
      <c r="A100" s="147"/>
      <c r="B100" s="148"/>
      <c r="C100" s="297" t="s">
        <v>286</v>
      </c>
      <c r="D100" s="298"/>
      <c r="E100" s="298"/>
      <c r="F100" s="298"/>
      <c r="G100" s="298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</row>
    <row r="101" spans="1:20" x14ac:dyDescent="0.25">
      <c r="A101" s="147"/>
      <c r="B101" s="148"/>
      <c r="C101" s="292"/>
      <c r="D101" s="293"/>
      <c r="E101" s="293"/>
      <c r="F101" s="293"/>
      <c r="G101" s="293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</row>
    <row r="102" spans="1:20" x14ac:dyDescent="0.25">
      <c r="A102" s="157">
        <f>A99+1</f>
        <v>35</v>
      </c>
      <c r="B102" s="158" t="s">
        <v>438</v>
      </c>
      <c r="C102" s="168" t="s">
        <v>224</v>
      </c>
      <c r="D102" s="159" t="s">
        <v>126</v>
      </c>
      <c r="E102" s="160">
        <f>E99*19</f>
        <v>845.56079999999986</v>
      </c>
      <c r="F102" s="161"/>
      <c r="G102" s="162">
        <f>ROUND(E102*F102,2)</f>
        <v>0</v>
      </c>
      <c r="H102" s="161">
        <v>0</v>
      </c>
      <c r="I102" s="162">
        <f>ROUND(E102*H102,2)</f>
        <v>0</v>
      </c>
      <c r="J102" s="161">
        <v>15.9</v>
      </c>
      <c r="K102" s="162">
        <f>ROUND(E102*J102,2)</f>
        <v>13444.42</v>
      </c>
      <c r="L102" s="162">
        <v>21</v>
      </c>
      <c r="M102" s="162">
        <f>G102*(1+L102/100)</f>
        <v>0</v>
      </c>
      <c r="N102" s="162">
        <v>0</v>
      </c>
      <c r="O102" s="162">
        <f>ROUND(E102*N102,2)</f>
        <v>0</v>
      </c>
      <c r="P102" s="162">
        <v>0</v>
      </c>
      <c r="Q102" s="162">
        <f>ROUND(E102*P102,2)</f>
        <v>0</v>
      </c>
      <c r="R102" s="162" t="s">
        <v>137</v>
      </c>
      <c r="S102" s="162" t="s">
        <v>322</v>
      </c>
      <c r="T102" s="162" t="s">
        <v>322</v>
      </c>
    </row>
    <row r="103" spans="1:20" x14ac:dyDescent="0.25">
      <c r="A103" s="147"/>
      <c r="B103" s="148"/>
      <c r="C103" s="295"/>
      <c r="D103" s="296"/>
      <c r="E103" s="296"/>
      <c r="F103" s="296"/>
      <c r="G103" s="296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</row>
    <row r="104" spans="1:20" x14ac:dyDescent="0.25">
      <c r="A104" s="157">
        <f>A102+1</f>
        <v>36</v>
      </c>
      <c r="B104" s="158" t="s">
        <v>435</v>
      </c>
      <c r="C104" s="168" t="s">
        <v>434</v>
      </c>
      <c r="D104" s="159" t="s">
        <v>126</v>
      </c>
      <c r="E104" s="160">
        <f>E99</f>
        <v>44.503199999999993</v>
      </c>
      <c r="F104" s="161"/>
      <c r="G104" s="162">
        <f>ROUND(E104*F104,2)</f>
        <v>0</v>
      </c>
      <c r="H104" s="161">
        <v>0</v>
      </c>
      <c r="I104" s="162">
        <f>ROUND(E104*H104,2)</f>
        <v>0</v>
      </c>
      <c r="J104" s="161">
        <v>15.9</v>
      </c>
      <c r="K104" s="162">
        <f>ROUND(E104*J104,2)</f>
        <v>707.6</v>
      </c>
      <c r="L104" s="162">
        <v>21</v>
      </c>
      <c r="M104" s="162">
        <f>G104*(1+L104/100)</f>
        <v>0</v>
      </c>
      <c r="N104" s="162">
        <v>0</v>
      </c>
      <c r="O104" s="162">
        <f>ROUND(E104*N104,2)</f>
        <v>0</v>
      </c>
      <c r="P104" s="162">
        <v>0</v>
      </c>
      <c r="Q104" s="162">
        <f>ROUND(E104*P104,2)</f>
        <v>0</v>
      </c>
      <c r="R104" s="162" t="s">
        <v>137</v>
      </c>
      <c r="S104" s="162" t="s">
        <v>322</v>
      </c>
      <c r="T104" s="162" t="s">
        <v>322</v>
      </c>
    </row>
    <row r="105" spans="1:20" x14ac:dyDescent="0.25">
      <c r="A105" s="147"/>
      <c r="B105" s="148"/>
      <c r="C105" s="178"/>
      <c r="D105" s="179"/>
      <c r="E105" s="179"/>
      <c r="F105" s="179"/>
      <c r="G105" s="17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</row>
    <row r="106" spans="1:20" x14ac:dyDescent="0.25">
      <c r="A106" s="157">
        <f>A104+1</f>
        <v>37</v>
      </c>
      <c r="B106" s="158" t="s">
        <v>441</v>
      </c>
      <c r="C106" s="168" t="s">
        <v>287</v>
      </c>
      <c r="D106" s="159" t="s">
        <v>126</v>
      </c>
      <c r="E106" s="160">
        <f>E76*2.28</f>
        <v>44.323199999999993</v>
      </c>
      <c r="F106" s="161"/>
      <c r="G106" s="162">
        <f>ROUND(E106*F106,2)</f>
        <v>0</v>
      </c>
      <c r="H106" s="161">
        <v>0</v>
      </c>
      <c r="I106" s="162">
        <f>ROUND(E106*H106,2)</f>
        <v>0</v>
      </c>
      <c r="J106" s="161">
        <v>1245</v>
      </c>
      <c r="K106" s="162">
        <f>ROUND(E106*J106,2)</f>
        <v>55182.38</v>
      </c>
      <c r="L106" s="162">
        <v>21</v>
      </c>
      <c r="M106" s="162">
        <f>G106*(1+L106/100)</f>
        <v>0</v>
      </c>
      <c r="N106" s="162">
        <v>0</v>
      </c>
      <c r="O106" s="162">
        <f>ROUND(E106*N106,2)</f>
        <v>0</v>
      </c>
      <c r="P106" s="162">
        <v>0</v>
      </c>
      <c r="Q106" s="162">
        <f>ROUND(E106*P106,2)</f>
        <v>0</v>
      </c>
      <c r="R106" s="162" t="s">
        <v>137</v>
      </c>
      <c r="S106" s="162" t="s">
        <v>322</v>
      </c>
      <c r="T106" s="162" t="s">
        <v>322</v>
      </c>
    </row>
    <row r="107" spans="1:20" x14ac:dyDescent="0.25">
      <c r="A107" s="147"/>
      <c r="B107" s="148"/>
      <c r="C107" s="295"/>
      <c r="D107" s="296"/>
      <c r="E107" s="296"/>
      <c r="F107" s="296"/>
      <c r="G107" s="296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</row>
    <row r="108" spans="1:20" x14ac:dyDescent="0.25">
      <c r="A108" s="157">
        <f>A106+1</f>
        <v>38</v>
      </c>
      <c r="B108" s="158" t="s">
        <v>442</v>
      </c>
      <c r="C108" s="168" t="s">
        <v>288</v>
      </c>
      <c r="D108" s="159" t="s">
        <v>126</v>
      </c>
      <c r="E108" s="160">
        <v>0.18</v>
      </c>
      <c r="F108" s="161"/>
      <c r="G108" s="162">
        <f>ROUND(E108*F108,2)</f>
        <v>0</v>
      </c>
      <c r="H108" s="161">
        <v>0</v>
      </c>
      <c r="I108" s="162">
        <f>ROUND(E108*H108,2)</f>
        <v>0</v>
      </c>
      <c r="J108" s="161">
        <v>1447</v>
      </c>
      <c r="K108" s="162">
        <f>ROUND(E108*J108,2)</f>
        <v>260.45999999999998</v>
      </c>
      <c r="L108" s="162">
        <v>21</v>
      </c>
      <c r="M108" s="162">
        <f>G108*(1+L108/100)</f>
        <v>0</v>
      </c>
      <c r="N108" s="162">
        <v>0</v>
      </c>
      <c r="O108" s="162">
        <f>ROUND(E108*N108,2)</f>
        <v>0</v>
      </c>
      <c r="P108" s="162">
        <v>0</v>
      </c>
      <c r="Q108" s="162">
        <f>ROUND(E108*P108,2)</f>
        <v>0</v>
      </c>
      <c r="R108" s="162" t="s">
        <v>137</v>
      </c>
      <c r="S108" s="162" t="s">
        <v>322</v>
      </c>
      <c r="T108" s="162" t="s">
        <v>322</v>
      </c>
    </row>
    <row r="109" spans="1:20" x14ac:dyDescent="0.25">
      <c r="A109" s="147"/>
      <c r="B109" s="148"/>
      <c r="C109" s="295"/>
      <c r="D109" s="296"/>
      <c r="E109" s="296"/>
      <c r="F109" s="296"/>
      <c r="G109" s="296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</row>
    <row r="110" spans="1:20" x14ac:dyDescent="0.25">
      <c r="A110" s="151" t="s">
        <v>91</v>
      </c>
      <c r="B110" s="152" t="s">
        <v>63</v>
      </c>
      <c r="C110" s="167" t="s">
        <v>26</v>
      </c>
      <c r="D110" s="153"/>
      <c r="E110" s="154"/>
      <c r="F110" s="155"/>
      <c r="G110" s="155">
        <f>SUMIF(AF111:AF122,"&lt;&gt;NOR",G111:G122)</f>
        <v>0</v>
      </c>
      <c r="H110" s="155"/>
      <c r="I110" s="155">
        <f>SUM(I111:I122)</f>
        <v>0</v>
      </c>
      <c r="J110" s="155"/>
      <c r="K110" s="155">
        <f>SUM(K111:K122)</f>
        <v>0</v>
      </c>
      <c r="L110" s="155"/>
      <c r="M110" s="155">
        <f>SUM(M111:M122)</f>
        <v>0</v>
      </c>
      <c r="N110" s="155"/>
      <c r="O110" s="155">
        <f>SUM(O111:O122)</f>
        <v>0</v>
      </c>
      <c r="P110" s="155"/>
      <c r="Q110" s="155">
        <f>SUM(Q111:Q122)</f>
        <v>0</v>
      </c>
      <c r="R110" s="155"/>
      <c r="S110" s="155"/>
      <c r="T110" s="156"/>
    </row>
    <row r="111" spans="1:20" x14ac:dyDescent="0.25">
      <c r="A111" s="157">
        <f>A108+1</f>
        <v>39</v>
      </c>
      <c r="B111" s="158" t="s">
        <v>299</v>
      </c>
      <c r="C111" s="168" t="s">
        <v>297</v>
      </c>
      <c r="D111" s="159" t="s">
        <v>100</v>
      </c>
      <c r="E111" s="160">
        <v>1</v>
      </c>
      <c r="F111" s="161"/>
      <c r="G111" s="162">
        <f>ROUND(E111*F111,2)</f>
        <v>0</v>
      </c>
      <c r="H111" s="161">
        <v>0</v>
      </c>
      <c r="I111" s="162">
        <f>ROUND(E111*H111,2)</f>
        <v>0</v>
      </c>
      <c r="J111" s="161">
        <v>0</v>
      </c>
      <c r="K111" s="162">
        <f>ROUND(E111*J111,2)</f>
        <v>0</v>
      </c>
      <c r="L111" s="162">
        <v>21</v>
      </c>
      <c r="M111" s="162">
        <f>G111*(1+L111/100)</f>
        <v>0</v>
      </c>
      <c r="N111" s="162">
        <v>0</v>
      </c>
      <c r="O111" s="162">
        <f>ROUND(E111*N111,2)</f>
        <v>0</v>
      </c>
      <c r="P111" s="162">
        <v>0</v>
      </c>
      <c r="Q111" s="162">
        <f>ROUND(E111*P111,2)</f>
        <v>0</v>
      </c>
      <c r="R111" s="162"/>
      <c r="S111" s="162" t="s">
        <v>322</v>
      </c>
      <c r="T111" s="163" t="s">
        <v>101</v>
      </c>
    </row>
    <row r="112" spans="1:20" x14ac:dyDescent="0.25">
      <c r="A112" s="173"/>
      <c r="B112" s="174"/>
      <c r="C112" s="294"/>
      <c r="D112" s="294"/>
      <c r="E112" s="294"/>
      <c r="F112" s="294"/>
      <c r="G112" s="294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</row>
    <row r="113" spans="1:20" ht="12.75" customHeight="1" x14ac:dyDescent="0.25">
      <c r="A113" s="157">
        <f>A111+1</f>
        <v>40</v>
      </c>
      <c r="B113" s="158" t="s">
        <v>300</v>
      </c>
      <c r="C113" s="168" t="s">
        <v>298</v>
      </c>
      <c r="D113" s="159" t="s">
        <v>100</v>
      </c>
      <c r="E113" s="160">
        <v>1</v>
      </c>
      <c r="F113" s="161"/>
      <c r="G113" s="162">
        <f>ROUND(E113*F113,2)</f>
        <v>0</v>
      </c>
      <c r="H113" s="161">
        <v>0</v>
      </c>
      <c r="I113" s="162">
        <f>ROUND(E113*H113,2)</f>
        <v>0</v>
      </c>
      <c r="J113" s="161">
        <v>0</v>
      </c>
      <c r="K113" s="162">
        <f>ROUND(E113*J113,2)</f>
        <v>0</v>
      </c>
      <c r="L113" s="162">
        <v>21</v>
      </c>
      <c r="M113" s="162">
        <f>G113*(1+L113/100)</f>
        <v>0</v>
      </c>
      <c r="N113" s="162">
        <v>0</v>
      </c>
      <c r="O113" s="162">
        <f>ROUND(E113*N113,2)</f>
        <v>0</v>
      </c>
      <c r="P113" s="162">
        <v>0</v>
      </c>
      <c r="Q113" s="162">
        <f>ROUND(E113*P113,2)</f>
        <v>0</v>
      </c>
      <c r="R113" s="162"/>
      <c r="S113" s="162" t="s">
        <v>322</v>
      </c>
      <c r="T113" s="163" t="s">
        <v>101</v>
      </c>
    </row>
    <row r="114" spans="1:20" x14ac:dyDescent="0.25">
      <c r="A114" s="147"/>
      <c r="B114" s="148"/>
      <c r="C114" s="307"/>
      <c r="D114" s="307"/>
      <c r="E114" s="307"/>
      <c r="F114" s="307"/>
      <c r="G114" s="307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</row>
    <row r="115" spans="1:20" x14ac:dyDescent="0.25">
      <c r="A115" s="157">
        <f>A113+1</f>
        <v>41</v>
      </c>
      <c r="B115" s="158" t="s">
        <v>157</v>
      </c>
      <c r="C115" s="168" t="s">
        <v>99</v>
      </c>
      <c r="D115" s="159" t="s">
        <v>100</v>
      </c>
      <c r="E115" s="160">
        <v>1</v>
      </c>
      <c r="F115" s="161"/>
      <c r="G115" s="162">
        <f>ROUND(E115*F115,2)</f>
        <v>0</v>
      </c>
      <c r="H115" s="161">
        <v>0</v>
      </c>
      <c r="I115" s="162">
        <f>ROUND(E115*H115,2)</f>
        <v>0</v>
      </c>
      <c r="J115" s="161">
        <v>0</v>
      </c>
      <c r="K115" s="162">
        <f>ROUND(E115*J115,2)</f>
        <v>0</v>
      </c>
      <c r="L115" s="162">
        <v>21</v>
      </c>
      <c r="M115" s="162">
        <f>G115*(1+L115/100)</f>
        <v>0</v>
      </c>
      <c r="N115" s="162">
        <v>0</v>
      </c>
      <c r="O115" s="162">
        <f>ROUND(E115*N115,2)</f>
        <v>0</v>
      </c>
      <c r="P115" s="162">
        <v>0</v>
      </c>
      <c r="Q115" s="162">
        <f>ROUND(E115*P115,2)</f>
        <v>0</v>
      </c>
      <c r="R115" s="162"/>
      <c r="S115" s="162" t="s">
        <v>322</v>
      </c>
      <c r="T115" s="163" t="s">
        <v>101</v>
      </c>
    </row>
    <row r="116" spans="1:20" ht="12.75" customHeight="1" x14ac:dyDescent="0.25">
      <c r="A116" s="147"/>
      <c r="B116" s="148"/>
      <c r="C116" s="295"/>
      <c r="D116" s="296"/>
      <c r="E116" s="296"/>
      <c r="F116" s="296"/>
      <c r="G116" s="296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</row>
    <row r="117" spans="1:20" ht="12.75" customHeight="1" x14ac:dyDescent="0.25">
      <c r="A117" s="157">
        <f>A115+1</f>
        <v>42</v>
      </c>
      <c r="B117" s="158" t="s">
        <v>339</v>
      </c>
      <c r="C117" s="168" t="s">
        <v>340</v>
      </c>
      <c r="D117" s="159" t="s">
        <v>100</v>
      </c>
      <c r="E117" s="160">
        <v>1</v>
      </c>
      <c r="F117" s="161"/>
      <c r="G117" s="162">
        <f>ROUND(E117*F117,2)</f>
        <v>0</v>
      </c>
      <c r="H117" s="161">
        <v>0</v>
      </c>
      <c r="I117" s="162">
        <f>ROUND(E117*H117,2)</f>
        <v>0</v>
      </c>
      <c r="J117" s="161">
        <v>0</v>
      </c>
      <c r="K117" s="162">
        <f>ROUND(E117*J117,2)</f>
        <v>0</v>
      </c>
      <c r="L117" s="162">
        <v>21</v>
      </c>
      <c r="M117" s="162">
        <f>G117*(1+L117/100)</f>
        <v>0</v>
      </c>
      <c r="N117" s="162">
        <v>0</v>
      </c>
      <c r="O117" s="162">
        <f>ROUND(E117*N117,2)</f>
        <v>0</v>
      </c>
      <c r="P117" s="162">
        <v>0</v>
      </c>
      <c r="Q117" s="162">
        <f>ROUND(E117*P117,2)</f>
        <v>0</v>
      </c>
      <c r="R117" s="162"/>
      <c r="S117" s="162" t="s">
        <v>322</v>
      </c>
      <c r="T117" s="163" t="s">
        <v>101</v>
      </c>
    </row>
    <row r="118" spans="1:20" ht="12.75" customHeight="1" x14ac:dyDescent="0.25">
      <c r="A118" s="147"/>
      <c r="B118" s="148"/>
      <c r="C118" s="297" t="s">
        <v>341</v>
      </c>
      <c r="D118" s="297"/>
      <c r="E118" s="297"/>
      <c r="F118" s="297"/>
      <c r="G118" s="297"/>
      <c r="H118" s="181"/>
      <c r="I118" s="149"/>
      <c r="J118" s="181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</row>
    <row r="119" spans="1:20" ht="12.75" customHeight="1" x14ac:dyDescent="0.25">
      <c r="A119" s="147"/>
      <c r="B119" s="148"/>
      <c r="C119" s="169"/>
      <c r="D119" s="164"/>
      <c r="E119" s="164"/>
      <c r="F119" s="164"/>
      <c r="G119" s="164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</row>
    <row r="120" spans="1:20" x14ac:dyDescent="0.25">
      <c r="A120" s="157">
        <f>A115+1</f>
        <v>42</v>
      </c>
      <c r="B120" s="158" t="s">
        <v>106</v>
      </c>
      <c r="C120" s="168" t="s">
        <v>107</v>
      </c>
      <c r="D120" s="159" t="s">
        <v>100</v>
      </c>
      <c r="E120" s="160">
        <v>1</v>
      </c>
      <c r="F120" s="161"/>
      <c r="G120" s="162">
        <f>ROUND(E120*F120,2)</f>
        <v>0</v>
      </c>
      <c r="H120" s="161">
        <v>0</v>
      </c>
      <c r="I120" s="162">
        <f>ROUND(E120*H120,2)</f>
        <v>0</v>
      </c>
      <c r="J120" s="161">
        <v>0</v>
      </c>
      <c r="K120" s="162">
        <f>ROUND(E120*J120,2)</f>
        <v>0</v>
      </c>
      <c r="L120" s="162">
        <v>21</v>
      </c>
      <c r="M120" s="162">
        <f>G120*(1+L120/100)</f>
        <v>0</v>
      </c>
      <c r="N120" s="162">
        <v>0</v>
      </c>
      <c r="O120" s="162">
        <f>ROUND(E120*N120,2)</f>
        <v>0</v>
      </c>
      <c r="P120" s="162">
        <v>0</v>
      </c>
      <c r="Q120" s="162">
        <f>ROUND(E120*P120,2)</f>
        <v>0</v>
      </c>
      <c r="R120" s="162"/>
      <c r="S120" s="162" t="s">
        <v>322</v>
      </c>
      <c r="T120" s="163" t="s">
        <v>101</v>
      </c>
    </row>
    <row r="121" spans="1:20" ht="24" customHeight="1" x14ac:dyDescent="0.25">
      <c r="A121" s="147"/>
      <c r="B121" s="148"/>
      <c r="C121" s="297" t="s">
        <v>342</v>
      </c>
      <c r="D121" s="298"/>
      <c r="E121" s="298"/>
      <c r="F121" s="298"/>
      <c r="G121" s="298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</row>
    <row r="122" spans="1:20" ht="12.75" customHeight="1" x14ac:dyDescent="0.25">
      <c r="A122" s="147"/>
      <c r="B122" s="148"/>
      <c r="C122" s="169"/>
      <c r="D122" s="164"/>
      <c r="E122" s="164"/>
      <c r="F122" s="164"/>
      <c r="G122" s="164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</row>
    <row r="123" spans="1:20" x14ac:dyDescent="0.25">
      <c r="A123" s="151" t="s">
        <v>91</v>
      </c>
      <c r="B123" s="152" t="s">
        <v>64</v>
      </c>
      <c r="C123" s="167" t="s">
        <v>27</v>
      </c>
      <c r="D123" s="153"/>
      <c r="E123" s="154"/>
      <c r="F123" s="155"/>
      <c r="G123" s="155">
        <f>G124+G127</f>
        <v>0</v>
      </c>
      <c r="H123" s="155"/>
      <c r="I123" s="155">
        <f>SUM(I124:I129)</f>
        <v>0</v>
      </c>
      <c r="J123" s="155"/>
      <c r="K123" s="155">
        <f>SUM(K124:K129)</f>
        <v>0</v>
      </c>
      <c r="L123" s="155"/>
      <c r="M123" s="155">
        <f>M124+M127</f>
        <v>0</v>
      </c>
      <c r="N123" s="155"/>
      <c r="O123" s="155">
        <f>SUM(O124:O129)</f>
        <v>0</v>
      </c>
      <c r="P123" s="155"/>
      <c r="Q123" s="155">
        <f>SUM(Q124:Q129)</f>
        <v>0</v>
      </c>
      <c r="R123" s="155"/>
      <c r="S123" s="155"/>
      <c r="T123" s="156"/>
    </row>
    <row r="124" spans="1:20" x14ac:dyDescent="0.25">
      <c r="A124" s="157">
        <f>A120+1</f>
        <v>43</v>
      </c>
      <c r="B124" s="158" t="s">
        <v>141</v>
      </c>
      <c r="C124" s="168" t="s">
        <v>142</v>
      </c>
      <c r="D124" s="159" t="s">
        <v>100</v>
      </c>
      <c r="E124" s="160">
        <v>1</v>
      </c>
      <c r="F124" s="161"/>
      <c r="G124" s="162">
        <f>ROUND(E124*F124,2)</f>
        <v>0</v>
      </c>
      <c r="H124" s="161">
        <v>0</v>
      </c>
      <c r="I124" s="162">
        <f>ROUND(E124*H124,2)</f>
        <v>0</v>
      </c>
      <c r="J124" s="161">
        <v>0</v>
      </c>
      <c r="K124" s="162">
        <f>ROUND(E124*J124,2)</f>
        <v>0</v>
      </c>
      <c r="L124" s="162">
        <v>21</v>
      </c>
      <c r="M124" s="162">
        <f>G124*(1+L124/100)</f>
        <v>0</v>
      </c>
      <c r="N124" s="162">
        <v>0</v>
      </c>
      <c r="O124" s="162">
        <f>ROUND(E124*N124,2)</f>
        <v>0</v>
      </c>
      <c r="P124" s="162">
        <v>0</v>
      </c>
      <c r="Q124" s="162">
        <f>ROUND(E124*P124,2)</f>
        <v>0</v>
      </c>
      <c r="R124" s="162"/>
      <c r="S124" s="162" t="s">
        <v>322</v>
      </c>
      <c r="T124" s="163" t="s">
        <v>101</v>
      </c>
    </row>
    <row r="125" spans="1:20" ht="12.75" customHeight="1" x14ac:dyDescent="0.25">
      <c r="A125" s="147"/>
      <c r="B125" s="148"/>
      <c r="C125" s="297" t="s">
        <v>158</v>
      </c>
      <c r="D125" s="298"/>
      <c r="E125" s="298"/>
      <c r="F125" s="298"/>
      <c r="G125" s="298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</row>
    <row r="126" spans="1:20" x14ac:dyDescent="0.25">
      <c r="A126" s="147"/>
      <c r="B126" s="148"/>
      <c r="C126" s="292"/>
      <c r="D126" s="293"/>
      <c r="E126" s="293"/>
      <c r="F126" s="293"/>
      <c r="G126" s="293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</row>
    <row r="127" spans="1:20" x14ac:dyDescent="0.25">
      <c r="A127" s="157">
        <f>A124+1</f>
        <v>44</v>
      </c>
      <c r="B127" s="158" t="s">
        <v>143</v>
      </c>
      <c r="C127" s="168" t="s">
        <v>144</v>
      </c>
      <c r="D127" s="159" t="s">
        <v>100</v>
      </c>
      <c r="E127" s="160">
        <v>1</v>
      </c>
      <c r="F127" s="161"/>
      <c r="G127" s="162">
        <f>ROUND(E127*F127,2)</f>
        <v>0</v>
      </c>
      <c r="H127" s="161">
        <v>0</v>
      </c>
      <c r="I127" s="162">
        <f>ROUND(E127*H127,2)</f>
        <v>0</v>
      </c>
      <c r="J127" s="161">
        <v>0</v>
      </c>
      <c r="K127" s="162">
        <f>ROUND(E127*J127,2)</f>
        <v>0</v>
      </c>
      <c r="L127" s="162">
        <v>21</v>
      </c>
      <c r="M127" s="162">
        <f>G127*(1+L127/100)</f>
        <v>0</v>
      </c>
      <c r="N127" s="162">
        <v>0</v>
      </c>
      <c r="O127" s="162">
        <f>ROUND(E127*N127,2)</f>
        <v>0</v>
      </c>
      <c r="P127" s="162">
        <v>0</v>
      </c>
      <c r="Q127" s="162">
        <f>ROUND(E127*P127,2)</f>
        <v>0</v>
      </c>
      <c r="R127" s="162"/>
      <c r="S127" s="162" t="s">
        <v>322</v>
      </c>
      <c r="T127" s="163" t="s">
        <v>101</v>
      </c>
    </row>
    <row r="128" spans="1:20" ht="12.75" customHeight="1" x14ac:dyDescent="0.25">
      <c r="A128" s="147"/>
      <c r="B128" s="148"/>
      <c r="C128" s="297" t="s">
        <v>145</v>
      </c>
      <c r="D128" s="298"/>
      <c r="E128" s="298"/>
      <c r="F128" s="298"/>
      <c r="G128" s="298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</row>
    <row r="129" spans="1:20" x14ac:dyDescent="0.25">
      <c r="A129" s="147"/>
      <c r="B129" s="148"/>
      <c r="C129" s="292"/>
      <c r="D129" s="293"/>
      <c r="E129" s="293"/>
      <c r="F129" s="293"/>
      <c r="G129" s="293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</row>
    <row r="130" spans="1:20" x14ac:dyDescent="0.25">
      <c r="A130" s="3"/>
      <c r="B130" s="4"/>
      <c r="C130" s="170"/>
      <c r="D130" s="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x14ac:dyDescent="0.25">
      <c r="A131" s="202"/>
      <c r="B131" s="203" t="s">
        <v>28</v>
      </c>
      <c r="C131" s="206"/>
      <c r="D131" s="204"/>
      <c r="E131" s="205"/>
      <c r="F131" s="205"/>
      <c r="G131" s="166">
        <f>G8+G31+G50+G61+G75+G83+G87+G95+G98+G110+G123</f>
        <v>0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x14ac:dyDescent="0.25">
      <c r="D132" s="10"/>
    </row>
    <row r="133" spans="1:20" x14ac:dyDescent="0.25">
      <c r="D133" s="10"/>
    </row>
    <row r="134" spans="1:20" x14ac:dyDescent="0.25">
      <c r="D134" s="10"/>
    </row>
    <row r="135" spans="1:20" x14ac:dyDescent="0.25">
      <c r="D135" s="10"/>
    </row>
    <row r="136" spans="1:20" x14ac:dyDescent="0.25">
      <c r="D136" s="10"/>
    </row>
    <row r="137" spans="1:20" x14ac:dyDescent="0.25">
      <c r="D137" s="10"/>
    </row>
    <row r="138" spans="1:20" x14ac:dyDescent="0.25">
      <c r="D138" s="10"/>
    </row>
    <row r="139" spans="1:20" x14ac:dyDescent="0.25">
      <c r="D139" s="10"/>
    </row>
    <row r="140" spans="1:20" x14ac:dyDescent="0.25">
      <c r="D140" s="10"/>
    </row>
    <row r="141" spans="1:20" x14ac:dyDescent="0.25">
      <c r="D141" s="10"/>
    </row>
    <row r="142" spans="1:20" x14ac:dyDescent="0.25">
      <c r="D142" s="10"/>
    </row>
    <row r="143" spans="1:20" x14ac:dyDescent="0.25">
      <c r="D143" s="10"/>
    </row>
    <row r="144" spans="1:20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</sheetData>
  <mergeCells count="50">
    <mergeCell ref="C126:G126"/>
    <mergeCell ref="C128:G128"/>
    <mergeCell ref="C129:G129"/>
    <mergeCell ref="C121:G121"/>
    <mergeCell ref="C109:G109"/>
    <mergeCell ref="C112:G112"/>
    <mergeCell ref="C114:G114"/>
    <mergeCell ref="C116:G116"/>
    <mergeCell ref="C125:G125"/>
    <mergeCell ref="C118:G118"/>
    <mergeCell ref="C16:G16"/>
    <mergeCell ref="C17:G17"/>
    <mergeCell ref="C19:G19"/>
    <mergeCell ref="C20:G20"/>
    <mergeCell ref="C30:G30"/>
    <mergeCell ref="C25:G25"/>
    <mergeCell ref="C103:G103"/>
    <mergeCell ref="C107:G107"/>
    <mergeCell ref="C100:G100"/>
    <mergeCell ref="C101:G101"/>
    <mergeCell ref="C97:G97"/>
    <mergeCell ref="C91:G91"/>
    <mergeCell ref="C94:G94"/>
    <mergeCell ref="C86:G86"/>
    <mergeCell ref="C89:G89"/>
    <mergeCell ref="C78:G78"/>
    <mergeCell ref="C82:G82"/>
    <mergeCell ref="C85:G85"/>
    <mergeCell ref="C92:G92"/>
    <mergeCell ref="C11:G11"/>
    <mergeCell ref="C13:G13"/>
    <mergeCell ref="C14:G14"/>
    <mergeCell ref="C74:G74"/>
    <mergeCell ref="C59:G59"/>
    <mergeCell ref="C48:G48"/>
    <mergeCell ref="C49:G49"/>
    <mergeCell ref="C52:G52"/>
    <mergeCell ref="C60:G60"/>
    <mergeCell ref="C54:G54"/>
    <mergeCell ref="C55:G55"/>
    <mergeCell ref="C64:G64"/>
    <mergeCell ref="C34:G34"/>
    <mergeCell ref="C27:G27"/>
    <mergeCell ref="C22:G22"/>
    <mergeCell ref="C24:G24"/>
    <mergeCell ref="A1:G1"/>
    <mergeCell ref="C2:H2"/>
    <mergeCell ref="C3:G3"/>
    <mergeCell ref="C4:H4"/>
    <mergeCell ref="C10:G10"/>
  </mergeCells>
  <pageMargins left="0.59055118110236227" right="0.19685039370078741" top="0.59055118110236227" bottom="0.59055118110236227" header="0.31496062992125984" footer="0.31496062992125984"/>
  <pageSetup paperSize="9" scale="85" fitToHeight="0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C7F9-D496-493D-AC56-31A4A37746D4}">
  <sheetPr>
    <outlinePr summaryBelow="0"/>
    <pageSetUpPr fitToPage="1"/>
  </sheetPr>
  <dimension ref="A1:BG4864"/>
  <sheetViews>
    <sheetView zoomScaleNormal="100" workbookViewId="0">
      <pane ySplit="7" topLeftCell="A98" activePane="bottomLeft" state="frozen"/>
      <selection pane="bottomLeft" activeCell="F124" sqref="F124"/>
    </sheetView>
  </sheetViews>
  <sheetFormatPr defaultColWidth="8.88671875" defaultRowHeight="13.2" outlineLevelRow="1" x14ac:dyDescent="0.25"/>
  <cols>
    <col min="1" max="1" width="3.44140625" customWidth="1"/>
    <col min="2" max="2" width="12.5546875" style="123" customWidth="1"/>
    <col min="3" max="3" width="63.33203125" style="123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1" width="0" hidden="1" customWidth="1"/>
    <col min="12" max="12" width="11.6640625" bestFit="1" customWidth="1"/>
    <col min="13" max="13" width="11.6640625" customWidth="1"/>
    <col min="14" max="17" width="0" hidden="1" customWidth="1"/>
    <col min="18" max="18" width="6.88671875" customWidth="1"/>
    <col min="20" max="20" width="8.44140625" customWidth="1"/>
    <col min="21" max="24" width="0" hidden="1" customWidth="1"/>
    <col min="25" max="25" width="11.6640625" bestFit="1" customWidth="1"/>
    <col min="28" max="28" width="0" hidden="1" customWidth="1"/>
    <col min="30" max="40" width="0" hidden="1" customWidth="1"/>
    <col min="52" max="52" width="98.6640625" customWidth="1"/>
  </cols>
  <sheetData>
    <row r="1" spans="1:59" ht="15.75" customHeight="1" x14ac:dyDescent="0.3">
      <c r="A1" s="299" t="s">
        <v>65</v>
      </c>
      <c r="B1" s="300"/>
      <c r="C1" s="300"/>
      <c r="D1" s="300"/>
      <c r="E1" s="300"/>
      <c r="F1" s="300"/>
      <c r="G1" s="300"/>
      <c r="H1" s="186"/>
      <c r="L1" s="190"/>
      <c r="AF1" t="s">
        <v>66</v>
      </c>
    </row>
    <row r="2" spans="1:59" ht="24.9" customHeight="1" x14ac:dyDescent="0.25">
      <c r="A2" s="187" t="s">
        <v>7</v>
      </c>
      <c r="B2" s="193" t="s">
        <v>326</v>
      </c>
      <c r="C2" s="304" t="s">
        <v>304</v>
      </c>
      <c r="D2" s="305"/>
      <c r="E2" s="305"/>
      <c r="F2" s="305"/>
      <c r="G2" s="305"/>
      <c r="H2" s="306"/>
      <c r="L2" s="190"/>
      <c r="AF2" t="s">
        <v>67</v>
      </c>
    </row>
    <row r="3" spans="1:59" ht="24.9" customHeight="1" x14ac:dyDescent="0.25">
      <c r="A3" s="187" t="s">
        <v>8</v>
      </c>
      <c r="B3" s="193" t="s">
        <v>43</v>
      </c>
      <c r="C3" s="301" t="s">
        <v>451</v>
      </c>
      <c r="D3" s="302"/>
      <c r="E3" s="302"/>
      <c r="F3" s="302"/>
      <c r="G3" s="303"/>
      <c r="H3" s="188"/>
      <c r="L3" s="190"/>
      <c r="AB3" s="123" t="s">
        <v>67</v>
      </c>
      <c r="AF3" t="s">
        <v>68</v>
      </c>
    </row>
    <row r="4" spans="1:59" ht="24.9" customHeight="1" x14ac:dyDescent="0.25">
      <c r="A4" s="189" t="s">
        <v>9</v>
      </c>
      <c r="B4" s="180" t="s">
        <v>326</v>
      </c>
      <c r="C4" s="260" t="s">
        <v>305</v>
      </c>
      <c r="D4" s="261"/>
      <c r="E4" s="261"/>
      <c r="F4" s="261"/>
      <c r="G4" s="261"/>
      <c r="H4" s="262"/>
      <c r="L4" s="190"/>
      <c r="AF4" t="s">
        <v>69</v>
      </c>
    </row>
    <row r="5" spans="1:59" x14ac:dyDescent="0.25">
      <c r="D5" s="10"/>
    </row>
    <row r="6" spans="1:59" ht="39.6" x14ac:dyDescent="0.25">
      <c r="A6" s="136" t="s">
        <v>70</v>
      </c>
      <c r="B6" s="138" t="s">
        <v>71</v>
      </c>
      <c r="C6" s="138" t="s">
        <v>72</v>
      </c>
      <c r="D6" s="137" t="s">
        <v>73</v>
      </c>
      <c r="E6" s="136" t="s">
        <v>74</v>
      </c>
      <c r="F6" s="135" t="s">
        <v>75</v>
      </c>
      <c r="G6" s="136" t="s">
        <v>28</v>
      </c>
      <c r="H6" s="139" t="s">
        <v>29</v>
      </c>
      <c r="I6" s="139" t="s">
        <v>76</v>
      </c>
      <c r="J6" s="139" t="s">
        <v>30</v>
      </c>
      <c r="K6" s="139" t="s">
        <v>77</v>
      </c>
      <c r="L6" s="139" t="s">
        <v>78</v>
      </c>
      <c r="M6" s="139" t="s">
        <v>79</v>
      </c>
      <c r="N6" s="139" t="s">
        <v>80</v>
      </c>
      <c r="O6" s="139" t="s">
        <v>81</v>
      </c>
      <c r="P6" s="139" t="s">
        <v>82</v>
      </c>
      <c r="Q6" s="139" t="s">
        <v>83</v>
      </c>
      <c r="R6" s="139" t="s">
        <v>84</v>
      </c>
      <c r="S6" s="139" t="s">
        <v>85</v>
      </c>
      <c r="T6" s="139" t="s">
        <v>86</v>
      </c>
      <c r="U6" s="139" t="s">
        <v>87</v>
      </c>
      <c r="V6" s="139" t="s">
        <v>88</v>
      </c>
      <c r="W6" s="139" t="s">
        <v>89</v>
      </c>
      <c r="X6" s="139" t="s">
        <v>90</v>
      </c>
    </row>
    <row r="7" spans="1:59" hidden="1" x14ac:dyDescent="0.25">
      <c r="A7" s="3"/>
      <c r="B7" s="4"/>
      <c r="C7" s="4"/>
      <c r="D7" s="6"/>
      <c r="E7" s="141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</row>
    <row r="8" spans="1:59" x14ac:dyDescent="0.25">
      <c r="A8" s="151" t="s">
        <v>91</v>
      </c>
      <c r="B8" s="152" t="s">
        <v>52</v>
      </c>
      <c r="C8" s="167" t="s">
        <v>53</v>
      </c>
      <c r="D8" s="153"/>
      <c r="E8" s="154"/>
      <c r="F8" s="155"/>
      <c r="G8" s="155">
        <f>SUMIF(AF9:AF38,"&lt;&gt;NOR",G9:G38)</f>
        <v>0</v>
      </c>
      <c r="H8" s="155"/>
      <c r="I8" s="155">
        <f>SUM(I9:I38)</f>
        <v>0</v>
      </c>
      <c r="J8" s="155"/>
      <c r="K8" s="155">
        <f>SUM(K9:K38)</f>
        <v>396622.9</v>
      </c>
      <c r="L8" s="155"/>
      <c r="M8" s="155">
        <f>SUM(M9:M38)</f>
        <v>0</v>
      </c>
      <c r="N8" s="155"/>
      <c r="O8" s="155">
        <f>SUM(O9:O38)</f>
        <v>0</v>
      </c>
      <c r="P8" s="155"/>
      <c r="Q8" s="155">
        <f>SUM(Q9:Q38)</f>
        <v>0</v>
      </c>
      <c r="R8" s="155"/>
      <c r="S8" s="155"/>
      <c r="T8" s="156"/>
      <c r="U8" s="150"/>
      <c r="V8" s="150">
        <f>SUM(V9:V11)</f>
        <v>0</v>
      </c>
      <c r="W8" s="150"/>
      <c r="X8" s="150"/>
      <c r="Y8" s="84"/>
      <c r="AF8" t="s">
        <v>92</v>
      </c>
    </row>
    <row r="9" spans="1:59" outlineLevel="1" x14ac:dyDescent="0.25">
      <c r="A9" s="157">
        <v>1</v>
      </c>
      <c r="B9" s="158" t="s">
        <v>348</v>
      </c>
      <c r="C9" s="168" t="s">
        <v>349</v>
      </c>
      <c r="D9" s="159" t="s">
        <v>114</v>
      </c>
      <c r="E9" s="160">
        <v>13</v>
      </c>
      <c r="F9" s="161"/>
      <c r="G9" s="162">
        <f>ROUND(E9*F9,2)</f>
        <v>0</v>
      </c>
      <c r="H9" s="161">
        <v>0</v>
      </c>
      <c r="I9" s="162">
        <f>ROUND(E9*H9,2)</f>
        <v>0</v>
      </c>
      <c r="J9" s="161">
        <v>118</v>
      </c>
      <c r="K9" s="162">
        <f>ROUND(E9*J9,2)</f>
        <v>1534</v>
      </c>
      <c r="L9" s="162">
        <v>21</v>
      </c>
      <c r="M9" s="162">
        <f>G9*(1+L9/100)</f>
        <v>0</v>
      </c>
      <c r="N9" s="162">
        <v>0</v>
      </c>
      <c r="O9" s="162">
        <f>ROUND(E9*N9,2)</f>
        <v>0</v>
      </c>
      <c r="P9" s="162">
        <v>0</v>
      </c>
      <c r="Q9" s="162">
        <f>ROUND(E9*P9,2)</f>
        <v>0</v>
      </c>
      <c r="R9" s="162" t="s">
        <v>115</v>
      </c>
      <c r="S9" s="162" t="s">
        <v>351</v>
      </c>
      <c r="T9" s="162" t="s">
        <v>351</v>
      </c>
      <c r="U9" s="149"/>
      <c r="V9" s="149"/>
      <c r="W9" s="149"/>
      <c r="X9" s="149"/>
      <c r="Y9" s="140"/>
      <c r="Z9" s="140"/>
      <c r="AA9" s="140"/>
      <c r="AB9" s="140"/>
      <c r="AC9" s="140"/>
      <c r="AD9" s="140"/>
      <c r="AE9" s="140"/>
      <c r="AF9" s="140" t="s">
        <v>93</v>
      </c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</row>
    <row r="10" spans="1:59" ht="12.75" customHeight="1" outlineLevel="1" x14ac:dyDescent="0.25">
      <c r="A10" s="147"/>
      <c r="B10" s="148"/>
      <c r="C10" s="290" t="s">
        <v>350</v>
      </c>
      <c r="D10" s="291"/>
      <c r="E10" s="291"/>
      <c r="F10" s="291"/>
      <c r="G10" s="291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>
        <v>0</v>
      </c>
      <c r="V10" s="149">
        <f>ROUND(E10*U10,2)</f>
        <v>0</v>
      </c>
      <c r="W10" s="149"/>
      <c r="X10" s="149" t="s">
        <v>110</v>
      </c>
      <c r="Y10" s="140"/>
      <c r="Z10" s="140"/>
      <c r="AA10" s="140"/>
      <c r="AB10" s="140"/>
      <c r="AC10" s="140"/>
      <c r="AD10" s="140"/>
      <c r="AE10" s="140"/>
      <c r="AF10" s="140" t="s">
        <v>111</v>
      </c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</row>
    <row r="11" spans="1:59" outlineLevel="1" x14ac:dyDescent="0.25">
      <c r="A11" s="147"/>
      <c r="B11" s="148"/>
      <c r="C11" s="292"/>
      <c r="D11" s="293"/>
      <c r="E11" s="293"/>
      <c r="F11" s="293"/>
      <c r="G11" s="293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0"/>
      <c r="Z11" s="140"/>
      <c r="AA11" s="140"/>
      <c r="AB11" s="140"/>
      <c r="AC11" s="140"/>
      <c r="AD11" s="140"/>
      <c r="AE11" s="140"/>
      <c r="AF11" s="140" t="s">
        <v>93</v>
      </c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</row>
    <row r="12" spans="1:59" outlineLevel="1" x14ac:dyDescent="0.25">
      <c r="A12" s="157">
        <f>A9+1</f>
        <v>2</v>
      </c>
      <c r="B12" s="158" t="s">
        <v>352</v>
      </c>
      <c r="C12" s="168" t="s">
        <v>353</v>
      </c>
      <c r="D12" s="159" t="s">
        <v>354</v>
      </c>
      <c r="E12" s="160">
        <v>420</v>
      </c>
      <c r="F12" s="161"/>
      <c r="G12" s="162">
        <f>ROUND(E12*F12,2)</f>
        <v>0</v>
      </c>
      <c r="H12" s="161">
        <v>0</v>
      </c>
      <c r="I12" s="162">
        <f>ROUND(E12*H12,2)</f>
        <v>0</v>
      </c>
      <c r="J12" s="161">
        <v>240</v>
      </c>
      <c r="K12" s="162">
        <f>ROUND(E12*J12,2)</f>
        <v>100800</v>
      </c>
      <c r="L12" s="162">
        <v>21</v>
      </c>
      <c r="M12" s="162">
        <f>G12*(1+L12/100)</f>
        <v>0</v>
      </c>
      <c r="N12" s="162">
        <v>0</v>
      </c>
      <c r="O12" s="162">
        <f>ROUND(E12*N12,2)</f>
        <v>0</v>
      </c>
      <c r="P12" s="162">
        <v>0</v>
      </c>
      <c r="Q12" s="162">
        <f>ROUND(E12*P12,2)</f>
        <v>0</v>
      </c>
      <c r="R12" s="162" t="s">
        <v>115</v>
      </c>
      <c r="S12" s="162" t="s">
        <v>351</v>
      </c>
      <c r="T12" s="162" t="s">
        <v>351</v>
      </c>
      <c r="U12" s="149"/>
      <c r="V12" s="149"/>
      <c r="W12" s="149"/>
      <c r="X12" s="149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</row>
    <row r="13" spans="1:59" outlineLevel="1" x14ac:dyDescent="0.25">
      <c r="A13" s="147"/>
      <c r="B13" s="148"/>
      <c r="C13" s="292"/>
      <c r="D13" s="293"/>
      <c r="E13" s="293"/>
      <c r="F13" s="293"/>
      <c r="G13" s="293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</row>
    <row r="14" spans="1:59" outlineLevel="1" x14ac:dyDescent="0.25">
      <c r="A14" s="157">
        <f>A12+1</f>
        <v>3</v>
      </c>
      <c r="B14" s="158" t="s">
        <v>355</v>
      </c>
      <c r="C14" s="168" t="s">
        <v>356</v>
      </c>
      <c r="D14" s="159" t="s">
        <v>357</v>
      </c>
      <c r="E14" s="160">
        <v>42</v>
      </c>
      <c r="F14" s="161"/>
      <c r="G14" s="162">
        <f>ROUND(E14*F14,2)</f>
        <v>0</v>
      </c>
      <c r="H14" s="161">
        <v>0</v>
      </c>
      <c r="I14" s="162">
        <f>ROUND(E14*H14,2)</f>
        <v>0</v>
      </c>
      <c r="J14" s="161">
        <v>240</v>
      </c>
      <c r="K14" s="162">
        <f>ROUND(E14*J14,2)</f>
        <v>10080</v>
      </c>
      <c r="L14" s="162">
        <v>21</v>
      </c>
      <c r="M14" s="162">
        <f>G14*(1+L14/100)</f>
        <v>0</v>
      </c>
      <c r="N14" s="162">
        <v>0</v>
      </c>
      <c r="O14" s="162">
        <f>ROUND(E14*N14,2)</f>
        <v>0</v>
      </c>
      <c r="P14" s="162">
        <v>0</v>
      </c>
      <c r="Q14" s="162">
        <f>ROUND(E14*P14,2)</f>
        <v>0</v>
      </c>
      <c r="R14" s="162" t="s">
        <v>115</v>
      </c>
      <c r="S14" s="162" t="s">
        <v>351</v>
      </c>
      <c r="T14" s="162" t="s">
        <v>351</v>
      </c>
      <c r="U14" s="149"/>
      <c r="V14" s="149"/>
      <c r="W14" s="149"/>
      <c r="X14" s="149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</row>
    <row r="15" spans="1:59" outlineLevel="1" x14ac:dyDescent="0.25">
      <c r="A15" s="147"/>
      <c r="B15" s="148"/>
      <c r="C15" s="169"/>
      <c r="D15" s="164"/>
      <c r="E15" s="164"/>
      <c r="F15" s="164"/>
      <c r="G15" s="164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</row>
    <row r="16" spans="1:59" outlineLevel="1" x14ac:dyDescent="0.25">
      <c r="A16" s="157">
        <f>A14+1</f>
        <v>4</v>
      </c>
      <c r="B16" s="158" t="s">
        <v>250</v>
      </c>
      <c r="C16" s="168" t="s">
        <v>359</v>
      </c>
      <c r="D16" s="159" t="s">
        <v>116</v>
      </c>
      <c r="E16" s="160">
        <f>12*3.2*1.5*2</f>
        <v>115.20000000000002</v>
      </c>
      <c r="F16" s="161"/>
      <c r="G16" s="162">
        <f>ROUND(E16*F16,2)</f>
        <v>0</v>
      </c>
      <c r="H16" s="161">
        <v>0</v>
      </c>
      <c r="I16" s="162">
        <f>ROUND(E16*H16,2)</f>
        <v>0</v>
      </c>
      <c r="J16" s="161">
        <v>118</v>
      </c>
      <c r="K16" s="162">
        <f>ROUND(E16*J16,2)</f>
        <v>13593.6</v>
      </c>
      <c r="L16" s="162">
        <v>21</v>
      </c>
      <c r="M16" s="162">
        <f>G16*(1+L16/100)</f>
        <v>0</v>
      </c>
      <c r="N16" s="162">
        <v>0</v>
      </c>
      <c r="O16" s="162">
        <f>ROUND(E16*N16,2)</f>
        <v>0</v>
      </c>
      <c r="P16" s="162">
        <v>0</v>
      </c>
      <c r="Q16" s="162">
        <f>ROUND(E16*P16,2)</f>
        <v>0</v>
      </c>
      <c r="R16" s="162" t="s">
        <v>115</v>
      </c>
      <c r="S16" s="162" t="s">
        <v>351</v>
      </c>
      <c r="T16" s="162" t="s">
        <v>351</v>
      </c>
      <c r="U16" s="149"/>
      <c r="V16" s="149"/>
      <c r="W16" s="149"/>
      <c r="X16" s="149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</row>
    <row r="17" spans="1:59" outlineLevel="1" x14ac:dyDescent="0.25">
      <c r="A17" s="147"/>
      <c r="B17" s="148"/>
      <c r="C17" s="290" t="s">
        <v>251</v>
      </c>
      <c r="D17" s="291"/>
      <c r="E17" s="291"/>
      <c r="F17" s="291"/>
      <c r="G17" s="291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</row>
    <row r="18" spans="1:59" outlineLevel="1" x14ac:dyDescent="0.25">
      <c r="A18" s="147"/>
      <c r="B18" s="148"/>
      <c r="C18" s="169"/>
      <c r="D18" s="164"/>
      <c r="E18" s="164"/>
      <c r="F18" s="164"/>
      <c r="G18" s="164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</row>
    <row r="19" spans="1:59" outlineLevel="1" x14ac:dyDescent="0.25">
      <c r="A19" s="157">
        <f>A16+1</f>
        <v>5</v>
      </c>
      <c r="B19" s="158" t="s">
        <v>360</v>
      </c>
      <c r="C19" s="168" t="s">
        <v>358</v>
      </c>
      <c r="D19" s="159" t="s">
        <v>116</v>
      </c>
      <c r="E19" s="160">
        <f>1.5*0.8*8*2</f>
        <v>19.200000000000003</v>
      </c>
      <c r="F19" s="161"/>
      <c r="G19" s="162">
        <f>ROUND(E19*F19,2)</f>
        <v>0</v>
      </c>
      <c r="H19" s="161">
        <v>0</v>
      </c>
      <c r="I19" s="162">
        <f>ROUND(E19*H19,2)</f>
        <v>0</v>
      </c>
      <c r="J19" s="161">
        <v>240</v>
      </c>
      <c r="K19" s="162">
        <f>ROUND(E19*J19,2)</f>
        <v>4608</v>
      </c>
      <c r="L19" s="162">
        <v>21</v>
      </c>
      <c r="M19" s="162">
        <f>G19*(1+L19/100)</f>
        <v>0</v>
      </c>
      <c r="N19" s="162">
        <v>0</v>
      </c>
      <c r="O19" s="162">
        <f>ROUND(E19*N19,2)</f>
        <v>0</v>
      </c>
      <c r="P19" s="162">
        <v>0</v>
      </c>
      <c r="Q19" s="162">
        <f>ROUND(E19*P19,2)</f>
        <v>0</v>
      </c>
      <c r="R19" s="162" t="s">
        <v>115</v>
      </c>
      <c r="S19" s="162" t="s">
        <v>351</v>
      </c>
      <c r="T19" s="162" t="s">
        <v>351</v>
      </c>
      <c r="U19" s="149"/>
      <c r="V19" s="149"/>
      <c r="W19" s="149"/>
      <c r="X19" s="149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</row>
    <row r="20" spans="1:59" outlineLevel="1" x14ac:dyDescent="0.25">
      <c r="A20" s="147"/>
      <c r="B20" s="148"/>
      <c r="C20" s="169"/>
      <c r="D20" s="164"/>
      <c r="E20" s="164"/>
      <c r="F20" s="164"/>
      <c r="G20" s="164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</row>
    <row r="21" spans="1:59" outlineLevel="1" x14ac:dyDescent="0.25">
      <c r="A21" s="157">
        <f>A19+1</f>
        <v>6</v>
      </c>
      <c r="B21" s="158" t="s">
        <v>364</v>
      </c>
      <c r="C21" s="168" t="s">
        <v>363</v>
      </c>
      <c r="D21" s="159" t="s">
        <v>98</v>
      </c>
      <c r="E21" s="160">
        <f>16*6*2</f>
        <v>192</v>
      </c>
      <c r="F21" s="161"/>
      <c r="G21" s="162">
        <f>ROUND(E21*F21,2)</f>
        <v>0</v>
      </c>
      <c r="H21" s="161">
        <v>0</v>
      </c>
      <c r="I21" s="162">
        <f>ROUND(E21*H21,2)</f>
        <v>0</v>
      </c>
      <c r="J21" s="161">
        <v>240</v>
      </c>
      <c r="K21" s="162">
        <f>ROUND(E21*J21,2)</f>
        <v>46080</v>
      </c>
      <c r="L21" s="162">
        <v>21</v>
      </c>
      <c r="M21" s="162">
        <f>G21*(1+L21/100)</f>
        <v>0</v>
      </c>
      <c r="N21" s="162">
        <v>0</v>
      </c>
      <c r="O21" s="162">
        <f>ROUND(E21*N21,2)</f>
        <v>0</v>
      </c>
      <c r="P21" s="162">
        <v>0</v>
      </c>
      <c r="Q21" s="162">
        <f>ROUND(E21*P21,2)</f>
        <v>0</v>
      </c>
      <c r="R21" s="162" t="s">
        <v>115</v>
      </c>
      <c r="S21" s="162" t="s">
        <v>351</v>
      </c>
      <c r="T21" s="162" t="s">
        <v>351</v>
      </c>
      <c r="U21" s="149"/>
      <c r="V21" s="149"/>
      <c r="W21" s="149"/>
      <c r="X21" s="149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</row>
    <row r="22" spans="1:59" outlineLevel="1" x14ac:dyDescent="0.25">
      <c r="A22" s="147"/>
      <c r="B22" s="148"/>
      <c r="C22" s="169"/>
      <c r="D22" s="164"/>
      <c r="E22" s="164"/>
      <c r="F22" s="164"/>
      <c r="G22" s="164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</row>
    <row r="23" spans="1:59" outlineLevel="1" x14ac:dyDescent="0.25">
      <c r="A23" s="157">
        <f>A21+1</f>
        <v>7</v>
      </c>
      <c r="B23" s="158" t="s">
        <v>366</v>
      </c>
      <c r="C23" s="168" t="s">
        <v>365</v>
      </c>
      <c r="D23" s="159" t="s">
        <v>126</v>
      </c>
      <c r="E23" s="160">
        <f>E21*0.155</f>
        <v>29.759999999999998</v>
      </c>
      <c r="F23" s="161"/>
      <c r="G23" s="162">
        <f>ROUND(E23*F23,2)</f>
        <v>0</v>
      </c>
      <c r="H23" s="161">
        <v>0</v>
      </c>
      <c r="I23" s="162">
        <f>ROUND(E23*H23,2)</f>
        <v>0</v>
      </c>
      <c r="J23" s="161">
        <v>240</v>
      </c>
      <c r="K23" s="162">
        <f>ROUND(E23*J23,2)</f>
        <v>7142.4</v>
      </c>
      <c r="L23" s="162">
        <v>21</v>
      </c>
      <c r="M23" s="162">
        <f>G23*(1+L23/100)</f>
        <v>0</v>
      </c>
      <c r="N23" s="162">
        <v>0</v>
      </c>
      <c r="O23" s="162">
        <f>ROUND(E23*N23,2)</f>
        <v>0</v>
      </c>
      <c r="P23" s="162">
        <v>0</v>
      </c>
      <c r="Q23" s="162">
        <f>ROUND(E23*P23,2)</f>
        <v>0</v>
      </c>
      <c r="R23" s="162" t="s">
        <v>115</v>
      </c>
      <c r="S23" s="162" t="s">
        <v>351</v>
      </c>
      <c r="T23" s="162" t="s">
        <v>351</v>
      </c>
      <c r="U23" s="149"/>
      <c r="V23" s="149"/>
      <c r="W23" s="149"/>
      <c r="X23" s="149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</row>
    <row r="24" spans="1:59" outlineLevel="1" x14ac:dyDescent="0.25">
      <c r="A24" s="147"/>
      <c r="B24" s="148"/>
      <c r="C24" s="169"/>
      <c r="D24" s="164"/>
      <c r="E24" s="164"/>
      <c r="F24" s="164"/>
      <c r="G24" s="164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</row>
    <row r="25" spans="1:59" ht="20.399999999999999" outlineLevel="1" x14ac:dyDescent="0.25">
      <c r="A25" s="157">
        <f>A23+1</f>
        <v>8</v>
      </c>
      <c r="B25" s="158" t="s">
        <v>368</v>
      </c>
      <c r="C25" s="168" t="s">
        <v>367</v>
      </c>
      <c r="D25" s="159" t="s">
        <v>98</v>
      </c>
      <c r="E25" s="160">
        <f>E21</f>
        <v>192</v>
      </c>
      <c r="F25" s="161"/>
      <c r="G25" s="162">
        <f>ROUND(E25*F25,2)</f>
        <v>0</v>
      </c>
      <c r="H25" s="161">
        <v>0</v>
      </c>
      <c r="I25" s="162">
        <f>ROUND(E25*H25,2)</f>
        <v>0</v>
      </c>
      <c r="J25" s="161">
        <v>240</v>
      </c>
      <c r="K25" s="162">
        <f>ROUND(E25*J25,2)</f>
        <v>46080</v>
      </c>
      <c r="L25" s="162">
        <v>21</v>
      </c>
      <c r="M25" s="162">
        <f>G25*(1+L25/100)</f>
        <v>0</v>
      </c>
      <c r="N25" s="162">
        <v>0</v>
      </c>
      <c r="O25" s="162">
        <f>ROUND(E25*N25,2)</f>
        <v>0</v>
      </c>
      <c r="P25" s="162">
        <v>0</v>
      </c>
      <c r="Q25" s="162">
        <f>ROUND(E25*P25,2)</f>
        <v>0</v>
      </c>
      <c r="R25" s="162" t="s">
        <v>115</v>
      </c>
      <c r="S25" s="162" t="s">
        <v>351</v>
      </c>
      <c r="T25" s="162" t="s">
        <v>351</v>
      </c>
      <c r="U25" s="149"/>
      <c r="V25" s="149"/>
      <c r="W25" s="149"/>
      <c r="X25" s="149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</row>
    <row r="26" spans="1:59" outlineLevel="1" x14ac:dyDescent="0.25">
      <c r="A26" s="147"/>
      <c r="B26" s="148"/>
      <c r="C26" s="169"/>
      <c r="D26" s="164"/>
      <c r="E26" s="164"/>
      <c r="F26" s="164"/>
      <c r="G26" s="164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</row>
    <row r="27" spans="1:59" outlineLevel="1" x14ac:dyDescent="0.25">
      <c r="A27" s="157">
        <f>A25+1</f>
        <v>9</v>
      </c>
      <c r="B27" s="158" t="s">
        <v>118</v>
      </c>
      <c r="C27" s="168" t="s">
        <v>369</v>
      </c>
      <c r="D27" s="159" t="s">
        <v>116</v>
      </c>
      <c r="E27" s="160">
        <f>E16+E19</f>
        <v>134.40000000000003</v>
      </c>
      <c r="F27" s="161"/>
      <c r="G27" s="162">
        <f>ROUND(E27*F27,2)</f>
        <v>0</v>
      </c>
      <c r="H27" s="161">
        <v>0</v>
      </c>
      <c r="I27" s="162">
        <f>ROUND(E27*H27,2)</f>
        <v>0</v>
      </c>
      <c r="J27" s="161">
        <v>259.5</v>
      </c>
      <c r="K27" s="162">
        <f>ROUND(E27*J27,2)</f>
        <v>34876.800000000003</v>
      </c>
      <c r="L27" s="162">
        <v>21</v>
      </c>
      <c r="M27" s="162">
        <f>G27*(1+L27/100)</f>
        <v>0</v>
      </c>
      <c r="N27" s="162">
        <v>0</v>
      </c>
      <c r="O27" s="162">
        <f>ROUND(E27*N27,2)</f>
        <v>0</v>
      </c>
      <c r="P27" s="162">
        <v>0</v>
      </c>
      <c r="Q27" s="162">
        <f>ROUND(E27*P27,2)</f>
        <v>0</v>
      </c>
      <c r="R27" s="162" t="s">
        <v>115</v>
      </c>
      <c r="S27" s="162" t="s">
        <v>351</v>
      </c>
      <c r="T27" s="162" t="s">
        <v>351</v>
      </c>
      <c r="U27" s="149"/>
      <c r="V27" s="149"/>
      <c r="W27" s="149"/>
      <c r="X27" s="149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</row>
    <row r="28" spans="1:59" ht="12.75" customHeight="1" outlineLevel="1" x14ac:dyDescent="0.25">
      <c r="A28" s="147"/>
      <c r="B28" s="148"/>
      <c r="C28" s="290" t="s">
        <v>119</v>
      </c>
      <c r="D28" s="291"/>
      <c r="E28" s="291"/>
      <c r="F28" s="291"/>
      <c r="G28" s="291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</row>
    <row r="29" spans="1:59" outlineLevel="1" x14ac:dyDescent="0.25">
      <c r="A29" s="147"/>
      <c r="B29" s="148"/>
      <c r="C29" s="292"/>
      <c r="D29" s="293"/>
      <c r="E29" s="293"/>
      <c r="F29" s="293"/>
      <c r="G29" s="293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</row>
    <row r="30" spans="1:59" outlineLevel="1" x14ac:dyDescent="0.25">
      <c r="A30" s="157">
        <f>A27+1</f>
        <v>10</v>
      </c>
      <c r="B30" s="158" t="s">
        <v>120</v>
      </c>
      <c r="C30" s="168" t="s">
        <v>164</v>
      </c>
      <c r="D30" s="159" t="s">
        <v>116</v>
      </c>
      <c r="E30" s="160">
        <f>E19</f>
        <v>19.200000000000003</v>
      </c>
      <c r="F30" s="161"/>
      <c r="G30" s="162">
        <f>ROUND(E30*F30,2)</f>
        <v>0</v>
      </c>
      <c r="H30" s="161">
        <v>0</v>
      </c>
      <c r="I30" s="162">
        <f>ROUND(E30*H30,2)</f>
        <v>0</v>
      </c>
      <c r="J30" s="161">
        <v>265</v>
      </c>
      <c r="K30" s="162">
        <f>ROUND(E30*J30,2)</f>
        <v>5088</v>
      </c>
      <c r="L30" s="162">
        <v>21</v>
      </c>
      <c r="M30" s="162">
        <f>G30*(1+L30/100)</f>
        <v>0</v>
      </c>
      <c r="N30" s="162">
        <v>0</v>
      </c>
      <c r="O30" s="162">
        <f>ROUND(E30*N30,2)</f>
        <v>0</v>
      </c>
      <c r="P30" s="162">
        <v>0</v>
      </c>
      <c r="Q30" s="162">
        <f>ROUND(E30*P30,2)</f>
        <v>0</v>
      </c>
      <c r="R30" s="162" t="s">
        <v>115</v>
      </c>
      <c r="S30" s="162" t="s">
        <v>351</v>
      </c>
      <c r="T30" s="162" t="s">
        <v>351</v>
      </c>
      <c r="U30" s="149"/>
      <c r="V30" s="149"/>
      <c r="W30" s="149"/>
      <c r="X30" s="149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</row>
    <row r="31" spans="1:59" ht="12.75" customHeight="1" outlineLevel="1" x14ac:dyDescent="0.25">
      <c r="A31" s="147"/>
      <c r="B31" s="148"/>
      <c r="C31" s="295"/>
      <c r="D31" s="296"/>
      <c r="E31" s="296"/>
      <c r="F31" s="296"/>
      <c r="G31" s="296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</row>
    <row r="32" spans="1:59" ht="12.75" customHeight="1" outlineLevel="1" x14ac:dyDescent="0.25">
      <c r="A32" s="157">
        <f>A30+1</f>
        <v>11</v>
      </c>
      <c r="B32" s="158" t="s">
        <v>370</v>
      </c>
      <c r="C32" s="168" t="s">
        <v>431</v>
      </c>
      <c r="D32" s="159" t="s">
        <v>126</v>
      </c>
      <c r="E32" s="160">
        <f>E27*1.85</f>
        <v>248.64000000000007</v>
      </c>
      <c r="F32" s="161"/>
      <c r="G32" s="162">
        <f>ROUND(E32*F32,2)</f>
        <v>0</v>
      </c>
      <c r="H32" s="161">
        <v>0</v>
      </c>
      <c r="I32" s="162">
        <f>ROUND(E32*H32,2)</f>
        <v>0</v>
      </c>
      <c r="J32" s="161">
        <v>265</v>
      </c>
      <c r="K32" s="162">
        <f>ROUND(E32*J32,2)</f>
        <v>65889.600000000006</v>
      </c>
      <c r="L32" s="162">
        <v>21</v>
      </c>
      <c r="M32" s="162">
        <f>G32*(1+L32/100)</f>
        <v>0</v>
      </c>
      <c r="N32" s="162">
        <v>0</v>
      </c>
      <c r="O32" s="162">
        <f>ROUND(E32*N32,2)</f>
        <v>0</v>
      </c>
      <c r="P32" s="162">
        <v>0</v>
      </c>
      <c r="Q32" s="162">
        <f>ROUND(E32*P32,2)</f>
        <v>0</v>
      </c>
      <c r="R32" s="162" t="s">
        <v>115</v>
      </c>
      <c r="S32" s="162" t="s">
        <v>351</v>
      </c>
      <c r="T32" s="162" t="s">
        <v>351</v>
      </c>
      <c r="U32" s="149"/>
      <c r="V32" s="149"/>
      <c r="W32" s="149"/>
      <c r="X32" s="149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</row>
    <row r="33" spans="1:59" ht="12.75" customHeight="1" outlineLevel="1" x14ac:dyDescent="0.25">
      <c r="A33" s="147"/>
      <c r="B33" s="148"/>
      <c r="C33" s="182" t="s">
        <v>432</v>
      </c>
      <c r="D33" s="183"/>
      <c r="E33" s="184"/>
      <c r="F33" s="192"/>
      <c r="G33" s="185"/>
      <c r="H33" s="181"/>
      <c r="I33" s="149"/>
      <c r="J33" s="181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</row>
    <row r="34" spans="1:59" ht="12.75" customHeight="1" outlineLevel="1" x14ac:dyDescent="0.25">
      <c r="A34" s="147"/>
      <c r="B34" s="148"/>
      <c r="C34" s="169"/>
      <c r="D34" s="164"/>
      <c r="E34" s="164"/>
      <c r="F34" s="164"/>
      <c r="G34" s="164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</row>
    <row r="35" spans="1:59" outlineLevel="1" x14ac:dyDescent="0.25">
      <c r="A35" s="157">
        <f>A32+1</f>
        <v>12</v>
      </c>
      <c r="B35" s="158" t="s">
        <v>199</v>
      </c>
      <c r="C35" s="168" t="s">
        <v>371</v>
      </c>
      <c r="D35" s="159" t="s">
        <v>116</v>
      </c>
      <c r="E35" s="160">
        <f>E16-E70</f>
        <v>112.32000000000002</v>
      </c>
      <c r="F35" s="161"/>
      <c r="G35" s="162">
        <f>E35*F35</f>
        <v>0</v>
      </c>
      <c r="H35" s="161">
        <v>0</v>
      </c>
      <c r="I35" s="162">
        <v>0</v>
      </c>
      <c r="J35" s="161">
        <v>282.5</v>
      </c>
      <c r="K35" s="162">
        <v>22882.5</v>
      </c>
      <c r="L35" s="162">
        <v>21</v>
      </c>
      <c r="M35" s="162">
        <f>G35*1.21</f>
        <v>0</v>
      </c>
      <c r="N35" s="162">
        <v>0</v>
      </c>
      <c r="O35" s="162">
        <v>0</v>
      </c>
      <c r="P35" s="162">
        <v>0</v>
      </c>
      <c r="Q35" s="162">
        <v>0</v>
      </c>
      <c r="R35" s="162" t="s">
        <v>115</v>
      </c>
      <c r="S35" s="162" t="s">
        <v>351</v>
      </c>
      <c r="T35" s="162" t="s">
        <v>351</v>
      </c>
      <c r="U35" s="149"/>
      <c r="V35" s="149"/>
      <c r="W35" s="149"/>
      <c r="X35" s="149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</row>
    <row r="36" spans="1:59" outlineLevel="1" x14ac:dyDescent="0.25">
      <c r="A36" s="157"/>
      <c r="B36" s="158"/>
      <c r="C36" s="295"/>
      <c r="D36" s="296"/>
      <c r="E36" s="296"/>
      <c r="F36" s="296"/>
      <c r="G36" s="296"/>
      <c r="H36" s="161"/>
      <c r="I36" s="162"/>
      <c r="J36" s="161"/>
      <c r="K36" s="162"/>
      <c r="L36" s="162"/>
      <c r="M36" s="162"/>
      <c r="N36" s="162"/>
      <c r="O36" s="162"/>
      <c r="P36" s="162"/>
      <c r="Q36" s="162"/>
      <c r="R36" s="162"/>
      <c r="S36" s="162"/>
      <c r="T36" s="201"/>
      <c r="U36" s="149"/>
      <c r="V36" s="149"/>
      <c r="W36" s="149"/>
      <c r="X36" s="149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</row>
    <row r="37" spans="1:59" outlineLevel="1" x14ac:dyDescent="0.25">
      <c r="A37" s="157">
        <f>A35+1</f>
        <v>13</v>
      </c>
      <c r="B37" s="158" t="s">
        <v>124</v>
      </c>
      <c r="C37" s="168" t="s">
        <v>125</v>
      </c>
      <c r="D37" s="159" t="s">
        <v>116</v>
      </c>
      <c r="E37" s="160">
        <f>E27</f>
        <v>134.40000000000003</v>
      </c>
      <c r="F37" s="161"/>
      <c r="G37" s="162">
        <f>ROUND(E37*F37,2)</f>
        <v>0</v>
      </c>
      <c r="H37" s="161">
        <v>0</v>
      </c>
      <c r="I37" s="162">
        <f>ROUND(E37*H37,2)</f>
        <v>0</v>
      </c>
      <c r="J37" s="161">
        <v>282.5</v>
      </c>
      <c r="K37" s="162">
        <f>ROUND(E37*J37,2)</f>
        <v>37968</v>
      </c>
      <c r="L37" s="162">
        <v>21</v>
      </c>
      <c r="M37" s="162">
        <f>G37*(1+L37/100)</f>
        <v>0</v>
      </c>
      <c r="N37" s="162">
        <v>0</v>
      </c>
      <c r="O37" s="162">
        <f>ROUND(E37*N37,2)</f>
        <v>0</v>
      </c>
      <c r="P37" s="162">
        <v>0</v>
      </c>
      <c r="Q37" s="162">
        <f>ROUND(E37*P37,2)</f>
        <v>0</v>
      </c>
      <c r="R37" s="162" t="s">
        <v>115</v>
      </c>
      <c r="S37" s="162" t="s">
        <v>351</v>
      </c>
      <c r="T37" s="162" t="s">
        <v>351</v>
      </c>
      <c r="U37" s="149"/>
      <c r="V37" s="149"/>
      <c r="W37" s="149"/>
      <c r="X37" s="149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</row>
    <row r="38" spans="1:59" outlineLevel="1" x14ac:dyDescent="0.25">
      <c r="A38" s="147"/>
      <c r="B38" s="148"/>
      <c r="C38" s="295"/>
      <c r="D38" s="296"/>
      <c r="E38" s="296"/>
      <c r="F38" s="296"/>
      <c r="G38" s="296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</row>
    <row r="39" spans="1:59" outlineLevel="1" x14ac:dyDescent="0.25">
      <c r="A39" s="151" t="s">
        <v>91</v>
      </c>
      <c r="B39" s="152" t="s">
        <v>259</v>
      </c>
      <c r="C39" s="167" t="s">
        <v>260</v>
      </c>
      <c r="D39" s="153"/>
      <c r="E39" s="154"/>
      <c r="F39" s="155"/>
      <c r="G39" s="155">
        <f>SUMIF(AF40:AF55,"&lt;&gt;NOR",G40:G55)</f>
        <v>0</v>
      </c>
      <c r="H39" s="155"/>
      <c r="I39" s="155">
        <f>SUM(I40:I55)</f>
        <v>43326.53</v>
      </c>
      <c r="J39" s="155"/>
      <c r="K39" s="155">
        <f>SUM(K40:K55)</f>
        <v>96659.91</v>
      </c>
      <c r="L39" s="155"/>
      <c r="M39" s="155">
        <f>SUM(M40:M55)</f>
        <v>0</v>
      </c>
      <c r="N39" s="155"/>
      <c r="O39" s="155">
        <f>SUM(O40:O55)</f>
        <v>32.190000000000005</v>
      </c>
      <c r="P39" s="155"/>
      <c r="Q39" s="155">
        <f>SUM(Q40:Q55)</f>
        <v>0</v>
      </c>
      <c r="R39" s="155"/>
      <c r="S39" s="155"/>
      <c r="T39" s="156"/>
      <c r="U39" s="149"/>
      <c r="V39" s="149"/>
      <c r="W39" s="149"/>
      <c r="X39" s="149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</row>
    <row r="40" spans="1:59" outlineLevel="1" x14ac:dyDescent="0.25">
      <c r="A40" s="157">
        <f>A37+1</f>
        <v>14</v>
      </c>
      <c r="B40" s="158" t="s">
        <v>402</v>
      </c>
      <c r="C40" s="168" t="s">
        <v>401</v>
      </c>
      <c r="D40" s="159" t="s">
        <v>95</v>
      </c>
      <c r="E40" s="160">
        <v>4</v>
      </c>
      <c r="F40" s="161"/>
      <c r="G40" s="162">
        <f>ROUND(E40*F40,2)</f>
        <v>0</v>
      </c>
      <c r="H40" s="161">
        <v>356.55</v>
      </c>
      <c r="I40" s="162">
        <f>ROUND(E40*H40,2)</f>
        <v>1426.2</v>
      </c>
      <c r="J40" s="161">
        <v>795.45</v>
      </c>
      <c r="K40" s="162">
        <f>ROUND(E40*J40,2)</f>
        <v>3181.8</v>
      </c>
      <c r="L40" s="162">
        <v>21</v>
      </c>
      <c r="M40" s="162">
        <f>G40*(1+L40/100)</f>
        <v>0</v>
      </c>
      <c r="N40" s="162">
        <v>0.26486999999999999</v>
      </c>
      <c r="O40" s="162">
        <f>ROUND(E40*N40,2)</f>
        <v>1.06</v>
      </c>
      <c r="P40" s="162">
        <v>0</v>
      </c>
      <c r="Q40" s="162">
        <f>ROUND(E40*P40,2)</f>
        <v>0</v>
      </c>
      <c r="R40" s="162" t="s">
        <v>262</v>
      </c>
      <c r="S40" s="162" t="s">
        <v>351</v>
      </c>
      <c r="T40" s="162" t="s">
        <v>351</v>
      </c>
      <c r="U40" s="149"/>
      <c r="V40" s="149"/>
      <c r="W40" s="149"/>
      <c r="X40" s="149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</row>
    <row r="41" spans="1:59" outlineLevel="1" x14ac:dyDescent="0.25">
      <c r="A41" s="147"/>
      <c r="B41" s="148"/>
      <c r="C41" s="224"/>
      <c r="D41" s="179"/>
      <c r="E41" s="179"/>
      <c r="F41" s="179"/>
      <c r="G41" s="179"/>
      <c r="H41" s="181"/>
      <c r="I41" s="149"/>
      <c r="J41" s="181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</row>
    <row r="42" spans="1:59" outlineLevel="1" x14ac:dyDescent="0.25">
      <c r="A42" s="157">
        <f>A40+1</f>
        <v>15</v>
      </c>
      <c r="B42" s="158" t="s">
        <v>404</v>
      </c>
      <c r="C42" s="168" t="s">
        <v>403</v>
      </c>
      <c r="D42" s="159" t="s">
        <v>116</v>
      </c>
      <c r="E42" s="160">
        <f>7.2*0.3*1.8*2</f>
        <v>7.7760000000000007</v>
      </c>
      <c r="F42" s="161"/>
      <c r="G42" s="162">
        <f>ROUND(E42*F42,2)</f>
        <v>0</v>
      </c>
      <c r="H42" s="161">
        <v>356.55</v>
      </c>
      <c r="I42" s="162">
        <f>ROUND(E42*H42,2)</f>
        <v>2772.53</v>
      </c>
      <c r="J42" s="161">
        <v>795.45</v>
      </c>
      <c r="K42" s="162">
        <f>ROUND(E42*J42,2)</f>
        <v>6185.42</v>
      </c>
      <c r="L42" s="162">
        <v>21</v>
      </c>
      <c r="M42" s="162">
        <f>G42*(1+L42/100)</f>
        <v>0</v>
      </c>
      <c r="N42" s="162">
        <v>0.26486999999999999</v>
      </c>
      <c r="O42" s="162">
        <f>ROUND(E42*N42,2)</f>
        <v>2.06</v>
      </c>
      <c r="P42" s="162">
        <v>0</v>
      </c>
      <c r="Q42" s="162">
        <f>ROUND(E42*P42,2)</f>
        <v>0</v>
      </c>
      <c r="R42" s="162" t="s">
        <v>262</v>
      </c>
      <c r="S42" s="162" t="s">
        <v>351</v>
      </c>
      <c r="T42" s="162" t="s">
        <v>351</v>
      </c>
      <c r="U42" s="149"/>
      <c r="V42" s="149"/>
      <c r="W42" s="149"/>
      <c r="X42" s="149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</row>
    <row r="43" spans="1:59" outlineLevel="1" x14ac:dyDescent="0.25">
      <c r="A43" s="147"/>
      <c r="B43" s="148"/>
      <c r="C43" s="224"/>
      <c r="D43" s="179"/>
      <c r="E43" s="179"/>
      <c r="F43" s="179"/>
      <c r="G43" s="179"/>
      <c r="H43" s="181"/>
      <c r="I43" s="149"/>
      <c r="J43" s="181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</row>
    <row r="44" spans="1:59" outlineLevel="1" x14ac:dyDescent="0.25">
      <c r="A44" s="157">
        <f>A42+1</f>
        <v>16</v>
      </c>
      <c r="B44" s="158" t="s">
        <v>406</v>
      </c>
      <c r="C44" s="168" t="s">
        <v>405</v>
      </c>
      <c r="D44" s="159" t="s">
        <v>114</v>
      </c>
      <c r="E44" s="160">
        <f>7.2*2+4*1.1</f>
        <v>18.8</v>
      </c>
      <c r="F44" s="161"/>
      <c r="G44" s="162">
        <f>ROUND(E44*F44,2)</f>
        <v>0</v>
      </c>
      <c r="H44" s="161">
        <v>356.55</v>
      </c>
      <c r="I44" s="162">
        <f>ROUND(E44*H44,2)</f>
        <v>6703.14</v>
      </c>
      <c r="J44" s="161">
        <v>795.45</v>
      </c>
      <c r="K44" s="162">
        <f>ROUND(E44*J44,2)</f>
        <v>14954.46</v>
      </c>
      <c r="L44" s="162">
        <v>21</v>
      </c>
      <c r="M44" s="162">
        <f>G44*(1+L44/100)</f>
        <v>0</v>
      </c>
      <c r="N44" s="162">
        <v>0.26486999999999999</v>
      </c>
      <c r="O44" s="162">
        <f>ROUND(E44*N44,2)</f>
        <v>4.9800000000000004</v>
      </c>
      <c r="P44" s="162">
        <v>0</v>
      </c>
      <c r="Q44" s="162">
        <f>ROUND(E44*P44,2)</f>
        <v>0</v>
      </c>
      <c r="R44" s="162" t="s">
        <v>262</v>
      </c>
      <c r="S44" s="162" t="s">
        <v>351</v>
      </c>
      <c r="T44" s="162" t="s">
        <v>351</v>
      </c>
      <c r="U44" s="149"/>
      <c r="V44" s="149"/>
      <c r="W44" s="149"/>
      <c r="X44" s="149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</row>
    <row r="45" spans="1:59" outlineLevel="1" x14ac:dyDescent="0.25">
      <c r="A45" s="147"/>
      <c r="B45" s="148"/>
      <c r="C45" s="224"/>
      <c r="D45" s="179"/>
      <c r="E45" s="179"/>
      <c r="F45" s="179"/>
      <c r="G45" s="179"/>
      <c r="H45" s="181"/>
      <c r="I45" s="149"/>
      <c r="J45" s="181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</row>
    <row r="46" spans="1:59" outlineLevel="1" x14ac:dyDescent="0.25">
      <c r="A46" s="157">
        <f>A42+1</f>
        <v>16</v>
      </c>
      <c r="B46" s="158" t="s">
        <v>407</v>
      </c>
      <c r="C46" s="168" t="s">
        <v>410</v>
      </c>
      <c r="D46" s="159" t="s">
        <v>116</v>
      </c>
      <c r="E46" s="160">
        <f>2.5*9*0.1*2</f>
        <v>4.5</v>
      </c>
      <c r="F46" s="161"/>
      <c r="G46" s="162">
        <f>ROUND(E46*F46,2)</f>
        <v>0</v>
      </c>
      <c r="H46" s="161">
        <v>356.55</v>
      </c>
      <c r="I46" s="162">
        <f>ROUND(E46*H46,2)</f>
        <v>1604.48</v>
      </c>
      <c r="J46" s="161">
        <v>795.45</v>
      </c>
      <c r="K46" s="162">
        <f>ROUND(E46*J46,2)</f>
        <v>3579.53</v>
      </c>
      <c r="L46" s="162">
        <v>21</v>
      </c>
      <c r="M46" s="162">
        <f>G46*(1+L46/100)</f>
        <v>0</v>
      </c>
      <c r="N46" s="162">
        <v>0.26486999999999999</v>
      </c>
      <c r="O46" s="162">
        <f>ROUND(E46*N46,2)</f>
        <v>1.19</v>
      </c>
      <c r="P46" s="162">
        <v>0</v>
      </c>
      <c r="Q46" s="162">
        <f>ROUND(E46*P46,2)</f>
        <v>0</v>
      </c>
      <c r="R46" s="162" t="s">
        <v>262</v>
      </c>
      <c r="S46" s="162" t="s">
        <v>351</v>
      </c>
      <c r="T46" s="162" t="s">
        <v>351</v>
      </c>
      <c r="U46" s="149"/>
      <c r="V46" s="149"/>
      <c r="W46" s="149"/>
      <c r="X46" s="149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</row>
    <row r="47" spans="1:59" outlineLevel="1" x14ac:dyDescent="0.25">
      <c r="A47" s="147"/>
      <c r="B47" s="148"/>
      <c r="C47" s="224"/>
      <c r="D47" s="179"/>
      <c r="E47" s="179"/>
      <c r="F47" s="179"/>
      <c r="G47" s="179"/>
      <c r="H47" s="181"/>
      <c r="I47" s="149"/>
      <c r="J47" s="181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</row>
    <row r="48" spans="1:59" outlineLevel="1" x14ac:dyDescent="0.25">
      <c r="A48" s="157">
        <f>A44+1</f>
        <v>17</v>
      </c>
      <c r="B48" s="158" t="s">
        <v>408</v>
      </c>
      <c r="C48" s="168" t="s">
        <v>409</v>
      </c>
      <c r="D48" s="159" t="s">
        <v>116</v>
      </c>
      <c r="E48" s="160">
        <f>1.5*8.5*0.8*2</f>
        <v>20.400000000000002</v>
      </c>
      <c r="F48" s="161"/>
      <c r="G48" s="162">
        <f>ROUND(E48*F48,2)</f>
        <v>0</v>
      </c>
      <c r="H48" s="161">
        <v>356.55</v>
      </c>
      <c r="I48" s="162">
        <f>ROUND(E48*H48,2)</f>
        <v>7273.62</v>
      </c>
      <c r="J48" s="161">
        <v>795.45</v>
      </c>
      <c r="K48" s="162">
        <f>ROUND(E48*J48,2)</f>
        <v>16227.18</v>
      </c>
      <c r="L48" s="162">
        <v>21</v>
      </c>
      <c r="M48" s="162">
        <f>G48*(1+L48/100)</f>
        <v>0</v>
      </c>
      <c r="N48" s="162">
        <v>0.26486999999999999</v>
      </c>
      <c r="O48" s="162">
        <f>ROUND(E48*N48,2)</f>
        <v>5.4</v>
      </c>
      <c r="P48" s="162">
        <v>0</v>
      </c>
      <c r="Q48" s="162">
        <f>ROUND(E48*P48,2)</f>
        <v>0</v>
      </c>
      <c r="R48" s="162" t="s">
        <v>262</v>
      </c>
      <c r="S48" s="162" t="s">
        <v>351</v>
      </c>
      <c r="T48" s="162" t="s">
        <v>351</v>
      </c>
      <c r="U48" s="149"/>
      <c r="V48" s="149"/>
      <c r="W48" s="149"/>
      <c r="X48" s="149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</row>
    <row r="49" spans="1:59" outlineLevel="1" x14ac:dyDescent="0.25">
      <c r="A49" s="147"/>
      <c r="B49" s="148"/>
      <c r="C49" s="224"/>
      <c r="D49" s="179"/>
      <c r="E49" s="179"/>
      <c r="F49" s="179"/>
      <c r="G49" s="179"/>
      <c r="H49" s="181"/>
      <c r="I49" s="149"/>
      <c r="J49" s="181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</row>
    <row r="50" spans="1:59" outlineLevel="1" x14ac:dyDescent="0.25">
      <c r="A50" s="157">
        <f>A48+1</f>
        <v>18</v>
      </c>
      <c r="B50" s="158" t="s">
        <v>412</v>
      </c>
      <c r="C50" s="168" t="s">
        <v>411</v>
      </c>
      <c r="D50" s="159" t="s">
        <v>98</v>
      </c>
      <c r="E50" s="160">
        <f>(1.5+8.5+8.5+1.5)*0.8*2</f>
        <v>32</v>
      </c>
      <c r="F50" s="161"/>
      <c r="G50" s="162">
        <f>ROUND(E50*F50,2)</f>
        <v>0</v>
      </c>
      <c r="H50" s="161">
        <v>356.55</v>
      </c>
      <c r="I50" s="162">
        <f>ROUND(E50*H50,2)</f>
        <v>11409.6</v>
      </c>
      <c r="J50" s="161">
        <v>795.45</v>
      </c>
      <c r="K50" s="162">
        <f>ROUND(E50*J50,2)</f>
        <v>25454.400000000001</v>
      </c>
      <c r="L50" s="162">
        <v>21</v>
      </c>
      <c r="M50" s="162">
        <f>G50*(1+L50/100)</f>
        <v>0</v>
      </c>
      <c r="N50" s="162">
        <v>0.26486999999999999</v>
      </c>
      <c r="O50" s="162">
        <f>ROUND(E50*N50,2)</f>
        <v>8.48</v>
      </c>
      <c r="P50" s="162">
        <v>0</v>
      </c>
      <c r="Q50" s="162">
        <f>ROUND(E50*P50,2)</f>
        <v>0</v>
      </c>
      <c r="R50" s="162" t="s">
        <v>262</v>
      </c>
      <c r="S50" s="162" t="s">
        <v>351</v>
      </c>
      <c r="T50" s="162" t="s">
        <v>351</v>
      </c>
      <c r="U50" s="149"/>
      <c r="V50" s="149"/>
      <c r="W50" s="149"/>
      <c r="X50" s="149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</row>
    <row r="51" spans="1:59" outlineLevel="1" x14ac:dyDescent="0.25">
      <c r="A51" s="147"/>
      <c r="B51" s="148"/>
      <c r="C51" s="224"/>
      <c r="D51" s="179"/>
      <c r="E51" s="179"/>
      <c r="F51" s="179"/>
      <c r="G51" s="179"/>
      <c r="H51" s="181"/>
      <c r="I51" s="149"/>
      <c r="J51" s="181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</row>
    <row r="52" spans="1:59" outlineLevel="1" x14ac:dyDescent="0.25">
      <c r="A52" s="157">
        <f>A50+1</f>
        <v>19</v>
      </c>
      <c r="B52" s="158" t="s">
        <v>414</v>
      </c>
      <c r="C52" s="168" t="s">
        <v>413</v>
      </c>
      <c r="D52" s="159" t="s">
        <v>98</v>
      </c>
      <c r="E52" s="160">
        <f>E50</f>
        <v>32</v>
      </c>
      <c r="F52" s="161"/>
      <c r="G52" s="162">
        <f>ROUND(E52*F52,2)</f>
        <v>0</v>
      </c>
      <c r="H52" s="161">
        <v>356.55</v>
      </c>
      <c r="I52" s="162">
        <f>ROUND(E52*H52,2)</f>
        <v>11409.6</v>
      </c>
      <c r="J52" s="161">
        <v>795.45</v>
      </c>
      <c r="K52" s="162">
        <f>ROUND(E52*J52,2)</f>
        <v>25454.400000000001</v>
      </c>
      <c r="L52" s="162">
        <v>21</v>
      </c>
      <c r="M52" s="162">
        <f>G52*(1+L52/100)</f>
        <v>0</v>
      </c>
      <c r="N52" s="162">
        <v>0.26486999999999999</v>
      </c>
      <c r="O52" s="162">
        <f>ROUND(E52*N52,2)</f>
        <v>8.48</v>
      </c>
      <c r="P52" s="162">
        <v>0</v>
      </c>
      <c r="Q52" s="162">
        <f>ROUND(E52*P52,2)</f>
        <v>0</v>
      </c>
      <c r="R52" s="162" t="s">
        <v>262</v>
      </c>
      <c r="S52" s="162" t="s">
        <v>351</v>
      </c>
      <c r="T52" s="162" t="s">
        <v>351</v>
      </c>
      <c r="U52" s="149"/>
      <c r="V52" s="149"/>
      <c r="W52" s="149"/>
      <c r="X52" s="149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</row>
    <row r="53" spans="1:59" outlineLevel="1" x14ac:dyDescent="0.25">
      <c r="A53" s="147"/>
      <c r="B53" s="148"/>
      <c r="C53" s="224"/>
      <c r="D53" s="179"/>
      <c r="E53" s="179"/>
      <c r="F53" s="179"/>
      <c r="G53" s="179"/>
      <c r="H53" s="181"/>
      <c r="I53" s="149"/>
      <c r="J53" s="181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</row>
    <row r="54" spans="1:59" outlineLevel="1" x14ac:dyDescent="0.25">
      <c r="A54" s="157">
        <f>A52+1</f>
        <v>20</v>
      </c>
      <c r="B54" s="158" t="s">
        <v>416</v>
      </c>
      <c r="C54" s="168" t="s">
        <v>415</v>
      </c>
      <c r="D54" s="159" t="s">
        <v>126</v>
      </c>
      <c r="E54" s="160">
        <f>E48*0.1</f>
        <v>2.0400000000000005</v>
      </c>
      <c r="F54" s="161"/>
      <c r="G54" s="162">
        <f>ROUND(E54*F54,2)</f>
        <v>0</v>
      </c>
      <c r="H54" s="161">
        <v>356.55</v>
      </c>
      <c r="I54" s="162">
        <f>ROUND(E54*H54,2)</f>
        <v>727.36</v>
      </c>
      <c r="J54" s="161">
        <v>795.45</v>
      </c>
      <c r="K54" s="162">
        <f>ROUND(E54*J54,2)</f>
        <v>1622.72</v>
      </c>
      <c r="L54" s="162">
        <v>21</v>
      </c>
      <c r="M54" s="162">
        <f>G54*(1+L54/100)</f>
        <v>0</v>
      </c>
      <c r="N54" s="162">
        <v>0.26486999999999999</v>
      </c>
      <c r="O54" s="162">
        <f>ROUND(E54*N54,2)</f>
        <v>0.54</v>
      </c>
      <c r="P54" s="162">
        <v>0</v>
      </c>
      <c r="Q54" s="162">
        <f>ROUND(E54*P54,2)</f>
        <v>0</v>
      </c>
      <c r="R54" s="162" t="s">
        <v>262</v>
      </c>
      <c r="S54" s="162" t="s">
        <v>351</v>
      </c>
      <c r="T54" s="162" t="s">
        <v>351</v>
      </c>
      <c r="U54" s="149"/>
      <c r="V54" s="149"/>
      <c r="W54" s="149"/>
      <c r="X54" s="149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</row>
    <row r="55" spans="1:59" outlineLevel="1" x14ac:dyDescent="0.25">
      <c r="A55" s="147"/>
      <c r="B55" s="148"/>
      <c r="C55" s="295"/>
      <c r="D55" s="296"/>
      <c r="E55" s="296"/>
      <c r="F55" s="296"/>
      <c r="G55" s="296"/>
      <c r="H55" s="181"/>
      <c r="I55" s="149"/>
      <c r="J55" s="181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</row>
    <row r="56" spans="1:59" outlineLevel="1" x14ac:dyDescent="0.25">
      <c r="A56" s="151" t="s">
        <v>91</v>
      </c>
      <c r="B56" s="152" t="s">
        <v>417</v>
      </c>
      <c r="C56" s="167" t="s">
        <v>418</v>
      </c>
      <c r="D56" s="153"/>
      <c r="E56" s="154"/>
      <c r="F56" s="155"/>
      <c r="G56" s="155">
        <f>SUMIF(AF57:AF68,"&lt;&gt;NOR",G57:G68)</f>
        <v>0</v>
      </c>
      <c r="H56" s="155"/>
      <c r="I56" s="155">
        <f>SUM(I57:I68)</f>
        <v>111943.59999999999</v>
      </c>
      <c r="J56" s="155"/>
      <c r="K56" s="155">
        <f>SUM(K57:K68)</f>
        <v>255215.36999999997</v>
      </c>
      <c r="L56" s="155"/>
      <c r="M56" s="155">
        <f>SUM(M57:M68)</f>
        <v>0</v>
      </c>
      <c r="N56" s="155"/>
      <c r="O56" s="155">
        <f>SUM(O57:O68)</f>
        <v>83.03</v>
      </c>
      <c r="P56" s="155"/>
      <c r="Q56" s="155">
        <f>SUM(Q57:Q68)</f>
        <v>0</v>
      </c>
      <c r="R56" s="155"/>
      <c r="S56" s="155"/>
      <c r="T56" s="156"/>
      <c r="U56" s="149"/>
      <c r="V56" s="149"/>
      <c r="W56" s="149"/>
      <c r="X56" s="149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</row>
    <row r="57" spans="1:59" outlineLevel="1" x14ac:dyDescent="0.25">
      <c r="A57" s="157">
        <f>A54+1</f>
        <v>21</v>
      </c>
      <c r="B57" s="158" t="s">
        <v>420</v>
      </c>
      <c r="C57" s="168" t="s">
        <v>419</v>
      </c>
      <c r="D57" s="159" t="s">
        <v>116</v>
      </c>
      <c r="E57" s="160">
        <f>0.8*1.8*8*2+0.4*0.35*8*2</f>
        <v>25.28</v>
      </c>
      <c r="F57" s="161"/>
      <c r="G57" s="162">
        <f>ROUND(E57*F57,2)</f>
        <v>0</v>
      </c>
      <c r="H57" s="161">
        <v>356.55</v>
      </c>
      <c r="I57" s="162">
        <f>ROUND(E57*H57,2)</f>
        <v>9013.58</v>
      </c>
      <c r="J57" s="161">
        <v>795.45</v>
      </c>
      <c r="K57" s="162">
        <f>ROUND(E57*J57,2)</f>
        <v>20108.98</v>
      </c>
      <c r="L57" s="162">
        <v>21</v>
      </c>
      <c r="M57" s="162">
        <f>G57*(1+L57/100)</f>
        <v>0</v>
      </c>
      <c r="N57" s="162">
        <v>0.26486999999999999</v>
      </c>
      <c r="O57" s="162">
        <f>ROUND(E57*N57,2)</f>
        <v>6.7</v>
      </c>
      <c r="P57" s="162">
        <v>0</v>
      </c>
      <c r="Q57" s="162">
        <f>ROUND(E57*P57,2)</f>
        <v>0</v>
      </c>
      <c r="R57" s="162" t="s">
        <v>262</v>
      </c>
      <c r="S57" s="163" t="s">
        <v>101</v>
      </c>
      <c r="T57" s="163" t="s">
        <v>101</v>
      </c>
      <c r="U57" s="149"/>
      <c r="V57" s="149"/>
      <c r="W57" s="149"/>
      <c r="X57" s="149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</row>
    <row r="58" spans="1:59" outlineLevel="1" x14ac:dyDescent="0.25">
      <c r="A58" s="147"/>
      <c r="B58" s="148"/>
      <c r="C58" s="169"/>
      <c r="D58" s="164"/>
      <c r="E58" s="164"/>
      <c r="F58" s="164"/>
      <c r="G58" s="164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</row>
    <row r="59" spans="1:59" outlineLevel="1" x14ac:dyDescent="0.25">
      <c r="A59" s="157">
        <f>A57+1</f>
        <v>22</v>
      </c>
      <c r="B59" s="158" t="s">
        <v>422</v>
      </c>
      <c r="C59" s="168" t="s">
        <v>421</v>
      </c>
      <c r="D59" s="159" t="s">
        <v>116</v>
      </c>
      <c r="E59" s="160">
        <f>2.15*0.8*1.5*4</f>
        <v>10.32</v>
      </c>
      <c r="F59" s="161"/>
      <c r="G59" s="162">
        <f>ROUND(E59*F59,2)</f>
        <v>0</v>
      </c>
      <c r="H59" s="161">
        <v>375.32</v>
      </c>
      <c r="I59" s="162">
        <f>ROUND(E59*H59,2)</f>
        <v>3873.3</v>
      </c>
      <c r="J59" s="161">
        <v>1367.68</v>
      </c>
      <c r="K59" s="162">
        <f>ROUND(E59*J59,2)</f>
        <v>14114.46</v>
      </c>
      <c r="L59" s="162">
        <v>21</v>
      </c>
      <c r="M59" s="162">
        <f>G59*(1+L59/100)</f>
        <v>0</v>
      </c>
      <c r="N59" s="162">
        <v>0.26595000000000002</v>
      </c>
      <c r="O59" s="162">
        <f>ROUND(E59*N59,2)</f>
        <v>2.74</v>
      </c>
      <c r="P59" s="162">
        <v>0</v>
      </c>
      <c r="Q59" s="162">
        <f>ROUND(E59*P59,2)</f>
        <v>0</v>
      </c>
      <c r="R59" s="162" t="s">
        <v>262</v>
      </c>
      <c r="S59" s="163" t="s">
        <v>101</v>
      </c>
      <c r="T59" s="163" t="s">
        <v>101</v>
      </c>
      <c r="U59" s="149"/>
      <c r="V59" s="149"/>
      <c r="W59" s="149"/>
      <c r="X59" s="149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</row>
    <row r="60" spans="1:59" outlineLevel="1" x14ac:dyDescent="0.25">
      <c r="A60" s="147"/>
      <c r="B60" s="148"/>
      <c r="C60" s="178"/>
      <c r="D60" s="179"/>
      <c r="E60" s="179"/>
      <c r="F60" s="179"/>
      <c r="G60" s="179"/>
      <c r="H60" s="181"/>
      <c r="I60" s="149"/>
      <c r="J60" s="181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</row>
    <row r="61" spans="1:59" outlineLevel="1" x14ac:dyDescent="0.25">
      <c r="A61" s="157">
        <f>A59+1</f>
        <v>23</v>
      </c>
      <c r="B61" s="158" t="s">
        <v>425</v>
      </c>
      <c r="C61" s="168" t="s">
        <v>423</v>
      </c>
      <c r="D61" s="159" t="s">
        <v>98</v>
      </c>
      <c r="E61" s="160">
        <f>2.15*7.2+2.15*8+2.15*2.3*4+2.15*1.5*4+2.15*0.8*4+0.4*8*20</f>
        <v>136.23999999999998</v>
      </c>
      <c r="F61" s="161"/>
      <c r="G61" s="162">
        <f>ROUND(E61*F61,2)</f>
        <v>0</v>
      </c>
      <c r="H61" s="161">
        <v>356.55</v>
      </c>
      <c r="I61" s="162">
        <f>ROUND(E61*H61,2)</f>
        <v>48576.37</v>
      </c>
      <c r="J61" s="161">
        <v>795.45</v>
      </c>
      <c r="K61" s="162">
        <f>ROUND(E61*J61,2)</f>
        <v>108372.11</v>
      </c>
      <c r="L61" s="162">
        <v>21</v>
      </c>
      <c r="M61" s="162">
        <f>G61*(1+L61/100)</f>
        <v>0</v>
      </c>
      <c r="N61" s="162">
        <v>0.26486999999999999</v>
      </c>
      <c r="O61" s="162">
        <f>ROUND(E61*N61,2)</f>
        <v>36.090000000000003</v>
      </c>
      <c r="P61" s="162">
        <v>0</v>
      </c>
      <c r="Q61" s="162">
        <f>ROUND(E61*P61,2)</f>
        <v>0</v>
      </c>
      <c r="R61" s="162" t="s">
        <v>262</v>
      </c>
      <c r="S61" s="162" t="s">
        <v>351</v>
      </c>
      <c r="T61" s="162" t="s">
        <v>351</v>
      </c>
      <c r="U61" s="149"/>
      <c r="V61" s="149"/>
      <c r="W61" s="149"/>
      <c r="X61" s="149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</row>
    <row r="62" spans="1:59" outlineLevel="1" x14ac:dyDescent="0.25">
      <c r="A62" s="147"/>
      <c r="B62" s="148"/>
      <c r="C62" s="224"/>
      <c r="D62" s="179"/>
      <c r="E62" s="179"/>
      <c r="F62" s="179"/>
      <c r="G62" s="179"/>
      <c r="H62" s="181"/>
      <c r="I62" s="149"/>
      <c r="J62" s="181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</row>
    <row r="63" spans="1:59" outlineLevel="1" x14ac:dyDescent="0.25">
      <c r="A63" s="157">
        <f>A61+1</f>
        <v>24</v>
      </c>
      <c r="B63" s="158" t="s">
        <v>426</v>
      </c>
      <c r="C63" s="168" t="s">
        <v>424</v>
      </c>
      <c r="D63" s="159" t="s">
        <v>98</v>
      </c>
      <c r="E63" s="160">
        <f>E61</f>
        <v>136.23999999999998</v>
      </c>
      <c r="F63" s="161"/>
      <c r="G63" s="162">
        <f>ROUND(E63*F63,2)</f>
        <v>0</v>
      </c>
      <c r="H63" s="161">
        <v>356.55</v>
      </c>
      <c r="I63" s="162">
        <f>ROUND(E63*H63,2)</f>
        <v>48576.37</v>
      </c>
      <c r="J63" s="161">
        <v>795.45</v>
      </c>
      <c r="K63" s="162">
        <f>ROUND(E63*J63,2)</f>
        <v>108372.11</v>
      </c>
      <c r="L63" s="162">
        <v>21</v>
      </c>
      <c r="M63" s="162">
        <f>G63*(1+L63/100)</f>
        <v>0</v>
      </c>
      <c r="N63" s="162">
        <v>0.26486999999999999</v>
      </c>
      <c r="O63" s="162">
        <f>ROUND(E63*N63,2)</f>
        <v>36.090000000000003</v>
      </c>
      <c r="P63" s="162">
        <v>0</v>
      </c>
      <c r="Q63" s="162">
        <f>ROUND(E63*P63,2)</f>
        <v>0</v>
      </c>
      <c r="R63" s="162" t="s">
        <v>262</v>
      </c>
      <c r="S63" s="162" t="s">
        <v>351</v>
      </c>
      <c r="T63" s="162" t="s">
        <v>351</v>
      </c>
      <c r="U63" s="149"/>
      <c r="V63" s="149"/>
      <c r="W63" s="149"/>
      <c r="X63" s="149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</row>
    <row r="64" spans="1:59" outlineLevel="1" x14ac:dyDescent="0.25">
      <c r="A64" s="147"/>
      <c r="B64" s="148"/>
      <c r="C64" s="224"/>
      <c r="D64" s="179"/>
      <c r="E64" s="179"/>
      <c r="F64" s="179"/>
      <c r="G64" s="179"/>
      <c r="H64" s="181"/>
      <c r="I64" s="149"/>
      <c r="J64" s="181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</row>
    <row r="65" spans="1:59" outlineLevel="1" x14ac:dyDescent="0.25">
      <c r="A65" s="157">
        <f>A63+1</f>
        <v>25</v>
      </c>
      <c r="B65" s="158" t="s">
        <v>429</v>
      </c>
      <c r="C65" s="168" t="s">
        <v>427</v>
      </c>
      <c r="D65" s="159" t="s">
        <v>126</v>
      </c>
      <c r="E65" s="160">
        <f>E57*0.15</f>
        <v>3.7919999999999998</v>
      </c>
      <c r="F65" s="161"/>
      <c r="G65" s="162">
        <f>ROUND(E65*F65,2)</f>
        <v>0</v>
      </c>
      <c r="H65" s="161">
        <v>356.55</v>
      </c>
      <c r="I65" s="162">
        <f>ROUND(E65*H65,2)</f>
        <v>1352.04</v>
      </c>
      <c r="J65" s="161">
        <v>795.45</v>
      </c>
      <c r="K65" s="162">
        <f>ROUND(E65*J65,2)</f>
        <v>3016.35</v>
      </c>
      <c r="L65" s="162">
        <v>21</v>
      </c>
      <c r="M65" s="162">
        <f>G65*(1+L65/100)</f>
        <v>0</v>
      </c>
      <c r="N65" s="162">
        <v>0.26486999999999999</v>
      </c>
      <c r="O65" s="162">
        <f>ROUND(E65*N65,2)</f>
        <v>1</v>
      </c>
      <c r="P65" s="162">
        <v>0</v>
      </c>
      <c r="Q65" s="162">
        <f>ROUND(E65*P65,2)</f>
        <v>0</v>
      </c>
      <c r="R65" s="162" t="s">
        <v>262</v>
      </c>
      <c r="S65" s="162" t="s">
        <v>351</v>
      </c>
      <c r="T65" s="162" t="s">
        <v>351</v>
      </c>
      <c r="U65" s="149"/>
      <c r="V65" s="149"/>
      <c r="W65" s="149"/>
      <c r="X65" s="149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</row>
    <row r="66" spans="1:59" outlineLevel="1" x14ac:dyDescent="0.25">
      <c r="A66" s="147"/>
      <c r="B66" s="148"/>
      <c r="C66" s="224"/>
      <c r="D66" s="179"/>
      <c r="E66" s="179"/>
      <c r="F66" s="179"/>
      <c r="G66" s="179"/>
      <c r="H66" s="181"/>
      <c r="I66" s="149"/>
      <c r="J66" s="181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</row>
    <row r="67" spans="1:59" outlineLevel="1" x14ac:dyDescent="0.25">
      <c r="A67" s="157">
        <f>A65+1</f>
        <v>26</v>
      </c>
      <c r="B67" s="158" t="s">
        <v>430</v>
      </c>
      <c r="C67" s="168" t="s">
        <v>428</v>
      </c>
      <c r="D67" s="159" t="s">
        <v>126</v>
      </c>
      <c r="E67" s="160">
        <f>E59*0.15</f>
        <v>1.548</v>
      </c>
      <c r="F67" s="161"/>
      <c r="G67" s="162">
        <f>ROUND(E67*F67,2)</f>
        <v>0</v>
      </c>
      <c r="H67" s="161">
        <v>356.55</v>
      </c>
      <c r="I67" s="162">
        <f>ROUND(E67*H67,2)</f>
        <v>551.94000000000005</v>
      </c>
      <c r="J67" s="161">
        <v>795.45</v>
      </c>
      <c r="K67" s="162">
        <f>ROUND(E67*J67,2)</f>
        <v>1231.3599999999999</v>
      </c>
      <c r="L67" s="162">
        <v>21</v>
      </c>
      <c r="M67" s="162">
        <f>G67*(1+L67/100)</f>
        <v>0</v>
      </c>
      <c r="N67" s="162">
        <v>0.26486999999999999</v>
      </c>
      <c r="O67" s="162">
        <f>ROUND(E67*N67,2)</f>
        <v>0.41</v>
      </c>
      <c r="P67" s="162">
        <v>0</v>
      </c>
      <c r="Q67" s="162">
        <f>ROUND(E67*P67,2)</f>
        <v>0</v>
      </c>
      <c r="R67" s="162" t="s">
        <v>262</v>
      </c>
      <c r="S67" s="162" t="s">
        <v>351</v>
      </c>
      <c r="T67" s="162" t="s">
        <v>351</v>
      </c>
      <c r="U67" s="149"/>
      <c r="V67" s="149"/>
      <c r="W67" s="149"/>
      <c r="X67" s="149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</row>
    <row r="68" spans="1:59" outlineLevel="1" x14ac:dyDescent="0.25">
      <c r="A68" s="147"/>
      <c r="B68" s="148"/>
      <c r="C68" s="224"/>
      <c r="D68" s="179"/>
      <c r="E68" s="179"/>
      <c r="F68" s="179"/>
      <c r="G68" s="179"/>
      <c r="H68" s="181"/>
      <c r="I68" s="149"/>
      <c r="J68" s="181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</row>
    <row r="69" spans="1:59" x14ac:dyDescent="0.25">
      <c r="A69" s="151" t="s">
        <v>91</v>
      </c>
      <c r="B69" s="152" t="s">
        <v>200</v>
      </c>
      <c r="C69" s="167" t="s">
        <v>201</v>
      </c>
      <c r="D69" s="153"/>
      <c r="E69" s="154"/>
      <c r="F69" s="155"/>
      <c r="G69" s="155">
        <f>SUMIF(AF70:AF75,"&lt;&gt;NOR",G70:G75)</f>
        <v>0</v>
      </c>
      <c r="H69" s="155"/>
      <c r="I69" s="155">
        <f>SUM(I70:I75)</f>
        <v>25216.6</v>
      </c>
      <c r="J69" s="155"/>
      <c r="K69" s="155">
        <f>SUM(K70:K75)</f>
        <v>20891.239999999998</v>
      </c>
      <c r="L69" s="155"/>
      <c r="M69" s="155">
        <f>SUM(M70:M75)</f>
        <v>0</v>
      </c>
      <c r="N69" s="155"/>
      <c r="O69" s="155">
        <f>SUM(O70:O75)</f>
        <v>24.009999999999998</v>
      </c>
      <c r="P69" s="155"/>
      <c r="Q69" s="155">
        <f>SUM(Q70:Q75)</f>
        <v>0</v>
      </c>
      <c r="R69" s="155"/>
      <c r="S69" s="155"/>
      <c r="T69" s="156"/>
      <c r="U69" s="150"/>
      <c r="V69" s="150" t="e">
        <f>SUM(#REF!)</f>
        <v>#REF!</v>
      </c>
      <c r="W69" s="150"/>
      <c r="X69" s="150"/>
      <c r="Y69" s="84"/>
      <c r="AF69" t="s">
        <v>92</v>
      </c>
    </row>
    <row r="70" spans="1:59" outlineLevel="1" x14ac:dyDescent="0.25">
      <c r="A70" s="157">
        <f>A67+1</f>
        <v>27</v>
      </c>
      <c r="B70" s="158" t="s">
        <v>374</v>
      </c>
      <c r="C70" s="168" t="s">
        <v>372</v>
      </c>
      <c r="D70" s="159" t="s">
        <v>116</v>
      </c>
      <c r="E70" s="160">
        <f>8*1.2*0.15*2</f>
        <v>2.88</v>
      </c>
      <c r="F70" s="161"/>
      <c r="G70" s="162">
        <f>ROUND(E70*F70,2)</f>
        <v>0</v>
      </c>
      <c r="H70" s="161">
        <v>375.32</v>
      </c>
      <c r="I70" s="162">
        <f>ROUND(E70*H70,2)</f>
        <v>1080.92</v>
      </c>
      <c r="J70" s="161">
        <v>1367.68</v>
      </c>
      <c r="K70" s="162">
        <f>ROUND(E70*J70,2)</f>
        <v>3938.92</v>
      </c>
      <c r="L70" s="162">
        <v>21</v>
      </c>
      <c r="M70" s="162">
        <f>G70*(1+L70/100)</f>
        <v>0</v>
      </c>
      <c r="N70" s="162">
        <v>0.26595000000000002</v>
      </c>
      <c r="O70" s="162">
        <f>ROUND(E70*N70,2)</f>
        <v>0.77</v>
      </c>
      <c r="P70" s="162">
        <v>0</v>
      </c>
      <c r="Q70" s="162">
        <f>ROUND(E70*P70,2)</f>
        <v>0</v>
      </c>
      <c r="R70" s="162" t="s">
        <v>262</v>
      </c>
      <c r="S70" s="162" t="s">
        <v>351</v>
      </c>
      <c r="T70" s="163" t="s">
        <v>101</v>
      </c>
      <c r="U70" s="149"/>
      <c r="V70" s="149"/>
      <c r="W70" s="149"/>
      <c r="X70" s="149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</row>
    <row r="71" spans="1:59" outlineLevel="1" x14ac:dyDescent="0.25">
      <c r="A71" s="147"/>
      <c r="B71" s="148"/>
      <c r="C71" s="219" t="s">
        <v>373</v>
      </c>
      <c r="D71" s="220"/>
      <c r="E71" s="221"/>
      <c r="F71" s="222"/>
      <c r="G71" s="149"/>
      <c r="H71" s="181"/>
      <c r="I71" s="149"/>
      <c r="J71" s="181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</row>
    <row r="72" spans="1:59" outlineLevel="1" x14ac:dyDescent="0.25">
      <c r="A72" s="147"/>
      <c r="B72" s="148"/>
      <c r="C72" s="169"/>
      <c r="D72" s="164"/>
      <c r="E72" s="164"/>
      <c r="F72" s="164"/>
      <c r="G72" s="164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</row>
    <row r="73" spans="1:59" ht="20.399999999999999" outlineLevel="1" x14ac:dyDescent="0.25">
      <c r="A73" s="157">
        <f>A70+1</f>
        <v>28</v>
      </c>
      <c r="B73" s="158" t="s">
        <v>263</v>
      </c>
      <c r="C73" s="168" t="s">
        <v>385</v>
      </c>
      <c r="D73" s="159" t="s">
        <v>98</v>
      </c>
      <c r="E73" s="160">
        <f>8*4</f>
        <v>32</v>
      </c>
      <c r="F73" s="161"/>
      <c r="G73" s="162">
        <f>ROUND(E73*F73,2)</f>
        <v>0</v>
      </c>
      <c r="H73" s="161">
        <v>754.24</v>
      </c>
      <c r="I73" s="162">
        <f>ROUND(E73*H73,2)</f>
        <v>24135.68</v>
      </c>
      <c r="J73" s="161">
        <v>529.76</v>
      </c>
      <c r="K73" s="162">
        <f>ROUND(E73*J73,2)</f>
        <v>16952.32</v>
      </c>
      <c r="L73" s="162">
        <v>21</v>
      </c>
      <c r="M73" s="162">
        <f>G73*(1+L73/100)</f>
        <v>0</v>
      </c>
      <c r="N73" s="162">
        <v>0.72618000000000005</v>
      </c>
      <c r="O73" s="162">
        <f>ROUND(E73*N73,2)</f>
        <v>23.24</v>
      </c>
      <c r="P73" s="162">
        <v>0</v>
      </c>
      <c r="Q73" s="162">
        <f>ROUND(E73*P73,2)</f>
        <v>0</v>
      </c>
      <c r="R73" s="162" t="s">
        <v>264</v>
      </c>
      <c r="S73" s="162" t="s">
        <v>351</v>
      </c>
      <c r="T73" s="162" t="s">
        <v>351</v>
      </c>
      <c r="U73" s="149"/>
      <c r="V73" s="149"/>
      <c r="W73" s="149"/>
      <c r="X73" s="149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</row>
    <row r="74" spans="1:59" outlineLevel="1" x14ac:dyDescent="0.25">
      <c r="A74" s="147"/>
      <c r="B74" s="148"/>
      <c r="C74" s="290" t="s">
        <v>265</v>
      </c>
      <c r="D74" s="291"/>
      <c r="E74" s="291"/>
      <c r="F74" s="291"/>
      <c r="G74" s="291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</row>
    <row r="75" spans="1:59" outlineLevel="1" x14ac:dyDescent="0.25">
      <c r="A75" s="147"/>
      <c r="B75" s="148"/>
      <c r="C75" s="292"/>
      <c r="D75" s="293"/>
      <c r="E75" s="293"/>
      <c r="F75" s="293"/>
      <c r="G75" s="293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</row>
    <row r="76" spans="1:59" x14ac:dyDescent="0.25">
      <c r="A76" s="151" t="s">
        <v>91</v>
      </c>
      <c r="B76" s="152" t="s">
        <v>175</v>
      </c>
      <c r="C76" s="167" t="s">
        <v>174</v>
      </c>
      <c r="D76" s="153"/>
      <c r="E76" s="154"/>
      <c r="F76" s="155"/>
      <c r="G76" s="155">
        <f>SUMIF(AF77:AF81,"&lt;&gt;NOR",G77:G81)</f>
        <v>0</v>
      </c>
      <c r="H76" s="155"/>
      <c r="I76" s="155">
        <f>SUM(I77:I81)</f>
        <v>29849.14</v>
      </c>
      <c r="J76" s="155"/>
      <c r="K76" s="155">
        <f>SUM(K77:K81)</f>
        <v>529262.14</v>
      </c>
      <c r="L76" s="155"/>
      <c r="M76" s="155">
        <f>SUM(M77:M81)</f>
        <v>0</v>
      </c>
      <c r="N76" s="155"/>
      <c r="O76" s="155">
        <f>SUM(O77:O81)</f>
        <v>6.95</v>
      </c>
      <c r="P76" s="155"/>
      <c r="Q76" s="155">
        <f>SUM(Q77:Q81)</f>
        <v>134.55000000000001</v>
      </c>
      <c r="R76" s="155"/>
      <c r="S76" s="155"/>
      <c r="T76" s="156"/>
    </row>
    <row r="77" spans="1:59" x14ac:dyDescent="0.25">
      <c r="A77" s="157">
        <f>A73+1</f>
        <v>29</v>
      </c>
      <c r="B77" s="158" t="s">
        <v>271</v>
      </c>
      <c r="C77" s="168" t="s">
        <v>272</v>
      </c>
      <c r="D77" s="159" t="s">
        <v>116</v>
      </c>
      <c r="E77" s="160">
        <f>E57+E59+E48</f>
        <v>56</v>
      </c>
      <c r="F77" s="161"/>
      <c r="G77" s="162">
        <f>ROUND(E77*F77,2)</f>
        <v>0</v>
      </c>
      <c r="H77" s="161">
        <v>502.69</v>
      </c>
      <c r="I77" s="162">
        <f>ROUND(E77*H77,2)</f>
        <v>28150.639999999999</v>
      </c>
      <c r="J77" s="161">
        <v>8987.31</v>
      </c>
      <c r="K77" s="162">
        <f>ROUND(E77*J77,2)</f>
        <v>503289.36</v>
      </c>
      <c r="L77" s="162">
        <v>21</v>
      </c>
      <c r="M77" s="162">
        <f>G77*(1+L77/100)</f>
        <v>0</v>
      </c>
      <c r="N77" s="162">
        <v>0.12173</v>
      </c>
      <c r="O77" s="162">
        <f>ROUND(E77*N77,2)</f>
        <v>6.82</v>
      </c>
      <c r="P77" s="162">
        <v>2.4</v>
      </c>
      <c r="Q77" s="162">
        <f>ROUND(E77*P77,2)</f>
        <v>134.4</v>
      </c>
      <c r="R77" s="162" t="s">
        <v>261</v>
      </c>
      <c r="S77" s="162" t="s">
        <v>351</v>
      </c>
      <c r="T77" s="162" t="s">
        <v>351</v>
      </c>
    </row>
    <row r="78" spans="1:59" x14ac:dyDescent="0.25">
      <c r="A78" s="147"/>
      <c r="B78" s="148"/>
      <c r="C78" s="182" t="s">
        <v>433</v>
      </c>
      <c r="D78" s="183"/>
      <c r="E78" s="184"/>
      <c r="F78" s="192"/>
      <c r="G78" s="185"/>
      <c r="H78" s="181"/>
      <c r="I78" s="149"/>
      <c r="J78" s="181"/>
      <c r="K78" s="149"/>
      <c r="L78" s="149"/>
      <c r="M78" s="149"/>
      <c r="N78" s="149"/>
      <c r="O78" s="149"/>
      <c r="P78" s="149"/>
      <c r="Q78" s="149"/>
      <c r="R78" s="149"/>
      <c r="S78" s="149"/>
      <c r="T78" s="149"/>
    </row>
    <row r="79" spans="1:59" x14ac:dyDescent="0.25">
      <c r="A79" s="147"/>
      <c r="B79" s="148"/>
      <c r="C79" s="292"/>
      <c r="D79" s="293"/>
      <c r="E79" s="293"/>
      <c r="F79" s="293"/>
      <c r="G79" s="293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</row>
    <row r="80" spans="1:59" ht="15.75" customHeight="1" x14ac:dyDescent="0.25">
      <c r="A80" s="157">
        <f>A77+1</f>
        <v>30</v>
      </c>
      <c r="B80" s="158" t="s">
        <v>273</v>
      </c>
      <c r="C80" s="168" t="s">
        <v>307</v>
      </c>
      <c r="D80" s="159" t="s">
        <v>98</v>
      </c>
      <c r="E80" s="160">
        <f>(7.2*2.15+10)*2</f>
        <v>50.96</v>
      </c>
      <c r="F80" s="161"/>
      <c r="G80" s="162">
        <f>ROUND(E80*F80,2)</f>
        <v>0</v>
      </c>
      <c r="H80" s="161">
        <v>33.33</v>
      </c>
      <c r="I80" s="162">
        <f>ROUND(E80*H80,2)</f>
        <v>1698.5</v>
      </c>
      <c r="J80" s="161">
        <v>509.67</v>
      </c>
      <c r="K80" s="162">
        <f>ROUND(E80*J80,2)</f>
        <v>25972.78</v>
      </c>
      <c r="L80" s="162">
        <v>21</v>
      </c>
      <c r="M80" s="162">
        <f>G80*(1+L80/100)</f>
        <v>0</v>
      </c>
      <c r="N80" s="162">
        <v>2.6199999999999999E-3</v>
      </c>
      <c r="O80" s="162">
        <f>ROUND(E80*N80,2)</f>
        <v>0.13</v>
      </c>
      <c r="P80" s="162">
        <v>3.0000000000000001E-3</v>
      </c>
      <c r="Q80" s="162">
        <f>ROUND(E80*P80,2)</f>
        <v>0.15</v>
      </c>
      <c r="R80" s="162" t="s">
        <v>274</v>
      </c>
      <c r="S80" s="162" t="s">
        <v>351</v>
      </c>
      <c r="T80" s="162" t="s">
        <v>351</v>
      </c>
    </row>
    <row r="81" spans="1:20" x14ac:dyDescent="0.25">
      <c r="A81" s="147"/>
      <c r="B81" s="148"/>
      <c r="C81" s="178"/>
      <c r="D81" s="179"/>
      <c r="E81" s="179"/>
      <c r="F81" s="179"/>
      <c r="G81" s="17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</row>
    <row r="82" spans="1:20" x14ac:dyDescent="0.25">
      <c r="A82" s="151" t="s">
        <v>91</v>
      </c>
      <c r="B82" s="152" t="s">
        <v>439</v>
      </c>
      <c r="C82" s="167" t="s">
        <v>132</v>
      </c>
      <c r="D82" s="153"/>
      <c r="E82" s="154"/>
      <c r="F82" s="155"/>
      <c r="G82" s="155">
        <f>SUMIF(AF83:AF85,"&lt;&gt;NOR",G83:G85)</f>
        <v>0</v>
      </c>
      <c r="H82" s="155"/>
      <c r="I82" s="155">
        <f>SUM(I83:I85)</f>
        <v>0</v>
      </c>
      <c r="J82" s="155"/>
      <c r="K82" s="155">
        <f>SUM(K83:K85)</f>
        <v>23497.78</v>
      </c>
      <c r="L82" s="155"/>
      <c r="M82" s="155">
        <f>SUM(M83:M85)</f>
        <v>0</v>
      </c>
      <c r="N82" s="155"/>
      <c r="O82" s="155">
        <f>SUM(O83:O85)</f>
        <v>0</v>
      </c>
      <c r="P82" s="155"/>
      <c r="Q82" s="155">
        <f>SUM(Q83:Q85)</f>
        <v>0</v>
      </c>
      <c r="R82" s="155"/>
      <c r="S82" s="155"/>
      <c r="T82" s="156"/>
    </row>
    <row r="83" spans="1:20" x14ac:dyDescent="0.25">
      <c r="A83" s="157">
        <f>A80+1</f>
        <v>31</v>
      </c>
      <c r="B83" s="158" t="s">
        <v>440</v>
      </c>
      <c r="C83" s="168" t="s">
        <v>276</v>
      </c>
      <c r="D83" s="159" t="s">
        <v>126</v>
      </c>
      <c r="E83" s="160">
        <f>(E57+E59)*2+E65+E67</f>
        <v>76.540000000000006</v>
      </c>
      <c r="F83" s="161"/>
      <c r="G83" s="162">
        <f>ROUND(E83*F83,2)</f>
        <v>0</v>
      </c>
      <c r="H83" s="161">
        <v>0</v>
      </c>
      <c r="I83" s="162">
        <f>ROUND(E83*H83,2)</f>
        <v>0</v>
      </c>
      <c r="J83" s="161">
        <v>307</v>
      </c>
      <c r="K83" s="162">
        <f>ROUND(E83*J83,2)</f>
        <v>23497.78</v>
      </c>
      <c r="L83" s="162">
        <v>21</v>
      </c>
      <c r="M83" s="162">
        <f>G83*(1+L83/100)</f>
        <v>0</v>
      </c>
      <c r="N83" s="162">
        <v>0</v>
      </c>
      <c r="O83" s="162">
        <f>ROUND(E83*N83,2)</f>
        <v>0</v>
      </c>
      <c r="P83" s="162">
        <v>0</v>
      </c>
      <c r="Q83" s="162">
        <f>ROUND(E83*P83,2)</f>
        <v>0</v>
      </c>
      <c r="R83" s="162" t="s">
        <v>261</v>
      </c>
      <c r="S83" s="162" t="s">
        <v>351</v>
      </c>
      <c r="T83" s="162" t="s">
        <v>351</v>
      </c>
    </row>
    <row r="84" spans="1:20" ht="12.75" customHeight="1" x14ac:dyDescent="0.25">
      <c r="A84" s="147"/>
      <c r="B84" s="148"/>
      <c r="C84" s="290" t="s">
        <v>277</v>
      </c>
      <c r="D84" s="291"/>
      <c r="E84" s="291"/>
      <c r="F84" s="291"/>
      <c r="G84" s="291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</row>
    <row r="85" spans="1:20" x14ac:dyDescent="0.25">
      <c r="A85" s="147"/>
      <c r="B85" s="148"/>
      <c r="C85" s="292"/>
      <c r="D85" s="293"/>
      <c r="E85" s="293"/>
      <c r="F85" s="293"/>
      <c r="G85" s="293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</row>
    <row r="86" spans="1:20" x14ac:dyDescent="0.25">
      <c r="A86" s="151" t="s">
        <v>91</v>
      </c>
      <c r="B86" s="152" t="s">
        <v>278</v>
      </c>
      <c r="C86" s="167" t="s">
        <v>279</v>
      </c>
      <c r="D86" s="153"/>
      <c r="E86" s="154"/>
      <c r="F86" s="155"/>
      <c r="G86" s="155">
        <f>SUMIF(AF87:AF93,"&lt;&gt;NOR",G87:G93)</f>
        <v>0</v>
      </c>
      <c r="H86" s="155"/>
      <c r="I86" s="155">
        <f>SUM(I87:I91)</f>
        <v>43662.87</v>
      </c>
      <c r="J86" s="155"/>
      <c r="K86" s="155">
        <f>SUM(K87:K91)</f>
        <v>26153.91</v>
      </c>
      <c r="L86" s="155"/>
      <c r="M86" s="155">
        <f>SUM(M87:M93)</f>
        <v>0</v>
      </c>
      <c r="N86" s="155"/>
      <c r="O86" s="155">
        <f>SUM(O87:O91)</f>
        <v>1.33</v>
      </c>
      <c r="P86" s="155"/>
      <c r="Q86" s="155">
        <f>SUM(Q87:Q91)</f>
        <v>0</v>
      </c>
      <c r="R86" s="155"/>
      <c r="S86" s="155"/>
      <c r="T86" s="156"/>
    </row>
    <row r="87" spans="1:20" ht="20.399999999999999" x14ac:dyDescent="0.25">
      <c r="A87" s="157">
        <f>A83+1</f>
        <v>32</v>
      </c>
      <c r="B87" s="158" t="s">
        <v>444</v>
      </c>
      <c r="C87" s="168" t="s">
        <v>443</v>
      </c>
      <c r="D87" s="159" t="s">
        <v>98</v>
      </c>
      <c r="E87" s="160">
        <f>2.15*7.2*2+8*2+2.15*1.5*4+8*2+1.5*0.8*4+8.5*0.8*4+0.7*8*2</f>
        <v>119.06</v>
      </c>
      <c r="F87" s="161"/>
      <c r="G87" s="162">
        <f>ROUND(E87*F87,2)</f>
        <v>0</v>
      </c>
      <c r="H87" s="161">
        <v>0</v>
      </c>
      <c r="I87" s="162">
        <f>ROUND(E87*H87,2)</f>
        <v>0</v>
      </c>
      <c r="J87" s="161">
        <v>12.4</v>
      </c>
      <c r="K87" s="162">
        <f>ROUND(E87*J87,2)</f>
        <v>1476.34</v>
      </c>
      <c r="L87" s="162">
        <v>21</v>
      </c>
      <c r="M87" s="162">
        <f>G87*(1+L87/100)</f>
        <v>0</v>
      </c>
      <c r="N87" s="162">
        <v>0</v>
      </c>
      <c r="O87" s="162">
        <f>ROUND(E87*N87,2)</f>
        <v>0</v>
      </c>
      <c r="P87" s="162">
        <v>0</v>
      </c>
      <c r="Q87" s="162">
        <f>ROUND(E87*P87,2)</f>
        <v>0</v>
      </c>
      <c r="R87" s="162" t="s">
        <v>280</v>
      </c>
      <c r="S87" s="162" t="s">
        <v>351</v>
      </c>
      <c r="T87" s="162" t="s">
        <v>351</v>
      </c>
    </row>
    <row r="88" spans="1:20" x14ac:dyDescent="0.25">
      <c r="A88" s="147"/>
      <c r="B88" s="148"/>
      <c r="C88" s="295"/>
      <c r="D88" s="296"/>
      <c r="E88" s="296"/>
      <c r="F88" s="296"/>
      <c r="G88" s="296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</row>
    <row r="89" spans="1:20" ht="30.6" x14ac:dyDescent="0.25">
      <c r="A89" s="157">
        <f>A87+1</f>
        <v>33</v>
      </c>
      <c r="B89" s="158" t="s">
        <v>281</v>
      </c>
      <c r="C89" s="168" t="s">
        <v>311</v>
      </c>
      <c r="D89" s="159" t="s">
        <v>98</v>
      </c>
      <c r="E89" s="160">
        <f>E87</f>
        <v>119.06</v>
      </c>
      <c r="F89" s="161"/>
      <c r="G89" s="162">
        <f>ROUND(E89*F89,2)</f>
        <v>0</v>
      </c>
      <c r="H89" s="161">
        <v>366.73</v>
      </c>
      <c r="I89" s="162">
        <f>ROUND(E89*H89,2)</f>
        <v>43662.87</v>
      </c>
      <c r="J89" s="161">
        <v>207.27</v>
      </c>
      <c r="K89" s="162">
        <f>ROUND(E89*J89,2)</f>
        <v>24677.57</v>
      </c>
      <c r="L89" s="162">
        <v>21</v>
      </c>
      <c r="M89" s="162">
        <f>G89*(1+L89/100)</f>
        <v>0</v>
      </c>
      <c r="N89" s="162">
        <v>1.1169999999999999E-2</v>
      </c>
      <c r="O89" s="162">
        <f>ROUND(E89*N89,2)</f>
        <v>1.33</v>
      </c>
      <c r="P89" s="162">
        <v>0</v>
      </c>
      <c r="Q89" s="162">
        <f>ROUND(E89*P89,2)</f>
        <v>0</v>
      </c>
      <c r="R89" s="162" t="s">
        <v>280</v>
      </c>
      <c r="S89" s="162" t="s">
        <v>351</v>
      </c>
      <c r="T89" s="162" t="s">
        <v>351</v>
      </c>
    </row>
    <row r="90" spans="1:20" ht="12.75" customHeight="1" x14ac:dyDescent="0.25">
      <c r="A90" s="147"/>
      <c r="B90" s="148"/>
      <c r="C90" s="297" t="s">
        <v>282</v>
      </c>
      <c r="D90" s="298"/>
      <c r="E90" s="298"/>
      <c r="F90" s="298"/>
      <c r="G90" s="298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</row>
    <row r="91" spans="1:20" x14ac:dyDescent="0.25">
      <c r="A91" s="147"/>
      <c r="B91" s="148"/>
      <c r="C91" s="292"/>
      <c r="D91" s="293"/>
      <c r="E91" s="293"/>
      <c r="F91" s="293"/>
      <c r="G91" s="293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</row>
    <row r="92" spans="1:20" x14ac:dyDescent="0.25">
      <c r="A92" s="157">
        <f>A89+1</f>
        <v>34</v>
      </c>
      <c r="B92" s="158" t="s">
        <v>454</v>
      </c>
      <c r="C92" s="168" t="s">
        <v>455</v>
      </c>
      <c r="D92" s="159" t="s">
        <v>98</v>
      </c>
      <c r="E92" s="160">
        <f>E89+7.2*1.5*2</f>
        <v>140.66</v>
      </c>
      <c r="F92" s="161"/>
      <c r="G92" s="162">
        <f>ROUND(E92*F92,2)</f>
        <v>0</v>
      </c>
      <c r="H92" s="161">
        <v>0</v>
      </c>
      <c r="I92" s="162">
        <f>ROUND(E92*H92,2)</f>
        <v>0</v>
      </c>
      <c r="J92" s="161">
        <v>307</v>
      </c>
      <c r="K92" s="162">
        <f>ROUND(E92*J92,2)</f>
        <v>43182.62</v>
      </c>
      <c r="L92" s="162">
        <v>21</v>
      </c>
      <c r="M92" s="162">
        <f>G92*(1+L92/100)</f>
        <v>0</v>
      </c>
      <c r="N92" s="162">
        <v>0</v>
      </c>
      <c r="O92" s="162">
        <f>ROUND(E92*N92,2)</f>
        <v>0</v>
      </c>
      <c r="P92" s="162">
        <v>0</v>
      </c>
      <c r="Q92" s="162">
        <f>ROUND(E92*P92,2)</f>
        <v>0</v>
      </c>
      <c r="R92" s="162" t="s">
        <v>261</v>
      </c>
      <c r="S92" s="162" t="s">
        <v>351</v>
      </c>
      <c r="T92" s="162" t="s">
        <v>351</v>
      </c>
    </row>
    <row r="93" spans="1:20" x14ac:dyDescent="0.25">
      <c r="A93" s="147"/>
      <c r="B93" s="148"/>
      <c r="C93" s="169"/>
      <c r="D93" s="164"/>
      <c r="E93" s="164"/>
      <c r="F93" s="164"/>
      <c r="G93" s="164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</row>
    <row r="94" spans="1:20" x14ac:dyDescent="0.25">
      <c r="A94" s="151" t="s">
        <v>91</v>
      </c>
      <c r="B94" s="152" t="s">
        <v>436</v>
      </c>
      <c r="C94" s="167" t="s">
        <v>61</v>
      </c>
      <c r="D94" s="153"/>
      <c r="E94" s="154"/>
      <c r="F94" s="155"/>
      <c r="G94" s="155">
        <f>G95+G98+G102+G104+G100</f>
        <v>0</v>
      </c>
      <c r="H94" s="155"/>
      <c r="I94" s="155">
        <f>SUM(I95:I105)</f>
        <v>0</v>
      </c>
      <c r="J94" s="155"/>
      <c r="K94" s="155">
        <f>SUM(K95:K105)</f>
        <v>230758.32000000004</v>
      </c>
      <c r="L94" s="155"/>
      <c r="M94" s="155">
        <f>SUM(M95:M105)</f>
        <v>0</v>
      </c>
      <c r="N94" s="155"/>
      <c r="O94" s="155">
        <f>SUM(O95:O105)</f>
        <v>0</v>
      </c>
      <c r="P94" s="155"/>
      <c r="Q94" s="155">
        <f>SUM(Q95:Q105)</f>
        <v>0</v>
      </c>
      <c r="R94" s="155"/>
      <c r="S94" s="155"/>
      <c r="T94" s="156"/>
    </row>
    <row r="95" spans="1:20" x14ac:dyDescent="0.25">
      <c r="A95" s="157">
        <f>A92+1</f>
        <v>35</v>
      </c>
      <c r="B95" s="158" t="s">
        <v>437</v>
      </c>
      <c r="C95" s="168" t="s">
        <v>222</v>
      </c>
      <c r="D95" s="159" t="s">
        <v>126</v>
      </c>
      <c r="E95" s="160">
        <f>E102+E104</f>
        <v>128.79</v>
      </c>
      <c r="F95" s="161"/>
      <c r="G95" s="162">
        <f>ROUND(E95*F95,2)</f>
        <v>0</v>
      </c>
      <c r="H95" s="161">
        <v>0</v>
      </c>
      <c r="I95" s="162">
        <f>ROUND(E95*H95,2)</f>
        <v>0</v>
      </c>
      <c r="J95" s="161">
        <v>227</v>
      </c>
      <c r="K95" s="162">
        <f>ROUND(E95*J95,2)</f>
        <v>29235.33</v>
      </c>
      <c r="L95" s="162">
        <v>21</v>
      </c>
      <c r="M95" s="162">
        <f>G95*(1+L95/100)</f>
        <v>0</v>
      </c>
      <c r="N95" s="162">
        <v>0</v>
      </c>
      <c r="O95" s="162">
        <f>ROUND(E95*N95,2)</f>
        <v>0</v>
      </c>
      <c r="P95" s="162">
        <v>0</v>
      </c>
      <c r="Q95" s="162">
        <f>ROUND(E95*P95,2)</f>
        <v>0</v>
      </c>
      <c r="R95" s="162" t="s">
        <v>137</v>
      </c>
      <c r="S95" s="162" t="s">
        <v>351</v>
      </c>
      <c r="T95" s="162" t="s">
        <v>351</v>
      </c>
    </row>
    <row r="96" spans="1:20" x14ac:dyDescent="0.25">
      <c r="A96" s="147"/>
      <c r="B96" s="148"/>
      <c r="C96" s="297" t="s">
        <v>286</v>
      </c>
      <c r="D96" s="298"/>
      <c r="E96" s="298"/>
      <c r="F96" s="298"/>
      <c r="G96" s="298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</row>
    <row r="97" spans="1:20" x14ac:dyDescent="0.25">
      <c r="A97" s="147"/>
      <c r="B97" s="148"/>
      <c r="C97" s="292"/>
      <c r="D97" s="293"/>
      <c r="E97" s="293"/>
      <c r="F97" s="293"/>
      <c r="G97" s="293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</row>
    <row r="98" spans="1:20" x14ac:dyDescent="0.25">
      <c r="A98" s="157">
        <f>A95+1</f>
        <v>36</v>
      </c>
      <c r="B98" s="158" t="s">
        <v>438</v>
      </c>
      <c r="C98" s="168" t="s">
        <v>224</v>
      </c>
      <c r="D98" s="159" t="s">
        <v>126</v>
      </c>
      <c r="E98" s="160">
        <f>E95*19</f>
        <v>2447.0099999999998</v>
      </c>
      <c r="F98" s="161"/>
      <c r="G98" s="162">
        <f>ROUND(E98*F98,2)</f>
        <v>0</v>
      </c>
      <c r="H98" s="161">
        <v>0</v>
      </c>
      <c r="I98" s="162">
        <f>ROUND(E98*H98,2)</f>
        <v>0</v>
      </c>
      <c r="J98" s="161">
        <v>15.9</v>
      </c>
      <c r="K98" s="162">
        <f>ROUND(E98*J98,2)</f>
        <v>38907.46</v>
      </c>
      <c r="L98" s="162">
        <v>21</v>
      </c>
      <c r="M98" s="162">
        <f>G98*(1+L98/100)</f>
        <v>0</v>
      </c>
      <c r="N98" s="162">
        <v>0</v>
      </c>
      <c r="O98" s="162">
        <f>ROUND(E98*N98,2)</f>
        <v>0</v>
      </c>
      <c r="P98" s="162">
        <v>0</v>
      </c>
      <c r="Q98" s="162">
        <f>ROUND(E98*P98,2)</f>
        <v>0</v>
      </c>
      <c r="R98" s="162" t="s">
        <v>137</v>
      </c>
      <c r="S98" s="162" t="s">
        <v>351</v>
      </c>
      <c r="T98" s="162" t="s">
        <v>351</v>
      </c>
    </row>
    <row r="99" spans="1:20" x14ac:dyDescent="0.25">
      <c r="A99" s="147"/>
      <c r="B99" s="148"/>
      <c r="C99" s="295"/>
      <c r="D99" s="296"/>
      <c r="E99" s="296"/>
      <c r="F99" s="296"/>
      <c r="G99" s="296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</row>
    <row r="100" spans="1:20" x14ac:dyDescent="0.25">
      <c r="A100" s="157">
        <f>A98+1</f>
        <v>37</v>
      </c>
      <c r="B100" s="158" t="s">
        <v>435</v>
      </c>
      <c r="C100" s="168" t="s">
        <v>434</v>
      </c>
      <c r="D100" s="159" t="s">
        <v>126</v>
      </c>
      <c r="E100" s="160">
        <f>E95</f>
        <v>128.79</v>
      </c>
      <c r="F100" s="161"/>
      <c r="G100" s="162">
        <f>ROUND(E100*F100,2)</f>
        <v>0</v>
      </c>
      <c r="H100" s="161">
        <v>0</v>
      </c>
      <c r="I100" s="162">
        <f>ROUND(E100*H100,2)</f>
        <v>0</v>
      </c>
      <c r="J100" s="161">
        <v>15.9</v>
      </c>
      <c r="K100" s="162">
        <f>ROUND(E100*J100,2)</f>
        <v>2047.76</v>
      </c>
      <c r="L100" s="162">
        <v>21</v>
      </c>
      <c r="M100" s="162">
        <f>G100*(1+L100/100)</f>
        <v>0</v>
      </c>
      <c r="N100" s="162">
        <v>0</v>
      </c>
      <c r="O100" s="162">
        <f>ROUND(E100*N100,2)</f>
        <v>0</v>
      </c>
      <c r="P100" s="162">
        <v>0</v>
      </c>
      <c r="Q100" s="162">
        <f>ROUND(E100*P100,2)</f>
        <v>0</v>
      </c>
      <c r="R100" s="162" t="s">
        <v>137</v>
      </c>
      <c r="S100" s="162" t="s">
        <v>351</v>
      </c>
      <c r="T100" s="162" t="s">
        <v>351</v>
      </c>
    </row>
    <row r="101" spans="1:20" x14ac:dyDescent="0.25">
      <c r="A101" s="147"/>
      <c r="B101" s="148"/>
      <c r="C101" s="178"/>
      <c r="D101" s="179"/>
      <c r="E101" s="179"/>
      <c r="F101" s="179"/>
      <c r="G101" s="17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</row>
    <row r="102" spans="1:20" x14ac:dyDescent="0.25">
      <c r="A102" s="157">
        <f>A100+1</f>
        <v>38</v>
      </c>
      <c r="B102" s="158" t="s">
        <v>441</v>
      </c>
      <c r="C102" s="168" t="s">
        <v>287</v>
      </c>
      <c r="D102" s="159" t="s">
        <v>126</v>
      </c>
      <c r="E102" s="160">
        <f>E77*2.28</f>
        <v>127.67999999999999</v>
      </c>
      <c r="F102" s="161"/>
      <c r="G102" s="162">
        <f>ROUND(E102*F102,2)</f>
        <v>0</v>
      </c>
      <c r="H102" s="161">
        <v>0</v>
      </c>
      <c r="I102" s="162">
        <f>ROUND(E102*H102,2)</f>
        <v>0</v>
      </c>
      <c r="J102" s="161">
        <v>1245</v>
      </c>
      <c r="K102" s="162">
        <f>ROUND(E102*J102,2)</f>
        <v>158961.60000000001</v>
      </c>
      <c r="L102" s="162">
        <v>21</v>
      </c>
      <c r="M102" s="162">
        <f>G102*(1+L102/100)</f>
        <v>0</v>
      </c>
      <c r="N102" s="162">
        <v>0</v>
      </c>
      <c r="O102" s="162">
        <f>ROUND(E102*N102,2)</f>
        <v>0</v>
      </c>
      <c r="P102" s="162">
        <v>0</v>
      </c>
      <c r="Q102" s="162">
        <f>ROUND(E102*P102,2)</f>
        <v>0</v>
      </c>
      <c r="R102" s="162" t="s">
        <v>137</v>
      </c>
      <c r="S102" s="162" t="s">
        <v>351</v>
      </c>
      <c r="T102" s="162" t="s">
        <v>351</v>
      </c>
    </row>
    <row r="103" spans="1:20" x14ac:dyDescent="0.25">
      <c r="A103" s="147"/>
      <c r="B103" s="148"/>
      <c r="C103" s="295"/>
      <c r="D103" s="296"/>
      <c r="E103" s="296"/>
      <c r="F103" s="296"/>
      <c r="G103" s="296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</row>
    <row r="104" spans="1:20" x14ac:dyDescent="0.25">
      <c r="A104" s="157">
        <f>A102+1</f>
        <v>39</v>
      </c>
      <c r="B104" s="158" t="s">
        <v>442</v>
      </c>
      <c r="C104" s="168" t="s">
        <v>288</v>
      </c>
      <c r="D104" s="159" t="s">
        <v>126</v>
      </c>
      <c r="E104" s="160">
        <v>1.1100000000000001</v>
      </c>
      <c r="F104" s="161"/>
      <c r="G104" s="162">
        <f>ROUND(E104*F104,2)</f>
        <v>0</v>
      </c>
      <c r="H104" s="161">
        <v>0</v>
      </c>
      <c r="I104" s="162">
        <f>ROUND(E104*H104,2)</f>
        <v>0</v>
      </c>
      <c r="J104" s="161">
        <v>1447</v>
      </c>
      <c r="K104" s="162">
        <f>ROUND(E104*J104,2)</f>
        <v>1606.17</v>
      </c>
      <c r="L104" s="162">
        <v>21</v>
      </c>
      <c r="M104" s="162">
        <f>G104*(1+L104/100)</f>
        <v>0</v>
      </c>
      <c r="N104" s="162">
        <v>0</v>
      </c>
      <c r="O104" s="162">
        <f>ROUND(E104*N104,2)</f>
        <v>0</v>
      </c>
      <c r="P104" s="162">
        <v>0</v>
      </c>
      <c r="Q104" s="162">
        <f>ROUND(E104*P104,2)</f>
        <v>0</v>
      </c>
      <c r="R104" s="162" t="s">
        <v>137</v>
      </c>
      <c r="S104" s="162" t="s">
        <v>351</v>
      </c>
      <c r="T104" s="162" t="s">
        <v>351</v>
      </c>
    </row>
    <row r="105" spans="1:20" x14ac:dyDescent="0.25">
      <c r="A105" s="147"/>
      <c r="B105" s="148"/>
      <c r="C105" s="295"/>
      <c r="D105" s="296"/>
      <c r="E105" s="296"/>
      <c r="F105" s="296"/>
      <c r="G105" s="296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</row>
    <row r="106" spans="1:20" x14ac:dyDescent="0.25">
      <c r="A106" s="151" t="s">
        <v>91</v>
      </c>
      <c r="B106" s="152" t="s">
        <v>63</v>
      </c>
      <c r="C106" s="167" t="s">
        <v>26</v>
      </c>
      <c r="D106" s="153"/>
      <c r="E106" s="154"/>
      <c r="F106" s="155"/>
      <c r="G106" s="155">
        <f>SUMIF(AF107:AF119,"&lt;&gt;NOR",G107:G119)</f>
        <v>0</v>
      </c>
      <c r="H106" s="155"/>
      <c r="I106" s="155">
        <f>SUM(I107:I119)</f>
        <v>0</v>
      </c>
      <c r="J106" s="155"/>
      <c r="K106" s="155">
        <f>SUM(K107:K119)</f>
        <v>0</v>
      </c>
      <c r="L106" s="155"/>
      <c r="M106" s="155">
        <f>SUM(M107:M119)</f>
        <v>0</v>
      </c>
      <c r="N106" s="155"/>
      <c r="O106" s="155">
        <f>SUM(O107:O119)</f>
        <v>0</v>
      </c>
      <c r="P106" s="155"/>
      <c r="Q106" s="155">
        <f>SUM(Q107:Q119)</f>
        <v>0</v>
      </c>
      <c r="R106" s="155"/>
      <c r="S106" s="155"/>
      <c r="T106" s="156"/>
    </row>
    <row r="107" spans="1:20" x14ac:dyDescent="0.25">
      <c r="A107" s="157">
        <f>A104+1</f>
        <v>40</v>
      </c>
      <c r="B107" s="158" t="s">
        <v>299</v>
      </c>
      <c r="C107" s="168" t="s">
        <v>297</v>
      </c>
      <c r="D107" s="159" t="s">
        <v>100</v>
      </c>
      <c r="E107" s="160">
        <v>1</v>
      </c>
      <c r="F107" s="161"/>
      <c r="G107" s="162">
        <f>ROUND(E107*F107,2)</f>
        <v>0</v>
      </c>
      <c r="H107" s="161">
        <v>0</v>
      </c>
      <c r="I107" s="162">
        <f>ROUND(E107*H107,2)</f>
        <v>0</v>
      </c>
      <c r="J107" s="161">
        <v>0</v>
      </c>
      <c r="K107" s="162">
        <f>ROUND(E107*J107,2)</f>
        <v>0</v>
      </c>
      <c r="L107" s="162">
        <v>21</v>
      </c>
      <c r="M107" s="162">
        <f>G107*(1+L107/100)</f>
        <v>0</v>
      </c>
      <c r="N107" s="162">
        <v>0</v>
      </c>
      <c r="O107" s="162">
        <f>ROUND(E107*N107,2)</f>
        <v>0</v>
      </c>
      <c r="P107" s="162">
        <v>0</v>
      </c>
      <c r="Q107" s="162">
        <f>ROUND(E107*P107,2)</f>
        <v>0</v>
      </c>
      <c r="R107" s="162"/>
      <c r="S107" s="162" t="s">
        <v>351</v>
      </c>
      <c r="T107" s="163" t="s">
        <v>101</v>
      </c>
    </row>
    <row r="108" spans="1:20" x14ac:dyDescent="0.25">
      <c r="A108" s="173"/>
      <c r="B108" s="174"/>
      <c r="C108" s="294"/>
      <c r="D108" s="294"/>
      <c r="E108" s="294"/>
      <c r="F108" s="294"/>
      <c r="G108" s="294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</row>
    <row r="109" spans="1:20" ht="12.75" customHeight="1" x14ac:dyDescent="0.25">
      <c r="A109" s="157">
        <f>A107+1</f>
        <v>41</v>
      </c>
      <c r="B109" s="158" t="s">
        <v>300</v>
      </c>
      <c r="C109" s="168" t="s">
        <v>298</v>
      </c>
      <c r="D109" s="159" t="s">
        <v>100</v>
      </c>
      <c r="E109" s="160">
        <v>1</v>
      </c>
      <c r="F109" s="161"/>
      <c r="G109" s="162">
        <f>ROUND(E109*F109,2)</f>
        <v>0</v>
      </c>
      <c r="H109" s="161">
        <v>0</v>
      </c>
      <c r="I109" s="162">
        <f>ROUND(E109*H109,2)</f>
        <v>0</v>
      </c>
      <c r="J109" s="161">
        <v>0</v>
      </c>
      <c r="K109" s="162">
        <f>ROUND(E109*J109,2)</f>
        <v>0</v>
      </c>
      <c r="L109" s="162">
        <v>21</v>
      </c>
      <c r="M109" s="162">
        <f>G109*(1+L109/100)</f>
        <v>0</v>
      </c>
      <c r="N109" s="162">
        <v>0</v>
      </c>
      <c r="O109" s="162">
        <f>ROUND(E109*N109,2)</f>
        <v>0</v>
      </c>
      <c r="P109" s="162">
        <v>0</v>
      </c>
      <c r="Q109" s="162">
        <f>ROUND(E109*P109,2)</f>
        <v>0</v>
      </c>
      <c r="R109" s="162"/>
      <c r="S109" s="162" t="s">
        <v>351</v>
      </c>
      <c r="T109" s="163" t="s">
        <v>101</v>
      </c>
    </row>
    <row r="110" spans="1:20" x14ac:dyDescent="0.25">
      <c r="A110" s="147"/>
      <c r="B110" s="148"/>
      <c r="C110" s="307"/>
      <c r="D110" s="307"/>
      <c r="E110" s="307"/>
      <c r="F110" s="307"/>
      <c r="G110" s="307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</row>
    <row r="111" spans="1:20" x14ac:dyDescent="0.25">
      <c r="A111" s="157">
        <f>A109+1</f>
        <v>42</v>
      </c>
      <c r="B111" s="158" t="s">
        <v>157</v>
      </c>
      <c r="C111" s="168" t="s">
        <v>99</v>
      </c>
      <c r="D111" s="159" t="s">
        <v>100</v>
      </c>
      <c r="E111" s="160">
        <v>1</v>
      </c>
      <c r="F111" s="161"/>
      <c r="G111" s="162">
        <f>ROUND(E111*F111,2)</f>
        <v>0</v>
      </c>
      <c r="H111" s="161">
        <v>0</v>
      </c>
      <c r="I111" s="162">
        <f>ROUND(E111*H111,2)</f>
        <v>0</v>
      </c>
      <c r="J111" s="161">
        <v>0</v>
      </c>
      <c r="K111" s="162">
        <f>ROUND(E111*J111,2)</f>
        <v>0</v>
      </c>
      <c r="L111" s="162">
        <v>21</v>
      </c>
      <c r="M111" s="162">
        <f>G111*(1+L111/100)</f>
        <v>0</v>
      </c>
      <c r="N111" s="162">
        <v>0</v>
      </c>
      <c r="O111" s="162">
        <f>ROUND(E111*N111,2)</f>
        <v>0</v>
      </c>
      <c r="P111" s="162">
        <v>0</v>
      </c>
      <c r="Q111" s="162">
        <f>ROUND(E111*P111,2)</f>
        <v>0</v>
      </c>
      <c r="R111" s="162"/>
      <c r="S111" s="162" t="s">
        <v>351</v>
      </c>
      <c r="T111" s="163" t="s">
        <v>101</v>
      </c>
    </row>
    <row r="112" spans="1:20" ht="12.75" customHeight="1" x14ac:dyDescent="0.25">
      <c r="A112" s="147"/>
      <c r="B112" s="148"/>
      <c r="C112" s="297" t="s">
        <v>445</v>
      </c>
      <c r="D112" s="298"/>
      <c r="E112" s="298"/>
      <c r="F112" s="298"/>
      <c r="G112" s="298"/>
      <c r="H112" s="181"/>
      <c r="I112" s="149"/>
      <c r="J112" s="181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</row>
    <row r="113" spans="1:20" ht="12.75" customHeight="1" x14ac:dyDescent="0.25">
      <c r="A113" s="147"/>
      <c r="B113" s="148"/>
      <c r="C113" s="292"/>
      <c r="D113" s="293"/>
      <c r="E113" s="293"/>
      <c r="F113" s="293"/>
      <c r="G113" s="293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</row>
    <row r="114" spans="1:20" ht="12.75" customHeight="1" x14ac:dyDescent="0.25">
      <c r="A114" s="157">
        <f>A111+1</f>
        <v>43</v>
      </c>
      <c r="B114" s="158" t="s">
        <v>448</v>
      </c>
      <c r="C114" s="168" t="s">
        <v>446</v>
      </c>
      <c r="D114" s="159" t="s">
        <v>100</v>
      </c>
      <c r="E114" s="160">
        <v>1</v>
      </c>
      <c r="F114" s="161"/>
      <c r="G114" s="162">
        <f>ROUND(E114*F114,2)</f>
        <v>0</v>
      </c>
      <c r="H114" s="161">
        <v>0</v>
      </c>
      <c r="I114" s="162">
        <f>ROUND(E114*H114,2)</f>
        <v>0</v>
      </c>
      <c r="J114" s="161">
        <v>0</v>
      </c>
      <c r="K114" s="162">
        <f>ROUND(E114*J114,2)</f>
        <v>0</v>
      </c>
      <c r="L114" s="162">
        <v>21</v>
      </c>
      <c r="M114" s="162">
        <f>G114*(1+L114/100)</f>
        <v>0</v>
      </c>
      <c r="N114" s="162">
        <v>0</v>
      </c>
      <c r="O114" s="162">
        <f>ROUND(E114*N114,2)</f>
        <v>0</v>
      </c>
      <c r="P114" s="162">
        <v>0</v>
      </c>
      <c r="Q114" s="162">
        <f>ROUND(E114*P114,2)</f>
        <v>0</v>
      </c>
      <c r="R114" s="162"/>
      <c r="S114" s="162" t="s">
        <v>351</v>
      </c>
      <c r="T114" s="163" t="s">
        <v>101</v>
      </c>
    </row>
    <row r="115" spans="1:20" ht="12.75" customHeight="1" x14ac:dyDescent="0.25">
      <c r="A115" s="147"/>
      <c r="B115" s="148"/>
      <c r="C115" s="297" t="s">
        <v>447</v>
      </c>
      <c r="D115" s="298"/>
      <c r="E115" s="298"/>
      <c r="F115" s="298"/>
      <c r="G115" s="298"/>
      <c r="H115" s="181"/>
      <c r="I115" s="149"/>
      <c r="J115" s="181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</row>
    <row r="116" spans="1:20" ht="12.75" customHeight="1" x14ac:dyDescent="0.25">
      <c r="A116" s="147"/>
      <c r="B116" s="148"/>
      <c r="C116" s="169"/>
      <c r="D116" s="164"/>
      <c r="E116" s="164"/>
      <c r="F116" s="164"/>
      <c r="G116" s="164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</row>
    <row r="117" spans="1:20" x14ac:dyDescent="0.25">
      <c r="A117" s="157">
        <f>A114+1</f>
        <v>44</v>
      </c>
      <c r="B117" s="158" t="s">
        <v>106</v>
      </c>
      <c r="C117" s="168" t="s">
        <v>107</v>
      </c>
      <c r="D117" s="159" t="s">
        <v>100</v>
      </c>
      <c r="E117" s="160">
        <v>1</v>
      </c>
      <c r="F117" s="161"/>
      <c r="G117" s="162">
        <f>ROUND(E117*F117,2)</f>
        <v>0</v>
      </c>
      <c r="H117" s="161">
        <v>0</v>
      </c>
      <c r="I117" s="162">
        <f>ROUND(E117*H117,2)</f>
        <v>0</v>
      </c>
      <c r="J117" s="161">
        <v>0</v>
      </c>
      <c r="K117" s="162">
        <f>ROUND(E117*J117,2)</f>
        <v>0</v>
      </c>
      <c r="L117" s="162">
        <v>21</v>
      </c>
      <c r="M117" s="162">
        <f>G117*(1+L117/100)</f>
        <v>0</v>
      </c>
      <c r="N117" s="162">
        <v>0</v>
      </c>
      <c r="O117" s="162">
        <f>ROUND(E117*N117,2)</f>
        <v>0</v>
      </c>
      <c r="P117" s="162">
        <v>0</v>
      </c>
      <c r="Q117" s="162">
        <f>ROUND(E117*P117,2)</f>
        <v>0</v>
      </c>
      <c r="R117" s="162"/>
      <c r="S117" s="162" t="s">
        <v>351</v>
      </c>
      <c r="T117" s="163" t="s">
        <v>101</v>
      </c>
    </row>
    <row r="118" spans="1:20" ht="24" customHeight="1" x14ac:dyDescent="0.25">
      <c r="A118" s="147"/>
      <c r="B118" s="148"/>
      <c r="C118" s="297" t="s">
        <v>108</v>
      </c>
      <c r="D118" s="298"/>
      <c r="E118" s="298"/>
      <c r="F118" s="298"/>
      <c r="G118" s="298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</row>
    <row r="119" spans="1:20" ht="12.75" customHeight="1" x14ac:dyDescent="0.25">
      <c r="A119" s="147"/>
      <c r="B119" s="148"/>
      <c r="C119" s="169"/>
      <c r="D119" s="164"/>
      <c r="E119" s="164"/>
      <c r="F119" s="164"/>
      <c r="G119" s="164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</row>
    <row r="120" spans="1:20" x14ac:dyDescent="0.25">
      <c r="A120" s="151" t="s">
        <v>91</v>
      </c>
      <c r="B120" s="152" t="s">
        <v>64</v>
      </c>
      <c r="C120" s="167" t="s">
        <v>27</v>
      </c>
      <c r="D120" s="153"/>
      <c r="E120" s="154"/>
      <c r="F120" s="155"/>
      <c r="G120" s="155">
        <f>G121+G124</f>
        <v>0</v>
      </c>
      <c r="H120" s="155"/>
      <c r="I120" s="155">
        <f>SUM(I121:I126)</f>
        <v>0</v>
      </c>
      <c r="J120" s="155"/>
      <c r="K120" s="155">
        <f>SUM(K121:K126)</f>
        <v>0</v>
      </c>
      <c r="L120" s="155"/>
      <c r="M120" s="155">
        <f>M121+M124</f>
        <v>0</v>
      </c>
      <c r="N120" s="155"/>
      <c r="O120" s="155">
        <f>SUM(O121:O126)</f>
        <v>0</v>
      </c>
      <c r="P120" s="155"/>
      <c r="Q120" s="155">
        <f>SUM(Q121:Q126)</f>
        <v>0</v>
      </c>
      <c r="R120" s="155"/>
      <c r="S120" s="155"/>
      <c r="T120" s="156"/>
    </row>
    <row r="121" spans="1:20" x14ac:dyDescent="0.25">
      <c r="A121" s="157">
        <f>A117+1</f>
        <v>45</v>
      </c>
      <c r="B121" s="158" t="s">
        <v>141</v>
      </c>
      <c r="C121" s="168" t="s">
        <v>142</v>
      </c>
      <c r="D121" s="159" t="s">
        <v>100</v>
      </c>
      <c r="E121" s="160">
        <v>1</v>
      </c>
      <c r="F121" s="161"/>
      <c r="G121" s="162">
        <f>ROUND(E121*F121,2)</f>
        <v>0</v>
      </c>
      <c r="H121" s="161">
        <v>0</v>
      </c>
      <c r="I121" s="162">
        <f>ROUND(E121*H121,2)</f>
        <v>0</v>
      </c>
      <c r="J121" s="161">
        <v>0</v>
      </c>
      <c r="K121" s="162">
        <f>ROUND(E121*J121,2)</f>
        <v>0</v>
      </c>
      <c r="L121" s="162">
        <v>21</v>
      </c>
      <c r="M121" s="162">
        <f>G121*(1+L121/100)</f>
        <v>0</v>
      </c>
      <c r="N121" s="162">
        <v>0</v>
      </c>
      <c r="O121" s="162">
        <f>ROUND(E121*N121,2)</f>
        <v>0</v>
      </c>
      <c r="P121" s="162">
        <v>0</v>
      </c>
      <c r="Q121" s="162">
        <f>ROUND(E121*P121,2)</f>
        <v>0</v>
      </c>
      <c r="R121" s="162"/>
      <c r="S121" s="162" t="s">
        <v>351</v>
      </c>
      <c r="T121" s="163" t="s">
        <v>101</v>
      </c>
    </row>
    <row r="122" spans="1:20" ht="12.75" customHeight="1" x14ac:dyDescent="0.25">
      <c r="A122" s="147"/>
      <c r="B122" s="148"/>
      <c r="C122" s="297" t="s">
        <v>158</v>
      </c>
      <c r="D122" s="298"/>
      <c r="E122" s="298"/>
      <c r="F122" s="298"/>
      <c r="G122" s="298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</row>
    <row r="123" spans="1:20" x14ac:dyDescent="0.25">
      <c r="A123" s="147"/>
      <c r="B123" s="148"/>
      <c r="C123" s="292"/>
      <c r="D123" s="293"/>
      <c r="E123" s="293"/>
      <c r="F123" s="293"/>
      <c r="G123" s="293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</row>
    <row r="124" spans="1:20" x14ac:dyDescent="0.25">
      <c r="A124" s="157">
        <f>A121+1</f>
        <v>46</v>
      </c>
      <c r="B124" s="158" t="s">
        <v>143</v>
      </c>
      <c r="C124" s="168" t="s">
        <v>144</v>
      </c>
      <c r="D124" s="159" t="s">
        <v>100</v>
      </c>
      <c r="E124" s="160">
        <v>1</v>
      </c>
      <c r="F124" s="161"/>
      <c r="G124" s="162">
        <f>ROUND(E124*F124,2)</f>
        <v>0</v>
      </c>
      <c r="H124" s="161">
        <v>0</v>
      </c>
      <c r="I124" s="162">
        <f>ROUND(E124*H124,2)</f>
        <v>0</v>
      </c>
      <c r="J124" s="161">
        <v>0</v>
      </c>
      <c r="K124" s="162">
        <f>ROUND(E124*J124,2)</f>
        <v>0</v>
      </c>
      <c r="L124" s="162">
        <v>21</v>
      </c>
      <c r="M124" s="162">
        <f>G124*(1+L124/100)</f>
        <v>0</v>
      </c>
      <c r="N124" s="162">
        <v>0</v>
      </c>
      <c r="O124" s="162">
        <f>ROUND(E124*N124,2)</f>
        <v>0</v>
      </c>
      <c r="P124" s="162">
        <v>0</v>
      </c>
      <c r="Q124" s="162">
        <f>ROUND(E124*P124,2)</f>
        <v>0</v>
      </c>
      <c r="R124" s="162"/>
      <c r="S124" s="162" t="s">
        <v>351</v>
      </c>
      <c r="T124" s="163" t="s">
        <v>101</v>
      </c>
    </row>
    <row r="125" spans="1:20" ht="12.75" customHeight="1" x14ac:dyDescent="0.25">
      <c r="A125" s="147"/>
      <c r="B125" s="148"/>
      <c r="C125" s="297" t="s">
        <v>145</v>
      </c>
      <c r="D125" s="298"/>
      <c r="E125" s="298"/>
      <c r="F125" s="298"/>
      <c r="G125" s="298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</row>
    <row r="126" spans="1:20" x14ac:dyDescent="0.25">
      <c r="A126" s="147"/>
      <c r="B126" s="148"/>
      <c r="C126" s="292"/>
      <c r="D126" s="293"/>
      <c r="E126" s="293"/>
      <c r="F126" s="293"/>
      <c r="G126" s="293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</row>
    <row r="127" spans="1:20" x14ac:dyDescent="0.25">
      <c r="A127" s="3"/>
      <c r="B127" s="4"/>
      <c r="C127" s="170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x14ac:dyDescent="0.25">
      <c r="A128" s="202"/>
      <c r="B128" s="203" t="s">
        <v>28</v>
      </c>
      <c r="C128" s="206"/>
      <c r="D128" s="204"/>
      <c r="E128" s="205"/>
      <c r="F128" s="205"/>
      <c r="G128" s="166">
        <f>G120+G106+G94+G86+G82+G76+G69+G56+G39+G8</f>
        <v>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</sheetData>
  <sheetProtection algorithmName="SHA-512" hashValue="KaCwn6HXtHYFa8LlY3/5Pmt40XsGFjHyuoZ2wHXiEADP8j79ScrgAeXIMenhLEz3LC3tjbiI87FfDdoMSTbLcA==" saltValue="A1fmii35dl55uDXt/IlBuA==" spinCount="100000" sheet="1" objects="1" scenarios="1"/>
  <mergeCells count="37">
    <mergeCell ref="C13:G13"/>
    <mergeCell ref="A1:G1"/>
    <mergeCell ref="C2:H2"/>
    <mergeCell ref="C3:G3"/>
    <mergeCell ref="C4:H4"/>
    <mergeCell ref="C10:G10"/>
    <mergeCell ref="C11:G11"/>
    <mergeCell ref="C38:G38"/>
    <mergeCell ref="C74:G74"/>
    <mergeCell ref="C75:G75"/>
    <mergeCell ref="C28:G28"/>
    <mergeCell ref="C29:G29"/>
    <mergeCell ref="C31:G31"/>
    <mergeCell ref="C36:G36"/>
    <mergeCell ref="C99:G99"/>
    <mergeCell ref="C103:G103"/>
    <mergeCell ref="C79:G79"/>
    <mergeCell ref="C84:G84"/>
    <mergeCell ref="C85:G85"/>
    <mergeCell ref="C88:G88"/>
    <mergeCell ref="C90:G90"/>
    <mergeCell ref="C123:G123"/>
    <mergeCell ref="C125:G125"/>
    <mergeCell ref="C126:G126"/>
    <mergeCell ref="C115:G115"/>
    <mergeCell ref="C17:G17"/>
    <mergeCell ref="C55:G55"/>
    <mergeCell ref="C105:G105"/>
    <mergeCell ref="C108:G108"/>
    <mergeCell ref="C110:G110"/>
    <mergeCell ref="C113:G113"/>
    <mergeCell ref="C118:G118"/>
    <mergeCell ref="C122:G122"/>
    <mergeCell ref="C112:G112"/>
    <mergeCell ref="C91:G91"/>
    <mergeCell ref="C96:G96"/>
    <mergeCell ref="C97:G97"/>
  </mergeCells>
  <pageMargins left="0.59055118110236227" right="0.19685039370078741" top="0.59055118110236227" bottom="0.59055118110236227" header="0.31496062992125984" footer="0.31496062992125984"/>
  <pageSetup paperSize="9" scale="85" fitToHeight="0" orientation="landscape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mail" ma:contentTypeID="0x0101007588873DC7462F4E99D600A979EE6F12003C6090FAE48FA84D9D7A604679798D26" ma:contentTypeVersion="15" ma:contentTypeDescription="" ma:contentTypeScope="" ma:versionID="a377cd2d8821bf5a16d8c7ddfee49799">
  <xsd:schema xmlns:xsd="http://www.w3.org/2001/XMLSchema" xmlns:xs="http://www.w3.org/2001/XMLSchema" xmlns:p="http://schemas.microsoft.com/office/2006/metadata/properties" xmlns:ns2="f6c1a218-cbfa-4a01-b3d4-1c5c095dd6ea" xmlns:ns3="ddab2709-d05c-4f37-95a5-cbe5cf0d7b64" xmlns:ns4="af438a19-8878-4213-a2e5-7599a89ab1ae" targetNamespace="http://schemas.microsoft.com/office/2006/metadata/properties" ma:root="true" ma:fieldsID="0e1666d1a878109572e0c9d9a201f57d" ns2:_="" ns3:_="" ns4:_="">
    <xsd:import namespace="f6c1a218-cbfa-4a01-b3d4-1c5c095dd6ea"/>
    <xsd:import namespace="ddab2709-d05c-4f37-95a5-cbe5cf0d7b64"/>
    <xsd:import namespace="af438a19-8878-4213-a2e5-7599a89ab1ae"/>
    <xsd:element name="properties">
      <xsd:complexType>
        <xsd:sequence>
          <xsd:element name="documentManagement">
            <xsd:complexType>
              <xsd:all>
                <xsd:element ref="ns2:Odesilatel" minOccurs="0"/>
                <xsd:element ref="ns2:DatumPrijeti" minOccurs="0"/>
                <xsd:element ref="ns2:Prijemce" minOccurs="0"/>
                <xsd:element ref="ns3:Sdileni" minOccurs="0"/>
                <xsd:element ref="ns2:bd7fee66c727474ba32b4338e304212a" minOccurs="0"/>
                <xsd:element ref="ns2:TaxCatchAll" minOccurs="0"/>
                <xsd:element ref="ns2:TaxCatchAllLabel" minOccurs="0"/>
                <xsd:element ref="ns2:CisloKauzy" minOccurs="0"/>
                <xsd:element ref="ns2:m915fb28bee64c1bbecbf27b099958c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lcf76f155ced4ddcb4097134ff3c332f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1a218-cbfa-4a01-b3d4-1c5c095dd6ea" elementFormDefault="qualified">
    <xsd:import namespace="http://schemas.microsoft.com/office/2006/documentManagement/types"/>
    <xsd:import namespace="http://schemas.microsoft.com/office/infopath/2007/PartnerControls"/>
    <xsd:element name="Odesilatel" ma:index="8" nillable="true" ma:displayName="Odesilatel" ma:internalName="Odesilatel">
      <xsd:simpleType>
        <xsd:restriction base="dms:Text">
          <xsd:maxLength value="255"/>
        </xsd:restriction>
      </xsd:simpleType>
    </xsd:element>
    <xsd:element name="DatumPrijeti" ma:index="9" nillable="true" ma:displayName="Datum přijetí" ma:default="[today]" ma:format="DateTime" ma:internalName="DatumPrijeti">
      <xsd:simpleType>
        <xsd:restriction base="dms:DateTime"/>
      </xsd:simpleType>
    </xsd:element>
    <xsd:element name="Prijemce" ma:index="10" nillable="true" ma:displayName="Příjemce" ma:internalName="Prijemce">
      <xsd:simpleType>
        <xsd:restriction base="dms:Text">
          <xsd:maxLength value="255"/>
        </xsd:restriction>
      </xsd:simpleType>
    </xsd:element>
    <xsd:element name="bd7fee66c727474ba32b4338e304212a" ma:index="12" nillable="true" ma:taxonomy="true" ma:internalName="bd7fee66c727474ba32b4338e304212a" ma:taxonomyFieldName="_x00da__x010d_astn_x00ed_ci" ma:displayName="Účastníci" ma:default="" ma:fieldId="{bd7fee66-c727-474b-a32b-4338e304212a}" ma:taxonomyMulti="true" ma:sspId="6043c58e-86ac-4567-935f-c9e5dc0778ea" ma:termSetId="c516ece4-7b70-45e7-8142-06de3238b20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fd73a1ef-6f03-4361-8ea5-56e799e6fb0e}" ma:internalName="TaxCatchAll" ma:showField="CatchAllData" ma:web="f6c1a218-cbfa-4a01-b3d4-1c5c095dd6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fd73a1ef-6f03-4361-8ea5-56e799e6fb0e}" ma:internalName="TaxCatchAllLabel" ma:readOnly="true" ma:showField="CatchAllDataLabel" ma:web="f6c1a218-cbfa-4a01-b3d4-1c5c095dd6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isloKauzy" ma:index="16" nillable="true" ma:displayName="Číslo kauzy" ma:internalName="_x010c__x00ed_slo_x0020_kauzy">
      <xsd:simpleType>
        <xsd:restriction base="dms:Text">
          <xsd:maxLength value="255"/>
        </xsd:restriction>
      </xsd:simpleType>
    </xsd:element>
    <xsd:element name="m915fb28bee64c1bbecbf27b099958ce" ma:index="17" ma:taxonomy="true" ma:internalName="m915fb28bee64c1bbecbf27b099958ce" ma:taxonomyFieldName="Klient" ma:displayName="Klient" ma:default="" ma:fieldId="{6915fb28-bee6-4c1b-becb-f27b099958ce}" ma:sspId="6043c58e-86ac-4567-935f-c9e5dc0778ea" ma:termSetId="c516ece4-7b70-45e7-8142-06de3238b207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b2709-d05c-4f37-95a5-cbe5cf0d7b64" elementFormDefault="qualified">
    <xsd:import namespace="http://schemas.microsoft.com/office/2006/documentManagement/types"/>
    <xsd:import namespace="http://schemas.microsoft.com/office/infopath/2007/PartnerControls"/>
    <xsd:element name="Sdileni" ma:index="11" nillable="true" ma:displayName="Sdileni" ma:list="96077e25-20b9-4b92-844e-e59a2d738e89" ma:internalName="Sdileni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38a19-8878-4213-a2e5-7599a89ab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Značky obrázků" ma:readOnly="false" ma:fieldId="{5cf76f15-5ced-4ddc-b409-7134ff3c332f}" ma:taxonomyMulti="true" ma:sspId="6043c58e-86ac-4567-935f-c9e5dc0778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c1a218-cbfa-4a01-b3d4-1c5c095dd6ea" xsi:nil="true"/>
    <DatumPrijeti xmlns="f6c1a218-cbfa-4a01-b3d4-1c5c095dd6ea">2024-04-19T15:10:01+00:00</DatumPrijeti>
    <lcf76f155ced4ddcb4097134ff3c332f xmlns="af438a19-8878-4213-a2e5-7599a89ab1ae">
      <Terms xmlns="http://schemas.microsoft.com/office/infopath/2007/PartnerControls"/>
    </lcf76f155ced4ddcb4097134ff3c332f>
    <Odesilatel xmlns="f6c1a218-cbfa-4a01-b3d4-1c5c095dd6ea" xsi:nil="true"/>
    <m915fb28bee64c1bbecbf27b099958ce xmlns="f6c1a218-cbfa-4a01-b3d4-1c5c095dd6ea">
      <Terms xmlns="http://schemas.microsoft.com/office/infopath/2007/PartnerControls">
        <TermInfo xmlns="http://schemas.microsoft.com/office/infopath/2007/PartnerControls">
          <TermName xmlns="http://schemas.microsoft.com/office/infopath/2007/PartnerControls">Obec Drahelcice</TermName>
          <TermId xmlns="http://schemas.microsoft.com/office/infopath/2007/PartnerControls">097aabb8-a773-4965-91cd-322a2f61a41f</TermId>
        </TermInfo>
      </Terms>
    </m915fb28bee64c1bbecbf27b099958ce>
    <bd7fee66c727474ba32b4338e304212a xmlns="f6c1a218-cbfa-4a01-b3d4-1c5c095dd6ea">
      <Terms xmlns="http://schemas.microsoft.com/office/infopath/2007/PartnerControls"/>
    </bd7fee66c727474ba32b4338e304212a>
    <CisloKauzy xmlns="f6c1a218-cbfa-4a01-b3d4-1c5c095dd6ea">884-013 </CisloKauzy>
    <Sdileni xmlns="ddab2709-d05c-4f37-95a5-cbe5cf0d7b64" xsi:nil="true"/>
    <Prijemce xmlns="f6c1a218-cbfa-4a01-b3d4-1c5c095dd6ea" xsi:nil="true"/>
  </documentManagement>
</p:properties>
</file>

<file path=customXml/itemProps1.xml><?xml version="1.0" encoding="utf-8"?>
<ds:datastoreItem xmlns:ds="http://schemas.openxmlformats.org/officeDocument/2006/customXml" ds:itemID="{371BEA41-AC32-4DDA-8CC9-51A3CD5D6951}"/>
</file>

<file path=customXml/itemProps2.xml><?xml version="1.0" encoding="utf-8"?>
<ds:datastoreItem xmlns:ds="http://schemas.openxmlformats.org/officeDocument/2006/customXml" ds:itemID="{A20E8C87-FBC6-4247-A123-C2ACDA33CBE7}"/>
</file>

<file path=customXml/itemProps3.xml><?xml version="1.0" encoding="utf-8"?>
<ds:datastoreItem xmlns:ds="http://schemas.openxmlformats.org/officeDocument/2006/customXml" ds:itemID="{D009D40B-D0D7-4802-ACBC-1EA123ED37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Komunikace</vt:lpstr>
      <vt:lpstr>Most - horní část</vt:lpstr>
      <vt:lpstr>Most - spodní část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Komunikace!Názvy_tisku</vt:lpstr>
      <vt:lpstr>'Most - horní část'!Názvy_tisku</vt:lpstr>
      <vt:lpstr>'Most - spodní část'!Názvy_tisku</vt:lpstr>
      <vt:lpstr>oadresa</vt:lpstr>
      <vt:lpstr>Stavba!Objednatel</vt:lpstr>
      <vt:lpstr>Stavba!Objekt</vt:lpstr>
      <vt:lpstr>Komunikace!Oblast_tisku</vt:lpstr>
      <vt:lpstr>'Most - horní část'!Oblast_tisku</vt:lpstr>
      <vt:lpstr>'Most - spodní část'!Oblast_tisku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</dc:creator>
  <cp:lastModifiedBy>Musil Vojtěch</cp:lastModifiedBy>
  <cp:lastPrinted>2024-03-08T13:24:34Z</cp:lastPrinted>
  <dcterms:created xsi:type="dcterms:W3CDTF">2009-04-08T07:15:50Z</dcterms:created>
  <dcterms:modified xsi:type="dcterms:W3CDTF">2024-04-19T09:40:32Z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0x0101007588873DC7462F4E99D600A979EE6F12003C6090FAE48FA84D9D7A604679798D26</vt:lpwstr>
  </property>
  <property fmtid="{D5CDD505-2E9C-101B-9397-08002B2CF9AE}" pid="3" name="Účastníci">
    <vt:lpwstr/>
  </property>
  <property fmtid="{D5CDD505-2E9C-101B-9397-08002B2CF9AE}" pid="4" name="Klient">
    <vt:lpwstr>934</vt:lpwstr>
  </property>
</Properties>
</file>