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Stavební rozpočet" sheetId="1" r:id="rId1"/>
    <sheet name="Rozpočet - Rekapitulace" sheetId="2" r:id="rId2"/>
    <sheet name="Krycí list rozpočtu" sheetId="3" r:id="rId3"/>
    <sheet name="VORN" sheetId="4" r:id="rId4"/>
    <sheet name="Pokyny" sheetId="5" r:id="rId5"/>
  </sheets>
  <externalReferences>
    <externalReference r:id="rId8"/>
  </externalReferences>
  <definedNames>
    <definedName name="_xlnm.Print_Area" localSheetId="2">'Krycí list rozpočtu'!$A$1:$I$37</definedName>
    <definedName name="_xlnm.Print_Area" localSheetId="4">'Pokyny'!$A$1:$I$41</definedName>
    <definedName name="_xlnm.Print_Area" localSheetId="1">'Rozpočet - Rekapitulace'!$A$1:$L$33</definedName>
    <definedName name="_xlnm.Print_Area" localSheetId="0">'Stavební rozpočet'!$A$1:$N$258</definedName>
    <definedName name="_xlnm.Print_Area" localSheetId="3">'VORN'!$A$1:$I$38</definedName>
    <definedName name="vorn_sum" localSheetId="4">'[1]VORN'!$I$37:$I$37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<sst xmlns="http://schemas.openxmlformats.org/spreadsheetml/2006/main" count="1643" uniqueCount="624">
  <si>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</si>
  <si>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</si>
  <si>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</si>
  <si>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</si>
  <si>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</si>
  <si>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</si>
  <si>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</si>
  <si>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</si>
  <si>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</si>
  <si>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</si>
  <si>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</si>
  <si>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</si>
  <si>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</si>
  <si>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</si>
  <si>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</si>
  <si>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</si>
  <si>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</si>
  <si>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</si>
  <si>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</si>
  <si>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</si>
  <si>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</si>
  <si>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</si>
  <si>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</si>
  <si>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</si>
  <si>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</si>
  <si>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</si>
  <si>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</si>
  <si>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</si>
  <si>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</si>
  <si>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</si>
  <si>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</si>
  <si>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</si>
  <si>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</si>
  <si>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</si>
  <si>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</si>
  <si>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</si>
  <si>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</si>
  <si>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</si>
  <si>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</si>
  <si>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</si>
  <si>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</si>
  <si>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</si>
  <si>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</si>
  <si>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</si>
  <si>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</si>
  <si>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</si>
  <si>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</si>
  <si>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</si>
  <si>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</si>
  <si>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</si>
  <si>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</si>
  <si>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</si>
  <si>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</si>
  <si>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</si>
  <si>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</si>
  <si>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</si>
  <si>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</si>
  <si>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</si>
  <si>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</si>
  <si>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</si>
  <si>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</si>
  <si>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</si>
  <si>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</si>
  <si>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</si>
  <si>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</si>
  <si>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</si>
  <si>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</si>
  <si>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</si>
  <si>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</si>
  <si>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</si>
  <si>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</si>
  <si>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</si>
  <si>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</si>
  <si>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</si>
  <si>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</si>
  <si>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</si>
  <si>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</si>
  <si>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</si>
  <si>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</si>
  <si>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</si>
  <si>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</si>
  <si>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</si>
  <si>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</si>
  <si>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</si>
  <si>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</si>
  <si>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</si>
  <si>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</si>
  <si>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</si>
  <si>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</si>
  <si>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</si>
  <si>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</si>
  <si>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</si>
  <si>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</si>
  <si>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</si>
  <si>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</si>
  <si>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</si>
  <si>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</si>
  <si>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</si>
  <si>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</si>
  <si>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</si>
  <si>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</si>
  <si>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</si>
  <si>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</si>
  <si>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</si>
  <si>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</si>
  <si>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</si>
  <si>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</si>
  <si>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</si>
  <si>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</si>
  <si>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</si>
  <si>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</si>
  <si>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</si>
  <si>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</si>
  <si>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</si>
  <si>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</si>
  <si>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</si>
  <si>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</si>
  <si>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</si>
  <si>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</si>
  <si>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Poznámka:</t>
  </si>
  <si>
    <t>Objekt</t>
  </si>
  <si>
    <t>Kód</t>
  </si>
  <si>
    <t>310100011RAA</t>
  </si>
  <si>
    <t>317120025RAA</t>
  </si>
  <si>
    <t>317998111R00</t>
  </si>
  <si>
    <t>612409991RT2</t>
  </si>
  <si>
    <t>612421637R00</t>
  </si>
  <si>
    <t>610991111R00</t>
  </si>
  <si>
    <t>622904112R00</t>
  </si>
  <si>
    <t>622x001VD</t>
  </si>
  <si>
    <t>622451122R00</t>
  </si>
  <si>
    <t>622391112R00</t>
  </si>
  <si>
    <t>622315335R00</t>
  </si>
  <si>
    <t>622300154R00</t>
  </si>
  <si>
    <t>55392895</t>
  </si>
  <si>
    <t>648952421RT2</t>
  </si>
  <si>
    <t>712</t>
  </si>
  <si>
    <t>712400831R00</t>
  </si>
  <si>
    <t>998712102R00</t>
  </si>
  <si>
    <t>713</t>
  </si>
  <si>
    <t>713111221RO5</t>
  </si>
  <si>
    <t>713111130RT2</t>
  </si>
  <si>
    <t>6315085951</t>
  </si>
  <si>
    <t>713111111RT2</t>
  </si>
  <si>
    <t>631508592</t>
  </si>
  <si>
    <t>998713102R00</t>
  </si>
  <si>
    <t>762</t>
  </si>
  <si>
    <t>762342811R00</t>
  </si>
  <si>
    <t>762341811R00</t>
  </si>
  <si>
    <t>762341210RT2</t>
  </si>
  <si>
    <t>762342206RT2</t>
  </si>
  <si>
    <t>762332931R00</t>
  </si>
  <si>
    <t>762311103R00</t>
  </si>
  <si>
    <t>31175165</t>
  </si>
  <si>
    <t>762395030VD</t>
  </si>
  <si>
    <t>998762102R00</t>
  </si>
  <si>
    <t>764</t>
  </si>
  <si>
    <t>764410850R00</t>
  </si>
  <si>
    <t>764352810R00</t>
  </si>
  <si>
    <t>764454802R00</t>
  </si>
  <si>
    <t>764430810R00</t>
  </si>
  <si>
    <t>764391820R00</t>
  </si>
  <si>
    <t>764351836R00</t>
  </si>
  <si>
    <t>764352291R00</t>
  </si>
  <si>
    <t>55351251.A</t>
  </si>
  <si>
    <t>55351280.A</t>
  </si>
  <si>
    <t>55351318.A</t>
  </si>
  <si>
    <t>764352292R00</t>
  </si>
  <si>
    <t>55351264.A</t>
  </si>
  <si>
    <t>764454291R00</t>
  </si>
  <si>
    <t>553523107</t>
  </si>
  <si>
    <t>553523116</t>
  </si>
  <si>
    <t>764373117RT1</t>
  </si>
  <si>
    <t>764410291R00</t>
  </si>
  <si>
    <t>55342231</t>
  </si>
  <si>
    <t>764929301RT2</t>
  </si>
  <si>
    <t>553449040</t>
  </si>
  <si>
    <t>59244026.A</t>
  </si>
  <si>
    <t>553507440</t>
  </si>
  <si>
    <t>764311921R00</t>
  </si>
  <si>
    <t>764391291R00</t>
  </si>
  <si>
    <t>553453562</t>
  </si>
  <si>
    <t>764394291R00</t>
  </si>
  <si>
    <t>553453331</t>
  </si>
  <si>
    <t>553507430</t>
  </si>
  <si>
    <t>764348293R00</t>
  </si>
  <si>
    <t>553453512</t>
  </si>
  <si>
    <t>764918331R00</t>
  </si>
  <si>
    <t>13851215</t>
  </si>
  <si>
    <t>764919101R00</t>
  </si>
  <si>
    <t>553453109</t>
  </si>
  <si>
    <t>998764102R00</t>
  </si>
  <si>
    <t>765</t>
  </si>
  <si>
    <t>765331865R00</t>
  </si>
  <si>
    <t>765901112R00</t>
  </si>
  <si>
    <t>713191100R00</t>
  </si>
  <si>
    <t>62831115</t>
  </si>
  <si>
    <t>998765102R00</t>
  </si>
  <si>
    <t>766</t>
  </si>
  <si>
    <t>766629302R00</t>
  </si>
  <si>
    <t>61143200x01</t>
  </si>
  <si>
    <t>61143200x02</t>
  </si>
  <si>
    <t>61143200x03</t>
  </si>
  <si>
    <t>766421223R00</t>
  </si>
  <si>
    <t>61191702</t>
  </si>
  <si>
    <t>998766102R00</t>
  </si>
  <si>
    <t>767</t>
  </si>
  <si>
    <t>767311810R00</t>
  </si>
  <si>
    <t>767392802R00</t>
  </si>
  <si>
    <t>767584641R00</t>
  </si>
  <si>
    <t>553427212</t>
  </si>
  <si>
    <t>783</t>
  </si>
  <si>
    <t>783626200R00</t>
  </si>
  <si>
    <t>784</t>
  </si>
  <si>
    <t>784195212R00</t>
  </si>
  <si>
    <t>784x001VD</t>
  </si>
  <si>
    <t>941941042R00</t>
  </si>
  <si>
    <t>941941291R00</t>
  </si>
  <si>
    <t>941941842R00</t>
  </si>
  <si>
    <t>944944011R00</t>
  </si>
  <si>
    <t>944944081R00</t>
  </si>
  <si>
    <t>943943221R00</t>
  </si>
  <si>
    <t>943943821R00</t>
  </si>
  <si>
    <t>941955001R00</t>
  </si>
  <si>
    <t>953941110R00</t>
  </si>
  <si>
    <t>55395100.A</t>
  </si>
  <si>
    <t>952901111R00</t>
  </si>
  <si>
    <t>968062245R00</t>
  </si>
  <si>
    <t>968062246R00</t>
  </si>
  <si>
    <t>968061112R00</t>
  </si>
  <si>
    <t>973031325R00</t>
  </si>
  <si>
    <t>978015241R00</t>
  </si>
  <si>
    <t>971033541R00</t>
  </si>
  <si>
    <t>H99</t>
  </si>
  <si>
    <t>999281108R00</t>
  </si>
  <si>
    <t>S</t>
  </si>
  <si>
    <t>979083116R00</t>
  </si>
  <si>
    <t>979093111R00</t>
  </si>
  <si>
    <t>979990101R00</t>
  </si>
  <si>
    <t>979990121R00</t>
  </si>
  <si>
    <t>979990162R00</t>
  </si>
  <si>
    <t>979990161R00</t>
  </si>
  <si>
    <t>979951111R00</t>
  </si>
  <si>
    <t>979012112R00</t>
  </si>
  <si>
    <t>979012119R00</t>
  </si>
  <si>
    <t>STAVEBNÍ ÚPRAVY ČÁSTI TĚLOCVIČNY GYMNÁZIA K.V.RAISE A SOU</t>
  </si>
  <si>
    <t>Hlinsko, Adámkova 55</t>
  </si>
  <si>
    <t>Zkrácený popis</t>
  </si>
  <si>
    <t>Rozměry</t>
  </si>
  <si>
    <t>Zdi podpěrné a volné</t>
  </si>
  <si>
    <t>Zazdívka otvorů ve zdivu, bez úpravy povrchu</t>
  </si>
  <si>
    <t>2*0,4+2*0,5*1,5</t>
  </si>
  <si>
    <t>0,8*2</t>
  </si>
  <si>
    <t>Osazení překladů keramických, otvor š. do 105 cm</t>
  </si>
  <si>
    <t>Izolace mezi překlady polystyren tl. 50 mm</t>
  </si>
  <si>
    <t>Úprava povrchů vnitřní</t>
  </si>
  <si>
    <t>Začištění omítek kolem oken,dveří apod.</t>
  </si>
  <si>
    <t>Omítka vnitřní zdiva, MVC, štuková</t>
  </si>
  <si>
    <t>Úprava povrchů vnější</t>
  </si>
  <si>
    <t>Zakrývání výplní vnějších otvorů</t>
  </si>
  <si>
    <t>4*1,5*1,5+4*1,5*2,15+1,5*1,5+0,6*1,0</t>
  </si>
  <si>
    <t>Očištění fasád tlakovou vodou složitost 1 - 2</t>
  </si>
  <si>
    <t>10,5*7,8+17*5,5</t>
  </si>
  <si>
    <t>Zakrývání ploch</t>
  </si>
  <si>
    <t>Omítka vnější stěn, MC, hrubá zatřená - vyspravení otlučených míst</t>
  </si>
  <si>
    <t>10,5*7,8*0,3</t>
  </si>
  <si>
    <t>0,5*2</t>
  </si>
  <si>
    <t>Příplatek za počet hmoždinek 8 ks/m2</t>
  </si>
  <si>
    <t>10,5*8+17*5,5</t>
  </si>
  <si>
    <t>-(4*1,5*2,15+5*1,5*1,5)</t>
  </si>
  <si>
    <t>Zatepl. systém fasáda, EPS F šedý tl.160 mm - specifikace dle PD</t>
  </si>
  <si>
    <t>Montáž zakládací sady ETICS</t>
  </si>
  <si>
    <t>17+8</t>
  </si>
  <si>
    <t>Zakládací lišta  Al  tl. izolantu 160 mm</t>
  </si>
  <si>
    <t>;ztratné 5%; 1,25</t>
  </si>
  <si>
    <t>Výplně otvorů</t>
  </si>
  <si>
    <t>Osazení parapetních desek dřevěných š. do 50 cm</t>
  </si>
  <si>
    <t>9*1,5+0,6</t>
  </si>
  <si>
    <t>Izolace střech (živičné krytiny)</t>
  </si>
  <si>
    <t>Odstranění živičné krytiny střech do 30° 1vrstvé - stávající podstřešní folie</t>
  </si>
  <si>
    <t>8,5*15</t>
  </si>
  <si>
    <t>Přesun hmot pro povlakové krytiny, výšky do 12 m</t>
  </si>
  <si>
    <t>Izolace tepelné</t>
  </si>
  <si>
    <t>Montáž parozábrany, zavěšené podhl., přelep. spojů</t>
  </si>
  <si>
    <t>8,5*2</t>
  </si>
  <si>
    <t>Izolace tepelné stropů spodem, vložená mezi krokve</t>
  </si>
  <si>
    <t>Pás izolační  2900x1200x 160 mm - specifikace dle PD</t>
  </si>
  <si>
    <t>2*8,5*2</t>
  </si>
  <si>
    <t>;ztratné 5%; 1,7</t>
  </si>
  <si>
    <t>Izolace tepelné stropů vrchem kladené volně</t>
  </si>
  <si>
    <t>Pás izolační 4500x1200x 100 mm - specifikace dle PD</t>
  </si>
  <si>
    <t>8,5*15*2</t>
  </si>
  <si>
    <t>;ztratné 5%; 12,75</t>
  </si>
  <si>
    <t>Přesun hmot pro izolace tepelné, výšky do 12 m</t>
  </si>
  <si>
    <t>Konstrukce tesařské</t>
  </si>
  <si>
    <t>Demontáž laťování střech</t>
  </si>
  <si>
    <t>Demontáž bednění střech rovných z prken hrubých</t>
  </si>
  <si>
    <t>Montáž bednění střech rovných, prkna hrubá na sraz</t>
  </si>
  <si>
    <t>8,5*17,2</t>
  </si>
  <si>
    <t>Montáž kontralatí na vruty, s těsnicí páskou</t>
  </si>
  <si>
    <t>Doplnění střešní vazby z hranolů do 120 cm2 vč.dod</t>
  </si>
  <si>
    <t>10*2</t>
  </si>
  <si>
    <t>Montáž kotevních želez, příložek, patek, táhel</t>
  </si>
  <si>
    <t>Botka trámová normal 60 x 190</t>
  </si>
  <si>
    <t>Pomocná konstrukce pod lešení na střeše přístřešku</t>
  </si>
  <si>
    <t>Přesun hmot pro tesařské konstrukce, výšky do 12 m</t>
  </si>
  <si>
    <t>Konstrukce klempířské</t>
  </si>
  <si>
    <t>Demontáž oplechování parapetů,rš od 100 do 330 mm</t>
  </si>
  <si>
    <t>8*1,5</t>
  </si>
  <si>
    <t>Demontáž žlabů půlkruh. rovných, rš 330 mm, do 30°</t>
  </si>
  <si>
    <t>Demontáž odpadních trub kruhových,D 120 mm</t>
  </si>
  <si>
    <t>2*5,5</t>
  </si>
  <si>
    <t>Demontáž oplechování zdí, rš do 250 mm</t>
  </si>
  <si>
    <t>15+8,5</t>
  </si>
  <si>
    <t>Demontáž závětrné lišty, rš 250 a 330 mm, do 30°</t>
  </si>
  <si>
    <t>8,5</t>
  </si>
  <si>
    <t>Demontáž háků, sklon do 30°</t>
  </si>
  <si>
    <t>Montáž žlabů podokapních půlkruhových</t>
  </si>
  <si>
    <t>17,2</t>
  </si>
  <si>
    <t>Žlab podokapní velikost 150 mm základní barvy</t>
  </si>
  <si>
    <t>Čelo žlabové velikost 125 základní barvy</t>
  </si>
  <si>
    <t>Kotlík žlabový 125 základní barvy</t>
  </si>
  <si>
    <t>Montáž háků  půlkruhových</t>
  </si>
  <si>
    <t>Hák žlabový, velikost 125 mm základní barvy</t>
  </si>
  <si>
    <t>Montáž trub odpadních kruhových lakovaných</t>
  </si>
  <si>
    <t>Roura svodová kruhová d 120 mm pozink-lak</t>
  </si>
  <si>
    <t>Koleno svodu d 120 mm pozink-lak</t>
  </si>
  <si>
    <t>Adaptér napojení svodu</t>
  </si>
  <si>
    <t>Montáž oplechování parapetů</t>
  </si>
  <si>
    <t>Parapet vnější ohýbaný tl. 0,7 mm š 240 mm</t>
  </si>
  <si>
    <t>14,1</t>
  </si>
  <si>
    <t>;ztratné 5%; 0,705</t>
  </si>
  <si>
    <t>M oplechování zdí z lak. plechu, do rš 330 mm</t>
  </si>
  <si>
    <t>17,2+8,5</t>
  </si>
  <si>
    <t>Krycí lišta typ rš 80 mm</t>
  </si>
  <si>
    <t>25,7</t>
  </si>
  <si>
    <t>;ztratné 5%; 1,285</t>
  </si>
  <si>
    <t>Tmel těsnicí syntetický kaučukový trvale pružný</t>
  </si>
  <si>
    <t>Lemování ke zdi / podélné</t>
  </si>
  <si>
    <t>;ztratné 10%; 2,57</t>
  </si>
  <si>
    <t>Oprava krytiny</t>
  </si>
  <si>
    <t>2*0,5</t>
  </si>
  <si>
    <t>Montáž závětrné lišty</t>
  </si>
  <si>
    <t>Závětrná lišta horní ZLR120 polyestersat 25</t>
  </si>
  <si>
    <t>;ztratné 5%; 0,425</t>
  </si>
  <si>
    <t>Montáž podkladního pásu, větrací lišty</t>
  </si>
  <si>
    <t>2*17,2</t>
  </si>
  <si>
    <t>Okapní plech SBM-OP polyestersat 25</t>
  </si>
  <si>
    <t>;ztratné 5%; 0,86</t>
  </si>
  <si>
    <t>Větrací hřebenová lišta, délka 485 mm</t>
  </si>
  <si>
    <t>Montáž zachytače sněhu, podélného</t>
  </si>
  <si>
    <t>2*17</t>
  </si>
  <si>
    <t>Z+M.lemov.z lak.plech.na plochých střech. rš 250</t>
  </si>
  <si>
    <t>Plech svitkový lakovaný pozink.,tl. 0,5 mm</t>
  </si>
  <si>
    <t>;ztratné 10%; 0,4</t>
  </si>
  <si>
    <t>M.krytiny z tašk.tabulí z lak.pl.,na dřevo do 30°</t>
  </si>
  <si>
    <t>Velkoformátová střešní krytina s dvojitou stojatou drážkou</t>
  </si>
  <si>
    <t>;ztratné 5%; 7,31</t>
  </si>
  <si>
    <t>Přesun hmot pro klempířské konstr., výšky do 12 m</t>
  </si>
  <si>
    <t>Krytina tvrdá</t>
  </si>
  <si>
    <t>Větrací pás okapní šířky  80 mm</t>
  </si>
  <si>
    <t>Fólie izolační podstřešní paropropustná, včetně materiálu</t>
  </si>
  <si>
    <t>Položení separační fólie</t>
  </si>
  <si>
    <t>Pás asfaltovaný oxidovaný nepískovaný 4mm</t>
  </si>
  <si>
    <t>;ztratné 10%; 14,62</t>
  </si>
  <si>
    <t>Přesun hmot pro krytiny tvrdé, výšky do 12 m</t>
  </si>
  <si>
    <t>Konstrukce truhlářské</t>
  </si>
  <si>
    <t>Montáž oken plastových plochy do 2,70 m2</t>
  </si>
  <si>
    <t>4+4+1+1</t>
  </si>
  <si>
    <t>Okno plastové 2dílné 150x150 - izolační trojsklo - specifikace dle PD</t>
  </si>
  <si>
    <t>Okno plast. dělené 150x215  - izolační trojsklo - specifikace dle PD</t>
  </si>
  <si>
    <t>Okno plast. 60x150 - s plnou výplní - do revizního otvoru - specifikace dle PD</t>
  </si>
  <si>
    <t>Obložení podhledů jednod. palubkami  š. do 10 cm</t>
  </si>
  <si>
    <t>Palubka obkladová BO tloušťka 18 šíře 118 mm</t>
  </si>
  <si>
    <t>;ztratné 4%; 0,68</t>
  </si>
  <si>
    <t>Přesun hmot pro truhlářské konstr., výšky do 12 m</t>
  </si>
  <si>
    <t>Konstrukce doplňkové stavební (zámečnické)</t>
  </si>
  <si>
    <t>Demontáž světlíků všech typů včetně zasklení</t>
  </si>
  <si>
    <t>Demontáž krytin střech z plechů, falcovaných</t>
  </si>
  <si>
    <t>Montáž podhledů ostatních  -  rošty</t>
  </si>
  <si>
    <t>Konstrukce systém dvojitý rošt z ocelových pozinkovaných profilů 2x30mm</t>
  </si>
  <si>
    <t>Nátěry</t>
  </si>
  <si>
    <t>Nátěr lazurovací truhlářských výrobků 2x lakování</t>
  </si>
  <si>
    <t>8,5*2*2*1,1</t>
  </si>
  <si>
    <t>Malby</t>
  </si>
  <si>
    <t>Malba disperzní, bílá, bez penetrace, 2 x</t>
  </si>
  <si>
    <t>(4*2*2,15+2*1,5+5*3*1,5+2*1,25+0,6)*0,3</t>
  </si>
  <si>
    <t>2*0,4+2*0,5*1,5+0,8*2</t>
  </si>
  <si>
    <t>Písmomalířské práce</t>
  </si>
  <si>
    <t>Lešení a stavební výtahy</t>
  </si>
  <si>
    <t>Montáž lešení leh.řad.s podlahami,š.1,2 m, H 30 m</t>
  </si>
  <si>
    <t>11*8</t>
  </si>
  <si>
    <t>17*5,5</t>
  </si>
  <si>
    <t>Příplatek za každý měsíc použití lešení k pol.1041</t>
  </si>
  <si>
    <t>Demontáž lešení leh.řad.s podlahami,š.1,2 m,H 30 m</t>
  </si>
  <si>
    <t>Montáž ochranné sítě z umělých vláken</t>
  </si>
  <si>
    <t>Demontáž ochranné sítě z umělých vláken</t>
  </si>
  <si>
    <t>Montáž lešení prostorové lehké, do 200kg, H 10 m</t>
  </si>
  <si>
    <t>2*8*3,5</t>
  </si>
  <si>
    <t>Demontáž lešení, prostor. lehké, 200 kPa, H 10 m</t>
  </si>
  <si>
    <t>Lešení lehké pomocné, výška podlahy do 1,2 m</t>
  </si>
  <si>
    <t>1,2*2</t>
  </si>
  <si>
    <t>Různé dokončovací konstrukce a práce na pozemních stavbách</t>
  </si>
  <si>
    <t>Osazení zábradlí schodišťového, balkonového apod.</t>
  </si>
  <si>
    <t>Zábradlí ocelové trubkové - madlo, včetně nátěru</t>
  </si>
  <si>
    <t>Vyčištění budov o výšce podlaží do 4 m</t>
  </si>
  <si>
    <t>17*8</t>
  </si>
  <si>
    <t>Bourání konstrukcí</t>
  </si>
  <si>
    <t>Vybourání dřevěných rámů oken jednoduch. pl. 2 m2</t>
  </si>
  <si>
    <t>4*1,5*1,5</t>
  </si>
  <si>
    <t>Vybourání dřevěných rámů oken jednoduch. pl. 4 m2</t>
  </si>
  <si>
    <t>4*1,5*2,15</t>
  </si>
  <si>
    <t>Vyvěšení dřevěných okenních křídel pl. do 1,5 m2</t>
  </si>
  <si>
    <t>3*4+2*4</t>
  </si>
  <si>
    <t>Prorážení otvorů a ostatní bourací práce</t>
  </si>
  <si>
    <t>Vysekání kapes zeď cihel. MVC, pl. 0,1m2, hl. 30cm</t>
  </si>
  <si>
    <t>Otlučení omítek vnějších MVC v složit.1-4 do 30 %</t>
  </si>
  <si>
    <t>10,5*7,8</t>
  </si>
  <si>
    <t>Vybourání otv. zeď cihel. pl.1 m2, tl.30 cm, MVC</t>
  </si>
  <si>
    <t>0,6*1,25*0,3</t>
  </si>
  <si>
    <t>Ostatní přesuny hmot</t>
  </si>
  <si>
    <t>Přesun hmot pro opravy a údržbu do výšky 12 m</t>
  </si>
  <si>
    <t>Přesuny sutí</t>
  </si>
  <si>
    <t>Vodorovné přemístění suti na skládku do 5000 m</t>
  </si>
  <si>
    <t>Uložení suti na skládku bez zhutnění</t>
  </si>
  <si>
    <t>Poplatek za uložení směsi betonu a cihel skupina 170101 a 170102</t>
  </si>
  <si>
    <t>Poplatek za uložení suti - asfaltové pásy, skupina odpadu 170302</t>
  </si>
  <si>
    <t>Poplatek za uložení suti - dřevo+sklo, skupina odpadu 170904</t>
  </si>
  <si>
    <t>0,6482</t>
  </si>
  <si>
    <t>0,63</t>
  </si>
  <si>
    <t>Poplatek za likvidaci - dřevo</t>
  </si>
  <si>
    <t>Výkup kovů - železný šrot tl. do 4 mm</t>
  </si>
  <si>
    <t>0,8925+0,1631</t>
  </si>
  <si>
    <t>Svislá doprava suti na výšku do 3,5 m</t>
  </si>
  <si>
    <t>Příplatek k suti za každých dalších 3,5 m výšky</t>
  </si>
  <si>
    <t>2*0,4054</t>
  </si>
  <si>
    <t>střecha přístřešku</t>
  </si>
  <si>
    <t>2 vrstvy</t>
  </si>
  <si>
    <t>vyztužení, podložení a zykrytí střechy před montáží lešení</t>
  </si>
  <si>
    <t>zaslepení svodů</t>
  </si>
  <si>
    <t>oplechování čela krokví</t>
  </si>
  <si>
    <t>nátěr z obou stran palubek</t>
  </si>
  <si>
    <t>ostění</t>
  </si>
  <si>
    <t>zazdívka</t>
  </si>
  <si>
    <t>západní strana</t>
  </si>
  <si>
    <t>na přístřešku</t>
  </si>
  <si>
    <t>okna</t>
  </si>
  <si>
    <t>světlík</t>
  </si>
  <si>
    <t>Doba výstavby:</t>
  </si>
  <si>
    <t>Začátek výstavby:</t>
  </si>
  <si>
    <t>Konec výstavby:</t>
  </si>
  <si>
    <t>Zpracováno dne:</t>
  </si>
  <si>
    <t>MJ</t>
  </si>
  <si>
    <t>m2</t>
  </si>
  <si>
    <t>kus</t>
  </si>
  <si>
    <t>m</t>
  </si>
  <si>
    <t>soubor</t>
  </si>
  <si>
    <t>t</t>
  </si>
  <si>
    <t>kpl</t>
  </si>
  <si>
    <t>m3</t>
  </si>
  <si>
    <t>Množství</t>
  </si>
  <si>
    <t>06.03.2023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</si>
  <si>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</si>
  <si>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</si>
  <si>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</si>
  <si>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</si>
  <si>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</si>
  <si>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</si>
  <si>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</si>
  <si>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</si>
  <si>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</si>
  <si>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Gymnázium K.V.Raise, Hlinsko</t>
  </si>
  <si>
    <t> 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</si>
  <si>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</si>
  <si>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</si>
  <si>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</si>
  <si>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</si>
  <si>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</si>
  <si>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</si>
  <si>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</si>
  <si>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</si>
  <si>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</si>
  <si>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</si>
  <si>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</si>
  <si>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</si>
  <si>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</si>
  <si>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</si>
  <si>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</si>
  <si>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</si>
  <si>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61_</t>
  </si>
  <si>
    <t>62_</t>
  </si>
  <si>
    <t>64_</t>
  </si>
  <si>
    <t>712_</t>
  </si>
  <si>
    <t>713_</t>
  </si>
  <si>
    <t>762_</t>
  </si>
  <si>
    <t>764_</t>
  </si>
  <si>
    <t>765_</t>
  </si>
  <si>
    <t>766_</t>
  </si>
  <si>
    <t>767_</t>
  </si>
  <si>
    <t>783_</t>
  </si>
  <si>
    <t>784_</t>
  </si>
  <si>
    <t>94_</t>
  </si>
  <si>
    <t>95_</t>
  </si>
  <si>
    <t>96_</t>
  </si>
  <si>
    <t>97_</t>
  </si>
  <si>
    <t>H99_</t>
  </si>
  <si>
    <t>S_</t>
  </si>
  <si>
    <t>3_</t>
  </si>
  <si>
    <t>6_</t>
  </si>
  <si>
    <t>71_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</si>
  <si>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</si>
  <si>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</si>
  <si>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</si>
  <si>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</si>
  <si>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</si>
  <si>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</si>
  <si>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</si>
  <si>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</si>
  <si>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</si>
  <si>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</si>
  <si>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</si>
  <si>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</si>
  <si>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</si>
  <si>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</si>
  <si>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</si>
  <si>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</si>
  <si>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</si>
  <si>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</si>
  <si>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</si>
  <si>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</si>
  <si>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</si>
  <si>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</si>
  <si>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</si>
  <si>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</si>
  <si>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</si>
  <si>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</si>
  <si>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</si>
  <si>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</si>
  <si>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</si>
  <si>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</si>
  <si>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</si>
  <si>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</si>
  <si>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</si>
  <si>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</si>
  <si>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</si>
  <si>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</si>
  <si>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</si>
  <si>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</si>
  <si>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</si>
  <si>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</si>
  <si>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</si>
  <si>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</si>
  <si>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</si>
  <si>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</si>
  <si>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</si>
  <si>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</si>
  <si>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</si>
  <si>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</si>
  <si>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</si>
  <si>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</si>
  <si>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</si>
  <si>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</si>
  <si>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</si>
  <si>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</si>
  <si>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</si>
  <si>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</si>
  <si>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</si>
  <si>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</si>
  <si>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</si>
  <si>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</si>
  <si>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</si>
  <si>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</si>
  <si>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</si>
  <si>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</si>
  <si>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</si>
  <si>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</si>
  <si>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</si>
  <si>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</si>
  <si>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 - Rekapitulace</t>
  </si>
  <si>
    <t>Sněhový zachytávač tyčový, systémový ke střešní krytině, délka 2000 mm</t>
  </si>
  <si>
    <t>RTS I / 2023</t>
  </si>
  <si>
    <t>POKYNY PRO VYPLNĚNÍ</t>
  </si>
  <si>
    <t>Ve všech listech tohoto souboru můžete měnit pouze tyto buňky : 
- údaje o firmě
- jednotkové ceny položek zadané na maximálně dvě desetinná místa</t>
  </si>
  <si>
    <t>POKYNY PRO PRÁCI SE SOUPISEM PRACÍ:</t>
  </si>
  <si>
    <t xml:space="preserve">1) Součástí  ceny  jednotlivých  stavebních  prací je i spotřeba  energií v průběhu výstavby včetně zajištění </t>
  </si>
  <si>
    <t>povolení jejich odběru.</t>
  </si>
  <si>
    <t>2) Součástí  uložení  výkopku a  skládku  je  i  Protokol  o  vyluhovatelnosti odpadů a třídy vychovatelnosti</t>
  </si>
  <si>
    <t>podle   přílohy 2   vyhlášky   č.294/2005 Sb.   Náklad  na  tento  protokol  musí  uchazeč  započítat  do</t>
  </si>
  <si>
    <t>položky skládkovného.</t>
  </si>
  <si>
    <t xml:space="preserve">3) Součástí   dodávky  jednotlivých  prvků  stavby  (např. prvky  PSV)  je  i  výrobní  dokumentace  těchto </t>
  </si>
  <si>
    <t xml:space="preserve">jednotlivých prvků. </t>
  </si>
  <si>
    <t>4) Nedílnou přílohou soupisu prací je mimo jiné projektová dokumentace stavby.</t>
  </si>
  <si>
    <t>5) U položek,kde není samostatnými položkami  uvedena zvlášť montáž a zvlášť dodávka,  je  dodávka a</t>
  </si>
  <si>
    <t>montáž součástí jedné položky a takto musí být uchazečem o veřejnou zakázku oceněna.</t>
  </si>
  <si>
    <t>6) V případě, že uchazeč  činící nabídku nebude schopen určit rozsah či věcnou náplň některé z položek</t>
  </si>
  <si>
    <t xml:space="preserve">z  výkazu  výměr, je  povinen  v  rámci  zadávacího  řízení učinit dotaz za účelem zjištění náplně položky, </t>
  </si>
  <si>
    <t>jestliže tak neučiní, bere se, že je mu obsah všech položek znám a v průběhu stavby nebude brán zřetel</t>
  </si>
  <si>
    <t xml:space="preserve">na   případná   nedorozumění  a  požadavky  na  vícepráce  vzniklé   nepochopením  rozsahu  a   obsahu </t>
  </si>
  <si>
    <t>jednotlivých položek.</t>
  </si>
  <si>
    <t xml:space="preserve">7) Je-li  uvedeno  v názvu  položky D+M, jedná se o dodávku včetně montáže, součástí takové položky je </t>
  </si>
  <si>
    <t>kromě hlavního materiálu i pomocný materiál nutný k montáži (lepidla, hmoždinky, šrouby, apod.)</t>
  </si>
  <si>
    <t xml:space="preserve">8) U veškerých položek (pokud není u položky uvedeno jinak) je množství uvedeno bez prořezu, prořez je </t>
  </si>
  <si>
    <t>nutné započítat  do  cen položek dle zvyklostí dodavatele, požadavky na vícepráce z titulu vzniku prořezu</t>
  </si>
  <si>
    <t>nebudou v rámci stavby uznány jako oprávněné.</t>
  </si>
  <si>
    <t>9) Položky   převzaté  z  cenové  soustavy  RTS.  Rozsah  těchto  položek  může  být  textem  a  těmito</t>
  </si>
  <si>
    <t>podmínkami  rozšířen  nad  rámec  specifikace  cenové  soustavy  RTS (v  takovém  případě  platí rozsah</t>
  </si>
  <si>
    <t>položky  dle  uvedené  cenové  soustavy  a  navíc  ještě  se  tento rozsah rozšiřuje o požadavky uvedené</t>
  </si>
  <si>
    <t>v těchto podmínkách nebo v popisu položky).</t>
  </si>
  <si>
    <t>10) Tyto pokyny platí pro všechny jednotlivé soupisy prací.</t>
  </si>
  <si>
    <t>11) U žádné z položek soupisu prací nesmí být jako nabídková cena uvedeno 0,-Kč.</t>
  </si>
  <si>
    <t>12) Jednotlivé  dílčí  soupisy  obsahují  pro  snažší  výpočet a ulehčení práce potencionálního dodavatele</t>
  </si>
  <si>
    <t>činícího  nabídku  vzorce  pro  výpočet  celkových  cen  za položku a celé oddíly, tyto vzorce a vzájemné</t>
  </si>
  <si>
    <t>provázání  celých  souborů  musí však potencionální dodavatel zkontrolovat a případně provést opravu jím</t>
  </si>
  <si>
    <t>zjištěných nesprávných vzorců a jednotlivých návazností. Pokud tak dodavatel neučiní, či učiní nesprávně</t>
  </si>
  <si>
    <t>a bude tento fakt mít vliv na neúplnost či nesprávnost nabídky, může zadavatel  tuto  nabídku bez dalšího</t>
  </si>
  <si>
    <t>hodnocení vyřadit z hodnocení.</t>
  </si>
  <si>
    <t>13) Součástí dodávky stavby jsou veškeré náklady zhotovitele, související s prováděním zkoušek a revizí</t>
  </si>
  <si>
    <t>předepsaných technickými normami nebo objednatelem a které jsou pro provedení díla nezbytné :</t>
  </si>
  <si>
    <t>14) Revize:</t>
  </si>
  <si>
    <t xml:space="preserve">Do této položky patří náklady spojené s provedením všech technickými normami předepsaných zkoušek </t>
  </si>
  <si>
    <t>a revizí stavebních konstrukcí, inženýrských sítí nebo stavebních prací.</t>
  </si>
  <si>
    <t>Rozpočet byl zpracován na základě projektové dokumentace ve stupni DPS.
Případné uvedené materiály jsou pouze informativní a referenční pro určení technických vlastností a charakteristik, pro stanovení kvalitativní úrovně stavby.</t>
  </si>
  <si>
    <t>Stavební úpravy</t>
  </si>
  <si>
    <t>4*2*2,15+2*1,5+5*3*1,5+2*1,25+0,6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</si>
</sst>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6" fillId="0" borderId="0" xfId="46" applyFont="1">
      <alignment/>
      <protection/>
    </xf>
    <xf numFmtId="0" fontId="0" fillId="0" borderId="0" xfId="46">
      <alignment/>
      <protection/>
    </xf>
    <xf numFmtId="0" fontId="1" fillId="0" borderId="0" xfId="46" applyFont="1" applyAlignment="1">
      <alignment vertical="center"/>
      <protection/>
    </xf>
    <xf numFmtId="0" fontId="18" fillId="0" borderId="0" xfId="46" applyFont="1">
      <alignment/>
      <protection/>
    </xf>
    <xf numFmtId="0" fontId="17" fillId="0" borderId="0" xfId="46" applyFont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47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3" fillId="34" borderId="52" xfId="0" applyNumberFormat="1" applyFont="1" applyFill="1" applyBorder="1" applyAlignment="1" applyProtection="1">
      <alignment horizontal="left" vertical="center"/>
      <protection/>
    </xf>
    <xf numFmtId="0" fontId="13" fillId="34" borderId="53" xfId="0" applyNumberFormat="1" applyFont="1" applyFill="1" applyBorder="1" applyAlignment="1" applyProtection="1">
      <alignment horizontal="left" vertical="center"/>
      <protection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52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52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  <xf numFmtId="49" fontId="13" fillId="0" borderId="57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58" xfId="0" applyNumberFormat="1" applyFont="1" applyFill="1" applyBorder="1" applyAlignment="1" applyProtection="1">
      <alignment horizontal="left" vertical="center"/>
      <protection/>
    </xf>
    <xf numFmtId="4" fontId="13" fillId="0" borderId="57" xfId="0" applyNumberFormat="1" applyFont="1" applyFill="1" applyBorder="1" applyAlignment="1" applyProtection="1">
      <alignment horizontal="right" vertical="center"/>
      <protection/>
    </xf>
    <xf numFmtId="0" fontId="13" fillId="0" borderId="39" xfId="0" applyNumberFormat="1" applyFont="1" applyFill="1" applyBorder="1" applyAlignment="1" applyProtection="1">
      <alignment horizontal="right" vertical="center"/>
      <protection/>
    </xf>
    <xf numFmtId="0" fontId="13" fillId="0" borderId="58" xfId="0" applyNumberFormat="1" applyFont="1" applyFill="1" applyBorder="1" applyAlignment="1" applyProtection="1">
      <alignment horizontal="righ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7" fillId="35" borderId="0" xfId="46" applyFont="1" applyFill="1" applyBorder="1" applyAlignment="1">
      <alignment horizontal="left" wrapText="1"/>
      <protection/>
    </xf>
    <xf numFmtId="4" fontId="5" fillId="5" borderId="0" xfId="0" applyNumberFormat="1" applyFont="1" applyFill="1" applyBorder="1" applyAlignment="1" applyProtection="1">
      <alignment horizontal="right" vertical="center"/>
      <protection/>
    </xf>
    <xf numFmtId="4" fontId="6" fillId="5" borderId="0" xfId="0" applyNumberFormat="1" applyFont="1" applyFill="1" applyBorder="1" applyAlignment="1" applyProtection="1">
      <alignment horizontal="right" vertical="center"/>
      <protection/>
    </xf>
    <xf numFmtId="4" fontId="0" fillId="5" borderId="0" xfId="0" applyNumberFormat="1" applyFont="1" applyFill="1" applyBorder="1" applyAlignment="1" applyProtection="1">
      <alignment horizontal="right" vertical="center"/>
      <protection/>
    </xf>
    <xf numFmtId="4" fontId="5" fillId="5" borderId="0" xfId="0" applyNumberFormat="1" applyFont="1" applyFill="1" applyBorder="1" applyAlignment="1" applyProtection="1">
      <alignment horizontal="righ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cuments\Rozpo&#269;ty\K&#345;ivsk&#253;\Modernizace%20TELES\MODERNIZACE%20TELES_SO.03_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Stavební rozpočet"/>
      <sheetName val="VORN"/>
      <sheetName val="Pokyny"/>
    </sheetNames>
    <sheetDataSet>
      <sheetData sheetId="2">
        <row r="37">
          <cell r="I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25" sqref="I2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5.57421875" style="0" customWidth="1"/>
    <col min="5" max="5" width="20.281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ht="12.75">
      <c r="A2" s="131" t="s">
        <v>1</v>
      </c>
      <c r="B2" s="132"/>
      <c r="C2" s="132"/>
      <c r="D2" s="133" t="s">
        <v>245</v>
      </c>
      <c r="E2" s="104"/>
      <c r="F2" s="135" t="s">
        <v>448</v>
      </c>
      <c r="G2" s="132"/>
      <c r="H2" s="135" t="s">
        <v>6</v>
      </c>
      <c r="I2" s="136" t="s">
        <v>464</v>
      </c>
      <c r="J2" s="136" t="s">
        <v>471</v>
      </c>
      <c r="K2" s="132"/>
      <c r="L2" s="132"/>
      <c r="M2" s="132"/>
      <c r="N2" s="137"/>
      <c r="O2" s="5"/>
    </row>
    <row r="3" spans="1:15" ht="12.75">
      <c r="A3" s="128"/>
      <c r="B3" s="121"/>
      <c r="C3" s="121"/>
      <c r="D3" s="134"/>
      <c r="E3" s="134"/>
      <c r="F3" s="121"/>
      <c r="G3" s="121"/>
      <c r="H3" s="121"/>
      <c r="I3" s="121"/>
      <c r="J3" s="121"/>
      <c r="K3" s="121"/>
      <c r="L3" s="121"/>
      <c r="M3" s="121"/>
      <c r="N3" s="126"/>
      <c r="O3" s="5"/>
    </row>
    <row r="4" spans="1:15" ht="12.75">
      <c r="A4" s="120" t="s">
        <v>2</v>
      </c>
      <c r="B4" s="121"/>
      <c r="C4" s="121"/>
      <c r="D4" s="124" t="s">
        <v>622</v>
      </c>
      <c r="E4" s="121"/>
      <c r="F4" s="125" t="s">
        <v>449</v>
      </c>
      <c r="G4" s="121"/>
      <c r="H4" s="125" t="s">
        <v>6</v>
      </c>
      <c r="I4" s="124" t="s">
        <v>465</v>
      </c>
      <c r="J4" s="125" t="s">
        <v>472</v>
      </c>
      <c r="K4" s="121"/>
      <c r="L4" s="121"/>
      <c r="M4" s="121"/>
      <c r="N4" s="126"/>
      <c r="O4" s="5"/>
    </row>
    <row r="5" spans="1:15" ht="12.75">
      <c r="A5" s="12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6"/>
      <c r="O5" s="5"/>
    </row>
    <row r="6" spans="1:15" ht="12.75">
      <c r="A6" s="120" t="s">
        <v>3</v>
      </c>
      <c r="B6" s="121"/>
      <c r="C6" s="121"/>
      <c r="D6" s="124" t="s">
        <v>246</v>
      </c>
      <c r="E6" s="121"/>
      <c r="F6" s="125" t="s">
        <v>450</v>
      </c>
      <c r="G6" s="121"/>
      <c r="H6" s="125" t="s">
        <v>6</v>
      </c>
      <c r="I6" s="124" t="s">
        <v>466</v>
      </c>
      <c r="J6" s="125" t="s">
        <v>472</v>
      </c>
      <c r="K6" s="121"/>
      <c r="L6" s="121"/>
      <c r="M6" s="121"/>
      <c r="N6" s="126"/>
      <c r="O6" s="5"/>
    </row>
    <row r="7" spans="1:15" ht="12.75">
      <c r="A7" s="128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6"/>
      <c r="O7" s="5"/>
    </row>
    <row r="8" spans="1:15" ht="12.75">
      <c r="A8" s="120" t="s">
        <v>4</v>
      </c>
      <c r="B8" s="121"/>
      <c r="C8" s="121"/>
      <c r="D8" s="124">
        <v>8013</v>
      </c>
      <c r="E8" s="121"/>
      <c r="F8" s="125" t="s">
        <v>451</v>
      </c>
      <c r="G8" s="121"/>
      <c r="H8" s="125" t="s">
        <v>461</v>
      </c>
      <c r="I8" s="124" t="s">
        <v>467</v>
      </c>
      <c r="J8" s="125" t="s">
        <v>472</v>
      </c>
      <c r="K8" s="121"/>
      <c r="L8" s="121"/>
      <c r="M8" s="121"/>
      <c r="N8" s="126"/>
      <c r="O8" s="5"/>
    </row>
    <row r="9" spans="1:15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7"/>
      <c r="O9" s="5"/>
    </row>
    <row r="10" spans="1:64" ht="12.75">
      <c r="A10" s="1" t="s">
        <v>5</v>
      </c>
      <c r="B10" s="11" t="s">
        <v>120</v>
      </c>
      <c r="C10" s="11" t="s">
        <v>121</v>
      </c>
      <c r="D10" s="111" t="s">
        <v>247</v>
      </c>
      <c r="E10" s="112"/>
      <c r="F10" s="11" t="s">
        <v>452</v>
      </c>
      <c r="G10" s="25" t="s">
        <v>460</v>
      </c>
      <c r="H10" s="30" t="s">
        <v>462</v>
      </c>
      <c r="I10" s="113" t="s">
        <v>468</v>
      </c>
      <c r="J10" s="114"/>
      <c r="K10" s="115"/>
      <c r="L10" s="113" t="s">
        <v>475</v>
      </c>
      <c r="M10" s="115"/>
      <c r="N10" s="37" t="s">
        <v>477</v>
      </c>
      <c r="O10" s="45"/>
      <c r="BK10" s="36" t="s">
        <v>517</v>
      </c>
      <c r="BL10" s="50" t="s">
        <v>520</v>
      </c>
    </row>
    <row r="11" spans="1:62" ht="12.75">
      <c r="A11" s="2" t="s">
        <v>6</v>
      </c>
      <c r="B11" s="12" t="s">
        <v>6</v>
      </c>
      <c r="C11" s="12" t="s">
        <v>6</v>
      </c>
      <c r="D11" s="116" t="s">
        <v>248</v>
      </c>
      <c r="E11" s="117"/>
      <c r="F11" s="12" t="s">
        <v>6</v>
      </c>
      <c r="G11" s="12" t="s">
        <v>6</v>
      </c>
      <c r="H11" s="31" t="s">
        <v>463</v>
      </c>
      <c r="I11" s="32" t="s">
        <v>469</v>
      </c>
      <c r="J11" s="33" t="s">
        <v>473</v>
      </c>
      <c r="K11" s="34" t="s">
        <v>474</v>
      </c>
      <c r="L11" s="32" t="s">
        <v>476</v>
      </c>
      <c r="M11" s="34" t="s">
        <v>474</v>
      </c>
      <c r="N11" s="38" t="s">
        <v>478</v>
      </c>
      <c r="O11" s="45"/>
      <c r="Z11" s="36" t="s">
        <v>479</v>
      </c>
      <c r="AA11" s="36" t="s">
        <v>480</v>
      </c>
      <c r="AB11" s="36" t="s">
        <v>481</v>
      </c>
      <c r="AC11" s="36" t="s">
        <v>482</v>
      </c>
      <c r="AD11" s="36" t="s">
        <v>483</v>
      </c>
      <c r="AE11" s="36" t="s">
        <v>484</v>
      </c>
      <c r="AF11" s="36" t="s">
        <v>485</v>
      </c>
      <c r="AG11" s="36" t="s">
        <v>486</v>
      </c>
      <c r="AH11" s="36" t="s">
        <v>487</v>
      </c>
      <c r="BH11" s="36" t="s">
        <v>514</v>
      </c>
      <c r="BI11" s="36" t="s">
        <v>515</v>
      </c>
      <c r="BJ11" s="36" t="s">
        <v>516</v>
      </c>
    </row>
    <row r="12" spans="1:47" ht="12.75">
      <c r="A12" s="3"/>
      <c r="B12" s="13"/>
      <c r="C12" s="13" t="s">
        <v>37</v>
      </c>
      <c r="D12" s="118" t="s">
        <v>249</v>
      </c>
      <c r="E12" s="119"/>
      <c r="F12" s="23" t="s">
        <v>6</v>
      </c>
      <c r="G12" s="23" t="s">
        <v>6</v>
      </c>
      <c r="H12" s="23" t="s">
        <v>6</v>
      </c>
      <c r="I12" s="51">
        <f>SUM(I13:I18)</f>
        <v>0</v>
      </c>
      <c r="J12" s="51">
        <f>SUM(J13:J18)</f>
        <v>0</v>
      </c>
      <c r="K12" s="51">
        <f>SUM(K13:K18)</f>
        <v>0</v>
      </c>
      <c r="L12" s="35"/>
      <c r="M12" s="51">
        <f>SUM(M13:M18)</f>
        <v>2.263867</v>
      </c>
      <c r="N12" s="39"/>
      <c r="O12" s="5"/>
      <c r="AI12" s="36"/>
      <c r="AS12" s="52">
        <f>SUM(AJ13:AJ18)</f>
        <v>0</v>
      </c>
      <c r="AT12" s="52">
        <f>SUM(AK13:AK18)</f>
        <v>0</v>
      </c>
      <c r="AU12" s="52">
        <f>SUM(AL13:AL18)</f>
        <v>0</v>
      </c>
    </row>
    <row r="13" spans="1:64" ht="12.75">
      <c r="A13" s="4" t="s">
        <v>7</v>
      </c>
      <c r="B13" s="14"/>
      <c r="C13" s="14" t="s">
        <v>122</v>
      </c>
      <c r="D13" s="101" t="s">
        <v>250</v>
      </c>
      <c r="E13" s="102"/>
      <c r="F13" s="14" t="s">
        <v>453</v>
      </c>
      <c r="G13" s="26">
        <v>3.9</v>
      </c>
      <c r="H13" s="193"/>
      <c r="I13" s="26">
        <f>G13*AO13</f>
        <v>0</v>
      </c>
      <c r="J13" s="26">
        <f>G13*AP13</f>
        <v>0</v>
      </c>
      <c r="K13" s="26">
        <f>G13*H13</f>
        <v>0</v>
      </c>
      <c r="L13" s="26">
        <v>0.55243</v>
      </c>
      <c r="M13" s="26">
        <f>G13*L13</f>
        <v>2.154477</v>
      </c>
      <c r="N13" s="95" t="s">
        <v>580</v>
      </c>
      <c r="O13" s="5"/>
      <c r="Z13" s="46">
        <f>IF(AQ13="5",BJ13,0)</f>
        <v>0</v>
      </c>
      <c r="AB13" s="46">
        <f>IF(AQ13="1",BH13,0)</f>
        <v>0</v>
      </c>
      <c r="AC13" s="46">
        <f>IF(AQ13="1",BI13,0)</f>
        <v>0</v>
      </c>
      <c r="AD13" s="46">
        <f>IF(AQ13="7",BH13,0)</f>
        <v>0</v>
      </c>
      <c r="AE13" s="46">
        <f>IF(AQ13="7",BI13,0)</f>
        <v>0</v>
      </c>
      <c r="AF13" s="46">
        <f>IF(AQ13="2",BH13,0)</f>
        <v>0</v>
      </c>
      <c r="AG13" s="46">
        <f>IF(AQ13="2",BI13,0)</f>
        <v>0</v>
      </c>
      <c r="AH13" s="46">
        <f>IF(AQ13="0",BJ13,0)</f>
        <v>0</v>
      </c>
      <c r="AI13" s="36"/>
      <c r="AJ13" s="26">
        <f>IF(AN13=0,K13,0)</f>
        <v>0</v>
      </c>
      <c r="AK13" s="26">
        <f>IF(AN13=15,K13,0)</f>
        <v>0</v>
      </c>
      <c r="AL13" s="26">
        <f>IF(AN13=21,K13,0)</f>
        <v>0</v>
      </c>
      <c r="AN13" s="46">
        <v>21</v>
      </c>
      <c r="AO13" s="46">
        <f>H13*0.382274510180699</f>
        <v>0</v>
      </c>
      <c r="AP13" s="46">
        <f>H13*(1-0.382274510180699)</f>
        <v>0</v>
      </c>
      <c r="AQ13" s="47" t="s">
        <v>7</v>
      </c>
      <c r="AV13" s="46">
        <f>AW13+AX13</f>
        <v>0</v>
      </c>
      <c r="AW13" s="46">
        <f>G13*AO13</f>
        <v>0</v>
      </c>
      <c r="AX13" s="46">
        <f>G13*AP13</f>
        <v>0</v>
      </c>
      <c r="AY13" s="49" t="s">
        <v>488</v>
      </c>
      <c r="AZ13" s="49" t="s">
        <v>507</v>
      </c>
      <c r="BA13" s="36" t="s">
        <v>513</v>
      </c>
      <c r="BC13" s="46">
        <f>AW13+AX13</f>
        <v>0</v>
      </c>
      <c r="BD13" s="46">
        <f>H13/(100-BE13)*100</f>
        <v>0</v>
      </c>
      <c r="BE13" s="46">
        <v>0</v>
      </c>
      <c r="BF13" s="46">
        <f>M13</f>
        <v>2.154477</v>
      </c>
      <c r="BH13" s="26">
        <f>G13*AO13</f>
        <v>0</v>
      </c>
      <c r="BI13" s="26">
        <f>G13*AP13</f>
        <v>0</v>
      </c>
      <c r="BJ13" s="26">
        <f>G13*H13</f>
        <v>0</v>
      </c>
      <c r="BK13" s="26" t="s">
        <v>518</v>
      </c>
      <c r="BL13" s="46">
        <v>31</v>
      </c>
    </row>
    <row r="14" spans="1:15" ht="12.75">
      <c r="A14" s="5"/>
      <c r="D14" s="18" t="s">
        <v>251</v>
      </c>
      <c r="E14" s="20"/>
      <c r="G14" s="27">
        <v>2.3</v>
      </c>
      <c r="N14" s="41"/>
      <c r="O14" s="5"/>
    </row>
    <row r="15" spans="1:15" ht="12.75">
      <c r="A15" s="5"/>
      <c r="D15" s="18" t="s">
        <v>252</v>
      </c>
      <c r="E15" s="20"/>
      <c r="G15" s="27">
        <v>1.6</v>
      </c>
      <c r="N15" s="41"/>
      <c r="O15" s="5"/>
    </row>
    <row r="16" spans="1:64" ht="12.75">
      <c r="A16" s="4" t="s">
        <v>8</v>
      </c>
      <c r="B16" s="14"/>
      <c r="C16" s="14" t="s">
        <v>123</v>
      </c>
      <c r="D16" s="101" t="s">
        <v>253</v>
      </c>
      <c r="E16" s="102"/>
      <c r="F16" s="14" t="s">
        <v>454</v>
      </c>
      <c r="G16" s="26">
        <v>3</v>
      </c>
      <c r="H16" s="193"/>
      <c r="I16" s="26">
        <f>G16*AO16</f>
        <v>0</v>
      </c>
      <c r="J16" s="26">
        <f>G16*AP16</f>
        <v>0</v>
      </c>
      <c r="K16" s="26">
        <f>G16*H16</f>
        <v>0</v>
      </c>
      <c r="L16" s="26">
        <v>0.03637</v>
      </c>
      <c r="M16" s="26">
        <f>G16*L16</f>
        <v>0.10911</v>
      </c>
      <c r="N16" s="95" t="s">
        <v>580</v>
      </c>
      <c r="O16" s="5"/>
      <c r="Z16" s="46">
        <f>IF(AQ16="5",BJ16,0)</f>
        <v>0</v>
      </c>
      <c r="AB16" s="46">
        <f>IF(AQ16="1",BH16,0)</f>
        <v>0</v>
      </c>
      <c r="AC16" s="46">
        <f>IF(AQ16="1",BI16,0)</f>
        <v>0</v>
      </c>
      <c r="AD16" s="46">
        <f>IF(AQ16="7",BH16,0)</f>
        <v>0</v>
      </c>
      <c r="AE16" s="46">
        <f>IF(AQ16="7",BI16,0)</f>
        <v>0</v>
      </c>
      <c r="AF16" s="46">
        <f>IF(AQ16="2",BH16,0)</f>
        <v>0</v>
      </c>
      <c r="AG16" s="46">
        <f>IF(AQ16="2",BI16,0)</f>
        <v>0</v>
      </c>
      <c r="AH16" s="46">
        <f>IF(AQ16="0",BJ16,0)</f>
        <v>0</v>
      </c>
      <c r="AI16" s="36"/>
      <c r="AJ16" s="26">
        <f>IF(AN16=0,K16,0)</f>
        <v>0</v>
      </c>
      <c r="AK16" s="26">
        <f>IF(AN16=15,K16,0)</f>
        <v>0</v>
      </c>
      <c r="AL16" s="26">
        <f>IF(AN16=21,K16,0)</f>
        <v>0</v>
      </c>
      <c r="AN16" s="46">
        <v>21</v>
      </c>
      <c r="AO16" s="46">
        <f>H16*0.65287074829932</f>
        <v>0</v>
      </c>
      <c r="AP16" s="46">
        <f>H16*(1-0.65287074829932)</f>
        <v>0</v>
      </c>
      <c r="AQ16" s="47" t="s">
        <v>7</v>
      </c>
      <c r="AV16" s="46">
        <f>AW16+AX16</f>
        <v>0</v>
      </c>
      <c r="AW16" s="46">
        <f>G16*AO16</f>
        <v>0</v>
      </c>
      <c r="AX16" s="46">
        <f>G16*AP16</f>
        <v>0</v>
      </c>
      <c r="AY16" s="49" t="s">
        <v>488</v>
      </c>
      <c r="AZ16" s="49" t="s">
        <v>507</v>
      </c>
      <c r="BA16" s="36" t="s">
        <v>513</v>
      </c>
      <c r="BC16" s="46">
        <f>AW16+AX16</f>
        <v>0</v>
      </c>
      <c r="BD16" s="46">
        <f>H16/(100-BE16)*100</f>
        <v>0</v>
      </c>
      <c r="BE16" s="46">
        <v>0</v>
      </c>
      <c r="BF16" s="46">
        <f>M16</f>
        <v>0.10911</v>
      </c>
      <c r="BH16" s="26">
        <f>G16*AO16</f>
        <v>0</v>
      </c>
      <c r="BI16" s="26">
        <f>G16*AP16</f>
        <v>0</v>
      </c>
      <c r="BJ16" s="26">
        <f>G16*H16</f>
        <v>0</v>
      </c>
      <c r="BK16" s="26" t="s">
        <v>518</v>
      </c>
      <c r="BL16" s="46">
        <v>31</v>
      </c>
    </row>
    <row r="17" spans="1:15" ht="12.75">
      <c r="A17" s="5"/>
      <c r="D17" s="18" t="s">
        <v>9</v>
      </c>
      <c r="E17" s="20"/>
      <c r="G17" s="27">
        <v>3</v>
      </c>
      <c r="N17" s="41"/>
      <c r="O17" s="5"/>
    </row>
    <row r="18" spans="1:64" ht="12.75">
      <c r="A18" s="4" t="s">
        <v>9</v>
      </c>
      <c r="B18" s="14"/>
      <c r="C18" s="14" t="s">
        <v>124</v>
      </c>
      <c r="D18" s="101" t="s">
        <v>254</v>
      </c>
      <c r="E18" s="102"/>
      <c r="F18" s="14" t="s">
        <v>455</v>
      </c>
      <c r="G18" s="26">
        <v>1</v>
      </c>
      <c r="H18" s="193"/>
      <c r="I18" s="26">
        <f>G18*AO18</f>
        <v>0</v>
      </c>
      <c r="J18" s="26">
        <f>G18*AP18</f>
        <v>0</v>
      </c>
      <c r="K18" s="26">
        <f>G18*H18</f>
        <v>0</v>
      </c>
      <c r="L18" s="26">
        <v>0.00028</v>
      </c>
      <c r="M18" s="26">
        <f>G18*L18</f>
        <v>0.00028</v>
      </c>
      <c r="N18" s="95" t="s">
        <v>580</v>
      </c>
      <c r="O18" s="5"/>
      <c r="Z18" s="46">
        <f>IF(AQ18="5",BJ18,0)</f>
        <v>0</v>
      </c>
      <c r="AB18" s="46">
        <f>IF(AQ18="1",BH18,0)</f>
        <v>0</v>
      </c>
      <c r="AC18" s="46">
        <f>IF(AQ18="1",BI18,0)</f>
        <v>0</v>
      </c>
      <c r="AD18" s="46">
        <f>IF(AQ18="7",BH18,0)</f>
        <v>0</v>
      </c>
      <c r="AE18" s="46">
        <f>IF(AQ18="7",BI18,0)</f>
        <v>0</v>
      </c>
      <c r="AF18" s="46">
        <f>IF(AQ18="2",BH18,0)</f>
        <v>0</v>
      </c>
      <c r="AG18" s="46">
        <f>IF(AQ18="2",BI18,0)</f>
        <v>0</v>
      </c>
      <c r="AH18" s="46">
        <f>IF(AQ18="0",BJ18,0)</f>
        <v>0</v>
      </c>
      <c r="AI18" s="36"/>
      <c r="AJ18" s="26">
        <f>IF(AN18=0,K18,0)</f>
        <v>0</v>
      </c>
      <c r="AK18" s="26">
        <f>IF(AN18=15,K18,0)</f>
        <v>0</v>
      </c>
      <c r="AL18" s="26">
        <f>IF(AN18=21,K18,0)</f>
        <v>0</v>
      </c>
      <c r="AN18" s="46">
        <v>21</v>
      </c>
      <c r="AO18" s="46">
        <f>H18*0.288989344526962</f>
        <v>0</v>
      </c>
      <c r="AP18" s="46">
        <f>H18*(1-0.288989344526962)</f>
        <v>0</v>
      </c>
      <c r="AQ18" s="47" t="s">
        <v>7</v>
      </c>
      <c r="AV18" s="46">
        <f>AW18+AX18</f>
        <v>0</v>
      </c>
      <c r="AW18" s="46">
        <f>G18*AO18</f>
        <v>0</v>
      </c>
      <c r="AX18" s="46">
        <f>G18*AP18</f>
        <v>0</v>
      </c>
      <c r="AY18" s="49" t="s">
        <v>488</v>
      </c>
      <c r="AZ18" s="49" t="s">
        <v>507</v>
      </c>
      <c r="BA18" s="36" t="s">
        <v>513</v>
      </c>
      <c r="BC18" s="46">
        <f>AW18+AX18</f>
        <v>0</v>
      </c>
      <c r="BD18" s="46">
        <f>H18/(100-BE18)*100</f>
        <v>0</v>
      </c>
      <c r="BE18" s="46">
        <v>0</v>
      </c>
      <c r="BF18" s="46">
        <f>M18</f>
        <v>0.00028</v>
      </c>
      <c r="BH18" s="26">
        <f>G18*AO18</f>
        <v>0</v>
      </c>
      <c r="BI18" s="26">
        <f>G18*AP18</f>
        <v>0</v>
      </c>
      <c r="BJ18" s="26">
        <f>G18*H18</f>
        <v>0</v>
      </c>
      <c r="BK18" s="26" t="s">
        <v>518</v>
      </c>
      <c r="BL18" s="46">
        <v>31</v>
      </c>
    </row>
    <row r="19" spans="1:15" ht="12.75">
      <c r="A19" s="5"/>
      <c r="D19" s="18" t="s">
        <v>7</v>
      </c>
      <c r="E19" s="20"/>
      <c r="G19" s="27">
        <v>1</v>
      </c>
      <c r="N19" s="41"/>
      <c r="O19" s="5"/>
    </row>
    <row r="20" spans="1:47" ht="12.75">
      <c r="A20" s="6"/>
      <c r="B20" s="15"/>
      <c r="C20" s="15" t="s">
        <v>67</v>
      </c>
      <c r="D20" s="106" t="s">
        <v>255</v>
      </c>
      <c r="E20" s="107"/>
      <c r="F20" s="24" t="s">
        <v>6</v>
      </c>
      <c r="G20" s="24" t="s">
        <v>6</v>
      </c>
      <c r="H20" s="24" t="s">
        <v>6</v>
      </c>
      <c r="I20" s="52">
        <f>SUM(I21:I23)</f>
        <v>0</v>
      </c>
      <c r="J20" s="52">
        <f>SUM(J21:J23)</f>
        <v>0</v>
      </c>
      <c r="K20" s="52">
        <f>SUM(K21:K23)</f>
        <v>0</v>
      </c>
      <c r="L20" s="36"/>
      <c r="M20" s="52">
        <f>SUM(M21:M23)</f>
        <v>0.29487800000000003</v>
      </c>
      <c r="N20" s="42"/>
      <c r="O20" s="5"/>
      <c r="AI20" s="36"/>
      <c r="AS20" s="52">
        <f>SUM(AJ21:AJ23)</f>
        <v>0</v>
      </c>
      <c r="AT20" s="52">
        <f>SUM(AK21:AK23)</f>
        <v>0</v>
      </c>
      <c r="AU20" s="52">
        <f>SUM(AL21:AL23)</f>
        <v>0</v>
      </c>
    </row>
    <row r="21" spans="1:64" ht="12.75">
      <c r="A21" s="4" t="s">
        <v>10</v>
      </c>
      <c r="B21" s="14"/>
      <c r="C21" s="14" t="s">
        <v>125</v>
      </c>
      <c r="D21" s="101" t="s">
        <v>256</v>
      </c>
      <c r="E21" s="102"/>
      <c r="F21" s="14" t="s">
        <v>455</v>
      </c>
      <c r="G21" s="26">
        <v>45.8</v>
      </c>
      <c r="H21" s="193"/>
      <c r="I21" s="26">
        <f>G21*AO21</f>
        <v>0</v>
      </c>
      <c r="J21" s="26">
        <f>G21*AP21</f>
        <v>0</v>
      </c>
      <c r="K21" s="26">
        <f>G21*H21</f>
        <v>0</v>
      </c>
      <c r="L21" s="26">
        <v>0.00238</v>
      </c>
      <c r="M21" s="26">
        <f>G21*L21</f>
        <v>0.109004</v>
      </c>
      <c r="N21" s="95" t="s">
        <v>580</v>
      </c>
      <c r="O21" s="5"/>
      <c r="Z21" s="46">
        <f>IF(AQ21="5",BJ21,0)</f>
        <v>0</v>
      </c>
      <c r="AB21" s="46">
        <f>IF(AQ21="1",BH21,0)</f>
        <v>0</v>
      </c>
      <c r="AC21" s="46">
        <f>IF(AQ21="1",BI21,0)</f>
        <v>0</v>
      </c>
      <c r="AD21" s="46">
        <f>IF(AQ21="7",BH21,0)</f>
        <v>0</v>
      </c>
      <c r="AE21" s="46">
        <f>IF(AQ21="7",BI21,0)</f>
        <v>0</v>
      </c>
      <c r="AF21" s="46">
        <f>IF(AQ21="2",BH21,0)</f>
        <v>0</v>
      </c>
      <c r="AG21" s="46">
        <f>IF(AQ21="2",BI21,0)</f>
        <v>0</v>
      </c>
      <c r="AH21" s="46">
        <f>IF(AQ21="0",BJ21,0)</f>
        <v>0</v>
      </c>
      <c r="AI21" s="36"/>
      <c r="AJ21" s="26">
        <f>IF(AN21=0,K21,0)</f>
        <v>0</v>
      </c>
      <c r="AK21" s="26">
        <f>IF(AN21=15,K21,0)</f>
        <v>0</v>
      </c>
      <c r="AL21" s="26">
        <f>IF(AN21=21,K21,0)</f>
        <v>0</v>
      </c>
      <c r="AN21" s="46">
        <v>21</v>
      </c>
      <c r="AO21" s="46">
        <f>H21*0</f>
        <v>0</v>
      </c>
      <c r="AP21" s="46">
        <f>H21*(1-0)</f>
        <v>0</v>
      </c>
      <c r="AQ21" s="47" t="s">
        <v>7</v>
      </c>
      <c r="AV21" s="46">
        <f>AW21+AX21</f>
        <v>0</v>
      </c>
      <c r="AW21" s="46">
        <f>G21*AO21</f>
        <v>0</v>
      </c>
      <c r="AX21" s="46">
        <f>G21*AP21</f>
        <v>0</v>
      </c>
      <c r="AY21" s="49" t="s">
        <v>489</v>
      </c>
      <c r="AZ21" s="49" t="s">
        <v>508</v>
      </c>
      <c r="BA21" s="36" t="s">
        <v>513</v>
      </c>
      <c r="BC21" s="46">
        <f>AW21+AX21</f>
        <v>0</v>
      </c>
      <c r="BD21" s="46">
        <f>H21/(100-BE21)*100</f>
        <v>0</v>
      </c>
      <c r="BE21" s="46">
        <v>0</v>
      </c>
      <c r="BF21" s="46">
        <f>M21</f>
        <v>0.109004</v>
      </c>
      <c r="BH21" s="26">
        <f>G21*AO21</f>
        <v>0</v>
      </c>
      <c r="BI21" s="26">
        <f>G21*AP21</f>
        <v>0</v>
      </c>
      <c r="BJ21" s="26">
        <f>G21*H21</f>
        <v>0</v>
      </c>
      <c r="BK21" s="26" t="s">
        <v>518</v>
      </c>
      <c r="BL21" s="46">
        <v>61</v>
      </c>
    </row>
    <row r="22" spans="1:15" ht="12.75">
      <c r="A22" s="5"/>
      <c r="D22" s="18" t="s">
        <v>623</v>
      </c>
      <c r="E22" s="20"/>
      <c r="G22" s="27">
        <v>45.8</v>
      </c>
      <c r="N22" s="41"/>
      <c r="O22" s="5"/>
    </row>
    <row r="23" spans="1:64" ht="12.75">
      <c r="A23" s="4" t="s">
        <v>11</v>
      </c>
      <c r="B23" s="14"/>
      <c r="C23" s="14" t="s">
        <v>126</v>
      </c>
      <c r="D23" s="101" t="s">
        <v>257</v>
      </c>
      <c r="E23" s="102"/>
      <c r="F23" s="14" t="s">
        <v>453</v>
      </c>
      <c r="G23" s="26">
        <v>3.9</v>
      </c>
      <c r="H23" s="193"/>
      <c r="I23" s="26">
        <f>G23*AO23</f>
        <v>0</v>
      </c>
      <c r="J23" s="26">
        <f>G23*AP23</f>
        <v>0</v>
      </c>
      <c r="K23" s="26">
        <f>G23*H23</f>
        <v>0</v>
      </c>
      <c r="L23" s="26">
        <v>0.04766</v>
      </c>
      <c r="M23" s="26">
        <f>G23*L23</f>
        <v>0.185874</v>
      </c>
      <c r="N23" s="95" t="s">
        <v>580</v>
      </c>
      <c r="O23" s="5"/>
      <c r="Z23" s="46">
        <f>IF(AQ23="5",BJ23,0)</f>
        <v>0</v>
      </c>
      <c r="AB23" s="46">
        <f>IF(AQ23="1",BH23,0)</f>
        <v>0</v>
      </c>
      <c r="AC23" s="46">
        <f>IF(AQ23="1",BI23,0)</f>
        <v>0</v>
      </c>
      <c r="AD23" s="46">
        <f>IF(AQ23="7",BH23,0)</f>
        <v>0</v>
      </c>
      <c r="AE23" s="46">
        <f>IF(AQ23="7",BI23,0)</f>
        <v>0</v>
      </c>
      <c r="AF23" s="46">
        <f>IF(AQ23="2",BH23,0)</f>
        <v>0</v>
      </c>
      <c r="AG23" s="46">
        <f>IF(AQ23="2",BI23,0)</f>
        <v>0</v>
      </c>
      <c r="AH23" s="46">
        <f>IF(AQ23="0",BJ23,0)</f>
        <v>0</v>
      </c>
      <c r="AI23" s="36"/>
      <c r="AJ23" s="26">
        <f>IF(AN23=0,K23,0)</f>
        <v>0</v>
      </c>
      <c r="AK23" s="26">
        <f>IF(AN23=15,K23,0)</f>
        <v>0</v>
      </c>
      <c r="AL23" s="26">
        <f>IF(AN23=21,K23,0)</f>
        <v>0</v>
      </c>
      <c r="AN23" s="46">
        <v>21</v>
      </c>
      <c r="AO23" s="46">
        <f>H23*0.103801104972376</f>
        <v>0</v>
      </c>
      <c r="AP23" s="46">
        <f>H23*(1-0.103801104972376)</f>
        <v>0</v>
      </c>
      <c r="AQ23" s="47" t="s">
        <v>7</v>
      </c>
      <c r="AV23" s="46">
        <f>AW23+AX23</f>
        <v>0</v>
      </c>
      <c r="AW23" s="46">
        <f>G23*AO23</f>
        <v>0</v>
      </c>
      <c r="AX23" s="46">
        <f>G23*AP23</f>
        <v>0</v>
      </c>
      <c r="AY23" s="49" t="s">
        <v>489</v>
      </c>
      <c r="AZ23" s="49" t="s">
        <v>508</v>
      </c>
      <c r="BA23" s="36" t="s">
        <v>513</v>
      </c>
      <c r="BC23" s="46">
        <f>AW23+AX23</f>
        <v>0</v>
      </c>
      <c r="BD23" s="46">
        <f>H23/(100-BE23)*100</f>
        <v>0</v>
      </c>
      <c r="BE23" s="46">
        <v>0</v>
      </c>
      <c r="BF23" s="46">
        <f>M23</f>
        <v>0.185874</v>
      </c>
      <c r="BH23" s="26">
        <f>G23*AO23</f>
        <v>0</v>
      </c>
      <c r="BI23" s="26">
        <f>G23*AP23</f>
        <v>0</v>
      </c>
      <c r="BJ23" s="26">
        <f>G23*H23</f>
        <v>0</v>
      </c>
      <c r="BK23" s="26" t="s">
        <v>518</v>
      </c>
      <c r="BL23" s="46">
        <v>61</v>
      </c>
    </row>
    <row r="24" spans="1:15" ht="12.75">
      <c r="A24" s="5"/>
      <c r="D24" s="18" t="s">
        <v>251</v>
      </c>
      <c r="E24" s="20"/>
      <c r="G24" s="27">
        <v>2.3</v>
      </c>
      <c r="N24" s="41"/>
      <c r="O24" s="5"/>
    </row>
    <row r="25" spans="1:15" ht="12.75">
      <c r="A25" s="5"/>
      <c r="D25" s="18" t="s">
        <v>252</v>
      </c>
      <c r="E25" s="20"/>
      <c r="G25" s="27">
        <v>1.6</v>
      </c>
      <c r="N25" s="41"/>
      <c r="O25" s="5"/>
    </row>
    <row r="26" spans="1:47" ht="12.75">
      <c r="A26" s="6"/>
      <c r="B26" s="15"/>
      <c r="C26" s="15" t="s">
        <v>68</v>
      </c>
      <c r="D26" s="106" t="s">
        <v>258</v>
      </c>
      <c r="E26" s="107"/>
      <c r="F26" s="24" t="s">
        <v>6</v>
      </c>
      <c r="G26" s="24" t="s">
        <v>6</v>
      </c>
      <c r="H26" s="24" t="s">
        <v>6</v>
      </c>
      <c r="I26" s="52">
        <f>SUM(I27:I43)</f>
        <v>0</v>
      </c>
      <c r="J26" s="52">
        <f>SUM(J27:J43)</f>
        <v>0</v>
      </c>
      <c r="K26" s="52">
        <f>SUM(K27:K43)</f>
        <v>0</v>
      </c>
      <c r="L26" s="36"/>
      <c r="M26" s="52">
        <f>SUM(M27:M43)</f>
        <v>3.8373556</v>
      </c>
      <c r="N26" s="42"/>
      <c r="O26" s="5"/>
      <c r="AI26" s="36"/>
      <c r="AS26" s="52">
        <f>SUM(AJ27:AJ43)</f>
        <v>0</v>
      </c>
      <c r="AT26" s="52">
        <f>SUM(AK27:AK43)</f>
        <v>0</v>
      </c>
      <c r="AU26" s="52">
        <f>SUM(AL27:AL43)</f>
        <v>0</v>
      </c>
    </row>
    <row r="27" spans="1:64" ht="12.75">
      <c r="A27" s="4" t="s">
        <v>12</v>
      </c>
      <c r="B27" s="14"/>
      <c r="C27" s="14" t="s">
        <v>127</v>
      </c>
      <c r="D27" s="101" t="s">
        <v>259</v>
      </c>
      <c r="E27" s="102"/>
      <c r="F27" s="14" t="s">
        <v>453</v>
      </c>
      <c r="G27" s="26">
        <v>24.75</v>
      </c>
      <c r="H27" s="193"/>
      <c r="I27" s="26">
        <f>G27*AO27</f>
        <v>0</v>
      </c>
      <c r="J27" s="26">
        <f>G27*AP27</f>
        <v>0</v>
      </c>
      <c r="K27" s="26">
        <f>G27*H27</f>
        <v>0</v>
      </c>
      <c r="L27" s="26">
        <v>4E-05</v>
      </c>
      <c r="M27" s="26">
        <f>G27*L27</f>
        <v>0.00099</v>
      </c>
      <c r="N27" s="95" t="s">
        <v>580</v>
      </c>
      <c r="O27" s="5"/>
      <c r="Z27" s="46">
        <f>IF(AQ27="5",BJ27,0)</f>
        <v>0</v>
      </c>
      <c r="AB27" s="46">
        <f>IF(AQ27="1",BH27,0)</f>
        <v>0</v>
      </c>
      <c r="AC27" s="46">
        <f>IF(AQ27="1",BI27,0)</f>
        <v>0</v>
      </c>
      <c r="AD27" s="46">
        <f>IF(AQ27="7",BH27,0)</f>
        <v>0</v>
      </c>
      <c r="AE27" s="46">
        <f>IF(AQ27="7",BI27,0)</f>
        <v>0</v>
      </c>
      <c r="AF27" s="46">
        <f>IF(AQ27="2",BH27,0)</f>
        <v>0</v>
      </c>
      <c r="AG27" s="46">
        <f>IF(AQ27="2",BI27,0)</f>
        <v>0</v>
      </c>
      <c r="AH27" s="46">
        <f>IF(AQ27="0",BJ27,0)</f>
        <v>0</v>
      </c>
      <c r="AI27" s="36"/>
      <c r="AJ27" s="26">
        <f>IF(AN27=0,K27,0)</f>
        <v>0</v>
      </c>
      <c r="AK27" s="26">
        <f>IF(AN27=15,K27,0)</f>
        <v>0</v>
      </c>
      <c r="AL27" s="26">
        <f>IF(AN27=21,K27,0)</f>
        <v>0</v>
      </c>
      <c r="AN27" s="46">
        <v>21</v>
      </c>
      <c r="AO27" s="46">
        <f>H27*0.297197176929498</f>
        <v>0</v>
      </c>
      <c r="AP27" s="46">
        <f>H27*(1-0.297197176929498)</f>
        <v>0</v>
      </c>
      <c r="AQ27" s="47" t="s">
        <v>7</v>
      </c>
      <c r="AV27" s="46">
        <f>AW27+AX27</f>
        <v>0</v>
      </c>
      <c r="AW27" s="46">
        <f>G27*AO27</f>
        <v>0</v>
      </c>
      <c r="AX27" s="46">
        <f>G27*AP27</f>
        <v>0</v>
      </c>
      <c r="AY27" s="49" t="s">
        <v>490</v>
      </c>
      <c r="AZ27" s="49" t="s">
        <v>508</v>
      </c>
      <c r="BA27" s="36" t="s">
        <v>513</v>
      </c>
      <c r="BC27" s="46">
        <f>AW27+AX27</f>
        <v>0</v>
      </c>
      <c r="BD27" s="46">
        <f>H27/(100-BE27)*100</f>
        <v>0</v>
      </c>
      <c r="BE27" s="46">
        <v>0</v>
      </c>
      <c r="BF27" s="46">
        <f>M27</f>
        <v>0.00099</v>
      </c>
      <c r="BH27" s="26">
        <f>G27*AO27</f>
        <v>0</v>
      </c>
      <c r="BI27" s="26">
        <f>G27*AP27</f>
        <v>0</v>
      </c>
      <c r="BJ27" s="26">
        <f>G27*H27</f>
        <v>0</v>
      </c>
      <c r="BK27" s="26" t="s">
        <v>518</v>
      </c>
      <c r="BL27" s="46">
        <v>62</v>
      </c>
    </row>
    <row r="28" spans="1:15" ht="12.75">
      <c r="A28" s="5"/>
      <c r="D28" s="18" t="s">
        <v>260</v>
      </c>
      <c r="E28" s="20"/>
      <c r="G28" s="27">
        <v>24.75</v>
      </c>
      <c r="N28" s="41"/>
      <c r="O28" s="5"/>
    </row>
    <row r="29" spans="1:64" ht="12.75">
      <c r="A29" s="4" t="s">
        <v>13</v>
      </c>
      <c r="B29" s="14"/>
      <c r="C29" s="14" t="s">
        <v>128</v>
      </c>
      <c r="D29" s="101" t="s">
        <v>261</v>
      </c>
      <c r="E29" s="102"/>
      <c r="F29" s="14" t="s">
        <v>453</v>
      </c>
      <c r="G29" s="26">
        <v>175.4</v>
      </c>
      <c r="H29" s="193"/>
      <c r="I29" s="26">
        <f>G29*AO29</f>
        <v>0</v>
      </c>
      <c r="J29" s="26">
        <f>G29*AP29</f>
        <v>0</v>
      </c>
      <c r="K29" s="26">
        <f>G29*H29</f>
        <v>0</v>
      </c>
      <c r="L29" s="26">
        <v>2E-05</v>
      </c>
      <c r="M29" s="26">
        <f>G29*L29</f>
        <v>0.0035080000000000003</v>
      </c>
      <c r="N29" s="95" t="s">
        <v>580</v>
      </c>
      <c r="O29" s="5"/>
      <c r="Z29" s="46">
        <f>IF(AQ29="5",BJ29,0)</f>
        <v>0</v>
      </c>
      <c r="AB29" s="46">
        <f>IF(AQ29="1",BH29,0)</f>
        <v>0</v>
      </c>
      <c r="AC29" s="46">
        <f>IF(AQ29="1",BI29,0)</f>
        <v>0</v>
      </c>
      <c r="AD29" s="46">
        <f>IF(AQ29="7",BH29,0)</f>
        <v>0</v>
      </c>
      <c r="AE29" s="46">
        <f>IF(AQ29="7",BI29,0)</f>
        <v>0</v>
      </c>
      <c r="AF29" s="46">
        <f>IF(AQ29="2",BH29,0)</f>
        <v>0</v>
      </c>
      <c r="AG29" s="46">
        <f>IF(AQ29="2",BI29,0)</f>
        <v>0</v>
      </c>
      <c r="AH29" s="46">
        <f>IF(AQ29="0",BJ29,0)</f>
        <v>0</v>
      </c>
      <c r="AI29" s="36"/>
      <c r="AJ29" s="26">
        <f>IF(AN29=0,K29,0)</f>
        <v>0</v>
      </c>
      <c r="AK29" s="26">
        <f>IF(AN29=15,K29,0)</f>
        <v>0</v>
      </c>
      <c r="AL29" s="26">
        <f>IF(AN29=21,K29,0)</f>
        <v>0</v>
      </c>
      <c r="AN29" s="46">
        <v>21</v>
      </c>
      <c r="AO29" s="46">
        <f>H29*0.0687821636720648</f>
        <v>0</v>
      </c>
      <c r="AP29" s="46">
        <f>H29*(1-0.0687821636720648)</f>
        <v>0</v>
      </c>
      <c r="AQ29" s="47" t="s">
        <v>7</v>
      </c>
      <c r="AV29" s="46">
        <f>AW29+AX29</f>
        <v>0</v>
      </c>
      <c r="AW29" s="46">
        <f>G29*AO29</f>
        <v>0</v>
      </c>
      <c r="AX29" s="46">
        <f>G29*AP29</f>
        <v>0</v>
      </c>
      <c r="AY29" s="49" t="s">
        <v>490</v>
      </c>
      <c r="AZ29" s="49" t="s">
        <v>508</v>
      </c>
      <c r="BA29" s="36" t="s">
        <v>513</v>
      </c>
      <c r="BC29" s="46">
        <f>AW29+AX29</f>
        <v>0</v>
      </c>
      <c r="BD29" s="46">
        <f>H29/(100-BE29)*100</f>
        <v>0</v>
      </c>
      <c r="BE29" s="46">
        <v>0</v>
      </c>
      <c r="BF29" s="46">
        <f>M29</f>
        <v>0.0035080000000000003</v>
      </c>
      <c r="BH29" s="26">
        <f>G29*AO29</f>
        <v>0</v>
      </c>
      <c r="BI29" s="26">
        <f>G29*AP29</f>
        <v>0</v>
      </c>
      <c r="BJ29" s="26">
        <f>G29*H29</f>
        <v>0</v>
      </c>
      <c r="BK29" s="26" t="s">
        <v>518</v>
      </c>
      <c r="BL29" s="46">
        <v>62</v>
      </c>
    </row>
    <row r="30" spans="1:15" ht="12.75">
      <c r="A30" s="5"/>
      <c r="D30" s="18" t="s">
        <v>262</v>
      </c>
      <c r="E30" s="20"/>
      <c r="G30" s="27">
        <v>175.4</v>
      </c>
      <c r="N30" s="41"/>
      <c r="O30" s="5"/>
    </row>
    <row r="31" spans="1:64" ht="12.75">
      <c r="A31" s="4" t="s">
        <v>14</v>
      </c>
      <c r="B31" s="14"/>
      <c r="C31" s="14" t="s">
        <v>129</v>
      </c>
      <c r="D31" s="101" t="s">
        <v>263</v>
      </c>
      <c r="E31" s="102"/>
      <c r="F31" s="14" t="s">
        <v>456</v>
      </c>
      <c r="G31" s="26">
        <v>1</v>
      </c>
      <c r="H31" s="193"/>
      <c r="I31" s="26">
        <f>G31*AO31</f>
        <v>0</v>
      </c>
      <c r="J31" s="26">
        <f>G31*AP31</f>
        <v>0</v>
      </c>
      <c r="K31" s="26">
        <f>G31*H31</f>
        <v>0</v>
      </c>
      <c r="L31" s="26">
        <v>0</v>
      </c>
      <c r="M31" s="26">
        <f>G31*L31</f>
        <v>0</v>
      </c>
      <c r="N31" s="40"/>
      <c r="O31" s="5"/>
      <c r="Z31" s="46">
        <f>IF(AQ31="5",BJ31,0)</f>
        <v>0</v>
      </c>
      <c r="AB31" s="46">
        <f>IF(AQ31="1",BH31,0)</f>
        <v>0</v>
      </c>
      <c r="AC31" s="46">
        <f>IF(AQ31="1",BI31,0)</f>
        <v>0</v>
      </c>
      <c r="AD31" s="46">
        <f>IF(AQ31="7",BH31,0)</f>
        <v>0</v>
      </c>
      <c r="AE31" s="46">
        <f>IF(AQ31="7",BI31,0)</f>
        <v>0</v>
      </c>
      <c r="AF31" s="46">
        <f>IF(AQ31="2",BH31,0)</f>
        <v>0</v>
      </c>
      <c r="AG31" s="46">
        <f>IF(AQ31="2",BI31,0)</f>
        <v>0</v>
      </c>
      <c r="AH31" s="46">
        <f>IF(AQ31="0",BJ31,0)</f>
        <v>0</v>
      </c>
      <c r="AI31" s="36"/>
      <c r="AJ31" s="26">
        <f>IF(AN31=0,K31,0)</f>
        <v>0</v>
      </c>
      <c r="AK31" s="26">
        <f>IF(AN31=15,K31,0)</f>
        <v>0</v>
      </c>
      <c r="AL31" s="26">
        <f>IF(AN31=21,K31,0)</f>
        <v>0</v>
      </c>
      <c r="AN31" s="46">
        <v>21</v>
      </c>
      <c r="AO31" s="46">
        <f>H31*0.666666666666667</f>
        <v>0</v>
      </c>
      <c r="AP31" s="46">
        <f>H31*(1-0.666666666666667)</f>
        <v>0</v>
      </c>
      <c r="AQ31" s="47" t="s">
        <v>7</v>
      </c>
      <c r="AV31" s="46">
        <f>AW31+AX31</f>
        <v>0</v>
      </c>
      <c r="AW31" s="46">
        <f>G31*AO31</f>
        <v>0</v>
      </c>
      <c r="AX31" s="46">
        <f>G31*AP31</f>
        <v>0</v>
      </c>
      <c r="AY31" s="49" t="s">
        <v>490</v>
      </c>
      <c r="AZ31" s="49" t="s">
        <v>508</v>
      </c>
      <c r="BA31" s="36" t="s">
        <v>513</v>
      </c>
      <c r="BC31" s="46">
        <f>AW31+AX31</f>
        <v>0</v>
      </c>
      <c r="BD31" s="46">
        <f>H31/(100-BE31)*100</f>
        <v>0</v>
      </c>
      <c r="BE31" s="46">
        <v>0</v>
      </c>
      <c r="BF31" s="46">
        <f>M31</f>
        <v>0</v>
      </c>
      <c r="BH31" s="26">
        <f>G31*AO31</f>
        <v>0</v>
      </c>
      <c r="BI31" s="26">
        <f>G31*AP31</f>
        <v>0</v>
      </c>
      <c r="BJ31" s="26">
        <f>G31*H31</f>
        <v>0</v>
      </c>
      <c r="BK31" s="26" t="s">
        <v>518</v>
      </c>
      <c r="BL31" s="46">
        <v>62</v>
      </c>
    </row>
    <row r="32" spans="1:15" ht="12.75">
      <c r="A32" s="5"/>
      <c r="D32" s="18" t="s">
        <v>7</v>
      </c>
      <c r="E32" s="20" t="s">
        <v>436</v>
      </c>
      <c r="G32" s="27">
        <v>1</v>
      </c>
      <c r="N32" s="41"/>
      <c r="O32" s="5"/>
    </row>
    <row r="33" spans="1:64" ht="12.75">
      <c r="A33" s="4" t="s">
        <v>15</v>
      </c>
      <c r="B33" s="14"/>
      <c r="C33" s="14" t="s">
        <v>130</v>
      </c>
      <c r="D33" s="101" t="s">
        <v>264</v>
      </c>
      <c r="E33" s="102"/>
      <c r="F33" s="14" t="s">
        <v>453</v>
      </c>
      <c r="G33" s="26">
        <v>25.57</v>
      </c>
      <c r="H33" s="193"/>
      <c r="I33" s="26">
        <f>G33*AO33</f>
        <v>0</v>
      </c>
      <c r="J33" s="26">
        <f>G33*AP33</f>
        <v>0</v>
      </c>
      <c r="K33" s="26">
        <f>G33*H33</f>
        <v>0</v>
      </c>
      <c r="L33" s="26">
        <v>0.04793</v>
      </c>
      <c r="M33" s="26">
        <f>G33*L33</f>
        <v>1.2255701</v>
      </c>
      <c r="N33" s="95" t="s">
        <v>580</v>
      </c>
      <c r="O33" s="5"/>
      <c r="Z33" s="46">
        <f>IF(AQ33="5",BJ33,0)</f>
        <v>0</v>
      </c>
      <c r="AB33" s="46">
        <f>IF(AQ33="1",BH33,0)</f>
        <v>0</v>
      </c>
      <c r="AC33" s="46">
        <f>IF(AQ33="1",BI33,0)</f>
        <v>0</v>
      </c>
      <c r="AD33" s="46">
        <f>IF(AQ33="7",BH33,0)</f>
        <v>0</v>
      </c>
      <c r="AE33" s="46">
        <f>IF(AQ33="7",BI33,0)</f>
        <v>0</v>
      </c>
      <c r="AF33" s="46">
        <f>IF(AQ33="2",BH33,0)</f>
        <v>0</v>
      </c>
      <c r="AG33" s="46">
        <f>IF(AQ33="2",BI33,0)</f>
        <v>0</v>
      </c>
      <c r="AH33" s="46">
        <f>IF(AQ33="0",BJ33,0)</f>
        <v>0</v>
      </c>
      <c r="AI33" s="36"/>
      <c r="AJ33" s="26">
        <f>IF(AN33=0,K33,0)</f>
        <v>0</v>
      </c>
      <c r="AK33" s="26">
        <f>IF(AN33=15,K33,0)</f>
        <v>0</v>
      </c>
      <c r="AL33" s="26">
        <f>IF(AN33=21,K33,0)</f>
        <v>0</v>
      </c>
      <c r="AN33" s="46">
        <v>21</v>
      </c>
      <c r="AO33" s="46">
        <f>H33*0.211798679243856</f>
        <v>0</v>
      </c>
      <c r="AP33" s="46">
        <f>H33*(1-0.211798679243856)</f>
        <v>0</v>
      </c>
      <c r="AQ33" s="47" t="s">
        <v>7</v>
      </c>
      <c r="AV33" s="46">
        <f>AW33+AX33</f>
        <v>0</v>
      </c>
      <c r="AW33" s="46">
        <f>G33*AO33</f>
        <v>0</v>
      </c>
      <c r="AX33" s="46">
        <f>G33*AP33</f>
        <v>0</v>
      </c>
      <c r="AY33" s="49" t="s">
        <v>490</v>
      </c>
      <c r="AZ33" s="49" t="s">
        <v>508</v>
      </c>
      <c r="BA33" s="36" t="s">
        <v>513</v>
      </c>
      <c r="BC33" s="46">
        <f>AW33+AX33</f>
        <v>0</v>
      </c>
      <c r="BD33" s="46">
        <f>H33/(100-BE33)*100</f>
        <v>0</v>
      </c>
      <c r="BE33" s="46">
        <v>0</v>
      </c>
      <c r="BF33" s="46">
        <f>M33</f>
        <v>1.2255701</v>
      </c>
      <c r="BH33" s="26">
        <f>G33*AO33</f>
        <v>0</v>
      </c>
      <c r="BI33" s="26">
        <f>G33*AP33</f>
        <v>0</v>
      </c>
      <c r="BJ33" s="26">
        <f>G33*H33</f>
        <v>0</v>
      </c>
      <c r="BK33" s="26" t="s">
        <v>518</v>
      </c>
      <c r="BL33" s="46">
        <v>62</v>
      </c>
    </row>
    <row r="34" spans="1:15" ht="12.75">
      <c r="A34" s="5"/>
      <c r="D34" s="18" t="s">
        <v>265</v>
      </c>
      <c r="E34" s="20"/>
      <c r="G34" s="27">
        <v>24.57</v>
      </c>
      <c r="N34" s="41"/>
      <c r="O34" s="5"/>
    </row>
    <row r="35" spans="1:15" ht="12.75">
      <c r="A35" s="5"/>
      <c r="D35" s="18" t="s">
        <v>266</v>
      </c>
      <c r="E35" s="20"/>
      <c r="G35" s="27">
        <v>1</v>
      </c>
      <c r="N35" s="41"/>
      <c r="O35" s="5"/>
    </row>
    <row r="36" spans="1:64" ht="12.75">
      <c r="A36" s="4" t="s">
        <v>16</v>
      </c>
      <c r="B36" s="14"/>
      <c r="C36" s="14" t="s">
        <v>131</v>
      </c>
      <c r="D36" s="101" t="s">
        <v>267</v>
      </c>
      <c r="E36" s="102"/>
      <c r="F36" s="14" t="s">
        <v>453</v>
      </c>
      <c r="G36" s="26">
        <v>153.35</v>
      </c>
      <c r="H36" s="193"/>
      <c r="I36" s="26">
        <f>G36*AO36</f>
        <v>0</v>
      </c>
      <c r="J36" s="26">
        <f>G36*AP36</f>
        <v>0</v>
      </c>
      <c r="K36" s="26">
        <f>G36*H36</f>
        <v>0</v>
      </c>
      <c r="L36" s="26">
        <v>0</v>
      </c>
      <c r="M36" s="26">
        <f>G36*L36</f>
        <v>0</v>
      </c>
      <c r="N36" s="95" t="s">
        <v>580</v>
      </c>
      <c r="O36" s="5"/>
      <c r="Z36" s="46">
        <f>IF(AQ36="5",BJ36,0)</f>
        <v>0</v>
      </c>
      <c r="AB36" s="46">
        <f>IF(AQ36="1",BH36,0)</f>
        <v>0</v>
      </c>
      <c r="AC36" s="46">
        <f>IF(AQ36="1",BI36,0)</f>
        <v>0</v>
      </c>
      <c r="AD36" s="46">
        <f>IF(AQ36="7",BH36,0)</f>
        <v>0</v>
      </c>
      <c r="AE36" s="46">
        <f>IF(AQ36="7",BI36,0)</f>
        <v>0</v>
      </c>
      <c r="AF36" s="46">
        <f>IF(AQ36="2",BH36,0)</f>
        <v>0</v>
      </c>
      <c r="AG36" s="46">
        <f>IF(AQ36="2",BI36,0)</f>
        <v>0</v>
      </c>
      <c r="AH36" s="46">
        <f>IF(AQ36="0",BJ36,0)</f>
        <v>0</v>
      </c>
      <c r="AI36" s="36"/>
      <c r="AJ36" s="26">
        <f>IF(AN36=0,K36,0)</f>
        <v>0</v>
      </c>
      <c r="AK36" s="26">
        <f>IF(AN36=15,K36,0)</f>
        <v>0</v>
      </c>
      <c r="AL36" s="26">
        <f>IF(AN36=21,K36,0)</f>
        <v>0</v>
      </c>
      <c r="AN36" s="46">
        <v>21</v>
      </c>
      <c r="AO36" s="46">
        <f>H36*0.229081632653061</f>
        <v>0</v>
      </c>
      <c r="AP36" s="46">
        <f>H36*(1-0.229081632653061)</f>
        <v>0</v>
      </c>
      <c r="AQ36" s="47" t="s">
        <v>7</v>
      </c>
      <c r="AV36" s="46">
        <f>AW36+AX36</f>
        <v>0</v>
      </c>
      <c r="AW36" s="46">
        <f>G36*AO36</f>
        <v>0</v>
      </c>
      <c r="AX36" s="46">
        <f>G36*AP36</f>
        <v>0</v>
      </c>
      <c r="AY36" s="49" t="s">
        <v>490</v>
      </c>
      <c r="AZ36" s="49" t="s">
        <v>508</v>
      </c>
      <c r="BA36" s="36" t="s">
        <v>513</v>
      </c>
      <c r="BC36" s="46">
        <f>AW36+AX36</f>
        <v>0</v>
      </c>
      <c r="BD36" s="46">
        <f>H36/(100-BE36)*100</f>
        <v>0</v>
      </c>
      <c r="BE36" s="46">
        <v>0</v>
      </c>
      <c r="BF36" s="46">
        <f>M36</f>
        <v>0</v>
      </c>
      <c r="BH36" s="26">
        <f>G36*AO36</f>
        <v>0</v>
      </c>
      <c r="BI36" s="26">
        <f>G36*AP36</f>
        <v>0</v>
      </c>
      <c r="BJ36" s="26">
        <f>G36*H36</f>
        <v>0</v>
      </c>
      <c r="BK36" s="26" t="s">
        <v>518</v>
      </c>
      <c r="BL36" s="46">
        <v>62</v>
      </c>
    </row>
    <row r="37" spans="1:15" ht="12.75">
      <c r="A37" s="5"/>
      <c r="D37" s="18" t="s">
        <v>268</v>
      </c>
      <c r="E37" s="20"/>
      <c r="G37" s="27">
        <v>177.5</v>
      </c>
      <c r="N37" s="41"/>
      <c r="O37" s="5"/>
    </row>
    <row r="38" spans="1:15" ht="12.75">
      <c r="A38" s="5"/>
      <c r="D38" s="18" t="s">
        <v>269</v>
      </c>
      <c r="E38" s="20"/>
      <c r="G38" s="27">
        <v>-24.15</v>
      </c>
      <c r="N38" s="41"/>
      <c r="O38" s="5"/>
    </row>
    <row r="39" spans="1:64" ht="12.75">
      <c r="A39" s="4" t="s">
        <v>17</v>
      </c>
      <c r="B39" s="14"/>
      <c r="C39" s="14" t="s">
        <v>132</v>
      </c>
      <c r="D39" s="101" t="s">
        <v>270</v>
      </c>
      <c r="E39" s="102"/>
      <c r="F39" s="14" t="s">
        <v>453</v>
      </c>
      <c r="G39" s="26">
        <v>177.5</v>
      </c>
      <c r="H39" s="193"/>
      <c r="I39" s="26">
        <f>G39*AO39</f>
        <v>0</v>
      </c>
      <c r="J39" s="26">
        <f>G39*AP39</f>
        <v>0</v>
      </c>
      <c r="K39" s="26">
        <f>G39*H39</f>
        <v>0</v>
      </c>
      <c r="L39" s="26">
        <v>0.01463</v>
      </c>
      <c r="M39" s="26">
        <f>G39*L39</f>
        <v>2.596825</v>
      </c>
      <c r="N39" s="95" t="s">
        <v>580</v>
      </c>
      <c r="O39" s="5"/>
      <c r="Z39" s="46">
        <f>IF(AQ39="5",BJ39,0)</f>
        <v>0</v>
      </c>
      <c r="AB39" s="46">
        <f>IF(AQ39="1",BH39,0)</f>
        <v>0</v>
      </c>
      <c r="AC39" s="46">
        <f>IF(AQ39="1",BI39,0)</f>
        <v>0</v>
      </c>
      <c r="AD39" s="46">
        <f>IF(AQ39="7",BH39,0)</f>
        <v>0</v>
      </c>
      <c r="AE39" s="46">
        <f>IF(AQ39="7",BI39,0)</f>
        <v>0</v>
      </c>
      <c r="AF39" s="46">
        <f>IF(AQ39="2",BH39,0)</f>
        <v>0</v>
      </c>
      <c r="AG39" s="46">
        <f>IF(AQ39="2",BI39,0)</f>
        <v>0</v>
      </c>
      <c r="AH39" s="46">
        <f>IF(AQ39="0",BJ39,0)</f>
        <v>0</v>
      </c>
      <c r="AI39" s="36"/>
      <c r="AJ39" s="26">
        <f>IF(AN39=0,K39,0)</f>
        <v>0</v>
      </c>
      <c r="AK39" s="26">
        <f>IF(AN39=15,K39,0)</f>
        <v>0</v>
      </c>
      <c r="AL39" s="26">
        <f>IF(AN39=21,K39,0)</f>
        <v>0</v>
      </c>
      <c r="AN39" s="46">
        <v>21</v>
      </c>
      <c r="AO39" s="46">
        <f>H39*0.567136937855755</f>
        <v>0</v>
      </c>
      <c r="AP39" s="46">
        <f>H39*(1-0.567136937855755)</f>
        <v>0</v>
      </c>
      <c r="AQ39" s="47" t="s">
        <v>7</v>
      </c>
      <c r="AV39" s="46">
        <f>AW39+AX39</f>
        <v>0</v>
      </c>
      <c r="AW39" s="46">
        <f>G39*AO39</f>
        <v>0</v>
      </c>
      <c r="AX39" s="46">
        <f>G39*AP39</f>
        <v>0</v>
      </c>
      <c r="AY39" s="49" t="s">
        <v>490</v>
      </c>
      <c r="AZ39" s="49" t="s">
        <v>508</v>
      </c>
      <c r="BA39" s="36" t="s">
        <v>513</v>
      </c>
      <c r="BC39" s="46">
        <f>AW39+AX39</f>
        <v>0</v>
      </c>
      <c r="BD39" s="46">
        <f>H39/(100-BE39)*100</f>
        <v>0</v>
      </c>
      <c r="BE39" s="46">
        <v>0</v>
      </c>
      <c r="BF39" s="46">
        <f>M39</f>
        <v>2.596825</v>
      </c>
      <c r="BH39" s="26">
        <f>G39*AO39</f>
        <v>0</v>
      </c>
      <c r="BI39" s="26">
        <f>G39*AP39</f>
        <v>0</v>
      </c>
      <c r="BJ39" s="26">
        <f>G39*H39</f>
        <v>0</v>
      </c>
      <c r="BK39" s="26" t="s">
        <v>518</v>
      </c>
      <c r="BL39" s="46">
        <v>62</v>
      </c>
    </row>
    <row r="40" spans="1:15" ht="12.75">
      <c r="A40" s="5"/>
      <c r="D40" s="18" t="s">
        <v>268</v>
      </c>
      <c r="E40" s="20"/>
      <c r="G40" s="27">
        <v>177.5</v>
      </c>
      <c r="N40" s="41"/>
      <c r="O40" s="5"/>
    </row>
    <row r="41" spans="1:64" ht="12.75">
      <c r="A41" s="4" t="s">
        <v>18</v>
      </c>
      <c r="B41" s="14"/>
      <c r="C41" s="14" t="s">
        <v>133</v>
      </c>
      <c r="D41" s="101" t="s">
        <v>271</v>
      </c>
      <c r="E41" s="102"/>
      <c r="F41" s="14" t="s">
        <v>455</v>
      </c>
      <c r="G41" s="26">
        <v>25</v>
      </c>
      <c r="H41" s="193"/>
      <c r="I41" s="26">
        <f>G41*AO41</f>
        <v>0</v>
      </c>
      <c r="J41" s="26">
        <f>G41*AP41</f>
        <v>0</v>
      </c>
      <c r="K41" s="26">
        <f>G41*H41</f>
        <v>0</v>
      </c>
      <c r="L41" s="26">
        <v>3E-05</v>
      </c>
      <c r="M41" s="26">
        <f>G41*L41</f>
        <v>0.00075</v>
      </c>
      <c r="N41" s="95" t="s">
        <v>580</v>
      </c>
      <c r="O41" s="5"/>
      <c r="Z41" s="46">
        <f>IF(AQ41="5",BJ41,0)</f>
        <v>0</v>
      </c>
      <c r="AB41" s="46">
        <f>IF(AQ41="1",BH41,0)</f>
        <v>0</v>
      </c>
      <c r="AC41" s="46">
        <f>IF(AQ41="1",BI41,0)</f>
        <v>0</v>
      </c>
      <c r="AD41" s="46">
        <f>IF(AQ41="7",BH41,0)</f>
        <v>0</v>
      </c>
      <c r="AE41" s="46">
        <f>IF(AQ41="7",BI41,0)</f>
        <v>0</v>
      </c>
      <c r="AF41" s="46">
        <f>IF(AQ41="2",BH41,0)</f>
        <v>0</v>
      </c>
      <c r="AG41" s="46">
        <f>IF(AQ41="2",BI41,0)</f>
        <v>0</v>
      </c>
      <c r="AH41" s="46">
        <f>IF(AQ41="0",BJ41,0)</f>
        <v>0</v>
      </c>
      <c r="AI41" s="36"/>
      <c r="AJ41" s="26">
        <f>IF(AN41=0,K41,0)</f>
        <v>0</v>
      </c>
      <c r="AK41" s="26">
        <f>IF(AN41=15,K41,0)</f>
        <v>0</v>
      </c>
      <c r="AL41" s="26">
        <f>IF(AN41=21,K41,0)</f>
        <v>0</v>
      </c>
      <c r="AN41" s="46">
        <v>21</v>
      </c>
      <c r="AO41" s="46">
        <f>H41*0.107908309455587</f>
        <v>0</v>
      </c>
      <c r="AP41" s="46">
        <f>H41*(1-0.107908309455587)</f>
        <v>0</v>
      </c>
      <c r="AQ41" s="47" t="s">
        <v>7</v>
      </c>
      <c r="AV41" s="46">
        <f>AW41+AX41</f>
        <v>0</v>
      </c>
      <c r="AW41" s="46">
        <f>G41*AO41</f>
        <v>0</v>
      </c>
      <c r="AX41" s="46">
        <f>G41*AP41</f>
        <v>0</v>
      </c>
      <c r="AY41" s="49" t="s">
        <v>490</v>
      </c>
      <c r="AZ41" s="49" t="s">
        <v>508</v>
      </c>
      <c r="BA41" s="36" t="s">
        <v>513</v>
      </c>
      <c r="BC41" s="46">
        <f>AW41+AX41</f>
        <v>0</v>
      </c>
      <c r="BD41" s="46">
        <f>H41/(100-BE41)*100</f>
        <v>0</v>
      </c>
      <c r="BE41" s="46">
        <v>0</v>
      </c>
      <c r="BF41" s="46">
        <f>M41</f>
        <v>0.00075</v>
      </c>
      <c r="BH41" s="26">
        <f>G41*AO41</f>
        <v>0</v>
      </c>
      <c r="BI41" s="26">
        <f>G41*AP41</f>
        <v>0</v>
      </c>
      <c r="BJ41" s="26">
        <f>G41*H41</f>
        <v>0</v>
      </c>
      <c r="BK41" s="26" t="s">
        <v>518</v>
      </c>
      <c r="BL41" s="46">
        <v>62</v>
      </c>
    </row>
    <row r="42" spans="1:15" ht="12.75">
      <c r="A42" s="5"/>
      <c r="D42" s="18" t="s">
        <v>272</v>
      </c>
      <c r="E42" s="20"/>
      <c r="G42" s="27">
        <v>25</v>
      </c>
      <c r="N42" s="41"/>
      <c r="O42" s="5"/>
    </row>
    <row r="43" spans="1:64" ht="12.75">
      <c r="A43" s="7" t="s">
        <v>19</v>
      </c>
      <c r="B43" s="16"/>
      <c r="C43" s="16" t="s">
        <v>134</v>
      </c>
      <c r="D43" s="108" t="s">
        <v>273</v>
      </c>
      <c r="E43" s="109"/>
      <c r="F43" s="16" t="s">
        <v>455</v>
      </c>
      <c r="G43" s="28">
        <v>26.25</v>
      </c>
      <c r="H43" s="194"/>
      <c r="I43" s="28">
        <f>G43*AO43</f>
        <v>0</v>
      </c>
      <c r="J43" s="28">
        <f>G43*AP43</f>
        <v>0</v>
      </c>
      <c r="K43" s="28">
        <f>G43*H43</f>
        <v>0</v>
      </c>
      <c r="L43" s="28">
        <v>0.00037</v>
      </c>
      <c r="M43" s="28">
        <f>G43*L43</f>
        <v>0.0097125</v>
      </c>
      <c r="N43" s="95" t="s">
        <v>580</v>
      </c>
      <c r="O43" s="5"/>
      <c r="Z43" s="46">
        <f>IF(AQ43="5",BJ43,0)</f>
        <v>0</v>
      </c>
      <c r="AB43" s="46">
        <f>IF(AQ43="1",BH43,0)</f>
        <v>0</v>
      </c>
      <c r="AC43" s="46">
        <f>IF(AQ43="1",BI43,0)</f>
        <v>0</v>
      </c>
      <c r="AD43" s="46">
        <f>IF(AQ43="7",BH43,0)</f>
        <v>0</v>
      </c>
      <c r="AE43" s="46">
        <f>IF(AQ43="7",BI43,0)</f>
        <v>0</v>
      </c>
      <c r="AF43" s="46">
        <f>IF(AQ43="2",BH43,0)</f>
        <v>0</v>
      </c>
      <c r="AG43" s="46">
        <f>IF(AQ43="2",BI43,0)</f>
        <v>0</v>
      </c>
      <c r="AH43" s="46">
        <f>IF(AQ43="0",BJ43,0)</f>
        <v>0</v>
      </c>
      <c r="AI43" s="36"/>
      <c r="AJ43" s="28">
        <f>IF(AN43=0,K43,0)</f>
        <v>0</v>
      </c>
      <c r="AK43" s="28">
        <f>IF(AN43=15,K43,0)</f>
        <v>0</v>
      </c>
      <c r="AL43" s="28">
        <f>IF(AN43=21,K43,0)</f>
        <v>0</v>
      </c>
      <c r="AN43" s="46">
        <v>21</v>
      </c>
      <c r="AO43" s="46">
        <f>H43*1</f>
        <v>0</v>
      </c>
      <c r="AP43" s="46">
        <f>H43*(1-1)</f>
        <v>0</v>
      </c>
      <c r="AQ43" s="48" t="s">
        <v>7</v>
      </c>
      <c r="AV43" s="46">
        <f>AW43+AX43</f>
        <v>0</v>
      </c>
      <c r="AW43" s="46">
        <f>G43*AO43</f>
        <v>0</v>
      </c>
      <c r="AX43" s="46">
        <f>G43*AP43</f>
        <v>0</v>
      </c>
      <c r="AY43" s="49" t="s">
        <v>490</v>
      </c>
      <c r="AZ43" s="49" t="s">
        <v>508</v>
      </c>
      <c r="BA43" s="36" t="s">
        <v>513</v>
      </c>
      <c r="BC43" s="46">
        <f>AW43+AX43</f>
        <v>0</v>
      </c>
      <c r="BD43" s="46">
        <f>H43/(100-BE43)*100</f>
        <v>0</v>
      </c>
      <c r="BE43" s="46">
        <v>0</v>
      </c>
      <c r="BF43" s="46">
        <f>M43</f>
        <v>0.0097125</v>
      </c>
      <c r="BH43" s="28">
        <f>G43*AO43</f>
        <v>0</v>
      </c>
      <c r="BI43" s="28">
        <f>G43*AP43</f>
        <v>0</v>
      </c>
      <c r="BJ43" s="28">
        <f>G43*H43</f>
        <v>0</v>
      </c>
      <c r="BK43" s="28" t="s">
        <v>519</v>
      </c>
      <c r="BL43" s="46">
        <v>62</v>
      </c>
    </row>
    <row r="44" spans="1:15" ht="12.75">
      <c r="A44" s="5"/>
      <c r="D44" s="18" t="s">
        <v>272</v>
      </c>
      <c r="E44" s="20"/>
      <c r="G44" s="27">
        <v>25</v>
      </c>
      <c r="N44" s="41"/>
      <c r="O44" s="5"/>
    </row>
    <row r="45" spans="1:15" ht="12.75">
      <c r="A45" s="5"/>
      <c r="D45" s="18" t="s">
        <v>274</v>
      </c>
      <c r="E45" s="20"/>
      <c r="G45" s="27">
        <v>1.25</v>
      </c>
      <c r="N45" s="41"/>
      <c r="O45" s="5"/>
    </row>
    <row r="46" spans="1:47" ht="12.75">
      <c r="A46" s="6"/>
      <c r="B46" s="15"/>
      <c r="C46" s="15" t="s">
        <v>70</v>
      </c>
      <c r="D46" s="106" t="s">
        <v>275</v>
      </c>
      <c r="E46" s="107"/>
      <c r="F46" s="24" t="s">
        <v>6</v>
      </c>
      <c r="G46" s="24" t="s">
        <v>6</v>
      </c>
      <c r="H46" s="24" t="s">
        <v>6</v>
      </c>
      <c r="I46" s="52">
        <f>SUM(I47:I47)</f>
        <v>0</v>
      </c>
      <c r="J46" s="52">
        <f>SUM(J47:J47)</f>
        <v>0</v>
      </c>
      <c r="K46" s="52">
        <f>SUM(K47:K47)</f>
        <v>0</v>
      </c>
      <c r="L46" s="36"/>
      <c r="M46" s="52">
        <f>SUM(M47:M47)</f>
        <v>0.19838699999999998</v>
      </c>
      <c r="N46" s="42"/>
      <c r="O46" s="5"/>
      <c r="AI46" s="36"/>
      <c r="AS46" s="52">
        <f>SUM(AJ47:AJ47)</f>
        <v>0</v>
      </c>
      <c r="AT46" s="52">
        <f>SUM(AK47:AK47)</f>
        <v>0</v>
      </c>
      <c r="AU46" s="52">
        <f>SUM(AL47:AL47)</f>
        <v>0</v>
      </c>
    </row>
    <row r="47" spans="1:64" ht="12.75">
      <c r="A47" s="4" t="s">
        <v>20</v>
      </c>
      <c r="B47" s="14"/>
      <c r="C47" s="14" t="s">
        <v>135</v>
      </c>
      <c r="D47" s="101" t="s">
        <v>276</v>
      </c>
      <c r="E47" s="102"/>
      <c r="F47" s="14" t="s">
        <v>455</v>
      </c>
      <c r="G47" s="26">
        <v>14.1</v>
      </c>
      <c r="H47" s="193"/>
      <c r="I47" s="26">
        <f>G47*AO47</f>
        <v>0</v>
      </c>
      <c r="J47" s="26">
        <f>G47*AP47</f>
        <v>0</v>
      </c>
      <c r="K47" s="26">
        <f>G47*H47</f>
        <v>0</v>
      </c>
      <c r="L47" s="26">
        <v>0.01407</v>
      </c>
      <c r="M47" s="26">
        <f>G47*L47</f>
        <v>0.19838699999999998</v>
      </c>
      <c r="N47" s="95" t="s">
        <v>580</v>
      </c>
      <c r="O47" s="5"/>
      <c r="Z47" s="46">
        <f>IF(AQ47="5",BJ47,0)</f>
        <v>0</v>
      </c>
      <c r="AB47" s="46">
        <f>IF(AQ47="1",BH47,0)</f>
        <v>0</v>
      </c>
      <c r="AC47" s="46">
        <f>IF(AQ47="1",BI47,0)</f>
        <v>0</v>
      </c>
      <c r="AD47" s="46">
        <f>IF(AQ47="7",BH47,0)</f>
        <v>0</v>
      </c>
      <c r="AE47" s="46">
        <f>IF(AQ47="7",BI47,0)</f>
        <v>0</v>
      </c>
      <c r="AF47" s="46">
        <f>IF(AQ47="2",BH47,0)</f>
        <v>0</v>
      </c>
      <c r="AG47" s="46">
        <f>IF(AQ47="2",BI47,0)</f>
        <v>0</v>
      </c>
      <c r="AH47" s="46">
        <f>IF(AQ47="0",BJ47,0)</f>
        <v>0</v>
      </c>
      <c r="AI47" s="36"/>
      <c r="AJ47" s="26">
        <f>IF(AN47=0,K47,0)</f>
        <v>0</v>
      </c>
      <c r="AK47" s="26">
        <f>IF(AN47=15,K47,0)</f>
        <v>0</v>
      </c>
      <c r="AL47" s="26">
        <f>IF(AN47=21,K47,0)</f>
        <v>0</v>
      </c>
      <c r="AN47" s="46">
        <v>21</v>
      </c>
      <c r="AO47" s="46">
        <f>H47*0.639265536723164</f>
        <v>0</v>
      </c>
      <c r="AP47" s="46">
        <f>H47*(1-0.639265536723164)</f>
        <v>0</v>
      </c>
      <c r="AQ47" s="47" t="s">
        <v>7</v>
      </c>
      <c r="AV47" s="46">
        <f>AW47+AX47</f>
        <v>0</v>
      </c>
      <c r="AW47" s="46">
        <f>G47*AO47</f>
        <v>0</v>
      </c>
      <c r="AX47" s="46">
        <f>G47*AP47</f>
        <v>0</v>
      </c>
      <c r="AY47" s="49" t="s">
        <v>491</v>
      </c>
      <c r="AZ47" s="49" t="s">
        <v>508</v>
      </c>
      <c r="BA47" s="36" t="s">
        <v>513</v>
      </c>
      <c r="BC47" s="46">
        <f>AW47+AX47</f>
        <v>0</v>
      </c>
      <c r="BD47" s="46">
        <f>H47/(100-BE47)*100</f>
        <v>0</v>
      </c>
      <c r="BE47" s="46">
        <v>0</v>
      </c>
      <c r="BF47" s="46">
        <f>M47</f>
        <v>0.19838699999999998</v>
      </c>
      <c r="BH47" s="26">
        <f>G47*AO47</f>
        <v>0</v>
      </c>
      <c r="BI47" s="26">
        <f>G47*AP47</f>
        <v>0</v>
      </c>
      <c r="BJ47" s="26">
        <f>G47*H47</f>
        <v>0</v>
      </c>
      <c r="BK47" s="26" t="s">
        <v>518</v>
      </c>
      <c r="BL47" s="46">
        <v>64</v>
      </c>
    </row>
    <row r="48" spans="1:15" ht="12.75">
      <c r="A48" s="5"/>
      <c r="D48" s="18" t="s">
        <v>277</v>
      </c>
      <c r="E48" s="20"/>
      <c r="G48" s="27">
        <v>14.1</v>
      </c>
      <c r="N48" s="41"/>
      <c r="O48" s="5"/>
    </row>
    <row r="49" spans="1:47" ht="12.75">
      <c r="A49" s="6"/>
      <c r="B49" s="15"/>
      <c r="C49" s="15" t="s">
        <v>136</v>
      </c>
      <c r="D49" s="106" t="s">
        <v>278</v>
      </c>
      <c r="E49" s="107"/>
      <c r="F49" s="24" t="s">
        <v>6</v>
      </c>
      <c r="G49" s="24" t="s">
        <v>6</v>
      </c>
      <c r="H49" s="24" t="s">
        <v>6</v>
      </c>
      <c r="I49" s="52">
        <f>SUM(I50:I52)</f>
        <v>0</v>
      </c>
      <c r="J49" s="52">
        <f>SUM(J50:J52)</f>
        <v>0</v>
      </c>
      <c r="K49" s="52">
        <f>SUM(K50:K52)</f>
        <v>0</v>
      </c>
      <c r="L49" s="36"/>
      <c r="M49" s="52">
        <f>SUM(M50:M52)</f>
        <v>0.765</v>
      </c>
      <c r="N49" s="42"/>
      <c r="O49" s="5"/>
      <c r="AI49" s="36"/>
      <c r="AS49" s="52">
        <f>SUM(AJ50:AJ52)</f>
        <v>0</v>
      </c>
      <c r="AT49" s="52">
        <f>SUM(AK50:AK52)</f>
        <v>0</v>
      </c>
      <c r="AU49" s="52">
        <f>SUM(AL50:AL52)</f>
        <v>0</v>
      </c>
    </row>
    <row r="50" spans="1:64" ht="12.75">
      <c r="A50" s="4" t="s">
        <v>21</v>
      </c>
      <c r="B50" s="14"/>
      <c r="C50" s="14" t="s">
        <v>137</v>
      </c>
      <c r="D50" s="101" t="s">
        <v>279</v>
      </c>
      <c r="E50" s="102"/>
      <c r="F50" s="14" t="s">
        <v>453</v>
      </c>
      <c r="G50" s="26">
        <v>127.5</v>
      </c>
      <c r="H50" s="193"/>
      <c r="I50" s="26">
        <f>G50*AO50</f>
        <v>0</v>
      </c>
      <c r="J50" s="26">
        <f>G50*AP50</f>
        <v>0</v>
      </c>
      <c r="K50" s="26">
        <f>G50*H50</f>
        <v>0</v>
      </c>
      <c r="L50" s="26">
        <v>0.006</v>
      </c>
      <c r="M50" s="26">
        <f>G50*L50</f>
        <v>0.765</v>
      </c>
      <c r="N50" s="95" t="s">
        <v>580</v>
      </c>
      <c r="O50" s="5"/>
      <c r="Z50" s="46">
        <f>IF(AQ50="5",BJ50,0)</f>
        <v>0</v>
      </c>
      <c r="AB50" s="46">
        <f>IF(AQ50="1",BH50,0)</f>
        <v>0</v>
      </c>
      <c r="AC50" s="46">
        <f>IF(AQ50="1",BI50,0)</f>
        <v>0</v>
      </c>
      <c r="AD50" s="46">
        <f>IF(AQ50="7",BH50,0)</f>
        <v>0</v>
      </c>
      <c r="AE50" s="46">
        <f>IF(AQ50="7",BI50,0)</f>
        <v>0</v>
      </c>
      <c r="AF50" s="46">
        <f>IF(AQ50="2",BH50,0)</f>
        <v>0</v>
      </c>
      <c r="AG50" s="46">
        <f>IF(AQ50="2",BI50,0)</f>
        <v>0</v>
      </c>
      <c r="AH50" s="46">
        <f>IF(AQ50="0",BJ50,0)</f>
        <v>0</v>
      </c>
      <c r="AI50" s="36"/>
      <c r="AJ50" s="26">
        <f>IF(AN50=0,K50,0)</f>
        <v>0</v>
      </c>
      <c r="AK50" s="26">
        <f>IF(AN50=15,K50,0)</f>
        <v>0</v>
      </c>
      <c r="AL50" s="26">
        <f>IF(AN50=21,K50,0)</f>
        <v>0</v>
      </c>
      <c r="AN50" s="46">
        <v>21</v>
      </c>
      <c r="AO50" s="46">
        <f>H50*0</f>
        <v>0</v>
      </c>
      <c r="AP50" s="46">
        <f>H50*(1-0)</f>
        <v>0</v>
      </c>
      <c r="AQ50" s="47" t="s">
        <v>13</v>
      </c>
      <c r="AV50" s="46">
        <f>AW50+AX50</f>
        <v>0</v>
      </c>
      <c r="AW50" s="46">
        <f>G50*AO50</f>
        <v>0</v>
      </c>
      <c r="AX50" s="46">
        <f>G50*AP50</f>
        <v>0</v>
      </c>
      <c r="AY50" s="49" t="s">
        <v>492</v>
      </c>
      <c r="AZ50" s="49" t="s">
        <v>509</v>
      </c>
      <c r="BA50" s="36" t="s">
        <v>513</v>
      </c>
      <c r="BC50" s="46">
        <f>AW50+AX50</f>
        <v>0</v>
      </c>
      <c r="BD50" s="46">
        <f>H50/(100-BE50)*100</f>
        <v>0</v>
      </c>
      <c r="BE50" s="46">
        <v>0</v>
      </c>
      <c r="BF50" s="46">
        <f>M50</f>
        <v>0.765</v>
      </c>
      <c r="BH50" s="26">
        <f>G50*AO50</f>
        <v>0</v>
      </c>
      <c r="BI50" s="26">
        <f>G50*AP50</f>
        <v>0</v>
      </c>
      <c r="BJ50" s="26">
        <f>G50*H50</f>
        <v>0</v>
      </c>
      <c r="BK50" s="26" t="s">
        <v>518</v>
      </c>
      <c r="BL50" s="46">
        <v>712</v>
      </c>
    </row>
    <row r="51" spans="1:15" ht="12.75">
      <c r="A51" s="5"/>
      <c r="D51" s="18" t="s">
        <v>280</v>
      </c>
      <c r="E51" s="20"/>
      <c r="G51" s="27">
        <v>127.5</v>
      </c>
      <c r="N51" s="41"/>
      <c r="O51" s="5"/>
    </row>
    <row r="52" spans="1:64" ht="12.75">
      <c r="A52" s="4" t="s">
        <v>22</v>
      </c>
      <c r="B52" s="14"/>
      <c r="C52" s="14" t="s">
        <v>138</v>
      </c>
      <c r="D52" s="101" t="s">
        <v>281</v>
      </c>
      <c r="E52" s="102"/>
      <c r="F52" s="14" t="s">
        <v>457</v>
      </c>
      <c r="G52" s="26">
        <v>0.765</v>
      </c>
      <c r="H52" s="193"/>
      <c r="I52" s="26">
        <f>G52*AO52</f>
        <v>0</v>
      </c>
      <c r="J52" s="26">
        <f>G52*AP52</f>
        <v>0</v>
      </c>
      <c r="K52" s="26">
        <f>G52*H52</f>
        <v>0</v>
      </c>
      <c r="L52" s="26">
        <v>0</v>
      </c>
      <c r="M52" s="26">
        <f>G52*L52</f>
        <v>0</v>
      </c>
      <c r="N52" s="95" t="s">
        <v>580</v>
      </c>
      <c r="O52" s="5"/>
      <c r="Z52" s="46">
        <f>IF(AQ52="5",BJ52,0)</f>
        <v>0</v>
      </c>
      <c r="AB52" s="46">
        <f>IF(AQ52="1",BH52,0)</f>
        <v>0</v>
      </c>
      <c r="AC52" s="46">
        <f>IF(AQ52="1",BI52,0)</f>
        <v>0</v>
      </c>
      <c r="AD52" s="46">
        <f>IF(AQ52="7",BH52,0)</f>
        <v>0</v>
      </c>
      <c r="AE52" s="46">
        <f>IF(AQ52="7",BI52,0)</f>
        <v>0</v>
      </c>
      <c r="AF52" s="46">
        <f>IF(AQ52="2",BH52,0)</f>
        <v>0</v>
      </c>
      <c r="AG52" s="46">
        <f>IF(AQ52="2",BI52,0)</f>
        <v>0</v>
      </c>
      <c r="AH52" s="46">
        <f>IF(AQ52="0",BJ52,0)</f>
        <v>0</v>
      </c>
      <c r="AI52" s="36"/>
      <c r="AJ52" s="26">
        <f>IF(AN52=0,K52,0)</f>
        <v>0</v>
      </c>
      <c r="AK52" s="26">
        <f>IF(AN52=15,K52,0)</f>
        <v>0</v>
      </c>
      <c r="AL52" s="26">
        <f>IF(AN52=21,K52,0)</f>
        <v>0</v>
      </c>
      <c r="AN52" s="46">
        <v>21</v>
      </c>
      <c r="AO52" s="46">
        <f>H52*0</f>
        <v>0</v>
      </c>
      <c r="AP52" s="46">
        <f>H52*(1-0)</f>
        <v>0</v>
      </c>
      <c r="AQ52" s="47" t="s">
        <v>11</v>
      </c>
      <c r="AV52" s="46">
        <f>AW52+AX52</f>
        <v>0</v>
      </c>
      <c r="AW52" s="46">
        <f>G52*AO52</f>
        <v>0</v>
      </c>
      <c r="AX52" s="46">
        <f>G52*AP52</f>
        <v>0</v>
      </c>
      <c r="AY52" s="49" t="s">
        <v>492</v>
      </c>
      <c r="AZ52" s="49" t="s">
        <v>509</v>
      </c>
      <c r="BA52" s="36" t="s">
        <v>513</v>
      </c>
      <c r="BC52" s="46">
        <f>AW52+AX52</f>
        <v>0</v>
      </c>
      <c r="BD52" s="46">
        <f>H52/(100-BE52)*100</f>
        <v>0</v>
      </c>
      <c r="BE52" s="46">
        <v>0</v>
      </c>
      <c r="BF52" s="46">
        <f>M52</f>
        <v>0</v>
      </c>
      <c r="BH52" s="26">
        <f>G52*AO52</f>
        <v>0</v>
      </c>
      <c r="BI52" s="26">
        <f>G52*AP52</f>
        <v>0</v>
      </c>
      <c r="BJ52" s="26">
        <f>G52*H52</f>
        <v>0</v>
      </c>
      <c r="BK52" s="26" t="s">
        <v>518</v>
      </c>
      <c r="BL52" s="46">
        <v>712</v>
      </c>
    </row>
    <row r="53" spans="1:47" ht="12.75">
      <c r="A53" s="6"/>
      <c r="B53" s="15"/>
      <c r="C53" s="15" t="s">
        <v>139</v>
      </c>
      <c r="D53" s="106" t="s">
        <v>282</v>
      </c>
      <c r="E53" s="107"/>
      <c r="F53" s="24" t="s">
        <v>6</v>
      </c>
      <c r="G53" s="24" t="s">
        <v>6</v>
      </c>
      <c r="H53" s="24" t="s">
        <v>6</v>
      </c>
      <c r="I53" s="52">
        <f>SUM(I54:I66)</f>
        <v>0</v>
      </c>
      <c r="J53" s="52">
        <f>SUM(J54:J66)</f>
        <v>0</v>
      </c>
      <c r="K53" s="52">
        <f>SUM(K54:K66)</f>
        <v>0</v>
      </c>
      <c r="L53" s="36"/>
      <c r="M53" s="52">
        <f>SUM(M54:M66)</f>
        <v>0.396474</v>
      </c>
      <c r="N53" s="42"/>
      <c r="O53" s="5"/>
      <c r="AI53" s="36"/>
      <c r="AS53" s="52">
        <f>SUM(AJ54:AJ66)</f>
        <v>0</v>
      </c>
      <c r="AT53" s="52">
        <f>SUM(AK54:AK66)</f>
        <v>0</v>
      </c>
      <c r="AU53" s="52">
        <f>SUM(AL54:AL66)</f>
        <v>0</v>
      </c>
    </row>
    <row r="54" spans="1:64" ht="12.75">
      <c r="A54" s="4" t="s">
        <v>23</v>
      </c>
      <c r="B54" s="14"/>
      <c r="C54" s="14" t="s">
        <v>140</v>
      </c>
      <c r="D54" s="101" t="s">
        <v>283</v>
      </c>
      <c r="E54" s="102"/>
      <c r="F54" s="14" t="s">
        <v>453</v>
      </c>
      <c r="G54" s="26">
        <v>17</v>
      </c>
      <c r="H54" s="193"/>
      <c r="I54" s="26">
        <f>G54*AO54</f>
        <v>0</v>
      </c>
      <c r="J54" s="26">
        <f>G54*AP54</f>
        <v>0</v>
      </c>
      <c r="K54" s="26">
        <f>G54*H54</f>
        <v>0</v>
      </c>
      <c r="L54" s="26">
        <v>0.00016</v>
      </c>
      <c r="M54" s="26">
        <f>G54*L54</f>
        <v>0.00272</v>
      </c>
      <c r="N54" s="95" t="s">
        <v>580</v>
      </c>
      <c r="O54" s="5"/>
      <c r="Z54" s="46">
        <f>IF(AQ54="5",BJ54,0)</f>
        <v>0</v>
      </c>
      <c r="AB54" s="46">
        <f>IF(AQ54="1",BH54,0)</f>
        <v>0</v>
      </c>
      <c r="AC54" s="46">
        <f>IF(AQ54="1",BI54,0)</f>
        <v>0</v>
      </c>
      <c r="AD54" s="46">
        <f>IF(AQ54="7",BH54,0)</f>
        <v>0</v>
      </c>
      <c r="AE54" s="46">
        <f>IF(AQ54="7",BI54,0)</f>
        <v>0</v>
      </c>
      <c r="AF54" s="46">
        <f>IF(AQ54="2",BH54,0)</f>
        <v>0</v>
      </c>
      <c r="AG54" s="46">
        <f>IF(AQ54="2",BI54,0)</f>
        <v>0</v>
      </c>
      <c r="AH54" s="46">
        <f>IF(AQ54="0",BJ54,0)</f>
        <v>0</v>
      </c>
      <c r="AI54" s="36"/>
      <c r="AJ54" s="26">
        <f>IF(AN54=0,K54,0)</f>
        <v>0</v>
      </c>
      <c r="AK54" s="26">
        <f>IF(AN54=15,K54,0)</f>
        <v>0</v>
      </c>
      <c r="AL54" s="26">
        <f>IF(AN54=21,K54,0)</f>
        <v>0</v>
      </c>
      <c r="AN54" s="46">
        <v>21</v>
      </c>
      <c r="AO54" s="46">
        <f>H54*0.352156799742951</f>
        <v>0</v>
      </c>
      <c r="AP54" s="46">
        <f>H54*(1-0.352156799742951)</f>
        <v>0</v>
      </c>
      <c r="AQ54" s="47" t="s">
        <v>13</v>
      </c>
      <c r="AV54" s="46">
        <f>AW54+AX54</f>
        <v>0</v>
      </c>
      <c r="AW54" s="46">
        <f>G54*AO54</f>
        <v>0</v>
      </c>
      <c r="AX54" s="46">
        <f>G54*AP54</f>
        <v>0</v>
      </c>
      <c r="AY54" s="49" t="s">
        <v>493</v>
      </c>
      <c r="AZ54" s="49" t="s">
        <v>509</v>
      </c>
      <c r="BA54" s="36" t="s">
        <v>513</v>
      </c>
      <c r="BC54" s="46">
        <f>AW54+AX54</f>
        <v>0</v>
      </c>
      <c r="BD54" s="46">
        <f>H54/(100-BE54)*100</f>
        <v>0</v>
      </c>
      <c r="BE54" s="46">
        <v>0</v>
      </c>
      <c r="BF54" s="46">
        <f>M54</f>
        <v>0.00272</v>
      </c>
      <c r="BH54" s="26">
        <f>G54*AO54</f>
        <v>0</v>
      </c>
      <c r="BI54" s="26">
        <f>G54*AP54</f>
        <v>0</v>
      </c>
      <c r="BJ54" s="26">
        <f>G54*H54</f>
        <v>0</v>
      </c>
      <c r="BK54" s="26" t="s">
        <v>518</v>
      </c>
      <c r="BL54" s="46">
        <v>713</v>
      </c>
    </row>
    <row r="55" spans="1:15" ht="12.75">
      <c r="A55" s="5"/>
      <c r="D55" s="18" t="s">
        <v>284</v>
      </c>
      <c r="E55" s="20"/>
      <c r="G55" s="27">
        <v>17</v>
      </c>
      <c r="N55" s="41"/>
      <c r="O55" s="5"/>
    </row>
    <row r="56" spans="1:64" ht="12.75">
      <c r="A56" s="4" t="s">
        <v>24</v>
      </c>
      <c r="B56" s="14"/>
      <c r="C56" s="14" t="s">
        <v>141</v>
      </c>
      <c r="D56" s="101" t="s">
        <v>285</v>
      </c>
      <c r="E56" s="102"/>
      <c r="F56" s="14" t="s">
        <v>453</v>
      </c>
      <c r="G56" s="26">
        <v>17</v>
      </c>
      <c r="H56" s="193"/>
      <c r="I56" s="26">
        <f>G56*AO56</f>
        <v>0</v>
      </c>
      <c r="J56" s="26">
        <f>G56*AP56</f>
        <v>0</v>
      </c>
      <c r="K56" s="26">
        <f>G56*H56</f>
        <v>0</v>
      </c>
      <c r="L56" s="26">
        <v>0.00023</v>
      </c>
      <c r="M56" s="26">
        <f>G56*L56</f>
        <v>0.00391</v>
      </c>
      <c r="N56" s="95" t="s">
        <v>580</v>
      </c>
      <c r="O56" s="5"/>
      <c r="Z56" s="46">
        <f>IF(AQ56="5",BJ56,0)</f>
        <v>0</v>
      </c>
      <c r="AB56" s="46">
        <f>IF(AQ56="1",BH56,0)</f>
        <v>0</v>
      </c>
      <c r="AC56" s="46">
        <f>IF(AQ56="1",BI56,0)</f>
        <v>0</v>
      </c>
      <c r="AD56" s="46">
        <f>IF(AQ56="7",BH56,0)</f>
        <v>0</v>
      </c>
      <c r="AE56" s="46">
        <f>IF(AQ56="7",BI56,0)</f>
        <v>0</v>
      </c>
      <c r="AF56" s="46">
        <f>IF(AQ56="2",BH56,0)</f>
        <v>0</v>
      </c>
      <c r="AG56" s="46">
        <f>IF(AQ56="2",BI56,0)</f>
        <v>0</v>
      </c>
      <c r="AH56" s="46">
        <f>IF(AQ56="0",BJ56,0)</f>
        <v>0</v>
      </c>
      <c r="AI56" s="36"/>
      <c r="AJ56" s="26">
        <f>IF(AN56=0,K56,0)</f>
        <v>0</v>
      </c>
      <c r="AK56" s="26">
        <f>IF(AN56=15,K56,0)</f>
        <v>0</v>
      </c>
      <c r="AL56" s="26">
        <f>IF(AN56=21,K56,0)</f>
        <v>0</v>
      </c>
      <c r="AN56" s="46">
        <v>21</v>
      </c>
      <c r="AO56" s="46">
        <f>H56*0.0325788936078705</f>
        <v>0</v>
      </c>
      <c r="AP56" s="46">
        <f>H56*(1-0.0325788936078705)</f>
        <v>0</v>
      </c>
      <c r="AQ56" s="47" t="s">
        <v>13</v>
      </c>
      <c r="AV56" s="46">
        <f>AW56+AX56</f>
        <v>0</v>
      </c>
      <c r="AW56" s="46">
        <f>G56*AO56</f>
        <v>0</v>
      </c>
      <c r="AX56" s="46">
        <f>G56*AP56</f>
        <v>0</v>
      </c>
      <c r="AY56" s="49" t="s">
        <v>493</v>
      </c>
      <c r="AZ56" s="49" t="s">
        <v>509</v>
      </c>
      <c r="BA56" s="36" t="s">
        <v>513</v>
      </c>
      <c r="BC56" s="46">
        <f>AW56+AX56</f>
        <v>0</v>
      </c>
      <c r="BD56" s="46">
        <f>H56/(100-BE56)*100</f>
        <v>0</v>
      </c>
      <c r="BE56" s="46">
        <v>0</v>
      </c>
      <c r="BF56" s="46">
        <f>M56</f>
        <v>0.00391</v>
      </c>
      <c r="BH56" s="26">
        <f>G56*AO56</f>
        <v>0</v>
      </c>
      <c r="BI56" s="26">
        <f>G56*AP56</f>
        <v>0</v>
      </c>
      <c r="BJ56" s="26">
        <f>G56*H56</f>
        <v>0</v>
      </c>
      <c r="BK56" s="26" t="s">
        <v>518</v>
      </c>
      <c r="BL56" s="46">
        <v>713</v>
      </c>
    </row>
    <row r="57" spans="1:15" ht="12.75">
      <c r="A57" s="5"/>
      <c r="D57" s="18" t="s">
        <v>284</v>
      </c>
      <c r="E57" s="20"/>
      <c r="G57" s="27">
        <v>17</v>
      </c>
      <c r="N57" s="41"/>
      <c r="O57" s="5"/>
    </row>
    <row r="58" spans="1:64" ht="12.75">
      <c r="A58" s="7" t="s">
        <v>25</v>
      </c>
      <c r="B58" s="16"/>
      <c r="C58" s="16" t="s">
        <v>142</v>
      </c>
      <c r="D58" s="108" t="s">
        <v>286</v>
      </c>
      <c r="E58" s="109"/>
      <c r="F58" s="16" t="s">
        <v>453</v>
      </c>
      <c r="G58" s="28">
        <v>35.7</v>
      </c>
      <c r="H58" s="194"/>
      <c r="I58" s="28">
        <f>G58*AO58</f>
        <v>0</v>
      </c>
      <c r="J58" s="28">
        <f>G58*AP58</f>
        <v>0</v>
      </c>
      <c r="K58" s="28">
        <f>G58*H58</f>
        <v>0</v>
      </c>
      <c r="L58" s="28">
        <v>0.00192</v>
      </c>
      <c r="M58" s="28">
        <f>G58*L58</f>
        <v>0.06854400000000001</v>
      </c>
      <c r="N58" s="95" t="s">
        <v>580</v>
      </c>
      <c r="O58" s="5"/>
      <c r="Z58" s="46">
        <f>IF(AQ58="5",BJ58,0)</f>
        <v>0</v>
      </c>
      <c r="AB58" s="46">
        <f>IF(AQ58="1",BH58,0)</f>
        <v>0</v>
      </c>
      <c r="AC58" s="46">
        <f>IF(AQ58="1",BI58,0)</f>
        <v>0</v>
      </c>
      <c r="AD58" s="46">
        <f>IF(AQ58="7",BH58,0)</f>
        <v>0</v>
      </c>
      <c r="AE58" s="46">
        <f>IF(AQ58="7",BI58,0)</f>
        <v>0</v>
      </c>
      <c r="AF58" s="46">
        <f>IF(AQ58="2",BH58,0)</f>
        <v>0</v>
      </c>
      <c r="AG58" s="46">
        <f>IF(AQ58="2",BI58,0)</f>
        <v>0</v>
      </c>
      <c r="AH58" s="46">
        <f>IF(AQ58="0",BJ58,0)</f>
        <v>0</v>
      </c>
      <c r="AI58" s="36"/>
      <c r="AJ58" s="28">
        <f>IF(AN58=0,K58,0)</f>
        <v>0</v>
      </c>
      <c r="AK58" s="28">
        <f>IF(AN58=15,K58,0)</f>
        <v>0</v>
      </c>
      <c r="AL58" s="28">
        <f>IF(AN58=21,K58,0)</f>
        <v>0</v>
      </c>
      <c r="AN58" s="46">
        <v>21</v>
      </c>
      <c r="AO58" s="46">
        <f>H58*1</f>
        <v>0</v>
      </c>
      <c r="AP58" s="46">
        <f>H58*(1-1)</f>
        <v>0</v>
      </c>
      <c r="AQ58" s="48" t="s">
        <v>13</v>
      </c>
      <c r="AV58" s="46">
        <f>AW58+AX58</f>
        <v>0</v>
      </c>
      <c r="AW58" s="46">
        <f>G58*AO58</f>
        <v>0</v>
      </c>
      <c r="AX58" s="46">
        <f>G58*AP58</f>
        <v>0</v>
      </c>
      <c r="AY58" s="49" t="s">
        <v>493</v>
      </c>
      <c r="AZ58" s="49" t="s">
        <v>509</v>
      </c>
      <c r="BA58" s="36" t="s">
        <v>513</v>
      </c>
      <c r="BC58" s="46">
        <f>AW58+AX58</f>
        <v>0</v>
      </c>
      <c r="BD58" s="46">
        <f>H58/(100-BE58)*100</f>
        <v>0</v>
      </c>
      <c r="BE58" s="46">
        <v>0</v>
      </c>
      <c r="BF58" s="46">
        <f>M58</f>
        <v>0.06854400000000001</v>
      </c>
      <c r="BH58" s="28">
        <f>G58*AO58</f>
        <v>0</v>
      </c>
      <c r="BI58" s="28">
        <f>G58*AP58</f>
        <v>0</v>
      </c>
      <c r="BJ58" s="28">
        <f>G58*H58</f>
        <v>0</v>
      </c>
      <c r="BK58" s="28" t="s">
        <v>519</v>
      </c>
      <c r="BL58" s="46">
        <v>713</v>
      </c>
    </row>
    <row r="59" spans="1:15" ht="12.75">
      <c r="A59" s="5"/>
      <c r="D59" s="18" t="s">
        <v>287</v>
      </c>
      <c r="E59" s="20" t="s">
        <v>437</v>
      </c>
      <c r="G59" s="27">
        <v>34</v>
      </c>
      <c r="N59" s="41"/>
      <c r="O59" s="5"/>
    </row>
    <row r="60" spans="1:15" ht="12.75">
      <c r="A60" s="5"/>
      <c r="D60" s="18" t="s">
        <v>288</v>
      </c>
      <c r="E60" s="20"/>
      <c r="G60" s="27">
        <v>1.7</v>
      </c>
      <c r="N60" s="41"/>
      <c r="O60" s="5"/>
    </row>
    <row r="61" spans="1:64" ht="12.75">
      <c r="A61" s="4" t="s">
        <v>26</v>
      </c>
      <c r="B61" s="14"/>
      <c r="C61" s="14" t="s">
        <v>143</v>
      </c>
      <c r="D61" s="101" t="s">
        <v>289</v>
      </c>
      <c r="E61" s="102"/>
      <c r="F61" s="14" t="s">
        <v>453</v>
      </c>
      <c r="G61" s="26">
        <v>127.5</v>
      </c>
      <c r="H61" s="193"/>
      <c r="I61" s="26">
        <f>G61*AO61</f>
        <v>0</v>
      </c>
      <c r="J61" s="26">
        <f>G61*AP61</f>
        <v>0</v>
      </c>
      <c r="K61" s="26">
        <f>G61*H61</f>
        <v>0</v>
      </c>
      <c r="L61" s="26">
        <v>0</v>
      </c>
      <c r="M61" s="26">
        <f>G61*L61</f>
        <v>0</v>
      </c>
      <c r="N61" s="95" t="s">
        <v>580</v>
      </c>
      <c r="O61" s="5"/>
      <c r="Z61" s="46">
        <f>IF(AQ61="5",BJ61,0)</f>
        <v>0</v>
      </c>
      <c r="AB61" s="46">
        <f>IF(AQ61="1",BH61,0)</f>
        <v>0</v>
      </c>
      <c r="AC61" s="46">
        <f>IF(AQ61="1",BI61,0)</f>
        <v>0</v>
      </c>
      <c r="AD61" s="46">
        <f>IF(AQ61="7",BH61,0)</f>
        <v>0</v>
      </c>
      <c r="AE61" s="46">
        <f>IF(AQ61="7",BI61,0)</f>
        <v>0</v>
      </c>
      <c r="AF61" s="46">
        <f>IF(AQ61="2",BH61,0)</f>
        <v>0</v>
      </c>
      <c r="AG61" s="46">
        <f>IF(AQ61="2",BI61,0)</f>
        <v>0</v>
      </c>
      <c r="AH61" s="46">
        <f>IF(AQ61="0",BJ61,0)</f>
        <v>0</v>
      </c>
      <c r="AI61" s="36"/>
      <c r="AJ61" s="26">
        <f>IF(AN61=0,K61,0)</f>
        <v>0</v>
      </c>
      <c r="AK61" s="26">
        <f>IF(AN61=15,K61,0)</f>
        <v>0</v>
      </c>
      <c r="AL61" s="26">
        <f>IF(AN61=21,K61,0)</f>
        <v>0</v>
      </c>
      <c r="AN61" s="46">
        <v>21</v>
      </c>
      <c r="AO61" s="46">
        <f>H61*0</f>
        <v>0</v>
      </c>
      <c r="AP61" s="46">
        <f>H61*(1-0)</f>
        <v>0</v>
      </c>
      <c r="AQ61" s="47" t="s">
        <v>13</v>
      </c>
      <c r="AV61" s="46">
        <f>AW61+AX61</f>
        <v>0</v>
      </c>
      <c r="AW61" s="46">
        <f>G61*AO61</f>
        <v>0</v>
      </c>
      <c r="AX61" s="46">
        <f>G61*AP61</f>
        <v>0</v>
      </c>
      <c r="AY61" s="49" t="s">
        <v>493</v>
      </c>
      <c r="AZ61" s="49" t="s">
        <v>509</v>
      </c>
      <c r="BA61" s="36" t="s">
        <v>513</v>
      </c>
      <c r="BC61" s="46">
        <f>AW61+AX61</f>
        <v>0</v>
      </c>
      <c r="BD61" s="46">
        <f>H61/(100-BE61)*100</f>
        <v>0</v>
      </c>
      <c r="BE61" s="46">
        <v>0</v>
      </c>
      <c r="BF61" s="46">
        <f>M61</f>
        <v>0</v>
      </c>
      <c r="BH61" s="26">
        <f>G61*AO61</f>
        <v>0</v>
      </c>
      <c r="BI61" s="26">
        <f>G61*AP61</f>
        <v>0</v>
      </c>
      <c r="BJ61" s="26">
        <f>G61*H61</f>
        <v>0</v>
      </c>
      <c r="BK61" s="26" t="s">
        <v>518</v>
      </c>
      <c r="BL61" s="46">
        <v>713</v>
      </c>
    </row>
    <row r="62" spans="1:15" ht="12.75">
      <c r="A62" s="5"/>
      <c r="D62" s="18" t="s">
        <v>280</v>
      </c>
      <c r="E62" s="20"/>
      <c r="G62" s="27">
        <v>127.5</v>
      </c>
      <c r="N62" s="41"/>
      <c r="O62" s="5"/>
    </row>
    <row r="63" spans="1:64" ht="12.75">
      <c r="A63" s="7" t="s">
        <v>27</v>
      </c>
      <c r="B63" s="16"/>
      <c r="C63" s="16" t="s">
        <v>144</v>
      </c>
      <c r="D63" s="108" t="s">
        <v>290</v>
      </c>
      <c r="E63" s="109"/>
      <c r="F63" s="16" t="s">
        <v>453</v>
      </c>
      <c r="G63" s="28">
        <v>267.75</v>
      </c>
      <c r="H63" s="194"/>
      <c r="I63" s="28">
        <f>G63*AO63</f>
        <v>0</v>
      </c>
      <c r="J63" s="28">
        <f>G63*AP63</f>
        <v>0</v>
      </c>
      <c r="K63" s="28">
        <f>G63*H63</f>
        <v>0</v>
      </c>
      <c r="L63" s="28">
        <v>0.0012</v>
      </c>
      <c r="M63" s="28">
        <f>G63*L63</f>
        <v>0.3213</v>
      </c>
      <c r="N63" s="95" t="s">
        <v>580</v>
      </c>
      <c r="O63" s="5"/>
      <c r="Z63" s="46">
        <f>IF(AQ63="5",BJ63,0)</f>
        <v>0</v>
      </c>
      <c r="AB63" s="46">
        <f>IF(AQ63="1",BH63,0)</f>
        <v>0</v>
      </c>
      <c r="AC63" s="46">
        <f>IF(AQ63="1",BI63,0)</f>
        <v>0</v>
      </c>
      <c r="AD63" s="46">
        <f>IF(AQ63="7",BH63,0)</f>
        <v>0</v>
      </c>
      <c r="AE63" s="46">
        <f>IF(AQ63="7",BI63,0)</f>
        <v>0</v>
      </c>
      <c r="AF63" s="46">
        <f>IF(AQ63="2",BH63,0)</f>
        <v>0</v>
      </c>
      <c r="AG63" s="46">
        <f>IF(AQ63="2",BI63,0)</f>
        <v>0</v>
      </c>
      <c r="AH63" s="46">
        <f>IF(AQ63="0",BJ63,0)</f>
        <v>0</v>
      </c>
      <c r="AI63" s="36"/>
      <c r="AJ63" s="28">
        <f>IF(AN63=0,K63,0)</f>
        <v>0</v>
      </c>
      <c r="AK63" s="28">
        <f>IF(AN63=15,K63,0)</f>
        <v>0</v>
      </c>
      <c r="AL63" s="28">
        <f>IF(AN63=21,K63,0)</f>
        <v>0</v>
      </c>
      <c r="AN63" s="46">
        <v>21</v>
      </c>
      <c r="AO63" s="46">
        <f>H63*1</f>
        <v>0</v>
      </c>
      <c r="AP63" s="46">
        <f>H63*(1-1)</f>
        <v>0</v>
      </c>
      <c r="AQ63" s="48" t="s">
        <v>13</v>
      </c>
      <c r="AV63" s="46">
        <f>AW63+AX63</f>
        <v>0</v>
      </c>
      <c r="AW63" s="46">
        <f>G63*AO63</f>
        <v>0</v>
      </c>
      <c r="AX63" s="46">
        <f>G63*AP63</f>
        <v>0</v>
      </c>
      <c r="AY63" s="49" t="s">
        <v>493</v>
      </c>
      <c r="AZ63" s="49" t="s">
        <v>509</v>
      </c>
      <c r="BA63" s="36" t="s">
        <v>513</v>
      </c>
      <c r="BC63" s="46">
        <f>AW63+AX63</f>
        <v>0</v>
      </c>
      <c r="BD63" s="46">
        <f>H63/(100-BE63)*100</f>
        <v>0</v>
      </c>
      <c r="BE63" s="46">
        <v>0</v>
      </c>
      <c r="BF63" s="46">
        <f>M63</f>
        <v>0.3213</v>
      </c>
      <c r="BH63" s="28">
        <f>G63*AO63</f>
        <v>0</v>
      </c>
      <c r="BI63" s="28">
        <f>G63*AP63</f>
        <v>0</v>
      </c>
      <c r="BJ63" s="28">
        <f>G63*H63</f>
        <v>0</v>
      </c>
      <c r="BK63" s="28" t="s">
        <v>519</v>
      </c>
      <c r="BL63" s="46">
        <v>713</v>
      </c>
    </row>
    <row r="64" spans="1:15" ht="12.75">
      <c r="A64" s="5"/>
      <c r="D64" s="18" t="s">
        <v>291</v>
      </c>
      <c r="E64" s="20" t="s">
        <v>437</v>
      </c>
      <c r="G64" s="27">
        <v>255</v>
      </c>
      <c r="N64" s="41"/>
      <c r="O64" s="5"/>
    </row>
    <row r="65" spans="1:15" ht="12.75">
      <c r="A65" s="5"/>
      <c r="D65" s="18" t="s">
        <v>292</v>
      </c>
      <c r="E65" s="20"/>
      <c r="G65" s="27">
        <v>12.75</v>
      </c>
      <c r="N65" s="41"/>
      <c r="O65" s="5"/>
    </row>
    <row r="66" spans="1:64" ht="12.75">
      <c r="A66" s="4" t="s">
        <v>28</v>
      </c>
      <c r="B66" s="14"/>
      <c r="C66" s="14" t="s">
        <v>145</v>
      </c>
      <c r="D66" s="101" t="s">
        <v>293</v>
      </c>
      <c r="E66" s="102"/>
      <c r="F66" s="14" t="s">
        <v>457</v>
      </c>
      <c r="G66" s="26">
        <v>0.39647</v>
      </c>
      <c r="H66" s="193"/>
      <c r="I66" s="26">
        <f>G66*AO66</f>
        <v>0</v>
      </c>
      <c r="J66" s="26">
        <f>G66*AP66</f>
        <v>0</v>
      </c>
      <c r="K66" s="26">
        <f>G66*H66</f>
        <v>0</v>
      </c>
      <c r="L66" s="26">
        <v>0</v>
      </c>
      <c r="M66" s="26">
        <f>G66*L66</f>
        <v>0</v>
      </c>
      <c r="N66" s="95" t="s">
        <v>580</v>
      </c>
      <c r="O66" s="5"/>
      <c r="Z66" s="46">
        <f>IF(AQ66="5",BJ66,0)</f>
        <v>0</v>
      </c>
      <c r="AB66" s="46">
        <f>IF(AQ66="1",BH66,0)</f>
        <v>0</v>
      </c>
      <c r="AC66" s="46">
        <f>IF(AQ66="1",BI66,0)</f>
        <v>0</v>
      </c>
      <c r="AD66" s="46">
        <f>IF(AQ66="7",BH66,0)</f>
        <v>0</v>
      </c>
      <c r="AE66" s="46">
        <f>IF(AQ66="7",BI66,0)</f>
        <v>0</v>
      </c>
      <c r="AF66" s="46">
        <f>IF(AQ66="2",BH66,0)</f>
        <v>0</v>
      </c>
      <c r="AG66" s="46">
        <f>IF(AQ66="2",BI66,0)</f>
        <v>0</v>
      </c>
      <c r="AH66" s="46">
        <f>IF(AQ66="0",BJ66,0)</f>
        <v>0</v>
      </c>
      <c r="AI66" s="36"/>
      <c r="AJ66" s="26">
        <f>IF(AN66=0,K66,0)</f>
        <v>0</v>
      </c>
      <c r="AK66" s="26">
        <f>IF(AN66=15,K66,0)</f>
        <v>0</v>
      </c>
      <c r="AL66" s="26">
        <f>IF(AN66=21,K66,0)</f>
        <v>0</v>
      </c>
      <c r="AN66" s="46">
        <v>21</v>
      </c>
      <c r="AO66" s="46">
        <f>H66*0</f>
        <v>0</v>
      </c>
      <c r="AP66" s="46">
        <f>H66*(1-0)</f>
        <v>0</v>
      </c>
      <c r="AQ66" s="47" t="s">
        <v>11</v>
      </c>
      <c r="AV66" s="46">
        <f>AW66+AX66</f>
        <v>0</v>
      </c>
      <c r="AW66" s="46">
        <f>G66*AO66</f>
        <v>0</v>
      </c>
      <c r="AX66" s="46">
        <f>G66*AP66</f>
        <v>0</v>
      </c>
      <c r="AY66" s="49" t="s">
        <v>493</v>
      </c>
      <c r="AZ66" s="49" t="s">
        <v>509</v>
      </c>
      <c r="BA66" s="36" t="s">
        <v>513</v>
      </c>
      <c r="BC66" s="46">
        <f>AW66+AX66</f>
        <v>0</v>
      </c>
      <c r="BD66" s="46">
        <f>H66/(100-BE66)*100</f>
        <v>0</v>
      </c>
      <c r="BE66" s="46">
        <v>0</v>
      </c>
      <c r="BF66" s="46">
        <f>M66</f>
        <v>0</v>
      </c>
      <c r="BH66" s="26">
        <f>G66*AO66</f>
        <v>0</v>
      </c>
      <c r="BI66" s="26">
        <f>G66*AP66</f>
        <v>0</v>
      </c>
      <c r="BJ66" s="26">
        <f>G66*H66</f>
        <v>0</v>
      </c>
      <c r="BK66" s="26" t="s">
        <v>518</v>
      </c>
      <c r="BL66" s="46">
        <v>713</v>
      </c>
    </row>
    <row r="67" spans="1:47" ht="12.75">
      <c r="A67" s="6"/>
      <c r="B67" s="15"/>
      <c r="C67" s="15" t="s">
        <v>146</v>
      </c>
      <c r="D67" s="106" t="s">
        <v>294</v>
      </c>
      <c r="E67" s="107"/>
      <c r="F67" s="24" t="s">
        <v>6</v>
      </c>
      <c r="G67" s="24" t="s">
        <v>6</v>
      </c>
      <c r="H67" s="24" t="s">
        <v>6</v>
      </c>
      <c r="I67" s="52">
        <f>SUM(I68:I84)</f>
        <v>0</v>
      </c>
      <c r="J67" s="52">
        <f>SUM(J68:J84)</f>
        <v>0</v>
      </c>
      <c r="K67" s="52">
        <f>SUM(K68:K84)</f>
        <v>0</v>
      </c>
      <c r="L67" s="36"/>
      <c r="M67" s="52">
        <f>SUM(M68:M84)</f>
        <v>5.284189999999999</v>
      </c>
      <c r="N67" s="42"/>
      <c r="O67" s="5"/>
      <c r="AI67" s="36"/>
      <c r="AS67" s="52">
        <f>SUM(AJ68:AJ84)</f>
        <v>0</v>
      </c>
      <c r="AT67" s="52">
        <f>SUM(AK68:AK84)</f>
        <v>0</v>
      </c>
      <c r="AU67" s="52">
        <f>SUM(AL68:AL84)</f>
        <v>0</v>
      </c>
    </row>
    <row r="68" spans="1:64" ht="12.75">
      <c r="A68" s="4" t="s">
        <v>29</v>
      </c>
      <c r="B68" s="14"/>
      <c r="C68" s="14" t="s">
        <v>147</v>
      </c>
      <c r="D68" s="101" t="s">
        <v>295</v>
      </c>
      <c r="E68" s="102"/>
      <c r="F68" s="14" t="s">
        <v>453</v>
      </c>
      <c r="G68" s="26">
        <v>127.5</v>
      </c>
      <c r="H68" s="193"/>
      <c r="I68" s="26">
        <f>G68*AO68</f>
        <v>0</v>
      </c>
      <c r="J68" s="26">
        <f>G68*AP68</f>
        <v>0</v>
      </c>
      <c r="K68" s="26">
        <f>G68*H68</f>
        <v>0</v>
      </c>
      <c r="L68" s="26">
        <v>0.007</v>
      </c>
      <c r="M68" s="26">
        <f>G68*L68</f>
        <v>0.8925000000000001</v>
      </c>
      <c r="N68" s="95" t="s">
        <v>580</v>
      </c>
      <c r="O68" s="5"/>
      <c r="Z68" s="46">
        <f>IF(AQ68="5",BJ68,0)</f>
        <v>0</v>
      </c>
      <c r="AB68" s="46">
        <f>IF(AQ68="1",BH68,0)</f>
        <v>0</v>
      </c>
      <c r="AC68" s="46">
        <f>IF(AQ68="1",BI68,0)</f>
        <v>0</v>
      </c>
      <c r="AD68" s="46">
        <f>IF(AQ68="7",BH68,0)</f>
        <v>0</v>
      </c>
      <c r="AE68" s="46">
        <f>IF(AQ68="7",BI68,0)</f>
        <v>0</v>
      </c>
      <c r="AF68" s="46">
        <f>IF(AQ68="2",BH68,0)</f>
        <v>0</v>
      </c>
      <c r="AG68" s="46">
        <f>IF(AQ68="2",BI68,0)</f>
        <v>0</v>
      </c>
      <c r="AH68" s="46">
        <f>IF(AQ68="0",BJ68,0)</f>
        <v>0</v>
      </c>
      <c r="AI68" s="36"/>
      <c r="AJ68" s="26">
        <f>IF(AN68=0,K68,0)</f>
        <v>0</v>
      </c>
      <c r="AK68" s="26">
        <f>IF(AN68=15,K68,0)</f>
        <v>0</v>
      </c>
      <c r="AL68" s="26">
        <f>IF(AN68=21,K68,0)</f>
        <v>0</v>
      </c>
      <c r="AN68" s="46">
        <v>21</v>
      </c>
      <c r="AO68" s="46">
        <f>H68*0</f>
        <v>0</v>
      </c>
      <c r="AP68" s="46">
        <f>H68*(1-0)</f>
        <v>0</v>
      </c>
      <c r="AQ68" s="47" t="s">
        <v>13</v>
      </c>
      <c r="AV68" s="46">
        <f>AW68+AX68</f>
        <v>0</v>
      </c>
      <c r="AW68" s="46">
        <f>G68*AO68</f>
        <v>0</v>
      </c>
      <c r="AX68" s="46">
        <f>G68*AP68</f>
        <v>0</v>
      </c>
      <c r="AY68" s="49" t="s">
        <v>494</v>
      </c>
      <c r="AZ68" s="49" t="s">
        <v>510</v>
      </c>
      <c r="BA68" s="36" t="s">
        <v>513</v>
      </c>
      <c r="BC68" s="46">
        <f>AW68+AX68</f>
        <v>0</v>
      </c>
      <c r="BD68" s="46">
        <f>H68/(100-BE68)*100</f>
        <v>0</v>
      </c>
      <c r="BE68" s="46">
        <v>0</v>
      </c>
      <c r="BF68" s="46">
        <f>M68</f>
        <v>0.8925000000000001</v>
      </c>
      <c r="BH68" s="26">
        <f>G68*AO68</f>
        <v>0</v>
      </c>
      <c r="BI68" s="26">
        <f>G68*AP68</f>
        <v>0</v>
      </c>
      <c r="BJ68" s="26">
        <f>G68*H68</f>
        <v>0</v>
      </c>
      <c r="BK68" s="26" t="s">
        <v>518</v>
      </c>
      <c r="BL68" s="46">
        <v>762</v>
      </c>
    </row>
    <row r="69" spans="1:15" ht="12.75">
      <c r="A69" s="5"/>
      <c r="D69" s="18" t="s">
        <v>280</v>
      </c>
      <c r="E69" s="20"/>
      <c r="G69" s="27">
        <v>127.5</v>
      </c>
      <c r="N69" s="41"/>
      <c r="O69" s="5"/>
    </row>
    <row r="70" spans="1:64" ht="12.75">
      <c r="A70" s="4" t="s">
        <v>30</v>
      </c>
      <c r="B70" s="14"/>
      <c r="C70" s="14" t="s">
        <v>148</v>
      </c>
      <c r="D70" s="101" t="s">
        <v>296</v>
      </c>
      <c r="E70" s="102"/>
      <c r="F70" s="14" t="s">
        <v>453</v>
      </c>
      <c r="G70" s="26">
        <v>127.5</v>
      </c>
      <c r="H70" s="193"/>
      <c r="I70" s="26">
        <f>G70*AO70</f>
        <v>0</v>
      </c>
      <c r="J70" s="26">
        <f>G70*AP70</f>
        <v>0</v>
      </c>
      <c r="K70" s="26">
        <f>G70*H70</f>
        <v>0</v>
      </c>
      <c r="L70" s="26">
        <v>0.015</v>
      </c>
      <c r="M70" s="26">
        <f>G70*L70</f>
        <v>1.9124999999999999</v>
      </c>
      <c r="N70" s="95" t="s">
        <v>580</v>
      </c>
      <c r="O70" s="5"/>
      <c r="Z70" s="46">
        <f>IF(AQ70="5",BJ70,0)</f>
        <v>0</v>
      </c>
      <c r="AB70" s="46">
        <f>IF(AQ70="1",BH70,0)</f>
        <v>0</v>
      </c>
      <c r="AC70" s="46">
        <f>IF(AQ70="1",BI70,0)</f>
        <v>0</v>
      </c>
      <c r="AD70" s="46">
        <f>IF(AQ70="7",BH70,0)</f>
        <v>0</v>
      </c>
      <c r="AE70" s="46">
        <f>IF(AQ70="7",BI70,0)</f>
        <v>0</v>
      </c>
      <c r="AF70" s="46">
        <f>IF(AQ70="2",BH70,0)</f>
        <v>0</v>
      </c>
      <c r="AG70" s="46">
        <f>IF(AQ70="2",BI70,0)</f>
        <v>0</v>
      </c>
      <c r="AH70" s="46">
        <f>IF(AQ70="0",BJ70,0)</f>
        <v>0</v>
      </c>
      <c r="AI70" s="36"/>
      <c r="AJ70" s="26">
        <f>IF(AN70=0,K70,0)</f>
        <v>0</v>
      </c>
      <c r="AK70" s="26">
        <f>IF(AN70=15,K70,0)</f>
        <v>0</v>
      </c>
      <c r="AL70" s="26">
        <f>IF(AN70=21,K70,0)</f>
        <v>0</v>
      </c>
      <c r="AN70" s="46">
        <v>21</v>
      </c>
      <c r="AO70" s="46">
        <f>H70*0</f>
        <v>0</v>
      </c>
      <c r="AP70" s="46">
        <f>H70*(1-0)</f>
        <v>0</v>
      </c>
      <c r="AQ70" s="47" t="s">
        <v>13</v>
      </c>
      <c r="AV70" s="46">
        <f>AW70+AX70</f>
        <v>0</v>
      </c>
      <c r="AW70" s="46">
        <f>G70*AO70</f>
        <v>0</v>
      </c>
      <c r="AX70" s="46">
        <f>G70*AP70</f>
        <v>0</v>
      </c>
      <c r="AY70" s="49" t="s">
        <v>494</v>
      </c>
      <c r="AZ70" s="49" t="s">
        <v>510</v>
      </c>
      <c r="BA70" s="36" t="s">
        <v>513</v>
      </c>
      <c r="BC70" s="46">
        <f>AW70+AX70</f>
        <v>0</v>
      </c>
      <c r="BD70" s="46">
        <f>H70/(100-BE70)*100</f>
        <v>0</v>
      </c>
      <c r="BE70" s="46">
        <v>0</v>
      </c>
      <c r="BF70" s="46">
        <f>M70</f>
        <v>1.9124999999999999</v>
      </c>
      <c r="BH70" s="26">
        <f>G70*AO70</f>
        <v>0</v>
      </c>
      <c r="BI70" s="26">
        <f>G70*AP70</f>
        <v>0</v>
      </c>
      <c r="BJ70" s="26">
        <f>G70*H70</f>
        <v>0</v>
      </c>
      <c r="BK70" s="26" t="s">
        <v>518</v>
      </c>
      <c r="BL70" s="46">
        <v>762</v>
      </c>
    </row>
    <row r="71" spans="1:15" ht="12.75">
      <c r="A71" s="5"/>
      <c r="D71" s="18" t="s">
        <v>280</v>
      </c>
      <c r="E71" s="20"/>
      <c r="G71" s="27">
        <v>127.5</v>
      </c>
      <c r="N71" s="41"/>
      <c r="O71" s="5"/>
    </row>
    <row r="72" spans="1:64" ht="12.75">
      <c r="A72" s="4" t="s">
        <v>31</v>
      </c>
      <c r="B72" s="14"/>
      <c r="C72" s="14" t="s">
        <v>149</v>
      </c>
      <c r="D72" s="101" t="s">
        <v>297</v>
      </c>
      <c r="E72" s="102"/>
      <c r="F72" s="14" t="s">
        <v>453</v>
      </c>
      <c r="G72" s="26">
        <v>146.2</v>
      </c>
      <c r="H72" s="193"/>
      <c r="I72" s="26">
        <f>G72*AO72</f>
        <v>0</v>
      </c>
      <c r="J72" s="26">
        <f>G72*AP72</f>
        <v>0</v>
      </c>
      <c r="K72" s="26">
        <f>G72*H72</f>
        <v>0</v>
      </c>
      <c r="L72" s="26">
        <v>0.01452</v>
      </c>
      <c r="M72" s="26">
        <f>G72*L72</f>
        <v>2.122824</v>
      </c>
      <c r="N72" s="95" t="s">
        <v>580</v>
      </c>
      <c r="O72" s="5"/>
      <c r="Z72" s="46">
        <f>IF(AQ72="5",BJ72,0)</f>
        <v>0</v>
      </c>
      <c r="AB72" s="46">
        <f>IF(AQ72="1",BH72,0)</f>
        <v>0</v>
      </c>
      <c r="AC72" s="46">
        <f>IF(AQ72="1",BI72,0)</f>
        <v>0</v>
      </c>
      <c r="AD72" s="46">
        <f>IF(AQ72="7",BH72,0)</f>
        <v>0</v>
      </c>
      <c r="AE72" s="46">
        <f>IF(AQ72="7",BI72,0)</f>
        <v>0</v>
      </c>
      <c r="AF72" s="46">
        <f>IF(AQ72="2",BH72,0)</f>
        <v>0</v>
      </c>
      <c r="AG72" s="46">
        <f>IF(AQ72="2",BI72,0)</f>
        <v>0</v>
      </c>
      <c r="AH72" s="46">
        <f>IF(AQ72="0",BJ72,0)</f>
        <v>0</v>
      </c>
      <c r="AI72" s="36"/>
      <c r="AJ72" s="26">
        <f>IF(AN72=0,K72,0)</f>
        <v>0</v>
      </c>
      <c r="AK72" s="26">
        <f>IF(AN72=15,K72,0)</f>
        <v>0</v>
      </c>
      <c r="AL72" s="26">
        <f>IF(AN72=21,K72,0)</f>
        <v>0</v>
      </c>
      <c r="AN72" s="46">
        <v>21</v>
      </c>
      <c r="AO72" s="46">
        <f>H72*0.536491228070175</f>
        <v>0</v>
      </c>
      <c r="AP72" s="46">
        <f>H72*(1-0.536491228070175)</f>
        <v>0</v>
      </c>
      <c r="AQ72" s="47" t="s">
        <v>13</v>
      </c>
      <c r="AV72" s="46">
        <f>AW72+AX72</f>
        <v>0</v>
      </c>
      <c r="AW72" s="46">
        <f>G72*AO72</f>
        <v>0</v>
      </c>
      <c r="AX72" s="46">
        <f>G72*AP72</f>
        <v>0</v>
      </c>
      <c r="AY72" s="49" t="s">
        <v>494</v>
      </c>
      <c r="AZ72" s="49" t="s">
        <v>510</v>
      </c>
      <c r="BA72" s="36" t="s">
        <v>513</v>
      </c>
      <c r="BC72" s="46">
        <f>AW72+AX72</f>
        <v>0</v>
      </c>
      <c r="BD72" s="46">
        <f>H72/(100-BE72)*100</f>
        <v>0</v>
      </c>
      <c r="BE72" s="46">
        <v>0</v>
      </c>
      <c r="BF72" s="46">
        <f>M72</f>
        <v>2.122824</v>
      </c>
      <c r="BH72" s="26">
        <f>G72*AO72</f>
        <v>0</v>
      </c>
      <c r="BI72" s="26">
        <f>G72*AP72</f>
        <v>0</v>
      </c>
      <c r="BJ72" s="26">
        <f>G72*H72</f>
        <v>0</v>
      </c>
      <c r="BK72" s="26" t="s">
        <v>518</v>
      </c>
      <c r="BL72" s="46">
        <v>762</v>
      </c>
    </row>
    <row r="73" spans="1:15" ht="12.75">
      <c r="A73" s="5"/>
      <c r="D73" s="18" t="s">
        <v>298</v>
      </c>
      <c r="E73" s="20"/>
      <c r="G73" s="27">
        <v>146.2</v>
      </c>
      <c r="N73" s="41"/>
      <c r="O73" s="5"/>
    </row>
    <row r="74" spans="1:64" ht="12.75">
      <c r="A74" s="4" t="s">
        <v>32</v>
      </c>
      <c r="B74" s="14"/>
      <c r="C74" s="14" t="s">
        <v>150</v>
      </c>
      <c r="D74" s="101" t="s">
        <v>299</v>
      </c>
      <c r="E74" s="102"/>
      <c r="F74" s="14" t="s">
        <v>453</v>
      </c>
      <c r="G74" s="26">
        <v>146.2</v>
      </c>
      <c r="H74" s="193"/>
      <c r="I74" s="26">
        <f>G74*AO74</f>
        <v>0</v>
      </c>
      <c r="J74" s="26">
        <f>G74*AP74</f>
        <v>0</v>
      </c>
      <c r="K74" s="26">
        <f>G74*H74</f>
        <v>0</v>
      </c>
      <c r="L74" s="26">
        <v>0.00093</v>
      </c>
      <c r="M74" s="26">
        <f>G74*L74</f>
        <v>0.135966</v>
      </c>
      <c r="N74" s="95" t="s">
        <v>580</v>
      </c>
      <c r="O74" s="5"/>
      <c r="Z74" s="46">
        <f>IF(AQ74="5",BJ74,0)</f>
        <v>0</v>
      </c>
      <c r="AB74" s="46">
        <f>IF(AQ74="1",BH74,0)</f>
        <v>0</v>
      </c>
      <c r="AC74" s="46">
        <f>IF(AQ74="1",BI74,0)</f>
        <v>0</v>
      </c>
      <c r="AD74" s="46">
        <f>IF(AQ74="7",BH74,0)</f>
        <v>0</v>
      </c>
      <c r="AE74" s="46">
        <f>IF(AQ74="7",BI74,0)</f>
        <v>0</v>
      </c>
      <c r="AF74" s="46">
        <f>IF(AQ74="2",BH74,0)</f>
        <v>0</v>
      </c>
      <c r="AG74" s="46">
        <f>IF(AQ74="2",BI74,0)</f>
        <v>0</v>
      </c>
      <c r="AH74" s="46">
        <f>IF(AQ74="0",BJ74,0)</f>
        <v>0</v>
      </c>
      <c r="AI74" s="36"/>
      <c r="AJ74" s="26">
        <f>IF(AN74=0,K74,0)</f>
        <v>0</v>
      </c>
      <c r="AK74" s="26">
        <f>IF(AN74=15,K74,0)</f>
        <v>0</v>
      </c>
      <c r="AL74" s="26">
        <f>IF(AN74=21,K74,0)</f>
        <v>0</v>
      </c>
      <c r="AN74" s="46">
        <v>21</v>
      </c>
      <c r="AO74" s="46">
        <f>H74*0.504286125287701</f>
        <v>0</v>
      </c>
      <c r="AP74" s="46">
        <f>H74*(1-0.504286125287701)</f>
        <v>0</v>
      </c>
      <c r="AQ74" s="47" t="s">
        <v>13</v>
      </c>
      <c r="AV74" s="46">
        <f>AW74+AX74</f>
        <v>0</v>
      </c>
      <c r="AW74" s="46">
        <f>G74*AO74</f>
        <v>0</v>
      </c>
      <c r="AX74" s="46">
        <f>G74*AP74</f>
        <v>0</v>
      </c>
      <c r="AY74" s="49" t="s">
        <v>494</v>
      </c>
      <c r="AZ74" s="49" t="s">
        <v>510</v>
      </c>
      <c r="BA74" s="36" t="s">
        <v>513</v>
      </c>
      <c r="BC74" s="46">
        <f>AW74+AX74</f>
        <v>0</v>
      </c>
      <c r="BD74" s="46">
        <f>H74/(100-BE74)*100</f>
        <v>0</v>
      </c>
      <c r="BE74" s="46">
        <v>0</v>
      </c>
      <c r="BF74" s="46">
        <f>M74</f>
        <v>0.135966</v>
      </c>
      <c r="BH74" s="26">
        <f>G74*AO74</f>
        <v>0</v>
      </c>
      <c r="BI74" s="26">
        <f>G74*AP74</f>
        <v>0</v>
      </c>
      <c r="BJ74" s="26">
        <f>G74*H74</f>
        <v>0</v>
      </c>
      <c r="BK74" s="26" t="s">
        <v>518</v>
      </c>
      <c r="BL74" s="46">
        <v>762</v>
      </c>
    </row>
    <row r="75" spans="1:15" ht="12.75">
      <c r="A75" s="5"/>
      <c r="D75" s="18" t="s">
        <v>298</v>
      </c>
      <c r="E75" s="20"/>
      <c r="G75" s="27">
        <v>146.2</v>
      </c>
      <c r="N75" s="41"/>
      <c r="O75" s="5"/>
    </row>
    <row r="76" spans="1:64" ht="12.75">
      <c r="A76" s="4" t="s">
        <v>33</v>
      </c>
      <c r="B76" s="14"/>
      <c r="C76" s="14" t="s">
        <v>151</v>
      </c>
      <c r="D76" s="101" t="s">
        <v>300</v>
      </c>
      <c r="E76" s="102"/>
      <c r="F76" s="14" t="s">
        <v>455</v>
      </c>
      <c r="G76" s="26">
        <v>20</v>
      </c>
      <c r="H76" s="193"/>
      <c r="I76" s="26">
        <f>G76*AO76</f>
        <v>0</v>
      </c>
      <c r="J76" s="26">
        <f>G76*AP76</f>
        <v>0</v>
      </c>
      <c r="K76" s="26">
        <f>G76*H76</f>
        <v>0</v>
      </c>
      <c r="L76" s="26">
        <v>0.00712</v>
      </c>
      <c r="M76" s="26">
        <f>G76*L76</f>
        <v>0.1424</v>
      </c>
      <c r="N76" s="95" t="s">
        <v>580</v>
      </c>
      <c r="O76" s="5"/>
      <c r="Z76" s="46">
        <f>IF(AQ76="5",BJ76,0)</f>
        <v>0</v>
      </c>
      <c r="AB76" s="46">
        <f>IF(AQ76="1",BH76,0)</f>
        <v>0</v>
      </c>
      <c r="AC76" s="46">
        <f>IF(AQ76="1",BI76,0)</f>
        <v>0</v>
      </c>
      <c r="AD76" s="46">
        <f>IF(AQ76="7",BH76,0)</f>
        <v>0</v>
      </c>
      <c r="AE76" s="46">
        <f>IF(AQ76="7",BI76,0)</f>
        <v>0</v>
      </c>
      <c r="AF76" s="46">
        <f>IF(AQ76="2",BH76,0)</f>
        <v>0</v>
      </c>
      <c r="AG76" s="46">
        <f>IF(AQ76="2",BI76,0)</f>
        <v>0</v>
      </c>
      <c r="AH76" s="46">
        <f>IF(AQ76="0",BJ76,0)</f>
        <v>0</v>
      </c>
      <c r="AI76" s="36"/>
      <c r="AJ76" s="26">
        <f>IF(AN76=0,K76,0)</f>
        <v>0</v>
      </c>
      <c r="AK76" s="26">
        <f>IF(AN76=15,K76,0)</f>
        <v>0</v>
      </c>
      <c r="AL76" s="26">
        <f>IF(AN76=21,K76,0)</f>
        <v>0</v>
      </c>
      <c r="AN76" s="46">
        <v>21</v>
      </c>
      <c r="AO76" s="46">
        <f>H76*0.309795918367347</f>
        <v>0</v>
      </c>
      <c r="AP76" s="46">
        <f>H76*(1-0.309795918367347)</f>
        <v>0</v>
      </c>
      <c r="AQ76" s="47" t="s">
        <v>13</v>
      </c>
      <c r="AV76" s="46">
        <f>AW76+AX76</f>
        <v>0</v>
      </c>
      <c r="AW76" s="46">
        <f>G76*AO76</f>
        <v>0</v>
      </c>
      <c r="AX76" s="46">
        <f>G76*AP76</f>
        <v>0</v>
      </c>
      <c r="AY76" s="49" t="s">
        <v>494</v>
      </c>
      <c r="AZ76" s="49" t="s">
        <v>510</v>
      </c>
      <c r="BA76" s="36" t="s">
        <v>513</v>
      </c>
      <c r="BC76" s="46">
        <f>AW76+AX76</f>
        <v>0</v>
      </c>
      <c r="BD76" s="46">
        <f>H76/(100-BE76)*100</f>
        <v>0</v>
      </c>
      <c r="BE76" s="46">
        <v>0</v>
      </c>
      <c r="BF76" s="46">
        <f>M76</f>
        <v>0.1424</v>
      </c>
      <c r="BH76" s="26">
        <f>G76*AO76</f>
        <v>0</v>
      </c>
      <c r="BI76" s="26">
        <f>G76*AP76</f>
        <v>0</v>
      </c>
      <c r="BJ76" s="26">
        <f>G76*H76</f>
        <v>0</v>
      </c>
      <c r="BK76" s="26" t="s">
        <v>518</v>
      </c>
      <c r="BL76" s="46">
        <v>762</v>
      </c>
    </row>
    <row r="77" spans="1:15" ht="12.75">
      <c r="A77" s="5"/>
      <c r="D77" s="18" t="s">
        <v>301</v>
      </c>
      <c r="E77" s="20"/>
      <c r="G77" s="27">
        <v>20</v>
      </c>
      <c r="N77" s="41"/>
      <c r="O77" s="5"/>
    </row>
    <row r="78" spans="1:64" ht="12.75">
      <c r="A78" s="4" t="s">
        <v>34</v>
      </c>
      <c r="B78" s="14"/>
      <c r="C78" s="14" t="s">
        <v>152</v>
      </c>
      <c r="D78" s="101" t="s">
        <v>302</v>
      </c>
      <c r="E78" s="102"/>
      <c r="F78" s="14" t="s">
        <v>454</v>
      </c>
      <c r="G78" s="26">
        <v>20</v>
      </c>
      <c r="H78" s="193"/>
      <c r="I78" s="26">
        <f>G78*AO78</f>
        <v>0</v>
      </c>
      <c r="J78" s="26">
        <f>G78*AP78</f>
        <v>0</v>
      </c>
      <c r="K78" s="26">
        <f>G78*H78</f>
        <v>0</v>
      </c>
      <c r="L78" s="26">
        <v>0.00332</v>
      </c>
      <c r="M78" s="26">
        <f>G78*L78</f>
        <v>0.0664</v>
      </c>
      <c r="N78" s="95" t="s">
        <v>580</v>
      </c>
      <c r="O78" s="5"/>
      <c r="Z78" s="46">
        <f>IF(AQ78="5",BJ78,0)</f>
        <v>0</v>
      </c>
      <c r="AB78" s="46">
        <f>IF(AQ78="1",BH78,0)</f>
        <v>0</v>
      </c>
      <c r="AC78" s="46">
        <f>IF(AQ78="1",BI78,0)</f>
        <v>0</v>
      </c>
      <c r="AD78" s="46">
        <f>IF(AQ78="7",BH78,0)</f>
        <v>0</v>
      </c>
      <c r="AE78" s="46">
        <f>IF(AQ78="7",BI78,0)</f>
        <v>0</v>
      </c>
      <c r="AF78" s="46">
        <f>IF(AQ78="2",BH78,0)</f>
        <v>0</v>
      </c>
      <c r="AG78" s="46">
        <f>IF(AQ78="2",BI78,0)</f>
        <v>0</v>
      </c>
      <c r="AH78" s="46">
        <f>IF(AQ78="0",BJ78,0)</f>
        <v>0</v>
      </c>
      <c r="AI78" s="36"/>
      <c r="AJ78" s="26">
        <f>IF(AN78=0,K78,0)</f>
        <v>0</v>
      </c>
      <c r="AK78" s="26">
        <f>IF(AN78=15,K78,0)</f>
        <v>0</v>
      </c>
      <c r="AL78" s="26">
        <f>IF(AN78=21,K78,0)</f>
        <v>0</v>
      </c>
      <c r="AN78" s="46">
        <v>21</v>
      </c>
      <c r="AO78" s="46">
        <f>H78*0.0646786632390745</f>
        <v>0</v>
      </c>
      <c r="AP78" s="46">
        <f>H78*(1-0.0646786632390745)</f>
        <v>0</v>
      </c>
      <c r="AQ78" s="47" t="s">
        <v>13</v>
      </c>
      <c r="AV78" s="46">
        <f>AW78+AX78</f>
        <v>0</v>
      </c>
      <c r="AW78" s="46">
        <f>G78*AO78</f>
        <v>0</v>
      </c>
      <c r="AX78" s="46">
        <f>G78*AP78</f>
        <v>0</v>
      </c>
      <c r="AY78" s="49" t="s">
        <v>494</v>
      </c>
      <c r="AZ78" s="49" t="s">
        <v>510</v>
      </c>
      <c r="BA78" s="36" t="s">
        <v>513</v>
      </c>
      <c r="BC78" s="46">
        <f>AW78+AX78</f>
        <v>0</v>
      </c>
      <c r="BD78" s="46">
        <f>H78/(100-BE78)*100</f>
        <v>0</v>
      </c>
      <c r="BE78" s="46">
        <v>0</v>
      </c>
      <c r="BF78" s="46">
        <f>M78</f>
        <v>0.0664</v>
      </c>
      <c r="BH78" s="26">
        <f>G78*AO78</f>
        <v>0</v>
      </c>
      <c r="BI78" s="26">
        <f>G78*AP78</f>
        <v>0</v>
      </c>
      <c r="BJ78" s="26">
        <f>G78*H78</f>
        <v>0</v>
      </c>
      <c r="BK78" s="26" t="s">
        <v>518</v>
      </c>
      <c r="BL78" s="46">
        <v>762</v>
      </c>
    </row>
    <row r="79" spans="1:15" ht="12.75">
      <c r="A79" s="5"/>
      <c r="D79" s="18" t="s">
        <v>26</v>
      </c>
      <c r="E79" s="20"/>
      <c r="G79" s="27">
        <v>20</v>
      </c>
      <c r="N79" s="41"/>
      <c r="O79" s="5"/>
    </row>
    <row r="80" spans="1:64" ht="12.75">
      <c r="A80" s="7" t="s">
        <v>35</v>
      </c>
      <c r="B80" s="16"/>
      <c r="C80" s="16" t="s">
        <v>153</v>
      </c>
      <c r="D80" s="108" t="s">
        <v>303</v>
      </c>
      <c r="E80" s="109"/>
      <c r="F80" s="16" t="s">
        <v>454</v>
      </c>
      <c r="G80" s="28">
        <v>20</v>
      </c>
      <c r="H80" s="194"/>
      <c r="I80" s="28">
        <f>G80*AO80</f>
        <v>0</v>
      </c>
      <c r="J80" s="28">
        <f>G80*AP80</f>
        <v>0</v>
      </c>
      <c r="K80" s="28">
        <f>G80*H80</f>
        <v>0</v>
      </c>
      <c r="L80" s="28">
        <v>0.00058</v>
      </c>
      <c r="M80" s="28">
        <f>G80*L80</f>
        <v>0.0116</v>
      </c>
      <c r="N80" s="95" t="s">
        <v>580</v>
      </c>
      <c r="O80" s="5"/>
      <c r="Z80" s="46">
        <f>IF(AQ80="5",BJ80,0)</f>
        <v>0</v>
      </c>
      <c r="AB80" s="46">
        <f>IF(AQ80="1",BH80,0)</f>
        <v>0</v>
      </c>
      <c r="AC80" s="46">
        <f>IF(AQ80="1",BI80,0)</f>
        <v>0</v>
      </c>
      <c r="AD80" s="46">
        <f>IF(AQ80="7",BH80,0)</f>
        <v>0</v>
      </c>
      <c r="AE80" s="46">
        <f>IF(AQ80="7",BI80,0)</f>
        <v>0</v>
      </c>
      <c r="AF80" s="46">
        <f>IF(AQ80="2",BH80,0)</f>
        <v>0</v>
      </c>
      <c r="AG80" s="46">
        <f>IF(AQ80="2",BI80,0)</f>
        <v>0</v>
      </c>
      <c r="AH80" s="46">
        <f>IF(AQ80="0",BJ80,0)</f>
        <v>0</v>
      </c>
      <c r="AI80" s="36"/>
      <c r="AJ80" s="28">
        <f>IF(AN80=0,K80,0)</f>
        <v>0</v>
      </c>
      <c r="AK80" s="28">
        <f>IF(AN80=15,K80,0)</f>
        <v>0</v>
      </c>
      <c r="AL80" s="28">
        <f>IF(AN80=21,K80,0)</f>
        <v>0</v>
      </c>
      <c r="AN80" s="46">
        <v>21</v>
      </c>
      <c r="AO80" s="46">
        <f>H80*1</f>
        <v>0</v>
      </c>
      <c r="AP80" s="46">
        <f>H80*(1-1)</f>
        <v>0</v>
      </c>
      <c r="AQ80" s="48" t="s">
        <v>13</v>
      </c>
      <c r="AV80" s="46">
        <f>AW80+AX80</f>
        <v>0</v>
      </c>
      <c r="AW80" s="46">
        <f>G80*AO80</f>
        <v>0</v>
      </c>
      <c r="AX80" s="46">
        <f>G80*AP80</f>
        <v>0</v>
      </c>
      <c r="AY80" s="49" t="s">
        <v>494</v>
      </c>
      <c r="AZ80" s="49" t="s">
        <v>510</v>
      </c>
      <c r="BA80" s="36" t="s">
        <v>513</v>
      </c>
      <c r="BC80" s="46">
        <f>AW80+AX80</f>
        <v>0</v>
      </c>
      <c r="BD80" s="46">
        <f>H80/(100-BE80)*100</f>
        <v>0</v>
      </c>
      <c r="BE80" s="46">
        <v>0</v>
      </c>
      <c r="BF80" s="46">
        <f>M80</f>
        <v>0.0116</v>
      </c>
      <c r="BH80" s="28">
        <f>G80*AO80</f>
        <v>0</v>
      </c>
      <c r="BI80" s="28">
        <f>G80*AP80</f>
        <v>0</v>
      </c>
      <c r="BJ80" s="28">
        <f>G80*H80</f>
        <v>0</v>
      </c>
      <c r="BK80" s="28" t="s">
        <v>519</v>
      </c>
      <c r="BL80" s="46">
        <v>762</v>
      </c>
    </row>
    <row r="81" spans="1:15" ht="12.75">
      <c r="A81" s="5"/>
      <c r="D81" s="18" t="s">
        <v>26</v>
      </c>
      <c r="E81" s="20"/>
      <c r="G81" s="27">
        <v>20</v>
      </c>
      <c r="N81" s="41"/>
      <c r="O81" s="5"/>
    </row>
    <row r="82" spans="1:64" ht="12.75">
      <c r="A82" s="4" t="s">
        <v>36</v>
      </c>
      <c r="B82" s="14"/>
      <c r="C82" s="14" t="s">
        <v>154</v>
      </c>
      <c r="D82" s="101" t="s">
        <v>304</v>
      </c>
      <c r="E82" s="102"/>
      <c r="F82" s="14" t="s">
        <v>458</v>
      </c>
      <c r="G82" s="26">
        <v>1</v>
      </c>
      <c r="H82" s="193"/>
      <c r="I82" s="26">
        <f>G82*AO82</f>
        <v>0</v>
      </c>
      <c r="J82" s="26">
        <f>G82*AP82</f>
        <v>0</v>
      </c>
      <c r="K82" s="26">
        <f>G82*H82</f>
        <v>0</v>
      </c>
      <c r="L82" s="26">
        <v>0</v>
      </c>
      <c r="M82" s="26">
        <f>G82*L82</f>
        <v>0</v>
      </c>
      <c r="N82" s="40"/>
      <c r="O82" s="5"/>
      <c r="Z82" s="46">
        <f>IF(AQ82="5",BJ82,0)</f>
        <v>0</v>
      </c>
      <c r="AB82" s="46">
        <f>IF(AQ82="1",BH82,0)</f>
        <v>0</v>
      </c>
      <c r="AC82" s="46">
        <f>IF(AQ82="1",BI82,0)</f>
        <v>0</v>
      </c>
      <c r="AD82" s="46">
        <f>IF(AQ82="7",BH82,0)</f>
        <v>0</v>
      </c>
      <c r="AE82" s="46">
        <f>IF(AQ82="7",BI82,0)</f>
        <v>0</v>
      </c>
      <c r="AF82" s="46">
        <f>IF(AQ82="2",BH82,0)</f>
        <v>0</v>
      </c>
      <c r="AG82" s="46">
        <f>IF(AQ82="2",BI82,0)</f>
        <v>0</v>
      </c>
      <c r="AH82" s="46">
        <f>IF(AQ82="0",BJ82,0)</f>
        <v>0</v>
      </c>
      <c r="AI82" s="36"/>
      <c r="AJ82" s="26">
        <f>IF(AN82=0,K82,0)</f>
        <v>0</v>
      </c>
      <c r="AK82" s="26">
        <f>IF(AN82=15,K82,0)</f>
        <v>0</v>
      </c>
      <c r="AL82" s="26">
        <f>IF(AN82=21,K82,0)</f>
        <v>0</v>
      </c>
      <c r="AN82" s="46">
        <v>21</v>
      </c>
      <c r="AO82" s="46">
        <f>H82*0</f>
        <v>0</v>
      </c>
      <c r="AP82" s="46">
        <f>H82*(1-0)</f>
        <v>0</v>
      </c>
      <c r="AQ82" s="47" t="s">
        <v>13</v>
      </c>
      <c r="AV82" s="46">
        <f>AW82+AX82</f>
        <v>0</v>
      </c>
      <c r="AW82" s="46">
        <f>G82*AO82</f>
        <v>0</v>
      </c>
      <c r="AX82" s="46">
        <f>G82*AP82</f>
        <v>0</v>
      </c>
      <c r="AY82" s="49" t="s">
        <v>494</v>
      </c>
      <c r="AZ82" s="49" t="s">
        <v>510</v>
      </c>
      <c r="BA82" s="36" t="s">
        <v>513</v>
      </c>
      <c r="BC82" s="46">
        <f>AW82+AX82</f>
        <v>0</v>
      </c>
      <c r="BD82" s="46">
        <f>H82/(100-BE82)*100</f>
        <v>0</v>
      </c>
      <c r="BE82" s="46">
        <v>0</v>
      </c>
      <c r="BF82" s="46">
        <f>M82</f>
        <v>0</v>
      </c>
      <c r="BH82" s="26">
        <f>G82*AO82</f>
        <v>0</v>
      </c>
      <c r="BI82" s="26">
        <f>G82*AP82</f>
        <v>0</v>
      </c>
      <c r="BJ82" s="26">
        <f>G82*H82</f>
        <v>0</v>
      </c>
      <c r="BK82" s="26" t="s">
        <v>518</v>
      </c>
      <c r="BL82" s="46">
        <v>762</v>
      </c>
    </row>
    <row r="83" spans="1:15" ht="12.75">
      <c r="A83" s="5"/>
      <c r="D83" s="18" t="s">
        <v>7</v>
      </c>
      <c r="E83" s="20" t="s">
        <v>438</v>
      </c>
      <c r="G83" s="27">
        <v>1</v>
      </c>
      <c r="N83" s="41"/>
      <c r="O83" s="5"/>
    </row>
    <row r="84" spans="1:64" ht="12.75">
      <c r="A84" s="4" t="s">
        <v>37</v>
      </c>
      <c r="B84" s="14"/>
      <c r="C84" s="14" t="s">
        <v>155</v>
      </c>
      <c r="D84" s="101" t="s">
        <v>305</v>
      </c>
      <c r="E84" s="102"/>
      <c r="F84" s="14" t="s">
        <v>457</v>
      </c>
      <c r="G84" s="26">
        <v>5.28419</v>
      </c>
      <c r="H84" s="193"/>
      <c r="I84" s="26">
        <f>G84*AO84</f>
        <v>0</v>
      </c>
      <c r="J84" s="26">
        <f>G84*AP84</f>
        <v>0</v>
      </c>
      <c r="K84" s="26">
        <f>G84*H84</f>
        <v>0</v>
      </c>
      <c r="L84" s="26">
        <v>0</v>
      </c>
      <c r="M84" s="26">
        <f>G84*L84</f>
        <v>0</v>
      </c>
      <c r="N84" s="95" t="s">
        <v>580</v>
      </c>
      <c r="O84" s="5"/>
      <c r="Z84" s="46">
        <f>IF(AQ84="5",BJ84,0)</f>
        <v>0</v>
      </c>
      <c r="AB84" s="46">
        <f>IF(AQ84="1",BH84,0)</f>
        <v>0</v>
      </c>
      <c r="AC84" s="46">
        <f>IF(AQ84="1",BI84,0)</f>
        <v>0</v>
      </c>
      <c r="AD84" s="46">
        <f>IF(AQ84="7",BH84,0)</f>
        <v>0</v>
      </c>
      <c r="AE84" s="46">
        <f>IF(AQ84="7",BI84,0)</f>
        <v>0</v>
      </c>
      <c r="AF84" s="46">
        <f>IF(AQ84="2",BH84,0)</f>
        <v>0</v>
      </c>
      <c r="AG84" s="46">
        <f>IF(AQ84="2",BI84,0)</f>
        <v>0</v>
      </c>
      <c r="AH84" s="46">
        <f>IF(AQ84="0",BJ84,0)</f>
        <v>0</v>
      </c>
      <c r="AI84" s="36"/>
      <c r="AJ84" s="26">
        <f>IF(AN84=0,K84,0)</f>
        <v>0</v>
      </c>
      <c r="AK84" s="26">
        <f>IF(AN84=15,K84,0)</f>
        <v>0</v>
      </c>
      <c r="AL84" s="26">
        <f>IF(AN84=21,K84,0)</f>
        <v>0</v>
      </c>
      <c r="AN84" s="46">
        <v>21</v>
      </c>
      <c r="AO84" s="46">
        <f>H84*0</f>
        <v>0</v>
      </c>
      <c r="AP84" s="46">
        <f>H84*(1-0)</f>
        <v>0</v>
      </c>
      <c r="AQ84" s="47" t="s">
        <v>11</v>
      </c>
      <c r="AV84" s="46">
        <f>AW84+AX84</f>
        <v>0</v>
      </c>
      <c r="AW84" s="46">
        <f>G84*AO84</f>
        <v>0</v>
      </c>
      <c r="AX84" s="46">
        <f>G84*AP84</f>
        <v>0</v>
      </c>
      <c r="AY84" s="49" t="s">
        <v>494</v>
      </c>
      <c r="AZ84" s="49" t="s">
        <v>510</v>
      </c>
      <c r="BA84" s="36" t="s">
        <v>513</v>
      </c>
      <c r="BC84" s="46">
        <f>AW84+AX84</f>
        <v>0</v>
      </c>
      <c r="BD84" s="46">
        <f>H84/(100-BE84)*100</f>
        <v>0</v>
      </c>
      <c r="BE84" s="46">
        <v>0</v>
      </c>
      <c r="BF84" s="46">
        <f>M84</f>
        <v>0</v>
      </c>
      <c r="BH84" s="26">
        <f>G84*AO84</f>
        <v>0</v>
      </c>
      <c r="BI84" s="26">
        <f>G84*AP84</f>
        <v>0</v>
      </c>
      <c r="BJ84" s="26">
        <f>G84*H84</f>
        <v>0</v>
      </c>
      <c r="BK84" s="26" t="s">
        <v>518</v>
      </c>
      <c r="BL84" s="46">
        <v>762</v>
      </c>
    </row>
    <row r="85" spans="1:47" ht="12.75">
      <c r="A85" s="6"/>
      <c r="B85" s="15"/>
      <c r="C85" s="15" t="s">
        <v>156</v>
      </c>
      <c r="D85" s="106" t="s">
        <v>306</v>
      </c>
      <c r="E85" s="107"/>
      <c r="F85" s="24" t="s">
        <v>6</v>
      </c>
      <c r="G85" s="24" t="s">
        <v>6</v>
      </c>
      <c r="H85" s="24" t="s">
        <v>6</v>
      </c>
      <c r="I85" s="52">
        <f>SUM(I86:I161)</f>
        <v>0</v>
      </c>
      <c r="J85" s="52">
        <f>SUM(J86:J161)</f>
        <v>0</v>
      </c>
      <c r="K85" s="52">
        <f>SUM(K86:K161)</f>
        <v>0</v>
      </c>
      <c r="L85" s="36"/>
      <c r="M85" s="52">
        <f>SUM(M86:M161)</f>
        <v>0.94392735</v>
      </c>
      <c r="N85" s="42"/>
      <c r="O85" s="5"/>
      <c r="AI85" s="36"/>
      <c r="AS85" s="52">
        <f>SUM(AJ86:AJ161)</f>
        <v>0</v>
      </c>
      <c r="AT85" s="52">
        <f>SUM(AK86:AK161)</f>
        <v>0</v>
      </c>
      <c r="AU85" s="52">
        <f>SUM(AL86:AL161)</f>
        <v>0</v>
      </c>
    </row>
    <row r="86" spans="1:64" ht="12.75">
      <c r="A86" s="4" t="s">
        <v>38</v>
      </c>
      <c r="B86" s="14"/>
      <c r="C86" s="14" t="s">
        <v>157</v>
      </c>
      <c r="D86" s="101" t="s">
        <v>307</v>
      </c>
      <c r="E86" s="102"/>
      <c r="F86" s="14" t="s">
        <v>455</v>
      </c>
      <c r="G86" s="26">
        <v>12</v>
      </c>
      <c r="H86" s="193"/>
      <c r="I86" s="26">
        <f>G86*AO86</f>
        <v>0</v>
      </c>
      <c r="J86" s="26">
        <f>G86*AP86</f>
        <v>0</v>
      </c>
      <c r="K86" s="26">
        <f>G86*H86</f>
        <v>0</v>
      </c>
      <c r="L86" s="26">
        <v>0.00135</v>
      </c>
      <c r="M86" s="26">
        <f>G86*L86</f>
        <v>0.0162</v>
      </c>
      <c r="N86" s="95" t="s">
        <v>580</v>
      </c>
      <c r="O86" s="5"/>
      <c r="Z86" s="46">
        <f>IF(AQ86="5",BJ86,0)</f>
        <v>0</v>
      </c>
      <c r="AB86" s="46">
        <f>IF(AQ86="1",BH86,0)</f>
        <v>0</v>
      </c>
      <c r="AC86" s="46">
        <f>IF(AQ86="1",BI86,0)</f>
        <v>0</v>
      </c>
      <c r="AD86" s="46">
        <f>IF(AQ86="7",BH86,0)</f>
        <v>0</v>
      </c>
      <c r="AE86" s="46">
        <f>IF(AQ86="7",BI86,0)</f>
        <v>0</v>
      </c>
      <c r="AF86" s="46">
        <f>IF(AQ86="2",BH86,0)</f>
        <v>0</v>
      </c>
      <c r="AG86" s="46">
        <f>IF(AQ86="2",BI86,0)</f>
        <v>0</v>
      </c>
      <c r="AH86" s="46">
        <f>IF(AQ86="0",BJ86,0)</f>
        <v>0</v>
      </c>
      <c r="AI86" s="36"/>
      <c r="AJ86" s="26">
        <f>IF(AN86=0,K86,0)</f>
        <v>0</v>
      </c>
      <c r="AK86" s="26">
        <f>IF(AN86=15,K86,0)</f>
        <v>0</v>
      </c>
      <c r="AL86" s="26">
        <f>IF(AN86=21,K86,0)</f>
        <v>0</v>
      </c>
      <c r="AN86" s="46">
        <v>21</v>
      </c>
      <c r="AO86" s="46">
        <f>H86*0</f>
        <v>0</v>
      </c>
      <c r="AP86" s="46">
        <f>H86*(1-0)</f>
        <v>0</v>
      </c>
      <c r="AQ86" s="47" t="s">
        <v>13</v>
      </c>
      <c r="AV86" s="46">
        <f>AW86+AX86</f>
        <v>0</v>
      </c>
      <c r="AW86" s="46">
        <f>G86*AO86</f>
        <v>0</v>
      </c>
      <c r="AX86" s="46">
        <f>G86*AP86</f>
        <v>0</v>
      </c>
      <c r="AY86" s="49" t="s">
        <v>495</v>
      </c>
      <c r="AZ86" s="49" t="s">
        <v>510</v>
      </c>
      <c r="BA86" s="36" t="s">
        <v>513</v>
      </c>
      <c r="BC86" s="46">
        <f>AW86+AX86</f>
        <v>0</v>
      </c>
      <c r="BD86" s="46">
        <f>H86/(100-BE86)*100</f>
        <v>0</v>
      </c>
      <c r="BE86" s="46">
        <v>0</v>
      </c>
      <c r="BF86" s="46">
        <f>M86</f>
        <v>0.0162</v>
      </c>
      <c r="BH86" s="26">
        <f>G86*AO86</f>
        <v>0</v>
      </c>
      <c r="BI86" s="26">
        <f>G86*AP86</f>
        <v>0</v>
      </c>
      <c r="BJ86" s="26">
        <f>G86*H86</f>
        <v>0</v>
      </c>
      <c r="BK86" s="26" t="s">
        <v>518</v>
      </c>
      <c r="BL86" s="46">
        <v>764</v>
      </c>
    </row>
    <row r="87" spans="1:15" ht="12.75">
      <c r="A87" s="5"/>
      <c r="D87" s="18" t="s">
        <v>308</v>
      </c>
      <c r="E87" s="20"/>
      <c r="G87" s="27">
        <v>12</v>
      </c>
      <c r="N87" s="41"/>
      <c r="O87" s="5"/>
    </row>
    <row r="88" spans="1:64" ht="12.75">
      <c r="A88" s="4" t="s">
        <v>39</v>
      </c>
      <c r="B88" s="14"/>
      <c r="C88" s="14" t="s">
        <v>158</v>
      </c>
      <c r="D88" s="101" t="s">
        <v>309</v>
      </c>
      <c r="E88" s="102"/>
      <c r="F88" s="14" t="s">
        <v>455</v>
      </c>
      <c r="G88" s="26">
        <v>15</v>
      </c>
      <c r="H88" s="193"/>
      <c r="I88" s="26">
        <f>G88*AO88</f>
        <v>0</v>
      </c>
      <c r="J88" s="26">
        <f>G88*AP88</f>
        <v>0</v>
      </c>
      <c r="K88" s="26">
        <f>G88*H88</f>
        <v>0</v>
      </c>
      <c r="L88" s="26">
        <v>0.00336</v>
      </c>
      <c r="M88" s="26">
        <f>G88*L88</f>
        <v>0.0504</v>
      </c>
      <c r="N88" s="95" t="s">
        <v>580</v>
      </c>
      <c r="O88" s="5"/>
      <c r="Z88" s="46">
        <f>IF(AQ88="5",BJ88,0)</f>
        <v>0</v>
      </c>
      <c r="AB88" s="46">
        <f>IF(AQ88="1",BH88,0)</f>
        <v>0</v>
      </c>
      <c r="AC88" s="46">
        <f>IF(AQ88="1",BI88,0)</f>
        <v>0</v>
      </c>
      <c r="AD88" s="46">
        <f>IF(AQ88="7",BH88,0)</f>
        <v>0</v>
      </c>
      <c r="AE88" s="46">
        <f>IF(AQ88="7",BI88,0)</f>
        <v>0</v>
      </c>
      <c r="AF88" s="46">
        <f>IF(AQ88="2",BH88,0)</f>
        <v>0</v>
      </c>
      <c r="AG88" s="46">
        <f>IF(AQ88="2",BI88,0)</f>
        <v>0</v>
      </c>
      <c r="AH88" s="46">
        <f>IF(AQ88="0",BJ88,0)</f>
        <v>0</v>
      </c>
      <c r="AI88" s="36"/>
      <c r="AJ88" s="26">
        <f>IF(AN88=0,K88,0)</f>
        <v>0</v>
      </c>
      <c r="AK88" s="26">
        <f>IF(AN88=15,K88,0)</f>
        <v>0</v>
      </c>
      <c r="AL88" s="26">
        <f>IF(AN88=21,K88,0)</f>
        <v>0</v>
      </c>
      <c r="AN88" s="46">
        <v>21</v>
      </c>
      <c r="AO88" s="46">
        <f>H88*0</f>
        <v>0</v>
      </c>
      <c r="AP88" s="46">
        <f>H88*(1-0)</f>
        <v>0</v>
      </c>
      <c r="AQ88" s="47" t="s">
        <v>13</v>
      </c>
      <c r="AV88" s="46">
        <f>AW88+AX88</f>
        <v>0</v>
      </c>
      <c r="AW88" s="46">
        <f>G88*AO88</f>
        <v>0</v>
      </c>
      <c r="AX88" s="46">
        <f>G88*AP88</f>
        <v>0</v>
      </c>
      <c r="AY88" s="49" t="s">
        <v>495</v>
      </c>
      <c r="AZ88" s="49" t="s">
        <v>510</v>
      </c>
      <c r="BA88" s="36" t="s">
        <v>513</v>
      </c>
      <c r="BC88" s="46">
        <f>AW88+AX88</f>
        <v>0</v>
      </c>
      <c r="BD88" s="46">
        <f>H88/(100-BE88)*100</f>
        <v>0</v>
      </c>
      <c r="BE88" s="46">
        <v>0</v>
      </c>
      <c r="BF88" s="46">
        <f>M88</f>
        <v>0.0504</v>
      </c>
      <c r="BH88" s="26">
        <f>G88*AO88</f>
        <v>0</v>
      </c>
      <c r="BI88" s="26">
        <f>G88*AP88</f>
        <v>0</v>
      </c>
      <c r="BJ88" s="26">
        <f>G88*H88</f>
        <v>0</v>
      </c>
      <c r="BK88" s="26" t="s">
        <v>518</v>
      </c>
      <c r="BL88" s="46">
        <v>764</v>
      </c>
    </row>
    <row r="89" spans="1:15" ht="12.75">
      <c r="A89" s="5"/>
      <c r="D89" s="18" t="s">
        <v>21</v>
      </c>
      <c r="E89" s="20"/>
      <c r="G89" s="27">
        <v>15</v>
      </c>
      <c r="N89" s="41"/>
      <c r="O89" s="5"/>
    </row>
    <row r="90" spans="1:64" ht="12.75">
      <c r="A90" s="4" t="s">
        <v>40</v>
      </c>
      <c r="B90" s="14"/>
      <c r="C90" s="14" t="s">
        <v>159</v>
      </c>
      <c r="D90" s="101" t="s">
        <v>310</v>
      </c>
      <c r="E90" s="102"/>
      <c r="F90" s="14" t="s">
        <v>455</v>
      </c>
      <c r="G90" s="26">
        <v>11</v>
      </c>
      <c r="H90" s="193"/>
      <c r="I90" s="26">
        <f>G90*AO90</f>
        <v>0</v>
      </c>
      <c r="J90" s="26">
        <f>G90*AP90</f>
        <v>0</v>
      </c>
      <c r="K90" s="26">
        <f>G90*H90</f>
        <v>0</v>
      </c>
      <c r="L90" s="26">
        <v>0.00285</v>
      </c>
      <c r="M90" s="26">
        <f>G90*L90</f>
        <v>0.03135</v>
      </c>
      <c r="N90" s="95" t="s">
        <v>580</v>
      </c>
      <c r="O90" s="5"/>
      <c r="Z90" s="46">
        <f>IF(AQ90="5",BJ90,0)</f>
        <v>0</v>
      </c>
      <c r="AB90" s="46">
        <f>IF(AQ90="1",BH90,0)</f>
        <v>0</v>
      </c>
      <c r="AC90" s="46">
        <f>IF(AQ90="1",BI90,0)</f>
        <v>0</v>
      </c>
      <c r="AD90" s="46">
        <f>IF(AQ90="7",BH90,0)</f>
        <v>0</v>
      </c>
      <c r="AE90" s="46">
        <f>IF(AQ90="7",BI90,0)</f>
        <v>0</v>
      </c>
      <c r="AF90" s="46">
        <f>IF(AQ90="2",BH90,0)</f>
        <v>0</v>
      </c>
      <c r="AG90" s="46">
        <f>IF(AQ90="2",BI90,0)</f>
        <v>0</v>
      </c>
      <c r="AH90" s="46">
        <f>IF(AQ90="0",BJ90,0)</f>
        <v>0</v>
      </c>
      <c r="AI90" s="36"/>
      <c r="AJ90" s="26">
        <f>IF(AN90=0,K90,0)</f>
        <v>0</v>
      </c>
      <c r="AK90" s="26">
        <f>IF(AN90=15,K90,0)</f>
        <v>0</v>
      </c>
      <c r="AL90" s="26">
        <f>IF(AN90=21,K90,0)</f>
        <v>0</v>
      </c>
      <c r="AN90" s="46">
        <v>21</v>
      </c>
      <c r="AO90" s="46">
        <f>H90*0</f>
        <v>0</v>
      </c>
      <c r="AP90" s="46">
        <f>H90*(1-0)</f>
        <v>0</v>
      </c>
      <c r="AQ90" s="47" t="s">
        <v>13</v>
      </c>
      <c r="AV90" s="46">
        <f>AW90+AX90</f>
        <v>0</v>
      </c>
      <c r="AW90" s="46">
        <f>G90*AO90</f>
        <v>0</v>
      </c>
      <c r="AX90" s="46">
        <f>G90*AP90</f>
        <v>0</v>
      </c>
      <c r="AY90" s="49" t="s">
        <v>495</v>
      </c>
      <c r="AZ90" s="49" t="s">
        <v>510</v>
      </c>
      <c r="BA90" s="36" t="s">
        <v>513</v>
      </c>
      <c r="BC90" s="46">
        <f>AW90+AX90</f>
        <v>0</v>
      </c>
      <c r="BD90" s="46">
        <f>H90/(100-BE90)*100</f>
        <v>0</v>
      </c>
      <c r="BE90" s="46">
        <v>0</v>
      </c>
      <c r="BF90" s="46">
        <f>M90</f>
        <v>0.03135</v>
      </c>
      <c r="BH90" s="26">
        <f>G90*AO90</f>
        <v>0</v>
      </c>
      <c r="BI90" s="26">
        <f>G90*AP90</f>
        <v>0</v>
      </c>
      <c r="BJ90" s="26">
        <f>G90*H90</f>
        <v>0</v>
      </c>
      <c r="BK90" s="26" t="s">
        <v>518</v>
      </c>
      <c r="BL90" s="46">
        <v>764</v>
      </c>
    </row>
    <row r="91" spans="1:15" ht="12.75">
      <c r="A91" s="5"/>
      <c r="D91" s="18" t="s">
        <v>311</v>
      </c>
      <c r="E91" s="20"/>
      <c r="G91" s="27">
        <v>11</v>
      </c>
      <c r="N91" s="41"/>
      <c r="O91" s="5"/>
    </row>
    <row r="92" spans="1:64" ht="12.75">
      <c r="A92" s="4" t="s">
        <v>41</v>
      </c>
      <c r="B92" s="14"/>
      <c r="C92" s="14" t="s">
        <v>160</v>
      </c>
      <c r="D92" s="101" t="s">
        <v>312</v>
      </c>
      <c r="E92" s="102"/>
      <c r="F92" s="14" t="s">
        <v>455</v>
      </c>
      <c r="G92" s="26">
        <v>23.5</v>
      </c>
      <c r="H92" s="193"/>
      <c r="I92" s="26">
        <f>G92*AO92</f>
        <v>0</v>
      </c>
      <c r="J92" s="26">
        <f>G92*AP92</f>
        <v>0</v>
      </c>
      <c r="K92" s="26">
        <f>G92*H92</f>
        <v>0</v>
      </c>
      <c r="L92" s="26">
        <v>0.00142</v>
      </c>
      <c r="M92" s="26">
        <f>G92*L92</f>
        <v>0.033370000000000004</v>
      </c>
      <c r="N92" s="95" t="s">
        <v>580</v>
      </c>
      <c r="O92" s="5"/>
      <c r="Z92" s="46">
        <f>IF(AQ92="5",BJ92,0)</f>
        <v>0</v>
      </c>
      <c r="AB92" s="46">
        <f>IF(AQ92="1",BH92,0)</f>
        <v>0</v>
      </c>
      <c r="AC92" s="46">
        <f>IF(AQ92="1",BI92,0)</f>
        <v>0</v>
      </c>
      <c r="AD92" s="46">
        <f>IF(AQ92="7",BH92,0)</f>
        <v>0</v>
      </c>
      <c r="AE92" s="46">
        <f>IF(AQ92="7",BI92,0)</f>
        <v>0</v>
      </c>
      <c r="AF92" s="46">
        <f>IF(AQ92="2",BH92,0)</f>
        <v>0</v>
      </c>
      <c r="AG92" s="46">
        <f>IF(AQ92="2",BI92,0)</f>
        <v>0</v>
      </c>
      <c r="AH92" s="46">
        <f>IF(AQ92="0",BJ92,0)</f>
        <v>0</v>
      </c>
      <c r="AI92" s="36"/>
      <c r="AJ92" s="26">
        <f>IF(AN92=0,K92,0)</f>
        <v>0</v>
      </c>
      <c r="AK92" s="26">
        <f>IF(AN92=15,K92,0)</f>
        <v>0</v>
      </c>
      <c r="AL92" s="26">
        <f>IF(AN92=21,K92,0)</f>
        <v>0</v>
      </c>
      <c r="AN92" s="46">
        <v>21</v>
      </c>
      <c r="AO92" s="46">
        <f>H92*0</f>
        <v>0</v>
      </c>
      <c r="AP92" s="46">
        <f>H92*(1-0)</f>
        <v>0</v>
      </c>
      <c r="AQ92" s="47" t="s">
        <v>13</v>
      </c>
      <c r="AV92" s="46">
        <f>AW92+AX92</f>
        <v>0</v>
      </c>
      <c r="AW92" s="46">
        <f>G92*AO92</f>
        <v>0</v>
      </c>
      <c r="AX92" s="46">
        <f>G92*AP92</f>
        <v>0</v>
      </c>
      <c r="AY92" s="49" t="s">
        <v>495</v>
      </c>
      <c r="AZ92" s="49" t="s">
        <v>510</v>
      </c>
      <c r="BA92" s="36" t="s">
        <v>513</v>
      </c>
      <c r="BC92" s="46">
        <f>AW92+AX92</f>
        <v>0</v>
      </c>
      <c r="BD92" s="46">
        <f>H92/(100-BE92)*100</f>
        <v>0</v>
      </c>
      <c r="BE92" s="46">
        <v>0</v>
      </c>
      <c r="BF92" s="46">
        <f>M92</f>
        <v>0.033370000000000004</v>
      </c>
      <c r="BH92" s="26">
        <f>G92*AO92</f>
        <v>0</v>
      </c>
      <c r="BI92" s="26">
        <f>G92*AP92</f>
        <v>0</v>
      </c>
      <c r="BJ92" s="26">
        <f>G92*H92</f>
        <v>0</v>
      </c>
      <c r="BK92" s="26" t="s">
        <v>518</v>
      </c>
      <c r="BL92" s="46">
        <v>764</v>
      </c>
    </row>
    <row r="93" spans="1:15" ht="12.75">
      <c r="A93" s="5"/>
      <c r="D93" s="18" t="s">
        <v>313</v>
      </c>
      <c r="E93" s="20"/>
      <c r="G93" s="27">
        <v>23.5</v>
      </c>
      <c r="N93" s="41"/>
      <c r="O93" s="5"/>
    </row>
    <row r="94" spans="1:64" ht="12.75">
      <c r="A94" s="4" t="s">
        <v>42</v>
      </c>
      <c r="B94" s="14"/>
      <c r="C94" s="14" t="s">
        <v>161</v>
      </c>
      <c r="D94" s="101" t="s">
        <v>314</v>
      </c>
      <c r="E94" s="102"/>
      <c r="F94" s="14" t="s">
        <v>455</v>
      </c>
      <c r="G94" s="26">
        <v>8.5</v>
      </c>
      <c r="H94" s="193"/>
      <c r="I94" s="26">
        <f>G94*AO94</f>
        <v>0</v>
      </c>
      <c r="J94" s="26">
        <f>G94*AP94</f>
        <v>0</v>
      </c>
      <c r="K94" s="26">
        <f>G94*H94</f>
        <v>0</v>
      </c>
      <c r="L94" s="26">
        <v>0.00192</v>
      </c>
      <c r="M94" s="26">
        <f>G94*L94</f>
        <v>0.01632</v>
      </c>
      <c r="N94" s="95" t="s">
        <v>580</v>
      </c>
      <c r="O94" s="5"/>
      <c r="Z94" s="46">
        <f>IF(AQ94="5",BJ94,0)</f>
        <v>0</v>
      </c>
      <c r="AB94" s="46">
        <f>IF(AQ94="1",BH94,0)</f>
        <v>0</v>
      </c>
      <c r="AC94" s="46">
        <f>IF(AQ94="1",BI94,0)</f>
        <v>0</v>
      </c>
      <c r="AD94" s="46">
        <f>IF(AQ94="7",BH94,0)</f>
        <v>0</v>
      </c>
      <c r="AE94" s="46">
        <f>IF(AQ94="7",BI94,0)</f>
        <v>0</v>
      </c>
      <c r="AF94" s="46">
        <f>IF(AQ94="2",BH94,0)</f>
        <v>0</v>
      </c>
      <c r="AG94" s="46">
        <f>IF(AQ94="2",BI94,0)</f>
        <v>0</v>
      </c>
      <c r="AH94" s="46">
        <f>IF(AQ94="0",BJ94,0)</f>
        <v>0</v>
      </c>
      <c r="AI94" s="36"/>
      <c r="AJ94" s="26">
        <f>IF(AN94=0,K94,0)</f>
        <v>0</v>
      </c>
      <c r="AK94" s="26">
        <f>IF(AN94=15,K94,0)</f>
        <v>0</v>
      </c>
      <c r="AL94" s="26">
        <f>IF(AN94=21,K94,0)</f>
        <v>0</v>
      </c>
      <c r="AN94" s="46">
        <v>21</v>
      </c>
      <c r="AO94" s="46">
        <f>H94*0</f>
        <v>0</v>
      </c>
      <c r="AP94" s="46">
        <f>H94*(1-0)</f>
        <v>0</v>
      </c>
      <c r="AQ94" s="47" t="s">
        <v>13</v>
      </c>
      <c r="AV94" s="46">
        <f>AW94+AX94</f>
        <v>0</v>
      </c>
      <c r="AW94" s="46">
        <f>G94*AO94</f>
        <v>0</v>
      </c>
      <c r="AX94" s="46">
        <f>G94*AP94</f>
        <v>0</v>
      </c>
      <c r="AY94" s="49" t="s">
        <v>495</v>
      </c>
      <c r="AZ94" s="49" t="s">
        <v>510</v>
      </c>
      <c r="BA94" s="36" t="s">
        <v>513</v>
      </c>
      <c r="BC94" s="46">
        <f>AW94+AX94</f>
        <v>0</v>
      </c>
      <c r="BD94" s="46">
        <f>H94/(100-BE94)*100</f>
        <v>0</v>
      </c>
      <c r="BE94" s="46">
        <v>0</v>
      </c>
      <c r="BF94" s="46">
        <f>M94</f>
        <v>0.01632</v>
      </c>
      <c r="BH94" s="26">
        <f>G94*AO94</f>
        <v>0</v>
      </c>
      <c r="BI94" s="26">
        <f>G94*AP94</f>
        <v>0</v>
      </c>
      <c r="BJ94" s="26">
        <f>G94*H94</f>
        <v>0</v>
      </c>
      <c r="BK94" s="26" t="s">
        <v>518</v>
      </c>
      <c r="BL94" s="46">
        <v>764</v>
      </c>
    </row>
    <row r="95" spans="1:15" ht="12.75">
      <c r="A95" s="5"/>
      <c r="D95" s="18" t="s">
        <v>315</v>
      </c>
      <c r="E95" s="20"/>
      <c r="G95" s="27">
        <v>8.5</v>
      </c>
      <c r="N95" s="41"/>
      <c r="O95" s="5"/>
    </row>
    <row r="96" spans="1:64" ht="12.75">
      <c r="A96" s="4" t="s">
        <v>43</v>
      </c>
      <c r="B96" s="14"/>
      <c r="C96" s="14" t="s">
        <v>162</v>
      </c>
      <c r="D96" s="101" t="s">
        <v>316</v>
      </c>
      <c r="E96" s="102"/>
      <c r="F96" s="14" t="s">
        <v>454</v>
      </c>
      <c r="G96" s="26">
        <v>16</v>
      </c>
      <c r="H96" s="193"/>
      <c r="I96" s="26">
        <f>G96*AO96</f>
        <v>0</v>
      </c>
      <c r="J96" s="26">
        <f>G96*AP96</f>
        <v>0</v>
      </c>
      <c r="K96" s="26">
        <f>G96*H96</f>
        <v>0</v>
      </c>
      <c r="L96" s="26">
        <v>0.00096</v>
      </c>
      <c r="M96" s="26">
        <f>G96*L96</f>
        <v>0.01536</v>
      </c>
      <c r="N96" s="95" t="s">
        <v>580</v>
      </c>
      <c r="O96" s="5"/>
      <c r="Z96" s="46">
        <f>IF(AQ96="5",BJ96,0)</f>
        <v>0</v>
      </c>
      <c r="AB96" s="46">
        <f>IF(AQ96="1",BH96,0)</f>
        <v>0</v>
      </c>
      <c r="AC96" s="46">
        <f>IF(AQ96="1",BI96,0)</f>
        <v>0</v>
      </c>
      <c r="AD96" s="46">
        <f>IF(AQ96="7",BH96,0)</f>
        <v>0</v>
      </c>
      <c r="AE96" s="46">
        <f>IF(AQ96="7",BI96,0)</f>
        <v>0</v>
      </c>
      <c r="AF96" s="46">
        <f>IF(AQ96="2",BH96,0)</f>
        <v>0</v>
      </c>
      <c r="AG96" s="46">
        <f>IF(AQ96="2",BI96,0)</f>
        <v>0</v>
      </c>
      <c r="AH96" s="46">
        <f>IF(AQ96="0",BJ96,0)</f>
        <v>0</v>
      </c>
      <c r="AI96" s="36"/>
      <c r="AJ96" s="26">
        <f>IF(AN96=0,K96,0)</f>
        <v>0</v>
      </c>
      <c r="AK96" s="26">
        <f>IF(AN96=15,K96,0)</f>
        <v>0</v>
      </c>
      <c r="AL96" s="26">
        <f>IF(AN96=21,K96,0)</f>
        <v>0</v>
      </c>
      <c r="AN96" s="46">
        <v>21</v>
      </c>
      <c r="AO96" s="46">
        <f>H96*0</f>
        <v>0</v>
      </c>
      <c r="AP96" s="46">
        <f>H96*(1-0)</f>
        <v>0</v>
      </c>
      <c r="AQ96" s="47" t="s">
        <v>13</v>
      </c>
      <c r="AV96" s="46">
        <f>AW96+AX96</f>
        <v>0</v>
      </c>
      <c r="AW96" s="46">
        <f>G96*AO96</f>
        <v>0</v>
      </c>
      <c r="AX96" s="46">
        <f>G96*AP96</f>
        <v>0</v>
      </c>
      <c r="AY96" s="49" t="s">
        <v>495</v>
      </c>
      <c r="AZ96" s="49" t="s">
        <v>510</v>
      </c>
      <c r="BA96" s="36" t="s">
        <v>513</v>
      </c>
      <c r="BC96" s="46">
        <f>AW96+AX96</f>
        <v>0</v>
      </c>
      <c r="BD96" s="46">
        <f>H96/(100-BE96)*100</f>
        <v>0</v>
      </c>
      <c r="BE96" s="46">
        <v>0</v>
      </c>
      <c r="BF96" s="46">
        <f>M96</f>
        <v>0.01536</v>
      </c>
      <c r="BH96" s="26">
        <f>G96*AO96</f>
        <v>0</v>
      </c>
      <c r="BI96" s="26">
        <f>G96*AP96</f>
        <v>0</v>
      </c>
      <c r="BJ96" s="26">
        <f>G96*H96</f>
        <v>0</v>
      </c>
      <c r="BK96" s="26" t="s">
        <v>518</v>
      </c>
      <c r="BL96" s="46">
        <v>764</v>
      </c>
    </row>
    <row r="97" spans="1:15" ht="12.75">
      <c r="A97" s="5"/>
      <c r="D97" s="18" t="s">
        <v>22</v>
      </c>
      <c r="E97" s="20"/>
      <c r="G97" s="27">
        <v>16</v>
      </c>
      <c r="N97" s="41"/>
      <c r="O97" s="5"/>
    </row>
    <row r="98" spans="1:64" ht="12.75">
      <c r="A98" s="4" t="s">
        <v>44</v>
      </c>
      <c r="B98" s="14"/>
      <c r="C98" s="14" t="s">
        <v>163</v>
      </c>
      <c r="D98" s="101" t="s">
        <v>317</v>
      </c>
      <c r="E98" s="102"/>
      <c r="F98" s="14" t="s">
        <v>455</v>
      </c>
      <c r="G98" s="26">
        <v>17.2</v>
      </c>
      <c r="H98" s="193"/>
      <c r="I98" s="26">
        <f>G98*AO98</f>
        <v>0</v>
      </c>
      <c r="J98" s="26">
        <f>G98*AP98</f>
        <v>0</v>
      </c>
      <c r="K98" s="26">
        <f>G98*H98</f>
        <v>0</v>
      </c>
      <c r="L98" s="26">
        <v>4E-05</v>
      </c>
      <c r="M98" s="26">
        <f>G98*L98</f>
        <v>0.000688</v>
      </c>
      <c r="N98" s="95" t="s">
        <v>580</v>
      </c>
      <c r="O98" s="5"/>
      <c r="Z98" s="46">
        <f>IF(AQ98="5",BJ98,0)</f>
        <v>0</v>
      </c>
      <c r="AB98" s="46">
        <f>IF(AQ98="1",BH98,0)</f>
        <v>0</v>
      </c>
      <c r="AC98" s="46">
        <f>IF(AQ98="1",BI98,0)</f>
        <v>0</v>
      </c>
      <c r="AD98" s="46">
        <f>IF(AQ98="7",BH98,0)</f>
        <v>0</v>
      </c>
      <c r="AE98" s="46">
        <f>IF(AQ98="7",BI98,0)</f>
        <v>0</v>
      </c>
      <c r="AF98" s="46">
        <f>IF(AQ98="2",BH98,0)</f>
        <v>0</v>
      </c>
      <c r="AG98" s="46">
        <f>IF(AQ98="2",BI98,0)</f>
        <v>0</v>
      </c>
      <c r="AH98" s="46">
        <f>IF(AQ98="0",BJ98,0)</f>
        <v>0</v>
      </c>
      <c r="AI98" s="36"/>
      <c r="AJ98" s="26">
        <f>IF(AN98=0,K98,0)</f>
        <v>0</v>
      </c>
      <c r="AK98" s="26">
        <f>IF(AN98=15,K98,0)</f>
        <v>0</v>
      </c>
      <c r="AL98" s="26">
        <f>IF(AN98=21,K98,0)</f>
        <v>0</v>
      </c>
      <c r="AN98" s="46">
        <v>21</v>
      </c>
      <c r="AO98" s="46">
        <f>H98*0.0546870766265259</f>
        <v>0</v>
      </c>
      <c r="AP98" s="46">
        <f>H98*(1-0.0546870766265259)</f>
        <v>0</v>
      </c>
      <c r="AQ98" s="47" t="s">
        <v>13</v>
      </c>
      <c r="AV98" s="46">
        <f>AW98+AX98</f>
        <v>0</v>
      </c>
      <c r="AW98" s="46">
        <f>G98*AO98</f>
        <v>0</v>
      </c>
      <c r="AX98" s="46">
        <f>G98*AP98</f>
        <v>0</v>
      </c>
      <c r="AY98" s="49" t="s">
        <v>495</v>
      </c>
      <c r="AZ98" s="49" t="s">
        <v>510</v>
      </c>
      <c r="BA98" s="36" t="s">
        <v>513</v>
      </c>
      <c r="BC98" s="46">
        <f>AW98+AX98</f>
        <v>0</v>
      </c>
      <c r="BD98" s="46">
        <f>H98/(100-BE98)*100</f>
        <v>0</v>
      </c>
      <c r="BE98" s="46">
        <v>0</v>
      </c>
      <c r="BF98" s="46">
        <f>M98</f>
        <v>0.000688</v>
      </c>
      <c r="BH98" s="26">
        <f>G98*AO98</f>
        <v>0</v>
      </c>
      <c r="BI98" s="26">
        <f>G98*AP98</f>
        <v>0</v>
      </c>
      <c r="BJ98" s="26">
        <f>G98*H98</f>
        <v>0</v>
      </c>
      <c r="BK98" s="26" t="s">
        <v>518</v>
      </c>
      <c r="BL98" s="46">
        <v>764</v>
      </c>
    </row>
    <row r="99" spans="1:15" ht="12.75">
      <c r="A99" s="5"/>
      <c r="D99" s="18" t="s">
        <v>318</v>
      </c>
      <c r="E99" s="20"/>
      <c r="G99" s="27">
        <v>17.2</v>
      </c>
      <c r="N99" s="41"/>
      <c r="O99" s="5"/>
    </row>
    <row r="100" spans="1:64" ht="12.75">
      <c r="A100" s="7" t="s">
        <v>45</v>
      </c>
      <c r="B100" s="16"/>
      <c r="C100" s="16" t="s">
        <v>164</v>
      </c>
      <c r="D100" s="108" t="s">
        <v>319</v>
      </c>
      <c r="E100" s="109"/>
      <c r="F100" s="16" t="s">
        <v>455</v>
      </c>
      <c r="G100" s="28">
        <v>17.2</v>
      </c>
      <c r="H100" s="194"/>
      <c r="I100" s="28">
        <f>G100*AO100</f>
        <v>0</v>
      </c>
      <c r="J100" s="28">
        <f>G100*AP100</f>
        <v>0</v>
      </c>
      <c r="K100" s="28">
        <f>G100*H100</f>
        <v>0</v>
      </c>
      <c r="L100" s="28">
        <v>0.00118</v>
      </c>
      <c r="M100" s="28">
        <f>G100*L100</f>
        <v>0.020296</v>
      </c>
      <c r="N100" s="95" t="s">
        <v>580</v>
      </c>
      <c r="O100" s="5"/>
      <c r="Z100" s="46">
        <f>IF(AQ100="5",BJ100,0)</f>
        <v>0</v>
      </c>
      <c r="AB100" s="46">
        <f>IF(AQ100="1",BH100,0)</f>
        <v>0</v>
      </c>
      <c r="AC100" s="46">
        <f>IF(AQ100="1",BI100,0)</f>
        <v>0</v>
      </c>
      <c r="AD100" s="46">
        <f>IF(AQ100="7",BH100,0)</f>
        <v>0</v>
      </c>
      <c r="AE100" s="46">
        <f>IF(AQ100="7",BI100,0)</f>
        <v>0</v>
      </c>
      <c r="AF100" s="46">
        <f>IF(AQ100="2",BH100,0)</f>
        <v>0</v>
      </c>
      <c r="AG100" s="46">
        <f>IF(AQ100="2",BI100,0)</f>
        <v>0</v>
      </c>
      <c r="AH100" s="46">
        <f>IF(AQ100="0",BJ100,0)</f>
        <v>0</v>
      </c>
      <c r="AI100" s="36"/>
      <c r="AJ100" s="28">
        <f>IF(AN100=0,K100,0)</f>
        <v>0</v>
      </c>
      <c r="AK100" s="28">
        <f>IF(AN100=15,K100,0)</f>
        <v>0</v>
      </c>
      <c r="AL100" s="28">
        <f>IF(AN100=21,K100,0)</f>
        <v>0</v>
      </c>
      <c r="AN100" s="46">
        <v>21</v>
      </c>
      <c r="AO100" s="46">
        <f>H100*1</f>
        <v>0</v>
      </c>
      <c r="AP100" s="46">
        <f>H100*(1-1)</f>
        <v>0</v>
      </c>
      <c r="AQ100" s="48" t="s">
        <v>13</v>
      </c>
      <c r="AV100" s="46">
        <f>AW100+AX100</f>
        <v>0</v>
      </c>
      <c r="AW100" s="46">
        <f>G100*AO100</f>
        <v>0</v>
      </c>
      <c r="AX100" s="46">
        <f>G100*AP100</f>
        <v>0</v>
      </c>
      <c r="AY100" s="49" t="s">
        <v>495</v>
      </c>
      <c r="AZ100" s="49" t="s">
        <v>510</v>
      </c>
      <c r="BA100" s="36" t="s">
        <v>513</v>
      </c>
      <c r="BC100" s="46">
        <f>AW100+AX100</f>
        <v>0</v>
      </c>
      <c r="BD100" s="46">
        <f>H100/(100-BE100)*100</f>
        <v>0</v>
      </c>
      <c r="BE100" s="46">
        <v>0</v>
      </c>
      <c r="BF100" s="46">
        <f>M100</f>
        <v>0.020296</v>
      </c>
      <c r="BH100" s="28">
        <f>G100*AO100</f>
        <v>0</v>
      </c>
      <c r="BI100" s="28">
        <f>G100*AP100</f>
        <v>0</v>
      </c>
      <c r="BJ100" s="28">
        <f>G100*H100</f>
        <v>0</v>
      </c>
      <c r="BK100" s="28" t="s">
        <v>519</v>
      </c>
      <c r="BL100" s="46">
        <v>764</v>
      </c>
    </row>
    <row r="101" spans="1:15" ht="12.75">
      <c r="A101" s="5"/>
      <c r="D101" s="18" t="s">
        <v>318</v>
      </c>
      <c r="E101" s="20"/>
      <c r="G101" s="27">
        <v>17.2</v>
      </c>
      <c r="N101" s="95"/>
      <c r="O101" s="5"/>
    </row>
    <row r="102" spans="1:64" ht="12.75">
      <c r="A102" s="7" t="s">
        <v>46</v>
      </c>
      <c r="B102" s="16"/>
      <c r="C102" s="16" t="s">
        <v>165</v>
      </c>
      <c r="D102" s="108" t="s">
        <v>320</v>
      </c>
      <c r="E102" s="109"/>
      <c r="F102" s="16" t="s">
        <v>454</v>
      </c>
      <c r="G102" s="28">
        <v>2</v>
      </c>
      <c r="H102" s="194"/>
      <c r="I102" s="28">
        <f>G102*AO102</f>
        <v>0</v>
      </c>
      <c r="J102" s="28">
        <f>G102*AP102</f>
        <v>0</v>
      </c>
      <c r="K102" s="28">
        <f>G102*H102</f>
        <v>0</v>
      </c>
      <c r="L102" s="28">
        <v>3E-05</v>
      </c>
      <c r="M102" s="28">
        <f>G102*L102</f>
        <v>6E-05</v>
      </c>
      <c r="N102" s="95" t="s">
        <v>580</v>
      </c>
      <c r="O102" s="5"/>
      <c r="Z102" s="46">
        <f>IF(AQ102="5",BJ102,0)</f>
        <v>0</v>
      </c>
      <c r="AB102" s="46">
        <f>IF(AQ102="1",BH102,0)</f>
        <v>0</v>
      </c>
      <c r="AC102" s="46">
        <f>IF(AQ102="1",BI102,0)</f>
        <v>0</v>
      </c>
      <c r="AD102" s="46">
        <f>IF(AQ102="7",BH102,0)</f>
        <v>0</v>
      </c>
      <c r="AE102" s="46">
        <f>IF(AQ102="7",BI102,0)</f>
        <v>0</v>
      </c>
      <c r="AF102" s="46">
        <f>IF(AQ102="2",BH102,0)</f>
        <v>0</v>
      </c>
      <c r="AG102" s="46">
        <f>IF(AQ102="2",BI102,0)</f>
        <v>0</v>
      </c>
      <c r="AH102" s="46">
        <f>IF(AQ102="0",BJ102,0)</f>
        <v>0</v>
      </c>
      <c r="AI102" s="36"/>
      <c r="AJ102" s="28">
        <f>IF(AN102=0,K102,0)</f>
        <v>0</v>
      </c>
      <c r="AK102" s="28">
        <f>IF(AN102=15,K102,0)</f>
        <v>0</v>
      </c>
      <c r="AL102" s="28">
        <f>IF(AN102=21,K102,0)</f>
        <v>0</v>
      </c>
      <c r="AN102" s="46">
        <v>21</v>
      </c>
      <c r="AO102" s="46">
        <f>H102*1</f>
        <v>0</v>
      </c>
      <c r="AP102" s="46">
        <f>H102*(1-1)</f>
        <v>0</v>
      </c>
      <c r="AQ102" s="48" t="s">
        <v>13</v>
      </c>
      <c r="AV102" s="46">
        <f>AW102+AX102</f>
        <v>0</v>
      </c>
      <c r="AW102" s="46">
        <f>G102*AO102</f>
        <v>0</v>
      </c>
      <c r="AX102" s="46">
        <f>G102*AP102</f>
        <v>0</v>
      </c>
      <c r="AY102" s="49" t="s">
        <v>495</v>
      </c>
      <c r="AZ102" s="49" t="s">
        <v>510</v>
      </c>
      <c r="BA102" s="36" t="s">
        <v>513</v>
      </c>
      <c r="BC102" s="46">
        <f>AW102+AX102</f>
        <v>0</v>
      </c>
      <c r="BD102" s="46">
        <f>H102/(100-BE102)*100</f>
        <v>0</v>
      </c>
      <c r="BE102" s="46">
        <v>0</v>
      </c>
      <c r="BF102" s="46">
        <f>M102</f>
        <v>6E-05</v>
      </c>
      <c r="BH102" s="28">
        <f>G102*AO102</f>
        <v>0</v>
      </c>
      <c r="BI102" s="28">
        <f>G102*AP102</f>
        <v>0</v>
      </c>
      <c r="BJ102" s="28">
        <f>G102*H102</f>
        <v>0</v>
      </c>
      <c r="BK102" s="28" t="s">
        <v>519</v>
      </c>
      <c r="BL102" s="46">
        <v>764</v>
      </c>
    </row>
    <row r="103" spans="1:15" ht="12.75">
      <c r="A103" s="5"/>
      <c r="D103" s="18" t="s">
        <v>8</v>
      </c>
      <c r="E103" s="20"/>
      <c r="G103" s="27">
        <v>2</v>
      </c>
      <c r="N103" s="41"/>
      <c r="O103" s="5"/>
    </row>
    <row r="104" spans="1:64" ht="12.75">
      <c r="A104" s="7" t="s">
        <v>47</v>
      </c>
      <c r="B104" s="16"/>
      <c r="C104" s="16" t="s">
        <v>166</v>
      </c>
      <c r="D104" s="108" t="s">
        <v>321</v>
      </c>
      <c r="E104" s="109"/>
      <c r="F104" s="16" t="s">
        <v>454</v>
      </c>
      <c r="G104" s="28">
        <v>1</v>
      </c>
      <c r="H104" s="194"/>
      <c r="I104" s="28">
        <f>G104*AO104</f>
        <v>0</v>
      </c>
      <c r="J104" s="28">
        <f>G104*AP104</f>
        <v>0</v>
      </c>
      <c r="K104" s="28">
        <f>G104*H104</f>
        <v>0</v>
      </c>
      <c r="L104" s="28">
        <v>0.00033</v>
      </c>
      <c r="M104" s="28">
        <f>G104*L104</f>
        <v>0.00033</v>
      </c>
      <c r="N104" s="95" t="s">
        <v>580</v>
      </c>
      <c r="O104" s="5"/>
      <c r="Z104" s="46">
        <f>IF(AQ104="5",BJ104,0)</f>
        <v>0</v>
      </c>
      <c r="AB104" s="46">
        <f>IF(AQ104="1",BH104,0)</f>
        <v>0</v>
      </c>
      <c r="AC104" s="46">
        <f>IF(AQ104="1",BI104,0)</f>
        <v>0</v>
      </c>
      <c r="AD104" s="46">
        <f>IF(AQ104="7",BH104,0)</f>
        <v>0</v>
      </c>
      <c r="AE104" s="46">
        <f>IF(AQ104="7",BI104,0)</f>
        <v>0</v>
      </c>
      <c r="AF104" s="46">
        <f>IF(AQ104="2",BH104,0)</f>
        <v>0</v>
      </c>
      <c r="AG104" s="46">
        <f>IF(AQ104="2",BI104,0)</f>
        <v>0</v>
      </c>
      <c r="AH104" s="46">
        <f>IF(AQ104="0",BJ104,0)</f>
        <v>0</v>
      </c>
      <c r="AI104" s="36"/>
      <c r="AJ104" s="28">
        <f>IF(AN104=0,K104,0)</f>
        <v>0</v>
      </c>
      <c r="AK104" s="28">
        <f>IF(AN104=15,K104,0)</f>
        <v>0</v>
      </c>
      <c r="AL104" s="28">
        <f>IF(AN104=21,K104,0)</f>
        <v>0</v>
      </c>
      <c r="AN104" s="46">
        <v>21</v>
      </c>
      <c r="AO104" s="46">
        <f>H104*1</f>
        <v>0</v>
      </c>
      <c r="AP104" s="46">
        <f>H104*(1-1)</f>
        <v>0</v>
      </c>
      <c r="AQ104" s="48" t="s">
        <v>13</v>
      </c>
      <c r="AV104" s="46">
        <f>AW104+AX104</f>
        <v>0</v>
      </c>
      <c r="AW104" s="46">
        <f>G104*AO104</f>
        <v>0</v>
      </c>
      <c r="AX104" s="46">
        <f>G104*AP104</f>
        <v>0</v>
      </c>
      <c r="AY104" s="49" t="s">
        <v>495</v>
      </c>
      <c r="AZ104" s="49" t="s">
        <v>510</v>
      </c>
      <c r="BA104" s="36" t="s">
        <v>513</v>
      </c>
      <c r="BC104" s="46">
        <f>AW104+AX104</f>
        <v>0</v>
      </c>
      <c r="BD104" s="46">
        <f>H104/(100-BE104)*100</f>
        <v>0</v>
      </c>
      <c r="BE104" s="46">
        <v>0</v>
      </c>
      <c r="BF104" s="46">
        <f>M104</f>
        <v>0.00033</v>
      </c>
      <c r="BH104" s="28">
        <f>G104*AO104</f>
        <v>0</v>
      </c>
      <c r="BI104" s="28">
        <f>G104*AP104</f>
        <v>0</v>
      </c>
      <c r="BJ104" s="28">
        <f>G104*H104</f>
        <v>0</v>
      </c>
      <c r="BK104" s="28" t="s">
        <v>519</v>
      </c>
      <c r="BL104" s="46">
        <v>764</v>
      </c>
    </row>
    <row r="105" spans="1:15" ht="12.75">
      <c r="A105" s="5"/>
      <c r="D105" s="18" t="s">
        <v>7</v>
      </c>
      <c r="E105" s="20"/>
      <c r="G105" s="27">
        <v>1</v>
      </c>
      <c r="N105" s="41"/>
      <c r="O105" s="5"/>
    </row>
    <row r="106" spans="1:64" ht="12.75">
      <c r="A106" s="4" t="s">
        <v>48</v>
      </c>
      <c r="B106" s="14"/>
      <c r="C106" s="14" t="s">
        <v>167</v>
      </c>
      <c r="D106" s="101" t="s">
        <v>322</v>
      </c>
      <c r="E106" s="102"/>
      <c r="F106" s="14" t="s">
        <v>454</v>
      </c>
      <c r="G106" s="26">
        <v>17</v>
      </c>
      <c r="H106" s="193"/>
      <c r="I106" s="26">
        <f>G106*AO106</f>
        <v>0</v>
      </c>
      <c r="J106" s="26">
        <f>G106*AP106</f>
        <v>0</v>
      </c>
      <c r="K106" s="26">
        <f>G106*H106</f>
        <v>0</v>
      </c>
      <c r="L106" s="26">
        <v>5E-05</v>
      </c>
      <c r="M106" s="26">
        <f>G106*L106</f>
        <v>0.0008500000000000001</v>
      </c>
      <c r="N106" s="95" t="s">
        <v>580</v>
      </c>
      <c r="O106" s="5"/>
      <c r="Z106" s="46">
        <f>IF(AQ106="5",BJ106,0)</f>
        <v>0</v>
      </c>
      <c r="AB106" s="46">
        <f>IF(AQ106="1",BH106,0)</f>
        <v>0</v>
      </c>
      <c r="AC106" s="46">
        <f>IF(AQ106="1",BI106,0)</f>
        <v>0</v>
      </c>
      <c r="AD106" s="46">
        <f>IF(AQ106="7",BH106,0)</f>
        <v>0</v>
      </c>
      <c r="AE106" s="46">
        <f>IF(AQ106="7",BI106,0)</f>
        <v>0</v>
      </c>
      <c r="AF106" s="46">
        <f>IF(AQ106="2",BH106,0)</f>
        <v>0</v>
      </c>
      <c r="AG106" s="46">
        <f>IF(AQ106="2",BI106,0)</f>
        <v>0</v>
      </c>
      <c r="AH106" s="46">
        <f>IF(AQ106="0",BJ106,0)</f>
        <v>0</v>
      </c>
      <c r="AI106" s="36"/>
      <c r="AJ106" s="26">
        <f>IF(AN106=0,K106,0)</f>
        <v>0</v>
      </c>
      <c r="AK106" s="26">
        <f>IF(AN106=15,K106,0)</f>
        <v>0</v>
      </c>
      <c r="AL106" s="26">
        <f>IF(AN106=21,K106,0)</f>
        <v>0</v>
      </c>
      <c r="AN106" s="46">
        <v>21</v>
      </c>
      <c r="AO106" s="46">
        <f>H106*0.100790513833992</f>
        <v>0</v>
      </c>
      <c r="AP106" s="46">
        <f>H106*(1-0.100790513833992)</f>
        <v>0</v>
      </c>
      <c r="AQ106" s="47" t="s">
        <v>13</v>
      </c>
      <c r="AV106" s="46">
        <f>AW106+AX106</f>
        <v>0</v>
      </c>
      <c r="AW106" s="46">
        <f>G106*AO106</f>
        <v>0</v>
      </c>
      <c r="AX106" s="46">
        <f>G106*AP106</f>
        <v>0</v>
      </c>
      <c r="AY106" s="49" t="s">
        <v>495</v>
      </c>
      <c r="AZ106" s="49" t="s">
        <v>510</v>
      </c>
      <c r="BA106" s="36" t="s">
        <v>513</v>
      </c>
      <c r="BC106" s="46">
        <f>AW106+AX106</f>
        <v>0</v>
      </c>
      <c r="BD106" s="46">
        <f>H106/(100-BE106)*100</f>
        <v>0</v>
      </c>
      <c r="BE106" s="46">
        <v>0</v>
      </c>
      <c r="BF106" s="46">
        <f>M106</f>
        <v>0.0008500000000000001</v>
      </c>
      <c r="BH106" s="26">
        <f>G106*AO106</f>
        <v>0</v>
      </c>
      <c r="BI106" s="26">
        <f>G106*AP106</f>
        <v>0</v>
      </c>
      <c r="BJ106" s="26">
        <f>G106*H106</f>
        <v>0</v>
      </c>
      <c r="BK106" s="26" t="s">
        <v>518</v>
      </c>
      <c r="BL106" s="46">
        <v>764</v>
      </c>
    </row>
    <row r="107" spans="1:15" ht="12.75">
      <c r="A107" s="5"/>
      <c r="D107" s="18" t="s">
        <v>23</v>
      </c>
      <c r="E107" s="20"/>
      <c r="G107" s="27">
        <v>17</v>
      </c>
      <c r="N107" s="41"/>
      <c r="O107" s="5"/>
    </row>
    <row r="108" spans="1:64" ht="12.75">
      <c r="A108" s="7" t="s">
        <v>49</v>
      </c>
      <c r="B108" s="16"/>
      <c r="C108" s="16" t="s">
        <v>168</v>
      </c>
      <c r="D108" s="108" t="s">
        <v>323</v>
      </c>
      <c r="E108" s="109"/>
      <c r="F108" s="16" t="s">
        <v>454</v>
      </c>
      <c r="G108" s="28">
        <v>72.25</v>
      </c>
      <c r="H108" s="194"/>
      <c r="I108" s="28">
        <f>G108*AO108</f>
        <v>0</v>
      </c>
      <c r="J108" s="28">
        <f>G108*AP108</f>
        <v>0</v>
      </c>
      <c r="K108" s="28">
        <f>G108*H108</f>
        <v>0</v>
      </c>
      <c r="L108" s="28">
        <v>0.001</v>
      </c>
      <c r="M108" s="28">
        <f>G108*L108</f>
        <v>0.07225</v>
      </c>
      <c r="N108" s="95" t="s">
        <v>580</v>
      </c>
      <c r="O108" s="5"/>
      <c r="Z108" s="46">
        <f>IF(AQ108="5",BJ108,0)</f>
        <v>0</v>
      </c>
      <c r="AB108" s="46">
        <f>IF(AQ108="1",BH108,0)</f>
        <v>0</v>
      </c>
      <c r="AC108" s="46">
        <f>IF(AQ108="1",BI108,0)</f>
        <v>0</v>
      </c>
      <c r="AD108" s="46">
        <f>IF(AQ108="7",BH108,0)</f>
        <v>0</v>
      </c>
      <c r="AE108" s="46">
        <f>IF(AQ108="7",BI108,0)</f>
        <v>0</v>
      </c>
      <c r="AF108" s="46">
        <f>IF(AQ108="2",BH108,0)</f>
        <v>0</v>
      </c>
      <c r="AG108" s="46">
        <f>IF(AQ108="2",BI108,0)</f>
        <v>0</v>
      </c>
      <c r="AH108" s="46">
        <f>IF(AQ108="0",BJ108,0)</f>
        <v>0</v>
      </c>
      <c r="AI108" s="36"/>
      <c r="AJ108" s="28">
        <f>IF(AN108=0,K108,0)</f>
        <v>0</v>
      </c>
      <c r="AK108" s="28">
        <f>IF(AN108=15,K108,0)</f>
        <v>0</v>
      </c>
      <c r="AL108" s="28">
        <f>IF(AN108=21,K108,0)</f>
        <v>0</v>
      </c>
      <c r="AN108" s="46">
        <v>21</v>
      </c>
      <c r="AO108" s="46">
        <f>H108*1</f>
        <v>0</v>
      </c>
      <c r="AP108" s="46">
        <f>H108*(1-1)</f>
        <v>0</v>
      </c>
      <c r="AQ108" s="48" t="s">
        <v>13</v>
      </c>
      <c r="AV108" s="46">
        <f>AW108+AX108</f>
        <v>0</v>
      </c>
      <c r="AW108" s="46">
        <f>G108*AO108</f>
        <v>0</v>
      </c>
      <c r="AX108" s="46">
        <f>G108*AP108</f>
        <v>0</v>
      </c>
      <c r="AY108" s="49" t="s">
        <v>495</v>
      </c>
      <c r="AZ108" s="49" t="s">
        <v>510</v>
      </c>
      <c r="BA108" s="36" t="s">
        <v>513</v>
      </c>
      <c r="BC108" s="46">
        <f>AW108+AX108</f>
        <v>0</v>
      </c>
      <c r="BD108" s="46">
        <f>H108/(100-BE108)*100</f>
        <v>0</v>
      </c>
      <c r="BE108" s="46">
        <v>0</v>
      </c>
      <c r="BF108" s="46">
        <f>M108</f>
        <v>0.07225</v>
      </c>
      <c r="BH108" s="28">
        <f>G108*AO108</f>
        <v>0</v>
      </c>
      <c r="BI108" s="28">
        <f>G108*AP108</f>
        <v>0</v>
      </c>
      <c r="BJ108" s="28">
        <f>G108*H108</f>
        <v>0</v>
      </c>
      <c r="BK108" s="28" t="s">
        <v>519</v>
      </c>
      <c r="BL108" s="46">
        <v>764</v>
      </c>
    </row>
    <row r="109" spans="1:15" ht="12.75">
      <c r="A109" s="5"/>
      <c r="D109" s="18" t="s">
        <v>23</v>
      </c>
      <c r="E109" s="20"/>
      <c r="G109" s="27">
        <v>17</v>
      </c>
      <c r="N109" s="95"/>
      <c r="O109" s="5"/>
    </row>
    <row r="110" spans="1:64" ht="12.75">
      <c r="A110" s="4" t="s">
        <v>50</v>
      </c>
      <c r="B110" s="14"/>
      <c r="C110" s="14" t="s">
        <v>169</v>
      </c>
      <c r="D110" s="101" t="s">
        <v>324</v>
      </c>
      <c r="E110" s="102"/>
      <c r="F110" s="14" t="s">
        <v>455</v>
      </c>
      <c r="G110" s="26">
        <v>1</v>
      </c>
      <c r="H110" s="193"/>
      <c r="I110" s="26">
        <f>G110*AO110</f>
        <v>0</v>
      </c>
      <c r="J110" s="26">
        <f>G110*AP110</f>
        <v>0</v>
      </c>
      <c r="K110" s="26">
        <f>G110*H110</f>
        <v>0</v>
      </c>
      <c r="L110" s="26">
        <v>6E-05</v>
      </c>
      <c r="M110" s="26">
        <f>G110*L110</f>
        <v>6E-05</v>
      </c>
      <c r="N110" s="95" t="s">
        <v>580</v>
      </c>
      <c r="O110" s="5"/>
      <c r="Z110" s="46">
        <f>IF(AQ110="5",BJ110,0)</f>
        <v>0</v>
      </c>
      <c r="AB110" s="46">
        <f>IF(AQ110="1",BH110,0)</f>
        <v>0</v>
      </c>
      <c r="AC110" s="46">
        <f>IF(AQ110="1",BI110,0)</f>
        <v>0</v>
      </c>
      <c r="AD110" s="46">
        <f>IF(AQ110="7",BH110,0)</f>
        <v>0</v>
      </c>
      <c r="AE110" s="46">
        <f>IF(AQ110="7",BI110,0)</f>
        <v>0</v>
      </c>
      <c r="AF110" s="46">
        <f>IF(AQ110="2",BH110,0)</f>
        <v>0</v>
      </c>
      <c r="AG110" s="46">
        <f>IF(AQ110="2",BI110,0)</f>
        <v>0</v>
      </c>
      <c r="AH110" s="46">
        <f>IF(AQ110="0",BJ110,0)</f>
        <v>0</v>
      </c>
      <c r="AI110" s="36"/>
      <c r="AJ110" s="26">
        <f>IF(AN110=0,K110,0)</f>
        <v>0</v>
      </c>
      <c r="AK110" s="26">
        <f>IF(AN110=15,K110,0)</f>
        <v>0</v>
      </c>
      <c r="AL110" s="26">
        <f>IF(AN110=21,K110,0)</f>
        <v>0</v>
      </c>
      <c r="AN110" s="46">
        <v>21</v>
      </c>
      <c r="AO110" s="46">
        <f>H110*0.111578947368421</f>
        <v>0</v>
      </c>
      <c r="AP110" s="46">
        <f>H110*(1-0.111578947368421)</f>
        <v>0</v>
      </c>
      <c r="AQ110" s="47" t="s">
        <v>13</v>
      </c>
      <c r="AV110" s="46">
        <f>AW110+AX110</f>
        <v>0</v>
      </c>
      <c r="AW110" s="46">
        <f>G110*AO110</f>
        <v>0</v>
      </c>
      <c r="AX110" s="46">
        <f>G110*AP110</f>
        <v>0</v>
      </c>
      <c r="AY110" s="49" t="s">
        <v>495</v>
      </c>
      <c r="AZ110" s="49" t="s">
        <v>510</v>
      </c>
      <c r="BA110" s="36" t="s">
        <v>513</v>
      </c>
      <c r="BC110" s="46">
        <f>AW110+AX110</f>
        <v>0</v>
      </c>
      <c r="BD110" s="46">
        <f>H110/(100-BE110)*100</f>
        <v>0</v>
      </c>
      <c r="BE110" s="46">
        <v>0</v>
      </c>
      <c r="BF110" s="46">
        <f>M110</f>
        <v>6E-05</v>
      </c>
      <c r="BH110" s="26">
        <f>G110*AO110</f>
        <v>0</v>
      </c>
      <c r="BI110" s="26">
        <f>G110*AP110</f>
        <v>0</v>
      </c>
      <c r="BJ110" s="26">
        <f>G110*H110</f>
        <v>0</v>
      </c>
      <c r="BK110" s="26" t="s">
        <v>518</v>
      </c>
      <c r="BL110" s="46">
        <v>764</v>
      </c>
    </row>
    <row r="111" spans="1:15" ht="12.75">
      <c r="A111" s="5"/>
      <c r="D111" s="18" t="s">
        <v>7</v>
      </c>
      <c r="E111" s="20"/>
      <c r="G111" s="27">
        <v>1</v>
      </c>
      <c r="N111" s="41"/>
      <c r="O111" s="5"/>
    </row>
    <row r="112" spans="1:64" ht="12.75">
      <c r="A112" s="7" t="s">
        <v>51</v>
      </c>
      <c r="B112" s="16"/>
      <c r="C112" s="16" t="s">
        <v>170</v>
      </c>
      <c r="D112" s="108" t="s">
        <v>325</v>
      </c>
      <c r="E112" s="109"/>
      <c r="F112" s="16" t="s">
        <v>455</v>
      </c>
      <c r="G112" s="28">
        <v>1</v>
      </c>
      <c r="H112" s="194"/>
      <c r="I112" s="28">
        <f>G112*AO112</f>
        <v>0</v>
      </c>
      <c r="J112" s="28">
        <f>G112*AP112</f>
        <v>0</v>
      </c>
      <c r="K112" s="28">
        <f>G112*H112</f>
        <v>0</v>
      </c>
      <c r="L112" s="28">
        <v>0.00175</v>
      </c>
      <c r="M112" s="28">
        <f>G112*L112</f>
        <v>0.00175</v>
      </c>
      <c r="N112" s="95" t="s">
        <v>580</v>
      </c>
      <c r="O112" s="5"/>
      <c r="Z112" s="46">
        <f>IF(AQ112="5",BJ112,0)</f>
        <v>0</v>
      </c>
      <c r="AB112" s="46">
        <f>IF(AQ112="1",BH112,0)</f>
        <v>0</v>
      </c>
      <c r="AC112" s="46">
        <f>IF(AQ112="1",BI112,0)</f>
        <v>0</v>
      </c>
      <c r="AD112" s="46">
        <f>IF(AQ112="7",BH112,0)</f>
        <v>0</v>
      </c>
      <c r="AE112" s="46">
        <f>IF(AQ112="7",BI112,0)</f>
        <v>0</v>
      </c>
      <c r="AF112" s="46">
        <f>IF(AQ112="2",BH112,0)</f>
        <v>0</v>
      </c>
      <c r="AG112" s="46">
        <f>IF(AQ112="2",BI112,0)</f>
        <v>0</v>
      </c>
      <c r="AH112" s="46">
        <f>IF(AQ112="0",BJ112,0)</f>
        <v>0</v>
      </c>
      <c r="AI112" s="36"/>
      <c r="AJ112" s="28">
        <f>IF(AN112=0,K112,0)</f>
        <v>0</v>
      </c>
      <c r="AK112" s="28">
        <f>IF(AN112=15,K112,0)</f>
        <v>0</v>
      </c>
      <c r="AL112" s="28">
        <f>IF(AN112=21,K112,0)</f>
        <v>0</v>
      </c>
      <c r="AN112" s="46">
        <v>21</v>
      </c>
      <c r="AO112" s="46">
        <f>H112*1</f>
        <v>0</v>
      </c>
      <c r="AP112" s="46">
        <f>H112*(1-1)</f>
        <v>0</v>
      </c>
      <c r="AQ112" s="48" t="s">
        <v>13</v>
      </c>
      <c r="AV112" s="46">
        <f>AW112+AX112</f>
        <v>0</v>
      </c>
      <c r="AW112" s="46">
        <f>G112*AO112</f>
        <v>0</v>
      </c>
      <c r="AX112" s="46">
        <f>G112*AP112</f>
        <v>0</v>
      </c>
      <c r="AY112" s="49" t="s">
        <v>495</v>
      </c>
      <c r="AZ112" s="49" t="s">
        <v>510</v>
      </c>
      <c r="BA112" s="36" t="s">
        <v>513</v>
      </c>
      <c r="BC112" s="46">
        <f>AW112+AX112</f>
        <v>0</v>
      </c>
      <c r="BD112" s="46">
        <f>H112/(100-BE112)*100</f>
        <v>0</v>
      </c>
      <c r="BE112" s="46">
        <v>0</v>
      </c>
      <c r="BF112" s="46">
        <f>M112</f>
        <v>0.00175</v>
      </c>
      <c r="BH112" s="28">
        <f>G112*AO112</f>
        <v>0</v>
      </c>
      <c r="BI112" s="28">
        <f>G112*AP112</f>
        <v>0</v>
      </c>
      <c r="BJ112" s="28">
        <f>G112*H112</f>
        <v>0</v>
      </c>
      <c r="BK112" s="28" t="s">
        <v>519</v>
      </c>
      <c r="BL112" s="46">
        <v>764</v>
      </c>
    </row>
    <row r="113" spans="1:15" ht="12.75">
      <c r="A113" s="5"/>
      <c r="D113" s="18" t="s">
        <v>7</v>
      </c>
      <c r="E113" s="20"/>
      <c r="G113" s="27">
        <v>1</v>
      </c>
      <c r="N113" s="41"/>
      <c r="O113" s="5"/>
    </row>
    <row r="114" spans="1:64" ht="12.75">
      <c r="A114" s="7" t="s">
        <v>52</v>
      </c>
      <c r="B114" s="16"/>
      <c r="C114" s="16" t="s">
        <v>171</v>
      </c>
      <c r="D114" s="108" t="s">
        <v>326</v>
      </c>
      <c r="E114" s="109"/>
      <c r="F114" s="16" t="s">
        <v>454</v>
      </c>
      <c r="G114" s="28">
        <v>1</v>
      </c>
      <c r="H114" s="194"/>
      <c r="I114" s="28">
        <f>G114*AO114</f>
        <v>0</v>
      </c>
      <c r="J114" s="28">
        <f>G114*AP114</f>
        <v>0</v>
      </c>
      <c r="K114" s="28">
        <f>G114*H114</f>
        <v>0</v>
      </c>
      <c r="L114" s="28">
        <v>0.0005</v>
      </c>
      <c r="M114" s="28">
        <f>G114*L114</f>
        <v>0.0005</v>
      </c>
      <c r="N114" s="95" t="s">
        <v>580</v>
      </c>
      <c r="O114" s="5"/>
      <c r="Z114" s="46">
        <f>IF(AQ114="5",BJ114,0)</f>
        <v>0</v>
      </c>
      <c r="AB114" s="46">
        <f>IF(AQ114="1",BH114,0)</f>
        <v>0</v>
      </c>
      <c r="AC114" s="46">
        <f>IF(AQ114="1",BI114,0)</f>
        <v>0</v>
      </c>
      <c r="AD114" s="46">
        <f>IF(AQ114="7",BH114,0)</f>
        <v>0</v>
      </c>
      <c r="AE114" s="46">
        <f>IF(AQ114="7",BI114,0)</f>
        <v>0</v>
      </c>
      <c r="AF114" s="46">
        <f>IF(AQ114="2",BH114,0)</f>
        <v>0</v>
      </c>
      <c r="AG114" s="46">
        <f>IF(AQ114="2",BI114,0)</f>
        <v>0</v>
      </c>
      <c r="AH114" s="46">
        <f>IF(AQ114="0",BJ114,0)</f>
        <v>0</v>
      </c>
      <c r="AI114" s="36"/>
      <c r="AJ114" s="28">
        <f>IF(AN114=0,K114,0)</f>
        <v>0</v>
      </c>
      <c r="AK114" s="28">
        <f>IF(AN114=15,K114,0)</f>
        <v>0</v>
      </c>
      <c r="AL114" s="28">
        <f>IF(AN114=21,K114,0)</f>
        <v>0</v>
      </c>
      <c r="AN114" s="46">
        <v>21</v>
      </c>
      <c r="AO114" s="46">
        <f>H114*1</f>
        <v>0</v>
      </c>
      <c r="AP114" s="46">
        <f>H114*(1-1)</f>
        <v>0</v>
      </c>
      <c r="AQ114" s="48" t="s">
        <v>13</v>
      </c>
      <c r="AV114" s="46">
        <f>AW114+AX114</f>
        <v>0</v>
      </c>
      <c r="AW114" s="46">
        <f>G114*AO114</f>
        <v>0</v>
      </c>
      <c r="AX114" s="46">
        <f>G114*AP114</f>
        <v>0</v>
      </c>
      <c r="AY114" s="49" t="s">
        <v>495</v>
      </c>
      <c r="AZ114" s="49" t="s">
        <v>510</v>
      </c>
      <c r="BA114" s="36" t="s">
        <v>513</v>
      </c>
      <c r="BC114" s="46">
        <f>AW114+AX114</f>
        <v>0</v>
      </c>
      <c r="BD114" s="46">
        <f>H114/(100-BE114)*100</f>
        <v>0</v>
      </c>
      <c r="BE114" s="46">
        <v>0</v>
      </c>
      <c r="BF114" s="46">
        <f>M114</f>
        <v>0.0005</v>
      </c>
      <c r="BH114" s="28">
        <f>G114*AO114</f>
        <v>0</v>
      </c>
      <c r="BI114" s="28">
        <f>G114*AP114</f>
        <v>0</v>
      </c>
      <c r="BJ114" s="28">
        <f>G114*H114</f>
        <v>0</v>
      </c>
      <c r="BK114" s="28" t="s">
        <v>519</v>
      </c>
      <c r="BL114" s="46">
        <v>764</v>
      </c>
    </row>
    <row r="115" spans="1:15" ht="12.75">
      <c r="A115" s="5"/>
      <c r="D115" s="18" t="s">
        <v>7</v>
      </c>
      <c r="E115" s="20"/>
      <c r="G115" s="27">
        <v>1</v>
      </c>
      <c r="N115" s="41"/>
      <c r="O115" s="5"/>
    </row>
    <row r="116" spans="1:64" ht="12.75">
      <c r="A116" s="4" t="s">
        <v>53</v>
      </c>
      <c r="B116" s="14"/>
      <c r="C116" s="14" t="s">
        <v>172</v>
      </c>
      <c r="D116" s="101" t="s">
        <v>327</v>
      </c>
      <c r="E116" s="102"/>
      <c r="F116" s="14" t="s">
        <v>454</v>
      </c>
      <c r="G116" s="26">
        <v>1</v>
      </c>
      <c r="H116" s="193"/>
      <c r="I116" s="26">
        <f>G116*AO116</f>
        <v>0</v>
      </c>
      <c r="J116" s="26">
        <f>G116*AP116</f>
        <v>0</v>
      </c>
      <c r="K116" s="26">
        <f>G116*H116</f>
        <v>0</v>
      </c>
      <c r="L116" s="26">
        <v>0.0004</v>
      </c>
      <c r="M116" s="26">
        <f>G116*L116</f>
        <v>0.0004</v>
      </c>
      <c r="N116" s="95" t="s">
        <v>580</v>
      </c>
      <c r="O116" s="5"/>
      <c r="Z116" s="46">
        <f>IF(AQ116="5",BJ116,0)</f>
        <v>0</v>
      </c>
      <c r="AB116" s="46">
        <f>IF(AQ116="1",BH116,0)</f>
        <v>0</v>
      </c>
      <c r="AC116" s="46">
        <f>IF(AQ116="1",BI116,0)</f>
        <v>0</v>
      </c>
      <c r="AD116" s="46">
        <f>IF(AQ116="7",BH116,0)</f>
        <v>0</v>
      </c>
      <c r="AE116" s="46">
        <f>IF(AQ116="7",BI116,0)</f>
        <v>0</v>
      </c>
      <c r="AF116" s="46">
        <f>IF(AQ116="2",BH116,0)</f>
        <v>0</v>
      </c>
      <c r="AG116" s="46">
        <f>IF(AQ116="2",BI116,0)</f>
        <v>0</v>
      </c>
      <c r="AH116" s="46">
        <f>IF(AQ116="0",BJ116,0)</f>
        <v>0</v>
      </c>
      <c r="AI116" s="36"/>
      <c r="AJ116" s="26">
        <f>IF(AN116=0,K116,0)</f>
        <v>0</v>
      </c>
      <c r="AK116" s="26">
        <f>IF(AN116=15,K116,0)</f>
        <v>0</v>
      </c>
      <c r="AL116" s="26">
        <f>IF(AN116=21,K116,0)</f>
        <v>0</v>
      </c>
      <c r="AN116" s="46">
        <v>21</v>
      </c>
      <c r="AO116" s="46">
        <f>H116*0.955833235782725</f>
        <v>0</v>
      </c>
      <c r="AP116" s="46">
        <f>H116*(1-0.955833235782725)</f>
        <v>0</v>
      </c>
      <c r="AQ116" s="47" t="s">
        <v>13</v>
      </c>
      <c r="AV116" s="46">
        <f>AW116+AX116</f>
        <v>0</v>
      </c>
      <c r="AW116" s="46">
        <f>G116*AO116</f>
        <v>0</v>
      </c>
      <c r="AX116" s="46">
        <f>G116*AP116</f>
        <v>0</v>
      </c>
      <c r="AY116" s="49" t="s">
        <v>495</v>
      </c>
      <c r="AZ116" s="49" t="s">
        <v>510</v>
      </c>
      <c r="BA116" s="36" t="s">
        <v>513</v>
      </c>
      <c r="BC116" s="46">
        <f>AW116+AX116</f>
        <v>0</v>
      </c>
      <c r="BD116" s="46">
        <f>H116/(100-BE116)*100</f>
        <v>0</v>
      </c>
      <c r="BE116" s="46">
        <v>0</v>
      </c>
      <c r="BF116" s="46">
        <f>M116</f>
        <v>0.0004</v>
      </c>
      <c r="BH116" s="26">
        <f>G116*AO116</f>
        <v>0</v>
      </c>
      <c r="BI116" s="26">
        <f>G116*AP116</f>
        <v>0</v>
      </c>
      <c r="BJ116" s="26">
        <f>G116*H116</f>
        <v>0</v>
      </c>
      <c r="BK116" s="26" t="s">
        <v>518</v>
      </c>
      <c r="BL116" s="46">
        <v>764</v>
      </c>
    </row>
    <row r="117" spans="1:64" ht="12.75">
      <c r="A117" s="4" t="s">
        <v>54</v>
      </c>
      <c r="B117" s="14"/>
      <c r="C117" s="14" t="s">
        <v>173</v>
      </c>
      <c r="D117" s="101" t="s">
        <v>328</v>
      </c>
      <c r="E117" s="102"/>
      <c r="F117" s="14" t="s">
        <v>455</v>
      </c>
      <c r="G117" s="26">
        <v>14.1</v>
      </c>
      <c r="H117" s="193"/>
      <c r="I117" s="26">
        <f>G117*AO117</f>
        <v>0</v>
      </c>
      <c r="J117" s="26">
        <f>G117*AP117</f>
        <v>0</v>
      </c>
      <c r="K117" s="26">
        <f>G117*H117</f>
        <v>0</v>
      </c>
      <c r="L117" s="26">
        <v>0.00093</v>
      </c>
      <c r="M117" s="26">
        <f>G117*L117</f>
        <v>0.013113</v>
      </c>
      <c r="N117" s="95" t="s">
        <v>580</v>
      </c>
      <c r="O117" s="5"/>
      <c r="Z117" s="46">
        <f>IF(AQ117="5",BJ117,0)</f>
        <v>0</v>
      </c>
      <c r="AB117" s="46">
        <f>IF(AQ117="1",BH117,0)</f>
        <v>0</v>
      </c>
      <c r="AC117" s="46">
        <f>IF(AQ117="1",BI117,0)</f>
        <v>0</v>
      </c>
      <c r="AD117" s="46">
        <f>IF(AQ117="7",BH117,0)</f>
        <v>0</v>
      </c>
      <c r="AE117" s="46">
        <f>IF(AQ117="7",BI117,0)</f>
        <v>0</v>
      </c>
      <c r="AF117" s="46">
        <f>IF(AQ117="2",BH117,0)</f>
        <v>0</v>
      </c>
      <c r="AG117" s="46">
        <f>IF(AQ117="2",BI117,0)</f>
        <v>0</v>
      </c>
      <c r="AH117" s="46">
        <f>IF(AQ117="0",BJ117,0)</f>
        <v>0</v>
      </c>
      <c r="AI117" s="36"/>
      <c r="AJ117" s="26">
        <f>IF(AN117=0,K117,0)</f>
        <v>0</v>
      </c>
      <c r="AK117" s="26">
        <f>IF(AN117=15,K117,0)</f>
        <v>0</v>
      </c>
      <c r="AL117" s="26">
        <f>IF(AN117=21,K117,0)</f>
        <v>0</v>
      </c>
      <c r="AN117" s="46">
        <v>21</v>
      </c>
      <c r="AO117" s="46">
        <f>H117*0.0452684144818976</f>
        <v>0</v>
      </c>
      <c r="AP117" s="46">
        <f>H117*(1-0.0452684144818976)</f>
        <v>0</v>
      </c>
      <c r="AQ117" s="47" t="s">
        <v>13</v>
      </c>
      <c r="AV117" s="46">
        <f>AW117+AX117</f>
        <v>0</v>
      </c>
      <c r="AW117" s="46">
        <f>G117*AO117</f>
        <v>0</v>
      </c>
      <c r="AX117" s="46">
        <f>G117*AP117</f>
        <v>0</v>
      </c>
      <c r="AY117" s="49" t="s">
        <v>495</v>
      </c>
      <c r="AZ117" s="49" t="s">
        <v>510</v>
      </c>
      <c r="BA117" s="36" t="s">
        <v>513</v>
      </c>
      <c r="BC117" s="46">
        <f>AW117+AX117</f>
        <v>0</v>
      </c>
      <c r="BD117" s="46">
        <f>H117/(100-BE117)*100</f>
        <v>0</v>
      </c>
      <c r="BE117" s="46">
        <v>0</v>
      </c>
      <c r="BF117" s="46">
        <f>M117</f>
        <v>0.013113</v>
      </c>
      <c r="BH117" s="26">
        <f>G117*AO117</f>
        <v>0</v>
      </c>
      <c r="BI117" s="26">
        <f>G117*AP117</f>
        <v>0</v>
      </c>
      <c r="BJ117" s="26">
        <f>G117*H117</f>
        <v>0</v>
      </c>
      <c r="BK117" s="26" t="s">
        <v>518</v>
      </c>
      <c r="BL117" s="46">
        <v>764</v>
      </c>
    </row>
    <row r="118" spans="1:15" ht="12.75">
      <c r="A118" s="5"/>
      <c r="D118" s="18" t="s">
        <v>277</v>
      </c>
      <c r="E118" s="20"/>
      <c r="G118" s="27">
        <v>14.1</v>
      </c>
      <c r="N118" s="41"/>
      <c r="O118" s="5"/>
    </row>
    <row r="119" spans="1:64" ht="12.75">
      <c r="A119" s="7" t="s">
        <v>55</v>
      </c>
      <c r="B119" s="16"/>
      <c r="C119" s="16" t="s">
        <v>174</v>
      </c>
      <c r="D119" s="108" t="s">
        <v>329</v>
      </c>
      <c r="E119" s="109"/>
      <c r="F119" s="16" t="s">
        <v>455</v>
      </c>
      <c r="G119" s="28">
        <v>14.805</v>
      </c>
      <c r="H119" s="194"/>
      <c r="I119" s="28">
        <f>G119*AO119</f>
        <v>0</v>
      </c>
      <c r="J119" s="28">
        <f>G119*AP119</f>
        <v>0</v>
      </c>
      <c r="K119" s="28">
        <f>G119*H119</f>
        <v>0</v>
      </c>
      <c r="L119" s="28">
        <v>0.0016</v>
      </c>
      <c r="M119" s="28">
        <f>G119*L119</f>
        <v>0.023688</v>
      </c>
      <c r="N119" s="95" t="s">
        <v>580</v>
      </c>
      <c r="O119" s="5"/>
      <c r="Z119" s="46">
        <f>IF(AQ119="5",BJ119,0)</f>
        <v>0</v>
      </c>
      <c r="AB119" s="46">
        <f>IF(AQ119="1",BH119,0)</f>
        <v>0</v>
      </c>
      <c r="AC119" s="46">
        <f>IF(AQ119="1",BI119,0)</f>
        <v>0</v>
      </c>
      <c r="AD119" s="46">
        <f>IF(AQ119="7",BH119,0)</f>
        <v>0</v>
      </c>
      <c r="AE119" s="46">
        <f>IF(AQ119="7",BI119,0)</f>
        <v>0</v>
      </c>
      <c r="AF119" s="46">
        <f>IF(AQ119="2",BH119,0)</f>
        <v>0</v>
      </c>
      <c r="AG119" s="46">
        <f>IF(AQ119="2",BI119,0)</f>
        <v>0</v>
      </c>
      <c r="AH119" s="46">
        <f>IF(AQ119="0",BJ119,0)</f>
        <v>0</v>
      </c>
      <c r="AI119" s="36"/>
      <c r="AJ119" s="28">
        <f>IF(AN119=0,K119,0)</f>
        <v>0</v>
      </c>
      <c r="AK119" s="28">
        <f>IF(AN119=15,K119,0)</f>
        <v>0</v>
      </c>
      <c r="AL119" s="28">
        <f>IF(AN119=21,K119,0)</f>
        <v>0</v>
      </c>
      <c r="AN119" s="46">
        <v>21</v>
      </c>
      <c r="AO119" s="46">
        <f>H119*1</f>
        <v>0</v>
      </c>
      <c r="AP119" s="46">
        <f>H119*(1-1)</f>
        <v>0</v>
      </c>
      <c r="AQ119" s="48" t="s">
        <v>13</v>
      </c>
      <c r="AV119" s="46">
        <f>AW119+AX119</f>
        <v>0</v>
      </c>
      <c r="AW119" s="46">
        <f>G119*AO119</f>
        <v>0</v>
      </c>
      <c r="AX119" s="46">
        <f>G119*AP119</f>
        <v>0</v>
      </c>
      <c r="AY119" s="49" t="s">
        <v>495</v>
      </c>
      <c r="AZ119" s="49" t="s">
        <v>510</v>
      </c>
      <c r="BA119" s="36" t="s">
        <v>513</v>
      </c>
      <c r="BC119" s="46">
        <f>AW119+AX119</f>
        <v>0</v>
      </c>
      <c r="BD119" s="46">
        <f>H119/(100-BE119)*100</f>
        <v>0</v>
      </c>
      <c r="BE119" s="46">
        <v>0</v>
      </c>
      <c r="BF119" s="46">
        <f>M119</f>
        <v>0.023688</v>
      </c>
      <c r="BH119" s="28">
        <f>G119*AO119</f>
        <v>0</v>
      </c>
      <c r="BI119" s="28">
        <f>G119*AP119</f>
        <v>0</v>
      </c>
      <c r="BJ119" s="28">
        <f>G119*H119</f>
        <v>0</v>
      </c>
      <c r="BK119" s="28" t="s">
        <v>519</v>
      </c>
      <c r="BL119" s="46">
        <v>764</v>
      </c>
    </row>
    <row r="120" spans="1:15" ht="12.75">
      <c r="A120" s="5"/>
      <c r="D120" s="18" t="s">
        <v>330</v>
      </c>
      <c r="E120" s="20"/>
      <c r="G120" s="27">
        <v>14.1</v>
      </c>
      <c r="N120" s="41"/>
      <c r="O120" s="5"/>
    </row>
    <row r="121" spans="1:15" ht="12.75">
      <c r="A121" s="5"/>
      <c r="D121" s="18" t="s">
        <v>331</v>
      </c>
      <c r="E121" s="20"/>
      <c r="G121" s="27">
        <v>0.705</v>
      </c>
      <c r="N121" s="41"/>
      <c r="O121" s="5"/>
    </row>
    <row r="122" spans="1:64" ht="12.75">
      <c r="A122" s="4" t="s">
        <v>56</v>
      </c>
      <c r="B122" s="14"/>
      <c r="C122" s="14" t="s">
        <v>175</v>
      </c>
      <c r="D122" s="101" t="s">
        <v>332</v>
      </c>
      <c r="E122" s="102"/>
      <c r="F122" s="14" t="s">
        <v>455</v>
      </c>
      <c r="G122" s="26">
        <v>25.7</v>
      </c>
      <c r="H122" s="195"/>
      <c r="I122" s="26">
        <f>G122*AO122</f>
        <v>0</v>
      </c>
      <c r="J122" s="26">
        <f>G122*AP122</f>
        <v>0</v>
      </c>
      <c r="K122" s="26">
        <f>G122*H122</f>
        <v>0</v>
      </c>
      <c r="L122" s="26">
        <v>0</v>
      </c>
      <c r="M122" s="26">
        <f>G122*L122</f>
        <v>0</v>
      </c>
      <c r="N122" s="95" t="s">
        <v>580</v>
      </c>
      <c r="O122" s="5"/>
      <c r="Z122" s="46">
        <f>IF(AQ122="5",BJ122,0)</f>
        <v>0</v>
      </c>
      <c r="AB122" s="46">
        <f>IF(AQ122="1",BH122,0)</f>
        <v>0</v>
      </c>
      <c r="AC122" s="46">
        <f>IF(AQ122="1",BI122,0)</f>
        <v>0</v>
      </c>
      <c r="AD122" s="46">
        <f>IF(AQ122="7",BH122,0)</f>
        <v>0</v>
      </c>
      <c r="AE122" s="46">
        <f>IF(AQ122="7",BI122,0)</f>
        <v>0</v>
      </c>
      <c r="AF122" s="46">
        <f>IF(AQ122="2",BH122,0)</f>
        <v>0</v>
      </c>
      <c r="AG122" s="46">
        <f>IF(AQ122="2",BI122,0)</f>
        <v>0</v>
      </c>
      <c r="AH122" s="46">
        <f>IF(AQ122="0",BJ122,0)</f>
        <v>0</v>
      </c>
      <c r="AI122" s="36"/>
      <c r="AJ122" s="26">
        <f>IF(AN122=0,K122,0)</f>
        <v>0</v>
      </c>
      <c r="AK122" s="26">
        <f>IF(AN122=15,K122,0)</f>
        <v>0</v>
      </c>
      <c r="AL122" s="26">
        <f>IF(AN122=21,K122,0)</f>
        <v>0</v>
      </c>
      <c r="AN122" s="46">
        <v>21</v>
      </c>
      <c r="AO122" s="46">
        <f>H122*0</f>
        <v>0</v>
      </c>
      <c r="AP122" s="46">
        <f>H122*(1-0)</f>
        <v>0</v>
      </c>
      <c r="AQ122" s="47" t="s">
        <v>13</v>
      </c>
      <c r="AV122" s="46">
        <f>AW122+AX122</f>
        <v>0</v>
      </c>
      <c r="AW122" s="46">
        <f>G122*AO122</f>
        <v>0</v>
      </c>
      <c r="AX122" s="46">
        <f>G122*AP122</f>
        <v>0</v>
      </c>
      <c r="AY122" s="49" t="s">
        <v>495</v>
      </c>
      <c r="AZ122" s="49" t="s">
        <v>510</v>
      </c>
      <c r="BA122" s="36" t="s">
        <v>513</v>
      </c>
      <c r="BC122" s="46">
        <f>AW122+AX122</f>
        <v>0</v>
      </c>
      <c r="BD122" s="46">
        <f>H122/(100-BE122)*100</f>
        <v>0</v>
      </c>
      <c r="BE122" s="46">
        <v>0</v>
      </c>
      <c r="BF122" s="46">
        <f>M122</f>
        <v>0</v>
      </c>
      <c r="BH122" s="26">
        <f>G122*AO122</f>
        <v>0</v>
      </c>
      <c r="BI122" s="26">
        <f>G122*AP122</f>
        <v>0</v>
      </c>
      <c r="BJ122" s="26">
        <f>G122*H122</f>
        <v>0</v>
      </c>
      <c r="BK122" s="26" t="s">
        <v>518</v>
      </c>
      <c r="BL122" s="46">
        <v>764</v>
      </c>
    </row>
    <row r="123" spans="1:15" ht="12.75">
      <c r="A123" s="5"/>
      <c r="D123" s="18" t="s">
        <v>333</v>
      </c>
      <c r="E123" s="20"/>
      <c r="G123" s="27">
        <v>25.7</v>
      </c>
      <c r="N123" s="41"/>
      <c r="O123" s="5"/>
    </row>
    <row r="124" spans="1:64" ht="12.75">
      <c r="A124" s="7" t="s">
        <v>57</v>
      </c>
      <c r="B124" s="16"/>
      <c r="C124" s="16" t="s">
        <v>176</v>
      </c>
      <c r="D124" s="108" t="s">
        <v>334</v>
      </c>
      <c r="E124" s="109"/>
      <c r="F124" s="16" t="s">
        <v>455</v>
      </c>
      <c r="G124" s="28">
        <v>26.985</v>
      </c>
      <c r="H124" s="194"/>
      <c r="I124" s="28">
        <f>G124*AO124</f>
        <v>0</v>
      </c>
      <c r="J124" s="28">
        <f>G124*AP124</f>
        <v>0</v>
      </c>
      <c r="K124" s="28">
        <f>G124*H124</f>
        <v>0</v>
      </c>
      <c r="L124" s="28">
        <v>0.00031</v>
      </c>
      <c r="M124" s="28">
        <f>G124*L124</f>
        <v>0.00836535</v>
      </c>
      <c r="N124" s="95" t="s">
        <v>580</v>
      </c>
      <c r="O124" s="5"/>
      <c r="Z124" s="46">
        <f>IF(AQ124="5",BJ124,0)</f>
        <v>0</v>
      </c>
      <c r="AB124" s="46">
        <f>IF(AQ124="1",BH124,0)</f>
        <v>0</v>
      </c>
      <c r="AC124" s="46">
        <f>IF(AQ124="1",BI124,0)</f>
        <v>0</v>
      </c>
      <c r="AD124" s="46">
        <f>IF(AQ124="7",BH124,0)</f>
        <v>0</v>
      </c>
      <c r="AE124" s="46">
        <f>IF(AQ124="7",BI124,0)</f>
        <v>0</v>
      </c>
      <c r="AF124" s="46">
        <f>IF(AQ124="2",BH124,0)</f>
        <v>0</v>
      </c>
      <c r="AG124" s="46">
        <f>IF(AQ124="2",BI124,0)</f>
        <v>0</v>
      </c>
      <c r="AH124" s="46">
        <f>IF(AQ124="0",BJ124,0)</f>
        <v>0</v>
      </c>
      <c r="AI124" s="36"/>
      <c r="AJ124" s="28">
        <f>IF(AN124=0,K124,0)</f>
        <v>0</v>
      </c>
      <c r="AK124" s="28">
        <f>IF(AN124=15,K124,0)</f>
        <v>0</v>
      </c>
      <c r="AL124" s="28">
        <f>IF(AN124=21,K124,0)</f>
        <v>0</v>
      </c>
      <c r="AN124" s="46">
        <v>21</v>
      </c>
      <c r="AO124" s="46">
        <f>H124*1</f>
        <v>0</v>
      </c>
      <c r="AP124" s="46">
        <f>H124*(1-1)</f>
        <v>0</v>
      </c>
      <c r="AQ124" s="48" t="s">
        <v>13</v>
      </c>
      <c r="AV124" s="46">
        <f>AW124+AX124</f>
        <v>0</v>
      </c>
      <c r="AW124" s="46">
        <f>G124*AO124</f>
        <v>0</v>
      </c>
      <c r="AX124" s="46">
        <f>G124*AP124</f>
        <v>0</v>
      </c>
      <c r="AY124" s="49" t="s">
        <v>495</v>
      </c>
      <c r="AZ124" s="49" t="s">
        <v>510</v>
      </c>
      <c r="BA124" s="36" t="s">
        <v>513</v>
      </c>
      <c r="BC124" s="46">
        <f>AW124+AX124</f>
        <v>0</v>
      </c>
      <c r="BD124" s="46">
        <f>H124/(100-BE124)*100</f>
        <v>0</v>
      </c>
      <c r="BE124" s="46">
        <v>0</v>
      </c>
      <c r="BF124" s="46">
        <f>M124</f>
        <v>0.00836535</v>
      </c>
      <c r="BH124" s="28">
        <f>G124*AO124</f>
        <v>0</v>
      </c>
      <c r="BI124" s="28">
        <f>G124*AP124</f>
        <v>0</v>
      </c>
      <c r="BJ124" s="28">
        <f>G124*H124</f>
        <v>0</v>
      </c>
      <c r="BK124" s="28" t="s">
        <v>519</v>
      </c>
      <c r="BL124" s="46">
        <v>764</v>
      </c>
    </row>
    <row r="125" spans="1:15" ht="12.75">
      <c r="A125" s="5"/>
      <c r="D125" s="18" t="s">
        <v>335</v>
      </c>
      <c r="E125" s="20"/>
      <c r="G125" s="27">
        <v>25.7</v>
      </c>
      <c r="N125" s="41"/>
      <c r="O125" s="5"/>
    </row>
    <row r="126" spans="1:15" ht="12.75">
      <c r="A126" s="5"/>
      <c r="D126" s="18" t="s">
        <v>336</v>
      </c>
      <c r="E126" s="20"/>
      <c r="G126" s="27">
        <v>1.285</v>
      </c>
      <c r="N126" s="41"/>
      <c r="O126" s="5"/>
    </row>
    <row r="127" spans="1:64" ht="12.75">
      <c r="A127" s="7" t="s">
        <v>58</v>
      </c>
      <c r="B127" s="16"/>
      <c r="C127" s="16" t="s">
        <v>177</v>
      </c>
      <c r="D127" s="108" t="s">
        <v>337</v>
      </c>
      <c r="E127" s="109"/>
      <c r="F127" s="16" t="s">
        <v>454</v>
      </c>
      <c r="G127" s="28">
        <v>6</v>
      </c>
      <c r="H127" s="194"/>
      <c r="I127" s="28">
        <f>G127*AO127</f>
        <v>0</v>
      </c>
      <c r="J127" s="28">
        <f>G127*AP127</f>
        <v>0</v>
      </c>
      <c r="K127" s="28">
        <f>G127*H127</f>
        <v>0</v>
      </c>
      <c r="L127" s="28">
        <v>0.0003</v>
      </c>
      <c r="M127" s="28">
        <f>G127*L127</f>
        <v>0.0018</v>
      </c>
      <c r="N127" s="95" t="s">
        <v>580</v>
      </c>
      <c r="O127" s="5"/>
      <c r="Z127" s="46">
        <f>IF(AQ127="5",BJ127,0)</f>
        <v>0</v>
      </c>
      <c r="AB127" s="46">
        <f>IF(AQ127="1",BH127,0)</f>
        <v>0</v>
      </c>
      <c r="AC127" s="46">
        <f>IF(AQ127="1",BI127,0)</f>
        <v>0</v>
      </c>
      <c r="AD127" s="46">
        <f>IF(AQ127="7",BH127,0)</f>
        <v>0</v>
      </c>
      <c r="AE127" s="46">
        <f>IF(AQ127="7",BI127,0)</f>
        <v>0</v>
      </c>
      <c r="AF127" s="46">
        <f>IF(AQ127="2",BH127,0)</f>
        <v>0</v>
      </c>
      <c r="AG127" s="46">
        <f>IF(AQ127="2",BI127,0)</f>
        <v>0</v>
      </c>
      <c r="AH127" s="46">
        <f>IF(AQ127="0",BJ127,0)</f>
        <v>0</v>
      </c>
      <c r="AI127" s="36"/>
      <c r="AJ127" s="28">
        <f>IF(AN127=0,K127,0)</f>
        <v>0</v>
      </c>
      <c r="AK127" s="28">
        <f>IF(AN127=15,K127,0)</f>
        <v>0</v>
      </c>
      <c r="AL127" s="28">
        <f>IF(AN127=21,K127,0)</f>
        <v>0</v>
      </c>
      <c r="AN127" s="46">
        <v>21</v>
      </c>
      <c r="AO127" s="46">
        <f>H127*1</f>
        <v>0</v>
      </c>
      <c r="AP127" s="46">
        <f>H127*(1-1)</f>
        <v>0</v>
      </c>
      <c r="AQ127" s="48" t="s">
        <v>13</v>
      </c>
      <c r="AV127" s="46">
        <f>AW127+AX127</f>
        <v>0</v>
      </c>
      <c r="AW127" s="46">
        <f>G127*AO127</f>
        <v>0</v>
      </c>
      <c r="AX127" s="46">
        <f>G127*AP127</f>
        <v>0</v>
      </c>
      <c r="AY127" s="49" t="s">
        <v>495</v>
      </c>
      <c r="AZ127" s="49" t="s">
        <v>510</v>
      </c>
      <c r="BA127" s="36" t="s">
        <v>513</v>
      </c>
      <c r="BC127" s="46">
        <f>AW127+AX127</f>
        <v>0</v>
      </c>
      <c r="BD127" s="46">
        <f>H127/(100-BE127)*100</f>
        <v>0</v>
      </c>
      <c r="BE127" s="46">
        <v>0</v>
      </c>
      <c r="BF127" s="46">
        <f>M127</f>
        <v>0.0018</v>
      </c>
      <c r="BH127" s="28">
        <f>G127*AO127</f>
        <v>0</v>
      </c>
      <c r="BI127" s="28">
        <f>G127*AP127</f>
        <v>0</v>
      </c>
      <c r="BJ127" s="28">
        <f>G127*H127</f>
        <v>0</v>
      </c>
      <c r="BK127" s="28" t="s">
        <v>519</v>
      </c>
      <c r="BL127" s="46">
        <v>764</v>
      </c>
    </row>
    <row r="128" spans="1:15" ht="12.75">
      <c r="A128" s="5"/>
      <c r="D128" s="18" t="s">
        <v>12</v>
      </c>
      <c r="E128" s="20"/>
      <c r="G128" s="27">
        <v>6</v>
      </c>
      <c r="N128" s="41"/>
      <c r="O128" s="5"/>
    </row>
    <row r="129" spans="1:64" ht="12.75">
      <c r="A129" s="7" t="s">
        <v>59</v>
      </c>
      <c r="B129" s="16"/>
      <c r="C129" s="16" t="s">
        <v>178</v>
      </c>
      <c r="D129" s="108" t="s">
        <v>338</v>
      </c>
      <c r="E129" s="109"/>
      <c r="F129" s="16" t="s">
        <v>454</v>
      </c>
      <c r="G129" s="28">
        <v>28.27</v>
      </c>
      <c r="H129" s="194"/>
      <c r="I129" s="28">
        <f>G129*AO129</f>
        <v>0</v>
      </c>
      <c r="J129" s="28">
        <f>G129*AP129</f>
        <v>0</v>
      </c>
      <c r="K129" s="28">
        <f>G129*H129</f>
        <v>0</v>
      </c>
      <c r="L129" s="28">
        <v>0.0044</v>
      </c>
      <c r="M129" s="28">
        <f>G129*L129</f>
        <v>0.12438800000000001</v>
      </c>
      <c r="N129" s="95" t="s">
        <v>580</v>
      </c>
      <c r="O129" s="5"/>
      <c r="Z129" s="46">
        <f>IF(AQ129="5",BJ129,0)</f>
        <v>0</v>
      </c>
      <c r="AB129" s="46">
        <f>IF(AQ129="1",BH129,0)</f>
        <v>0</v>
      </c>
      <c r="AC129" s="46">
        <f>IF(AQ129="1",BI129,0)</f>
        <v>0</v>
      </c>
      <c r="AD129" s="46">
        <f>IF(AQ129="7",BH129,0)</f>
        <v>0</v>
      </c>
      <c r="AE129" s="46">
        <f>IF(AQ129="7",BI129,0)</f>
        <v>0</v>
      </c>
      <c r="AF129" s="46">
        <f>IF(AQ129="2",BH129,0)</f>
        <v>0</v>
      </c>
      <c r="AG129" s="46">
        <f>IF(AQ129="2",BI129,0)</f>
        <v>0</v>
      </c>
      <c r="AH129" s="46">
        <f>IF(AQ129="0",BJ129,0)</f>
        <v>0</v>
      </c>
      <c r="AI129" s="36"/>
      <c r="AJ129" s="28">
        <f>IF(AN129=0,K129,0)</f>
        <v>0</v>
      </c>
      <c r="AK129" s="28">
        <f>IF(AN129=15,K129,0)</f>
        <v>0</v>
      </c>
      <c r="AL129" s="28">
        <f>IF(AN129=21,K129,0)</f>
        <v>0</v>
      </c>
      <c r="AN129" s="46">
        <v>21</v>
      </c>
      <c r="AO129" s="46">
        <f>H129*1</f>
        <v>0</v>
      </c>
      <c r="AP129" s="46">
        <f>H129*(1-1)</f>
        <v>0</v>
      </c>
      <c r="AQ129" s="48" t="s">
        <v>13</v>
      </c>
      <c r="AV129" s="46">
        <f>AW129+AX129</f>
        <v>0</v>
      </c>
      <c r="AW129" s="46">
        <f>G129*AO129</f>
        <v>0</v>
      </c>
      <c r="AX129" s="46">
        <f>G129*AP129</f>
        <v>0</v>
      </c>
      <c r="AY129" s="49" t="s">
        <v>495</v>
      </c>
      <c r="AZ129" s="49" t="s">
        <v>510</v>
      </c>
      <c r="BA129" s="36" t="s">
        <v>513</v>
      </c>
      <c r="BC129" s="46">
        <f>AW129+AX129</f>
        <v>0</v>
      </c>
      <c r="BD129" s="46">
        <f>H129/(100-BE129)*100</f>
        <v>0</v>
      </c>
      <c r="BE129" s="46">
        <v>0</v>
      </c>
      <c r="BF129" s="46">
        <f>M129</f>
        <v>0.12438800000000001</v>
      </c>
      <c r="BH129" s="28">
        <f>G129*AO129</f>
        <v>0</v>
      </c>
      <c r="BI129" s="28">
        <f>G129*AP129</f>
        <v>0</v>
      </c>
      <c r="BJ129" s="28">
        <f>G129*H129</f>
        <v>0</v>
      </c>
      <c r="BK129" s="28" t="s">
        <v>519</v>
      </c>
      <c r="BL129" s="46">
        <v>764</v>
      </c>
    </row>
    <row r="130" spans="1:15" ht="12.75">
      <c r="A130" s="5"/>
      <c r="D130" s="18" t="s">
        <v>333</v>
      </c>
      <c r="E130" s="20"/>
      <c r="G130" s="27">
        <v>25.7</v>
      </c>
      <c r="N130" s="41"/>
      <c r="O130" s="5"/>
    </row>
    <row r="131" spans="1:15" ht="12.75">
      <c r="A131" s="5"/>
      <c r="D131" s="18" t="s">
        <v>339</v>
      </c>
      <c r="E131" s="20"/>
      <c r="G131" s="27">
        <v>2.57</v>
      </c>
      <c r="N131" s="41"/>
      <c r="O131" s="5"/>
    </row>
    <row r="132" spans="1:64" ht="12.75">
      <c r="A132" s="4" t="s">
        <v>60</v>
      </c>
      <c r="B132" s="14"/>
      <c r="C132" s="14" t="s">
        <v>179</v>
      </c>
      <c r="D132" s="101" t="s">
        <v>340</v>
      </c>
      <c r="E132" s="102"/>
      <c r="F132" s="14" t="s">
        <v>453</v>
      </c>
      <c r="G132" s="26">
        <v>1</v>
      </c>
      <c r="H132" s="193"/>
      <c r="I132" s="26">
        <f>G132*AO132</f>
        <v>0</v>
      </c>
      <c r="J132" s="26">
        <f>G132*AP132</f>
        <v>0</v>
      </c>
      <c r="K132" s="26">
        <f>G132*H132</f>
        <v>0</v>
      </c>
      <c r="L132" s="26">
        <v>0.01886</v>
      </c>
      <c r="M132" s="26">
        <f>G132*L132</f>
        <v>0.01886</v>
      </c>
      <c r="N132" s="95" t="s">
        <v>580</v>
      </c>
      <c r="O132" s="5"/>
      <c r="Z132" s="46">
        <f>IF(AQ132="5",BJ132,0)</f>
        <v>0</v>
      </c>
      <c r="AB132" s="46">
        <f>IF(AQ132="1",BH132,0)</f>
        <v>0</v>
      </c>
      <c r="AC132" s="46">
        <f>IF(AQ132="1",BI132,0)</f>
        <v>0</v>
      </c>
      <c r="AD132" s="46">
        <f>IF(AQ132="7",BH132,0)</f>
        <v>0</v>
      </c>
      <c r="AE132" s="46">
        <f>IF(AQ132="7",BI132,0)</f>
        <v>0</v>
      </c>
      <c r="AF132" s="46">
        <f>IF(AQ132="2",BH132,0)</f>
        <v>0</v>
      </c>
      <c r="AG132" s="46">
        <f>IF(AQ132="2",BI132,0)</f>
        <v>0</v>
      </c>
      <c r="AH132" s="46">
        <f>IF(AQ132="0",BJ132,0)</f>
        <v>0</v>
      </c>
      <c r="AI132" s="36"/>
      <c r="AJ132" s="26">
        <f>IF(AN132=0,K132,0)</f>
        <v>0</v>
      </c>
      <c r="AK132" s="26">
        <f>IF(AN132=15,K132,0)</f>
        <v>0</v>
      </c>
      <c r="AL132" s="26">
        <f>IF(AN132=21,K132,0)</f>
        <v>0</v>
      </c>
      <c r="AN132" s="46">
        <v>21</v>
      </c>
      <c r="AO132" s="46">
        <f>H132*0.359373216337775</f>
        <v>0</v>
      </c>
      <c r="AP132" s="46">
        <f>H132*(1-0.359373216337775)</f>
        <v>0</v>
      </c>
      <c r="AQ132" s="47" t="s">
        <v>13</v>
      </c>
      <c r="AV132" s="46">
        <f>AW132+AX132</f>
        <v>0</v>
      </c>
      <c r="AW132" s="46">
        <f>G132*AO132</f>
        <v>0</v>
      </c>
      <c r="AX132" s="46">
        <f>G132*AP132</f>
        <v>0</v>
      </c>
      <c r="AY132" s="49" t="s">
        <v>495</v>
      </c>
      <c r="AZ132" s="49" t="s">
        <v>510</v>
      </c>
      <c r="BA132" s="36" t="s">
        <v>513</v>
      </c>
      <c r="BC132" s="46">
        <f>AW132+AX132</f>
        <v>0</v>
      </c>
      <c r="BD132" s="46">
        <f>H132/(100-BE132)*100</f>
        <v>0</v>
      </c>
      <c r="BE132" s="46">
        <v>0</v>
      </c>
      <c r="BF132" s="46">
        <f>M132</f>
        <v>0.01886</v>
      </c>
      <c r="BH132" s="26">
        <f>G132*AO132</f>
        <v>0</v>
      </c>
      <c r="BI132" s="26">
        <f>G132*AP132</f>
        <v>0</v>
      </c>
      <c r="BJ132" s="26">
        <f>G132*H132</f>
        <v>0</v>
      </c>
      <c r="BK132" s="26" t="s">
        <v>518</v>
      </c>
      <c r="BL132" s="46">
        <v>764</v>
      </c>
    </row>
    <row r="133" spans="1:15" ht="12.75">
      <c r="A133" s="5"/>
      <c r="D133" s="18" t="s">
        <v>341</v>
      </c>
      <c r="E133" s="20" t="s">
        <v>439</v>
      </c>
      <c r="G133" s="27">
        <v>1</v>
      </c>
      <c r="N133" s="41"/>
      <c r="O133" s="5"/>
    </row>
    <row r="134" spans="1:64" ht="12.75">
      <c r="A134" s="4" t="s">
        <v>61</v>
      </c>
      <c r="B134" s="14"/>
      <c r="C134" s="14" t="s">
        <v>180</v>
      </c>
      <c r="D134" s="101" t="s">
        <v>342</v>
      </c>
      <c r="E134" s="102"/>
      <c r="F134" s="14" t="s">
        <v>455</v>
      </c>
      <c r="G134" s="26">
        <v>8.5</v>
      </c>
      <c r="H134" s="193"/>
      <c r="I134" s="26">
        <f>G134*AO134</f>
        <v>0</v>
      </c>
      <c r="J134" s="26">
        <f>G134*AP134</f>
        <v>0</v>
      </c>
      <c r="K134" s="26">
        <f>G134*H134</f>
        <v>0</v>
      </c>
      <c r="L134" s="26">
        <v>0.00063</v>
      </c>
      <c r="M134" s="26">
        <f>G134*L134</f>
        <v>0.005355</v>
      </c>
      <c r="N134" s="95" t="s">
        <v>580</v>
      </c>
      <c r="O134" s="5"/>
      <c r="Z134" s="46">
        <f>IF(AQ134="5",BJ134,0)</f>
        <v>0</v>
      </c>
      <c r="AB134" s="46">
        <f>IF(AQ134="1",BH134,0)</f>
        <v>0</v>
      </c>
      <c r="AC134" s="46">
        <f>IF(AQ134="1",BI134,0)</f>
        <v>0</v>
      </c>
      <c r="AD134" s="46">
        <f>IF(AQ134="7",BH134,0)</f>
        <v>0</v>
      </c>
      <c r="AE134" s="46">
        <f>IF(AQ134="7",BI134,0)</f>
        <v>0</v>
      </c>
      <c r="AF134" s="46">
        <f>IF(AQ134="2",BH134,0)</f>
        <v>0</v>
      </c>
      <c r="AG134" s="46">
        <f>IF(AQ134="2",BI134,0)</f>
        <v>0</v>
      </c>
      <c r="AH134" s="46">
        <f>IF(AQ134="0",BJ134,0)</f>
        <v>0</v>
      </c>
      <c r="AI134" s="36"/>
      <c r="AJ134" s="26">
        <f>IF(AN134=0,K134,0)</f>
        <v>0</v>
      </c>
      <c r="AK134" s="26">
        <f>IF(AN134=15,K134,0)</f>
        <v>0</v>
      </c>
      <c r="AL134" s="26">
        <f>IF(AN134=21,K134,0)</f>
        <v>0</v>
      </c>
      <c r="AN134" s="46">
        <v>21</v>
      </c>
      <c r="AO134" s="46">
        <f>H134*0.0765827338129496</f>
        <v>0</v>
      </c>
      <c r="AP134" s="46">
        <f>H134*(1-0.0765827338129496)</f>
        <v>0</v>
      </c>
      <c r="AQ134" s="47" t="s">
        <v>13</v>
      </c>
      <c r="AV134" s="46">
        <f>AW134+AX134</f>
        <v>0</v>
      </c>
      <c r="AW134" s="46">
        <f>G134*AO134</f>
        <v>0</v>
      </c>
      <c r="AX134" s="46">
        <f>G134*AP134</f>
        <v>0</v>
      </c>
      <c r="AY134" s="49" t="s">
        <v>495</v>
      </c>
      <c r="AZ134" s="49" t="s">
        <v>510</v>
      </c>
      <c r="BA134" s="36" t="s">
        <v>513</v>
      </c>
      <c r="BC134" s="46">
        <f>AW134+AX134</f>
        <v>0</v>
      </c>
      <c r="BD134" s="46">
        <f>H134/(100-BE134)*100</f>
        <v>0</v>
      </c>
      <c r="BE134" s="46">
        <v>0</v>
      </c>
      <c r="BF134" s="46">
        <f>M134</f>
        <v>0.005355</v>
      </c>
      <c r="BH134" s="26">
        <f>G134*AO134</f>
        <v>0</v>
      </c>
      <c r="BI134" s="26">
        <f>G134*AP134</f>
        <v>0</v>
      </c>
      <c r="BJ134" s="26">
        <f>G134*H134</f>
        <v>0</v>
      </c>
      <c r="BK134" s="26" t="s">
        <v>518</v>
      </c>
      <c r="BL134" s="46">
        <v>764</v>
      </c>
    </row>
    <row r="135" spans="1:15" ht="12.75">
      <c r="A135" s="5"/>
      <c r="D135" s="18" t="s">
        <v>315</v>
      </c>
      <c r="E135" s="20"/>
      <c r="G135" s="27">
        <v>8.5</v>
      </c>
      <c r="N135" s="41"/>
      <c r="O135" s="5"/>
    </row>
    <row r="136" spans="1:64" ht="12.75">
      <c r="A136" s="7" t="s">
        <v>62</v>
      </c>
      <c r="B136" s="16"/>
      <c r="C136" s="16" t="s">
        <v>181</v>
      </c>
      <c r="D136" s="108" t="s">
        <v>343</v>
      </c>
      <c r="E136" s="109"/>
      <c r="F136" s="16" t="s">
        <v>454</v>
      </c>
      <c r="G136" s="28">
        <v>8.925</v>
      </c>
      <c r="H136" s="194"/>
      <c r="I136" s="28">
        <f>G136*AO136</f>
        <v>0</v>
      </c>
      <c r="J136" s="28">
        <f>G136*AP136</f>
        <v>0</v>
      </c>
      <c r="K136" s="28">
        <f>G136*H136</f>
        <v>0</v>
      </c>
      <c r="L136" s="28">
        <v>0.0032</v>
      </c>
      <c r="M136" s="28">
        <f>G136*L136</f>
        <v>0.028560000000000002</v>
      </c>
      <c r="N136" s="95" t="s">
        <v>580</v>
      </c>
      <c r="O136" s="5"/>
      <c r="Z136" s="46">
        <f>IF(AQ136="5",BJ136,0)</f>
        <v>0</v>
      </c>
      <c r="AB136" s="46">
        <f>IF(AQ136="1",BH136,0)</f>
        <v>0</v>
      </c>
      <c r="AC136" s="46">
        <f>IF(AQ136="1",BI136,0)</f>
        <v>0</v>
      </c>
      <c r="AD136" s="46">
        <f>IF(AQ136="7",BH136,0)</f>
        <v>0</v>
      </c>
      <c r="AE136" s="46">
        <f>IF(AQ136="7",BI136,0)</f>
        <v>0</v>
      </c>
      <c r="AF136" s="46">
        <f>IF(AQ136="2",BH136,0)</f>
        <v>0</v>
      </c>
      <c r="AG136" s="46">
        <f>IF(AQ136="2",BI136,0)</f>
        <v>0</v>
      </c>
      <c r="AH136" s="46">
        <f>IF(AQ136="0",BJ136,0)</f>
        <v>0</v>
      </c>
      <c r="AI136" s="36"/>
      <c r="AJ136" s="28">
        <f>IF(AN136=0,K136,0)</f>
        <v>0</v>
      </c>
      <c r="AK136" s="28">
        <f>IF(AN136=15,K136,0)</f>
        <v>0</v>
      </c>
      <c r="AL136" s="28">
        <f>IF(AN136=21,K136,0)</f>
        <v>0</v>
      </c>
      <c r="AN136" s="46">
        <v>21</v>
      </c>
      <c r="AO136" s="46">
        <f>H136*1</f>
        <v>0</v>
      </c>
      <c r="AP136" s="46">
        <f>H136*(1-1)</f>
        <v>0</v>
      </c>
      <c r="AQ136" s="48" t="s">
        <v>13</v>
      </c>
      <c r="AV136" s="46">
        <f>AW136+AX136</f>
        <v>0</v>
      </c>
      <c r="AW136" s="46">
        <f>G136*AO136</f>
        <v>0</v>
      </c>
      <c r="AX136" s="46">
        <f>G136*AP136</f>
        <v>0</v>
      </c>
      <c r="AY136" s="49" t="s">
        <v>495</v>
      </c>
      <c r="AZ136" s="49" t="s">
        <v>510</v>
      </c>
      <c r="BA136" s="36" t="s">
        <v>513</v>
      </c>
      <c r="BC136" s="46">
        <f>AW136+AX136</f>
        <v>0</v>
      </c>
      <c r="BD136" s="46">
        <f>H136/(100-BE136)*100</f>
        <v>0</v>
      </c>
      <c r="BE136" s="46">
        <v>0</v>
      </c>
      <c r="BF136" s="46">
        <f>M136</f>
        <v>0.028560000000000002</v>
      </c>
      <c r="BH136" s="28">
        <f>G136*AO136</f>
        <v>0</v>
      </c>
      <c r="BI136" s="28">
        <f>G136*AP136</f>
        <v>0</v>
      </c>
      <c r="BJ136" s="28">
        <f>G136*H136</f>
        <v>0</v>
      </c>
      <c r="BK136" s="28" t="s">
        <v>519</v>
      </c>
      <c r="BL136" s="46">
        <v>764</v>
      </c>
    </row>
    <row r="137" spans="1:15" ht="12.75">
      <c r="A137" s="5"/>
      <c r="D137" s="18" t="s">
        <v>315</v>
      </c>
      <c r="E137" s="20"/>
      <c r="G137" s="27">
        <v>8.5</v>
      </c>
      <c r="N137" s="41"/>
      <c r="O137" s="5"/>
    </row>
    <row r="138" spans="1:15" ht="12.75">
      <c r="A138" s="5"/>
      <c r="D138" s="18" t="s">
        <v>344</v>
      </c>
      <c r="E138" s="20"/>
      <c r="G138" s="27">
        <v>0.425</v>
      </c>
      <c r="N138" s="41"/>
      <c r="O138" s="5"/>
    </row>
    <row r="139" spans="1:64" ht="12.75">
      <c r="A139" s="4" t="s">
        <v>63</v>
      </c>
      <c r="B139" s="14"/>
      <c r="C139" s="14" t="s">
        <v>182</v>
      </c>
      <c r="D139" s="101" t="s">
        <v>345</v>
      </c>
      <c r="E139" s="102"/>
      <c r="F139" s="14" t="s">
        <v>455</v>
      </c>
      <c r="G139" s="26">
        <v>34.4</v>
      </c>
      <c r="H139" s="193"/>
      <c r="I139" s="26">
        <f>G139*AO139</f>
        <v>0</v>
      </c>
      <c r="J139" s="26">
        <f>G139*AP139</f>
        <v>0</v>
      </c>
      <c r="K139" s="26">
        <f>G139*H139</f>
        <v>0</v>
      </c>
      <c r="L139" s="26">
        <v>3E-05</v>
      </c>
      <c r="M139" s="26">
        <f>G139*L139</f>
        <v>0.001032</v>
      </c>
      <c r="N139" s="95" t="s">
        <v>580</v>
      </c>
      <c r="O139" s="5"/>
      <c r="Z139" s="46">
        <f>IF(AQ139="5",BJ139,0)</f>
        <v>0</v>
      </c>
      <c r="AB139" s="46">
        <f>IF(AQ139="1",BH139,0)</f>
        <v>0</v>
      </c>
      <c r="AC139" s="46">
        <f>IF(AQ139="1",BI139,0)</f>
        <v>0</v>
      </c>
      <c r="AD139" s="46">
        <f>IF(AQ139="7",BH139,0)</f>
        <v>0</v>
      </c>
      <c r="AE139" s="46">
        <f>IF(AQ139="7",BI139,0)</f>
        <v>0</v>
      </c>
      <c r="AF139" s="46">
        <f>IF(AQ139="2",BH139,0)</f>
        <v>0</v>
      </c>
      <c r="AG139" s="46">
        <f>IF(AQ139="2",BI139,0)</f>
        <v>0</v>
      </c>
      <c r="AH139" s="46">
        <f>IF(AQ139="0",BJ139,0)</f>
        <v>0</v>
      </c>
      <c r="AI139" s="36"/>
      <c r="AJ139" s="26">
        <f>IF(AN139=0,K139,0)</f>
        <v>0</v>
      </c>
      <c r="AK139" s="26">
        <f>IF(AN139=15,K139,0)</f>
        <v>0</v>
      </c>
      <c r="AL139" s="26">
        <f>IF(AN139=21,K139,0)</f>
        <v>0</v>
      </c>
      <c r="AN139" s="46">
        <v>21</v>
      </c>
      <c r="AO139" s="46">
        <f>H139*0.0960526315789474</f>
        <v>0</v>
      </c>
      <c r="AP139" s="46">
        <f>H139*(1-0.0960526315789474)</f>
        <v>0</v>
      </c>
      <c r="AQ139" s="47" t="s">
        <v>13</v>
      </c>
      <c r="AV139" s="46">
        <f>AW139+AX139</f>
        <v>0</v>
      </c>
      <c r="AW139" s="46">
        <f>G139*AO139</f>
        <v>0</v>
      </c>
      <c r="AX139" s="46">
        <f>G139*AP139</f>
        <v>0</v>
      </c>
      <c r="AY139" s="49" t="s">
        <v>495</v>
      </c>
      <c r="AZ139" s="49" t="s">
        <v>510</v>
      </c>
      <c r="BA139" s="36" t="s">
        <v>513</v>
      </c>
      <c r="BC139" s="46">
        <f>AW139+AX139</f>
        <v>0</v>
      </c>
      <c r="BD139" s="46">
        <f>H139/(100-BE139)*100</f>
        <v>0</v>
      </c>
      <c r="BE139" s="46">
        <v>0</v>
      </c>
      <c r="BF139" s="46">
        <f>M139</f>
        <v>0.001032</v>
      </c>
      <c r="BH139" s="26">
        <f>G139*AO139</f>
        <v>0</v>
      </c>
      <c r="BI139" s="26">
        <f>G139*AP139</f>
        <v>0</v>
      </c>
      <c r="BJ139" s="26">
        <f>G139*H139</f>
        <v>0</v>
      </c>
      <c r="BK139" s="26" t="s">
        <v>518</v>
      </c>
      <c r="BL139" s="46">
        <v>764</v>
      </c>
    </row>
    <row r="140" spans="1:15" ht="12.75">
      <c r="A140" s="5"/>
      <c r="D140" s="18" t="s">
        <v>346</v>
      </c>
      <c r="E140" s="20"/>
      <c r="G140" s="27">
        <v>34.4</v>
      </c>
      <c r="N140" s="41"/>
      <c r="O140" s="5"/>
    </row>
    <row r="141" spans="1:64" ht="12.75">
      <c r="A141" s="7" t="s">
        <v>64</v>
      </c>
      <c r="B141" s="16"/>
      <c r="C141" s="16" t="s">
        <v>183</v>
      </c>
      <c r="D141" s="108" t="s">
        <v>347</v>
      </c>
      <c r="E141" s="109"/>
      <c r="F141" s="16" t="s">
        <v>454</v>
      </c>
      <c r="G141" s="28">
        <v>18.06</v>
      </c>
      <c r="H141" s="194"/>
      <c r="I141" s="28">
        <f>G141*AO141</f>
        <v>0</v>
      </c>
      <c r="J141" s="28">
        <f>G141*AP141</f>
        <v>0</v>
      </c>
      <c r="K141" s="28">
        <f>G141*H141</f>
        <v>0</v>
      </c>
      <c r="L141" s="28">
        <v>0.0021</v>
      </c>
      <c r="M141" s="28">
        <f>G141*L141</f>
        <v>0.037925999999999994</v>
      </c>
      <c r="N141" s="95" t="s">
        <v>580</v>
      </c>
      <c r="O141" s="5"/>
      <c r="Z141" s="46">
        <f>IF(AQ141="5",BJ141,0)</f>
        <v>0</v>
      </c>
      <c r="AB141" s="46">
        <f>IF(AQ141="1",BH141,0)</f>
        <v>0</v>
      </c>
      <c r="AC141" s="46">
        <f>IF(AQ141="1",BI141,0)</f>
        <v>0</v>
      </c>
      <c r="AD141" s="46">
        <f>IF(AQ141="7",BH141,0)</f>
        <v>0</v>
      </c>
      <c r="AE141" s="46">
        <f>IF(AQ141="7",BI141,0)</f>
        <v>0</v>
      </c>
      <c r="AF141" s="46">
        <f>IF(AQ141="2",BH141,0)</f>
        <v>0</v>
      </c>
      <c r="AG141" s="46">
        <f>IF(AQ141="2",BI141,0)</f>
        <v>0</v>
      </c>
      <c r="AH141" s="46">
        <f>IF(AQ141="0",BJ141,0)</f>
        <v>0</v>
      </c>
      <c r="AI141" s="36"/>
      <c r="AJ141" s="28">
        <f>IF(AN141=0,K141,0)</f>
        <v>0</v>
      </c>
      <c r="AK141" s="28">
        <f>IF(AN141=15,K141,0)</f>
        <v>0</v>
      </c>
      <c r="AL141" s="28">
        <f>IF(AN141=21,K141,0)</f>
        <v>0</v>
      </c>
      <c r="AN141" s="46">
        <v>21</v>
      </c>
      <c r="AO141" s="46">
        <f>H141*1</f>
        <v>0</v>
      </c>
      <c r="AP141" s="46">
        <f>H141*(1-1)</f>
        <v>0</v>
      </c>
      <c r="AQ141" s="48" t="s">
        <v>13</v>
      </c>
      <c r="AV141" s="46">
        <f>AW141+AX141</f>
        <v>0</v>
      </c>
      <c r="AW141" s="46">
        <f>G141*AO141</f>
        <v>0</v>
      </c>
      <c r="AX141" s="46">
        <f>G141*AP141</f>
        <v>0</v>
      </c>
      <c r="AY141" s="49" t="s">
        <v>495</v>
      </c>
      <c r="AZ141" s="49" t="s">
        <v>510</v>
      </c>
      <c r="BA141" s="36" t="s">
        <v>513</v>
      </c>
      <c r="BC141" s="46">
        <f>AW141+AX141</f>
        <v>0</v>
      </c>
      <c r="BD141" s="46">
        <f>H141/(100-BE141)*100</f>
        <v>0</v>
      </c>
      <c r="BE141" s="46">
        <v>0</v>
      </c>
      <c r="BF141" s="46">
        <f>M141</f>
        <v>0.037925999999999994</v>
      </c>
      <c r="BH141" s="28">
        <f>G141*AO141</f>
        <v>0</v>
      </c>
      <c r="BI141" s="28">
        <f>G141*AP141</f>
        <v>0</v>
      </c>
      <c r="BJ141" s="28">
        <f>G141*H141</f>
        <v>0</v>
      </c>
      <c r="BK141" s="28" t="s">
        <v>519</v>
      </c>
      <c r="BL141" s="46">
        <v>764</v>
      </c>
    </row>
    <row r="142" spans="1:15" ht="12.75">
      <c r="A142" s="5"/>
      <c r="D142" s="18" t="s">
        <v>318</v>
      </c>
      <c r="E142" s="20"/>
      <c r="G142" s="27">
        <v>17.2</v>
      </c>
      <c r="N142" s="41"/>
      <c r="O142" s="5"/>
    </row>
    <row r="143" spans="1:15" ht="12.75">
      <c r="A143" s="5"/>
      <c r="D143" s="18" t="s">
        <v>348</v>
      </c>
      <c r="E143" s="20"/>
      <c r="G143" s="27">
        <v>0.86</v>
      </c>
      <c r="N143" s="41"/>
      <c r="O143" s="5"/>
    </row>
    <row r="144" spans="1:64" ht="12.75">
      <c r="A144" s="7" t="s">
        <v>65</v>
      </c>
      <c r="B144" s="16"/>
      <c r="C144" s="16" t="s">
        <v>184</v>
      </c>
      <c r="D144" s="108" t="s">
        <v>349</v>
      </c>
      <c r="E144" s="109"/>
      <c r="F144" s="16" t="s">
        <v>454</v>
      </c>
      <c r="G144" s="28">
        <v>18.06</v>
      </c>
      <c r="H144" s="194"/>
      <c r="I144" s="28">
        <f>G144*AO144</f>
        <v>0</v>
      </c>
      <c r="J144" s="28">
        <f>G144*AP144</f>
        <v>0</v>
      </c>
      <c r="K144" s="28">
        <f>G144*H144</f>
        <v>0</v>
      </c>
      <c r="L144" s="28">
        <v>0.001</v>
      </c>
      <c r="M144" s="28">
        <f>G144*L144</f>
        <v>0.01806</v>
      </c>
      <c r="N144" s="95" t="s">
        <v>580</v>
      </c>
      <c r="O144" s="5"/>
      <c r="Z144" s="46">
        <f>IF(AQ144="5",BJ144,0)</f>
        <v>0</v>
      </c>
      <c r="AB144" s="46">
        <f>IF(AQ144="1",BH144,0)</f>
        <v>0</v>
      </c>
      <c r="AC144" s="46">
        <f>IF(AQ144="1",BI144,0)</f>
        <v>0</v>
      </c>
      <c r="AD144" s="46">
        <f>IF(AQ144="7",BH144,0)</f>
        <v>0</v>
      </c>
      <c r="AE144" s="46">
        <f>IF(AQ144="7",BI144,0)</f>
        <v>0</v>
      </c>
      <c r="AF144" s="46">
        <f>IF(AQ144="2",BH144,0)</f>
        <v>0</v>
      </c>
      <c r="AG144" s="46">
        <f>IF(AQ144="2",BI144,0)</f>
        <v>0</v>
      </c>
      <c r="AH144" s="46">
        <f>IF(AQ144="0",BJ144,0)</f>
        <v>0</v>
      </c>
      <c r="AI144" s="36"/>
      <c r="AJ144" s="28">
        <f>IF(AN144=0,K144,0)</f>
        <v>0</v>
      </c>
      <c r="AK144" s="28">
        <f>IF(AN144=15,K144,0)</f>
        <v>0</v>
      </c>
      <c r="AL144" s="28">
        <f>IF(AN144=21,K144,0)</f>
        <v>0</v>
      </c>
      <c r="AN144" s="46">
        <v>21</v>
      </c>
      <c r="AO144" s="46">
        <f>H144*1</f>
        <v>0</v>
      </c>
      <c r="AP144" s="46">
        <f>H144*(1-1)</f>
        <v>0</v>
      </c>
      <c r="AQ144" s="48" t="s">
        <v>13</v>
      </c>
      <c r="AV144" s="46">
        <f>AW144+AX144</f>
        <v>0</v>
      </c>
      <c r="AW144" s="46">
        <f>G144*AO144</f>
        <v>0</v>
      </c>
      <c r="AX144" s="46">
        <f>G144*AP144</f>
        <v>0</v>
      </c>
      <c r="AY144" s="49" t="s">
        <v>495</v>
      </c>
      <c r="AZ144" s="49" t="s">
        <v>510</v>
      </c>
      <c r="BA144" s="36" t="s">
        <v>513</v>
      </c>
      <c r="BC144" s="46">
        <f>AW144+AX144</f>
        <v>0</v>
      </c>
      <c r="BD144" s="46">
        <f>H144/(100-BE144)*100</f>
        <v>0</v>
      </c>
      <c r="BE144" s="46">
        <v>0</v>
      </c>
      <c r="BF144" s="46">
        <f>M144</f>
        <v>0.01806</v>
      </c>
      <c r="BH144" s="28">
        <f>G144*AO144</f>
        <v>0</v>
      </c>
      <c r="BI144" s="28">
        <f>G144*AP144</f>
        <v>0</v>
      </c>
      <c r="BJ144" s="28">
        <f>G144*H144</f>
        <v>0</v>
      </c>
      <c r="BK144" s="28" t="s">
        <v>519</v>
      </c>
      <c r="BL144" s="46">
        <v>764</v>
      </c>
    </row>
    <row r="145" spans="1:15" ht="12.75">
      <c r="A145" s="5"/>
      <c r="D145" s="18" t="s">
        <v>318</v>
      </c>
      <c r="E145" s="20"/>
      <c r="G145" s="27">
        <v>17.2</v>
      </c>
      <c r="N145" s="41"/>
      <c r="O145" s="5"/>
    </row>
    <row r="146" spans="1:15" ht="12.75">
      <c r="A146" s="5"/>
      <c r="D146" s="18" t="s">
        <v>348</v>
      </c>
      <c r="E146" s="20"/>
      <c r="G146" s="27">
        <v>0.86</v>
      </c>
      <c r="N146" s="41"/>
      <c r="O146" s="5"/>
    </row>
    <row r="147" spans="1:64" ht="12.75">
      <c r="A147" s="4" t="s">
        <v>66</v>
      </c>
      <c r="B147" s="14"/>
      <c r="C147" s="14" t="s">
        <v>185</v>
      </c>
      <c r="D147" s="101" t="s">
        <v>350</v>
      </c>
      <c r="E147" s="102"/>
      <c r="F147" s="14" t="s">
        <v>455</v>
      </c>
      <c r="G147" s="26">
        <v>34</v>
      </c>
      <c r="H147" s="193"/>
      <c r="I147" s="26">
        <f>G147*AO147</f>
        <v>0</v>
      </c>
      <c r="J147" s="26">
        <f>G147*AP147</f>
        <v>0</v>
      </c>
      <c r="K147" s="26">
        <f>G147*H147</f>
        <v>0</v>
      </c>
      <c r="L147" s="26">
        <v>3E-05</v>
      </c>
      <c r="M147" s="26">
        <f>G147*L147</f>
        <v>0.00102</v>
      </c>
      <c r="N147" s="95" t="s">
        <v>580</v>
      </c>
      <c r="O147" s="5"/>
      <c r="Z147" s="46">
        <f>IF(AQ147="5",BJ147,0)</f>
        <v>0</v>
      </c>
      <c r="AB147" s="46">
        <f>IF(AQ147="1",BH147,0)</f>
        <v>0</v>
      </c>
      <c r="AC147" s="46">
        <f>IF(AQ147="1",BI147,0)</f>
        <v>0</v>
      </c>
      <c r="AD147" s="46">
        <f>IF(AQ147="7",BH147,0)</f>
        <v>0</v>
      </c>
      <c r="AE147" s="46">
        <f>IF(AQ147="7",BI147,0)</f>
        <v>0</v>
      </c>
      <c r="AF147" s="46">
        <f>IF(AQ147="2",BH147,0)</f>
        <v>0</v>
      </c>
      <c r="AG147" s="46">
        <f>IF(AQ147="2",BI147,0)</f>
        <v>0</v>
      </c>
      <c r="AH147" s="46">
        <f>IF(AQ147="0",BJ147,0)</f>
        <v>0</v>
      </c>
      <c r="AI147" s="36"/>
      <c r="AJ147" s="26">
        <f>IF(AN147=0,K147,0)</f>
        <v>0</v>
      </c>
      <c r="AK147" s="26">
        <f>IF(AN147=15,K147,0)</f>
        <v>0</v>
      </c>
      <c r="AL147" s="26">
        <f>IF(AN147=21,K147,0)</f>
        <v>0</v>
      </c>
      <c r="AN147" s="46">
        <v>21</v>
      </c>
      <c r="AO147" s="46">
        <f>H147*0.0300142247510669</f>
        <v>0</v>
      </c>
      <c r="AP147" s="46">
        <f>H147*(1-0.0300142247510669)</f>
        <v>0</v>
      </c>
      <c r="AQ147" s="47" t="s">
        <v>13</v>
      </c>
      <c r="AV147" s="46">
        <f>AW147+AX147</f>
        <v>0</v>
      </c>
      <c r="AW147" s="46">
        <f>G147*AO147</f>
        <v>0</v>
      </c>
      <c r="AX147" s="46">
        <f>G147*AP147</f>
        <v>0</v>
      </c>
      <c r="AY147" s="49" t="s">
        <v>495</v>
      </c>
      <c r="AZ147" s="49" t="s">
        <v>510</v>
      </c>
      <c r="BA147" s="36" t="s">
        <v>513</v>
      </c>
      <c r="BC147" s="46">
        <f>AW147+AX147</f>
        <v>0</v>
      </c>
      <c r="BD147" s="46">
        <f>H147/(100-BE147)*100</f>
        <v>0</v>
      </c>
      <c r="BE147" s="46">
        <v>0</v>
      </c>
      <c r="BF147" s="46">
        <f>M147</f>
        <v>0.00102</v>
      </c>
      <c r="BH147" s="26">
        <f>G147*AO147</f>
        <v>0</v>
      </c>
      <c r="BI147" s="26">
        <f>G147*AP147</f>
        <v>0</v>
      </c>
      <c r="BJ147" s="26">
        <f>G147*H147</f>
        <v>0</v>
      </c>
      <c r="BK147" s="26" t="s">
        <v>518</v>
      </c>
      <c r="BL147" s="46">
        <v>764</v>
      </c>
    </row>
    <row r="148" spans="1:15" ht="12.75">
      <c r="A148" s="5"/>
      <c r="D148" s="18" t="s">
        <v>351</v>
      </c>
      <c r="E148" s="20"/>
      <c r="G148" s="27">
        <v>34</v>
      </c>
      <c r="N148" s="41"/>
      <c r="O148" s="5"/>
    </row>
    <row r="149" spans="1:64" ht="12.75">
      <c r="A149" s="7" t="s">
        <v>67</v>
      </c>
      <c r="B149" s="16"/>
      <c r="C149" s="16" t="s">
        <v>186</v>
      </c>
      <c r="D149" s="110" t="s">
        <v>579</v>
      </c>
      <c r="E149" s="109"/>
      <c r="F149" s="16" t="s">
        <v>454</v>
      </c>
      <c r="G149" s="28">
        <v>17</v>
      </c>
      <c r="H149" s="194"/>
      <c r="I149" s="28">
        <f>G149*AO149</f>
        <v>0</v>
      </c>
      <c r="J149" s="28">
        <f>G149*AP149</f>
        <v>0</v>
      </c>
      <c r="K149" s="28">
        <f>G149*H149</f>
        <v>0</v>
      </c>
      <c r="L149" s="28">
        <v>0.002</v>
      </c>
      <c r="M149" s="28">
        <f>G149*L149</f>
        <v>0.034</v>
      </c>
      <c r="N149" s="95" t="s">
        <v>580</v>
      </c>
      <c r="O149" s="5"/>
      <c r="Z149" s="46">
        <f>IF(AQ149="5",BJ149,0)</f>
        <v>0</v>
      </c>
      <c r="AB149" s="46">
        <f>IF(AQ149="1",BH149,0)</f>
        <v>0</v>
      </c>
      <c r="AC149" s="46">
        <f>IF(AQ149="1",BI149,0)</f>
        <v>0</v>
      </c>
      <c r="AD149" s="46">
        <f>IF(AQ149="7",BH149,0)</f>
        <v>0</v>
      </c>
      <c r="AE149" s="46">
        <f>IF(AQ149="7",BI149,0)</f>
        <v>0</v>
      </c>
      <c r="AF149" s="46">
        <f>IF(AQ149="2",BH149,0)</f>
        <v>0</v>
      </c>
      <c r="AG149" s="46">
        <f>IF(AQ149="2",BI149,0)</f>
        <v>0</v>
      </c>
      <c r="AH149" s="46">
        <f>IF(AQ149="0",BJ149,0)</f>
        <v>0</v>
      </c>
      <c r="AI149" s="36"/>
      <c r="AJ149" s="28">
        <f>IF(AN149=0,K149,0)</f>
        <v>0</v>
      </c>
      <c r="AK149" s="28">
        <f>IF(AN149=15,K149,0)</f>
        <v>0</v>
      </c>
      <c r="AL149" s="28">
        <f>IF(AN149=21,K149,0)</f>
        <v>0</v>
      </c>
      <c r="AN149" s="46">
        <v>21</v>
      </c>
      <c r="AO149" s="46">
        <f>H149*1</f>
        <v>0</v>
      </c>
      <c r="AP149" s="46">
        <f>H149*(1-1)</f>
        <v>0</v>
      </c>
      <c r="AQ149" s="48" t="s">
        <v>13</v>
      </c>
      <c r="AV149" s="46">
        <f>AW149+AX149</f>
        <v>0</v>
      </c>
      <c r="AW149" s="46">
        <f>G149*AO149</f>
        <v>0</v>
      </c>
      <c r="AX149" s="46">
        <f>G149*AP149</f>
        <v>0</v>
      </c>
      <c r="AY149" s="49" t="s">
        <v>495</v>
      </c>
      <c r="AZ149" s="49" t="s">
        <v>510</v>
      </c>
      <c r="BA149" s="36" t="s">
        <v>513</v>
      </c>
      <c r="BC149" s="46">
        <f>AW149+AX149</f>
        <v>0</v>
      </c>
      <c r="BD149" s="46">
        <f>H149/(100-BE149)*100</f>
        <v>0</v>
      </c>
      <c r="BE149" s="46">
        <v>0</v>
      </c>
      <c r="BF149" s="46">
        <f>M149</f>
        <v>0.034</v>
      </c>
      <c r="BH149" s="28">
        <f>G149*AO149</f>
        <v>0</v>
      </c>
      <c r="BI149" s="28">
        <f>G149*AP149</f>
        <v>0</v>
      </c>
      <c r="BJ149" s="28">
        <f>G149*H149</f>
        <v>0</v>
      </c>
      <c r="BK149" s="28" t="s">
        <v>519</v>
      </c>
      <c r="BL149" s="46">
        <v>764</v>
      </c>
    </row>
    <row r="150" spans="1:15" ht="12.75">
      <c r="A150" s="5"/>
      <c r="D150" s="94" t="s">
        <v>23</v>
      </c>
      <c r="E150" s="20"/>
      <c r="G150" s="27">
        <v>34</v>
      </c>
      <c r="N150" s="41"/>
      <c r="O150" s="5"/>
    </row>
    <row r="151" spans="1:64" ht="12.75">
      <c r="A151" s="4" t="s">
        <v>68</v>
      </c>
      <c r="B151" s="14"/>
      <c r="C151" s="14" t="s">
        <v>187</v>
      </c>
      <c r="D151" s="101" t="s">
        <v>352</v>
      </c>
      <c r="E151" s="102"/>
      <c r="F151" s="14" t="s">
        <v>455</v>
      </c>
      <c r="G151" s="26">
        <v>17</v>
      </c>
      <c r="H151" s="193"/>
      <c r="I151" s="26">
        <f>G151*AO151</f>
        <v>0</v>
      </c>
      <c r="J151" s="26">
        <f>G151*AP151</f>
        <v>0</v>
      </c>
      <c r="K151" s="26">
        <f>G151*H151</f>
        <v>0</v>
      </c>
      <c r="L151" s="26">
        <v>0.00158</v>
      </c>
      <c r="M151" s="26">
        <f>G151*L151</f>
        <v>0.026860000000000002</v>
      </c>
      <c r="N151" s="95" t="s">
        <v>580</v>
      </c>
      <c r="O151" s="5"/>
      <c r="Z151" s="46">
        <f>IF(AQ151="5",BJ151,0)</f>
        <v>0</v>
      </c>
      <c r="AB151" s="46">
        <f>IF(AQ151="1",BH151,0)</f>
        <v>0</v>
      </c>
      <c r="AC151" s="46">
        <f>IF(AQ151="1",BI151,0)</f>
        <v>0</v>
      </c>
      <c r="AD151" s="46">
        <f>IF(AQ151="7",BH151,0)</f>
        <v>0</v>
      </c>
      <c r="AE151" s="46">
        <f>IF(AQ151="7",BI151,0)</f>
        <v>0</v>
      </c>
      <c r="AF151" s="46">
        <f>IF(AQ151="2",BH151,0)</f>
        <v>0</v>
      </c>
      <c r="AG151" s="46">
        <f>IF(AQ151="2",BI151,0)</f>
        <v>0</v>
      </c>
      <c r="AH151" s="46">
        <f>IF(AQ151="0",BJ151,0)</f>
        <v>0</v>
      </c>
      <c r="AI151" s="36"/>
      <c r="AJ151" s="26">
        <f>IF(AN151=0,K151,0)</f>
        <v>0</v>
      </c>
      <c r="AK151" s="26">
        <f>IF(AN151=15,K151,0)</f>
        <v>0</v>
      </c>
      <c r="AL151" s="26">
        <f>IF(AN151=21,K151,0)</f>
        <v>0</v>
      </c>
      <c r="AN151" s="46">
        <v>21</v>
      </c>
      <c r="AO151" s="46">
        <f>H151*0.0453821656050955</f>
        <v>0</v>
      </c>
      <c r="AP151" s="46">
        <f>H151*(1-0.0453821656050955)</f>
        <v>0</v>
      </c>
      <c r="AQ151" s="47" t="s">
        <v>13</v>
      </c>
      <c r="AV151" s="46">
        <f>AW151+AX151</f>
        <v>0</v>
      </c>
      <c r="AW151" s="46">
        <f>G151*AO151</f>
        <v>0</v>
      </c>
      <c r="AX151" s="46">
        <f>G151*AP151</f>
        <v>0</v>
      </c>
      <c r="AY151" s="49" t="s">
        <v>495</v>
      </c>
      <c r="AZ151" s="49" t="s">
        <v>510</v>
      </c>
      <c r="BA151" s="36" t="s">
        <v>513</v>
      </c>
      <c r="BC151" s="46">
        <f>AW151+AX151</f>
        <v>0</v>
      </c>
      <c r="BD151" s="46">
        <f>H151/(100-BE151)*100</f>
        <v>0</v>
      </c>
      <c r="BE151" s="46">
        <v>0</v>
      </c>
      <c r="BF151" s="46">
        <f>M151</f>
        <v>0.026860000000000002</v>
      </c>
      <c r="BH151" s="26">
        <f>G151*AO151</f>
        <v>0</v>
      </c>
      <c r="BI151" s="26">
        <f>G151*AP151</f>
        <v>0</v>
      </c>
      <c r="BJ151" s="26">
        <f>G151*H151</f>
        <v>0</v>
      </c>
      <c r="BK151" s="26" t="s">
        <v>518</v>
      </c>
      <c r="BL151" s="46">
        <v>764</v>
      </c>
    </row>
    <row r="152" spans="1:15" ht="12.75">
      <c r="A152" s="5"/>
      <c r="D152" s="18" t="s">
        <v>23</v>
      </c>
      <c r="E152" s="20" t="s">
        <v>440</v>
      </c>
      <c r="G152" s="27">
        <v>17</v>
      </c>
      <c r="N152" s="41"/>
      <c r="O152" s="5"/>
    </row>
    <row r="153" spans="1:64" ht="12.75">
      <c r="A153" s="7" t="s">
        <v>69</v>
      </c>
      <c r="B153" s="16"/>
      <c r="C153" s="16" t="s">
        <v>188</v>
      </c>
      <c r="D153" s="108" t="s">
        <v>353</v>
      </c>
      <c r="E153" s="109"/>
      <c r="F153" s="16" t="s">
        <v>455</v>
      </c>
      <c r="G153" s="28">
        <v>4.4</v>
      </c>
      <c r="H153" s="194"/>
      <c r="I153" s="28">
        <f>G153*AO153</f>
        <v>0</v>
      </c>
      <c r="J153" s="28">
        <f>G153*AP153</f>
        <v>0</v>
      </c>
      <c r="K153" s="28">
        <f>G153*H153</f>
        <v>0</v>
      </c>
      <c r="L153" s="28">
        <v>0.005</v>
      </c>
      <c r="M153" s="28">
        <f>G153*L153</f>
        <v>0.022000000000000002</v>
      </c>
      <c r="N153" s="95" t="s">
        <v>580</v>
      </c>
      <c r="O153" s="5"/>
      <c r="Z153" s="46">
        <f>IF(AQ153="5",BJ153,0)</f>
        <v>0</v>
      </c>
      <c r="AB153" s="46">
        <f>IF(AQ153="1",BH153,0)</f>
        <v>0</v>
      </c>
      <c r="AC153" s="46">
        <f>IF(AQ153="1",BI153,0)</f>
        <v>0</v>
      </c>
      <c r="AD153" s="46">
        <f>IF(AQ153="7",BH153,0)</f>
        <v>0</v>
      </c>
      <c r="AE153" s="46">
        <f>IF(AQ153="7",BI153,0)</f>
        <v>0</v>
      </c>
      <c r="AF153" s="46">
        <f>IF(AQ153="2",BH153,0)</f>
        <v>0</v>
      </c>
      <c r="AG153" s="46">
        <f>IF(AQ153="2",BI153,0)</f>
        <v>0</v>
      </c>
      <c r="AH153" s="46">
        <f>IF(AQ153="0",BJ153,0)</f>
        <v>0</v>
      </c>
      <c r="AI153" s="36"/>
      <c r="AJ153" s="28">
        <f>IF(AN153=0,K153,0)</f>
        <v>0</v>
      </c>
      <c r="AK153" s="28">
        <f>IF(AN153=15,K153,0)</f>
        <v>0</v>
      </c>
      <c r="AL153" s="28">
        <f>IF(AN153=21,K153,0)</f>
        <v>0</v>
      </c>
      <c r="AN153" s="46">
        <v>21</v>
      </c>
      <c r="AO153" s="46">
        <f>H153*1</f>
        <v>0</v>
      </c>
      <c r="AP153" s="46">
        <f>H153*(1-1)</f>
        <v>0</v>
      </c>
      <c r="AQ153" s="48" t="s">
        <v>13</v>
      </c>
      <c r="AV153" s="46">
        <f>AW153+AX153</f>
        <v>0</v>
      </c>
      <c r="AW153" s="46">
        <f>G153*AO153</f>
        <v>0</v>
      </c>
      <c r="AX153" s="46">
        <f>G153*AP153</f>
        <v>0</v>
      </c>
      <c r="AY153" s="49" t="s">
        <v>495</v>
      </c>
      <c r="AZ153" s="49" t="s">
        <v>510</v>
      </c>
      <c r="BA153" s="36" t="s">
        <v>513</v>
      </c>
      <c r="BC153" s="46">
        <f>AW153+AX153</f>
        <v>0</v>
      </c>
      <c r="BD153" s="46">
        <f>H153/(100-BE153)*100</f>
        <v>0</v>
      </c>
      <c r="BE153" s="46">
        <v>0</v>
      </c>
      <c r="BF153" s="46">
        <f>M153</f>
        <v>0.022000000000000002</v>
      </c>
      <c r="BH153" s="28">
        <f>G153*AO153</f>
        <v>0</v>
      </c>
      <c r="BI153" s="28">
        <f>G153*AP153</f>
        <v>0</v>
      </c>
      <c r="BJ153" s="28">
        <f>G153*H153</f>
        <v>0</v>
      </c>
      <c r="BK153" s="28" t="s">
        <v>519</v>
      </c>
      <c r="BL153" s="46">
        <v>764</v>
      </c>
    </row>
    <row r="154" spans="1:15" ht="12.75">
      <c r="A154" s="5"/>
      <c r="D154" s="18" t="s">
        <v>10</v>
      </c>
      <c r="E154" s="20"/>
      <c r="G154" s="27">
        <v>4</v>
      </c>
      <c r="N154" s="41"/>
      <c r="O154" s="5"/>
    </row>
    <row r="155" spans="1:15" ht="12.75">
      <c r="A155" s="5"/>
      <c r="D155" s="18" t="s">
        <v>354</v>
      </c>
      <c r="E155" s="20"/>
      <c r="G155" s="27">
        <v>0.4</v>
      </c>
      <c r="N155" s="41"/>
      <c r="O155" s="5"/>
    </row>
    <row r="156" spans="1:64" ht="12.75">
      <c r="A156" s="4" t="s">
        <v>70</v>
      </c>
      <c r="B156" s="14"/>
      <c r="C156" s="14" t="s">
        <v>189</v>
      </c>
      <c r="D156" s="101" t="s">
        <v>355</v>
      </c>
      <c r="E156" s="102"/>
      <c r="F156" s="14" t="s">
        <v>453</v>
      </c>
      <c r="G156" s="26">
        <v>146.2</v>
      </c>
      <c r="H156" s="193"/>
      <c r="I156" s="26">
        <f>G156*AO156</f>
        <v>0</v>
      </c>
      <c r="J156" s="26">
        <f>G156*AP156</f>
        <v>0</v>
      </c>
      <c r="K156" s="26">
        <f>G156*H156</f>
        <v>0</v>
      </c>
      <c r="L156" s="26">
        <v>8E-05</v>
      </c>
      <c r="M156" s="26">
        <f>G156*L156</f>
        <v>0.011696</v>
      </c>
      <c r="N156" s="95" t="s">
        <v>580</v>
      </c>
      <c r="O156" s="5"/>
      <c r="Z156" s="46">
        <f>IF(AQ156="5",BJ156,0)</f>
        <v>0</v>
      </c>
      <c r="AB156" s="46">
        <f>IF(AQ156="1",BH156,0)</f>
        <v>0</v>
      </c>
      <c r="AC156" s="46">
        <f>IF(AQ156="1",BI156,0)</f>
        <v>0</v>
      </c>
      <c r="AD156" s="46">
        <f>IF(AQ156="7",BH156,0)</f>
        <v>0</v>
      </c>
      <c r="AE156" s="46">
        <f>IF(AQ156="7",BI156,0)</f>
        <v>0</v>
      </c>
      <c r="AF156" s="46">
        <f>IF(AQ156="2",BH156,0)</f>
        <v>0</v>
      </c>
      <c r="AG156" s="46">
        <f>IF(AQ156="2",BI156,0)</f>
        <v>0</v>
      </c>
      <c r="AH156" s="46">
        <f>IF(AQ156="0",BJ156,0)</f>
        <v>0</v>
      </c>
      <c r="AI156" s="36"/>
      <c r="AJ156" s="26">
        <f>IF(AN156=0,K156,0)</f>
        <v>0</v>
      </c>
      <c r="AK156" s="26">
        <f>IF(AN156=15,K156,0)</f>
        <v>0</v>
      </c>
      <c r="AL156" s="26">
        <f>IF(AN156=21,K156,0)</f>
        <v>0</v>
      </c>
      <c r="AN156" s="46">
        <v>21</v>
      </c>
      <c r="AO156" s="46">
        <f>H156*0.0150746268656716</f>
        <v>0</v>
      </c>
      <c r="AP156" s="46">
        <f>H156*(1-0.0150746268656716)</f>
        <v>0</v>
      </c>
      <c r="AQ156" s="47" t="s">
        <v>13</v>
      </c>
      <c r="AV156" s="46">
        <f>AW156+AX156</f>
        <v>0</v>
      </c>
      <c r="AW156" s="46">
        <f>G156*AO156</f>
        <v>0</v>
      </c>
      <c r="AX156" s="46">
        <f>G156*AP156</f>
        <v>0</v>
      </c>
      <c r="AY156" s="49" t="s">
        <v>495</v>
      </c>
      <c r="AZ156" s="49" t="s">
        <v>510</v>
      </c>
      <c r="BA156" s="36" t="s">
        <v>513</v>
      </c>
      <c r="BC156" s="46">
        <f>AW156+AX156</f>
        <v>0</v>
      </c>
      <c r="BD156" s="46">
        <f>H156/(100-BE156)*100</f>
        <v>0</v>
      </c>
      <c r="BE156" s="46">
        <v>0</v>
      </c>
      <c r="BF156" s="46">
        <f>M156</f>
        <v>0.011696</v>
      </c>
      <c r="BH156" s="26">
        <f>G156*AO156</f>
        <v>0</v>
      </c>
      <c r="BI156" s="26">
        <f>G156*AP156</f>
        <v>0</v>
      </c>
      <c r="BJ156" s="26">
        <f>G156*H156</f>
        <v>0</v>
      </c>
      <c r="BK156" s="26" t="s">
        <v>518</v>
      </c>
      <c r="BL156" s="46">
        <v>764</v>
      </c>
    </row>
    <row r="157" spans="1:15" ht="12.75">
      <c r="A157" s="5"/>
      <c r="D157" s="18" t="s">
        <v>298</v>
      </c>
      <c r="E157" s="20"/>
      <c r="G157" s="27">
        <v>146.2</v>
      </c>
      <c r="N157" s="41"/>
      <c r="O157" s="5"/>
    </row>
    <row r="158" spans="1:64" ht="12.75">
      <c r="A158" s="7" t="s">
        <v>71</v>
      </c>
      <c r="B158" s="16"/>
      <c r="C158" s="16" t="s">
        <v>190</v>
      </c>
      <c r="D158" s="108" t="s">
        <v>356</v>
      </c>
      <c r="E158" s="109"/>
      <c r="F158" s="16" t="s">
        <v>453</v>
      </c>
      <c r="G158" s="28">
        <v>153.51</v>
      </c>
      <c r="H158" s="194"/>
      <c r="I158" s="28">
        <f>G158*AO158</f>
        <v>0</v>
      </c>
      <c r="J158" s="28">
        <f>G158*AP158</f>
        <v>0</v>
      </c>
      <c r="K158" s="28">
        <f>G158*H158</f>
        <v>0</v>
      </c>
      <c r="L158" s="28">
        <v>0.002</v>
      </c>
      <c r="M158" s="28">
        <f>G158*L158</f>
        <v>0.30702</v>
      </c>
      <c r="N158" s="95" t="s">
        <v>580</v>
      </c>
      <c r="O158" s="5"/>
      <c r="Z158" s="46">
        <f>IF(AQ158="5",BJ158,0)</f>
        <v>0</v>
      </c>
      <c r="AB158" s="46">
        <f>IF(AQ158="1",BH158,0)</f>
        <v>0</v>
      </c>
      <c r="AC158" s="46">
        <f>IF(AQ158="1",BI158,0)</f>
        <v>0</v>
      </c>
      <c r="AD158" s="46">
        <f>IF(AQ158="7",BH158,0)</f>
        <v>0</v>
      </c>
      <c r="AE158" s="46">
        <f>IF(AQ158="7",BI158,0)</f>
        <v>0</v>
      </c>
      <c r="AF158" s="46">
        <f>IF(AQ158="2",BH158,0)</f>
        <v>0</v>
      </c>
      <c r="AG158" s="46">
        <f>IF(AQ158="2",BI158,0)</f>
        <v>0</v>
      </c>
      <c r="AH158" s="46">
        <f>IF(AQ158="0",BJ158,0)</f>
        <v>0</v>
      </c>
      <c r="AI158" s="36"/>
      <c r="AJ158" s="28">
        <f>IF(AN158=0,K158,0)</f>
        <v>0</v>
      </c>
      <c r="AK158" s="28">
        <f>IF(AN158=15,K158,0)</f>
        <v>0</v>
      </c>
      <c r="AL158" s="28">
        <f>IF(AN158=21,K158,0)</f>
        <v>0</v>
      </c>
      <c r="AN158" s="46">
        <v>21</v>
      </c>
      <c r="AO158" s="46">
        <f>H158*1</f>
        <v>0</v>
      </c>
      <c r="AP158" s="46">
        <f>H158*(1-1)</f>
        <v>0</v>
      </c>
      <c r="AQ158" s="48" t="s">
        <v>13</v>
      </c>
      <c r="AV158" s="46">
        <f>AW158+AX158</f>
        <v>0</v>
      </c>
      <c r="AW158" s="46">
        <f>G158*AO158</f>
        <v>0</v>
      </c>
      <c r="AX158" s="46">
        <f>G158*AP158</f>
        <v>0</v>
      </c>
      <c r="AY158" s="49" t="s">
        <v>495</v>
      </c>
      <c r="AZ158" s="49" t="s">
        <v>510</v>
      </c>
      <c r="BA158" s="36" t="s">
        <v>513</v>
      </c>
      <c r="BC158" s="46">
        <f>AW158+AX158</f>
        <v>0</v>
      </c>
      <c r="BD158" s="46">
        <f>H158/(100-BE158)*100</f>
        <v>0</v>
      </c>
      <c r="BE158" s="46">
        <v>0</v>
      </c>
      <c r="BF158" s="46">
        <f>M158</f>
        <v>0.30702</v>
      </c>
      <c r="BH158" s="28">
        <f>G158*AO158</f>
        <v>0</v>
      </c>
      <c r="BI158" s="28">
        <f>G158*AP158</f>
        <v>0</v>
      </c>
      <c r="BJ158" s="28">
        <f>G158*H158</f>
        <v>0</v>
      </c>
      <c r="BK158" s="28" t="s">
        <v>519</v>
      </c>
      <c r="BL158" s="46">
        <v>764</v>
      </c>
    </row>
    <row r="159" spans="1:15" ht="12.75">
      <c r="A159" s="5"/>
      <c r="D159" s="18" t="s">
        <v>298</v>
      </c>
      <c r="E159" s="20"/>
      <c r="G159" s="27">
        <v>146.2</v>
      </c>
      <c r="N159" s="41"/>
      <c r="O159" s="5"/>
    </row>
    <row r="160" spans="1:15" ht="12.75">
      <c r="A160" s="5"/>
      <c r="D160" s="18" t="s">
        <v>357</v>
      </c>
      <c r="E160" s="20"/>
      <c r="G160" s="27">
        <v>7.31</v>
      </c>
      <c r="N160" s="41"/>
      <c r="O160" s="5"/>
    </row>
    <row r="161" spans="1:64" ht="12.75">
      <c r="A161" s="4" t="s">
        <v>72</v>
      </c>
      <c r="B161" s="14"/>
      <c r="C161" s="14" t="s">
        <v>191</v>
      </c>
      <c r="D161" s="101" t="s">
        <v>358</v>
      </c>
      <c r="E161" s="102"/>
      <c r="F161" s="14" t="s">
        <v>457</v>
      </c>
      <c r="G161" s="26">
        <v>3.24151</v>
      </c>
      <c r="H161" s="193"/>
      <c r="I161" s="26">
        <f>G161*AO161</f>
        <v>0</v>
      </c>
      <c r="J161" s="26">
        <f>G161*AP161</f>
        <v>0</v>
      </c>
      <c r="K161" s="26">
        <f>G161*H161</f>
        <v>0</v>
      </c>
      <c r="L161" s="26">
        <v>0</v>
      </c>
      <c r="M161" s="26">
        <f>G161*L161</f>
        <v>0</v>
      </c>
      <c r="N161" s="95" t="s">
        <v>580</v>
      </c>
      <c r="O161" s="5"/>
      <c r="Z161" s="46">
        <f>IF(AQ161="5",BJ161,0)</f>
        <v>0</v>
      </c>
      <c r="AB161" s="46">
        <f>IF(AQ161="1",BH161,0)</f>
        <v>0</v>
      </c>
      <c r="AC161" s="46">
        <f>IF(AQ161="1",BI161,0)</f>
        <v>0</v>
      </c>
      <c r="AD161" s="46">
        <f>IF(AQ161="7",BH161,0)</f>
        <v>0</v>
      </c>
      <c r="AE161" s="46">
        <f>IF(AQ161="7",BI161,0)</f>
        <v>0</v>
      </c>
      <c r="AF161" s="46">
        <f>IF(AQ161="2",BH161,0)</f>
        <v>0</v>
      </c>
      <c r="AG161" s="46">
        <f>IF(AQ161="2",BI161,0)</f>
        <v>0</v>
      </c>
      <c r="AH161" s="46">
        <f>IF(AQ161="0",BJ161,0)</f>
        <v>0</v>
      </c>
      <c r="AI161" s="36"/>
      <c r="AJ161" s="26">
        <f>IF(AN161=0,K161,0)</f>
        <v>0</v>
      </c>
      <c r="AK161" s="26">
        <f>IF(AN161=15,K161,0)</f>
        <v>0</v>
      </c>
      <c r="AL161" s="26">
        <f>IF(AN161=21,K161,0)</f>
        <v>0</v>
      </c>
      <c r="AN161" s="46">
        <v>21</v>
      </c>
      <c r="AO161" s="46">
        <f>H161*0</f>
        <v>0</v>
      </c>
      <c r="AP161" s="46">
        <f>H161*(1-0)</f>
        <v>0</v>
      </c>
      <c r="AQ161" s="47" t="s">
        <v>11</v>
      </c>
      <c r="AV161" s="46">
        <f>AW161+AX161</f>
        <v>0</v>
      </c>
      <c r="AW161" s="46">
        <f>G161*AO161</f>
        <v>0</v>
      </c>
      <c r="AX161" s="46">
        <f>G161*AP161</f>
        <v>0</v>
      </c>
      <c r="AY161" s="49" t="s">
        <v>495</v>
      </c>
      <c r="AZ161" s="49" t="s">
        <v>510</v>
      </c>
      <c r="BA161" s="36" t="s">
        <v>513</v>
      </c>
      <c r="BC161" s="46">
        <f>AW161+AX161</f>
        <v>0</v>
      </c>
      <c r="BD161" s="46">
        <f>H161/(100-BE161)*100</f>
        <v>0</v>
      </c>
      <c r="BE161" s="46">
        <v>0</v>
      </c>
      <c r="BF161" s="46">
        <f>M161</f>
        <v>0</v>
      </c>
      <c r="BH161" s="26">
        <f>G161*AO161</f>
        <v>0</v>
      </c>
      <c r="BI161" s="26">
        <f>G161*AP161</f>
        <v>0</v>
      </c>
      <c r="BJ161" s="26">
        <f>G161*H161</f>
        <v>0</v>
      </c>
      <c r="BK161" s="26" t="s">
        <v>518</v>
      </c>
      <c r="BL161" s="46">
        <v>764</v>
      </c>
    </row>
    <row r="162" spans="1:47" ht="12.75">
      <c r="A162" s="6"/>
      <c r="B162" s="15"/>
      <c r="C162" s="15" t="s">
        <v>192</v>
      </c>
      <c r="D162" s="106" t="s">
        <v>359</v>
      </c>
      <c r="E162" s="107"/>
      <c r="F162" s="24" t="s">
        <v>6</v>
      </c>
      <c r="G162" s="24" t="s">
        <v>6</v>
      </c>
      <c r="H162" s="24" t="s">
        <v>6</v>
      </c>
      <c r="I162" s="52">
        <f>SUM(I163:I171)</f>
        <v>0</v>
      </c>
      <c r="J162" s="52">
        <f>SUM(J163:J171)</f>
        <v>0</v>
      </c>
      <c r="K162" s="52">
        <f>SUM(K163:K171)</f>
        <v>0</v>
      </c>
      <c r="L162" s="36"/>
      <c r="M162" s="52">
        <f>SUM(M163:M171)</f>
        <v>0.7594230000000001</v>
      </c>
      <c r="N162" s="42"/>
      <c r="O162" s="5"/>
      <c r="AI162" s="36"/>
      <c r="AS162" s="52">
        <f>SUM(AJ163:AJ171)</f>
        <v>0</v>
      </c>
      <c r="AT162" s="52">
        <f>SUM(AK163:AK171)</f>
        <v>0</v>
      </c>
      <c r="AU162" s="52">
        <f>SUM(AL163:AL171)</f>
        <v>0</v>
      </c>
    </row>
    <row r="163" spans="1:64" ht="12.75">
      <c r="A163" s="4" t="s">
        <v>73</v>
      </c>
      <c r="B163" s="14"/>
      <c r="C163" s="14" t="s">
        <v>193</v>
      </c>
      <c r="D163" s="101" t="s">
        <v>360</v>
      </c>
      <c r="E163" s="102"/>
      <c r="F163" s="14" t="s">
        <v>455</v>
      </c>
      <c r="G163" s="26">
        <v>17.2</v>
      </c>
      <c r="H163" s="193"/>
      <c r="I163" s="26">
        <f>G163*AO163</f>
        <v>0</v>
      </c>
      <c r="J163" s="26">
        <f>G163*AP163</f>
        <v>0</v>
      </c>
      <c r="K163" s="26">
        <f>G163*H163</f>
        <v>0</v>
      </c>
      <c r="L163" s="26">
        <v>0.00042</v>
      </c>
      <c r="M163" s="26">
        <f>G163*L163</f>
        <v>0.007224</v>
      </c>
      <c r="N163" s="95" t="s">
        <v>580</v>
      </c>
      <c r="O163" s="5"/>
      <c r="Z163" s="46">
        <f>IF(AQ163="5",BJ163,0)</f>
        <v>0</v>
      </c>
      <c r="AB163" s="46">
        <f>IF(AQ163="1",BH163,0)</f>
        <v>0</v>
      </c>
      <c r="AC163" s="46">
        <f>IF(AQ163="1",BI163,0)</f>
        <v>0</v>
      </c>
      <c r="AD163" s="46">
        <f>IF(AQ163="7",BH163,0)</f>
        <v>0</v>
      </c>
      <c r="AE163" s="46">
        <f>IF(AQ163="7",BI163,0)</f>
        <v>0</v>
      </c>
      <c r="AF163" s="46">
        <f>IF(AQ163="2",BH163,0)</f>
        <v>0</v>
      </c>
      <c r="AG163" s="46">
        <f>IF(AQ163="2",BI163,0)</f>
        <v>0</v>
      </c>
      <c r="AH163" s="46">
        <f>IF(AQ163="0",BJ163,0)</f>
        <v>0</v>
      </c>
      <c r="AI163" s="36"/>
      <c r="AJ163" s="26">
        <f>IF(AN163=0,K163,0)</f>
        <v>0</v>
      </c>
      <c r="AK163" s="26">
        <f>IF(AN163=15,K163,0)</f>
        <v>0</v>
      </c>
      <c r="AL163" s="26">
        <f>IF(AN163=21,K163,0)</f>
        <v>0</v>
      </c>
      <c r="AN163" s="46">
        <v>21</v>
      </c>
      <c r="AO163" s="46">
        <f>H163*0.392833146696529</f>
        <v>0</v>
      </c>
      <c r="AP163" s="46">
        <f>H163*(1-0.392833146696529)</f>
        <v>0</v>
      </c>
      <c r="AQ163" s="47" t="s">
        <v>13</v>
      </c>
      <c r="AV163" s="46">
        <f>AW163+AX163</f>
        <v>0</v>
      </c>
      <c r="AW163" s="46">
        <f>G163*AO163</f>
        <v>0</v>
      </c>
      <c r="AX163" s="46">
        <f>G163*AP163</f>
        <v>0</v>
      </c>
      <c r="AY163" s="49" t="s">
        <v>496</v>
      </c>
      <c r="AZ163" s="49" t="s">
        <v>510</v>
      </c>
      <c r="BA163" s="36" t="s">
        <v>513</v>
      </c>
      <c r="BC163" s="46">
        <f>AW163+AX163</f>
        <v>0</v>
      </c>
      <c r="BD163" s="46">
        <f>H163/(100-BE163)*100</f>
        <v>0</v>
      </c>
      <c r="BE163" s="46">
        <v>0</v>
      </c>
      <c r="BF163" s="46">
        <f>M163</f>
        <v>0.007224</v>
      </c>
      <c r="BH163" s="26">
        <f>G163*AO163</f>
        <v>0</v>
      </c>
      <c r="BI163" s="26">
        <f>G163*AP163</f>
        <v>0</v>
      </c>
      <c r="BJ163" s="26">
        <f>G163*H163</f>
        <v>0</v>
      </c>
      <c r="BK163" s="26" t="s">
        <v>518</v>
      </c>
      <c r="BL163" s="46">
        <v>765</v>
      </c>
    </row>
    <row r="164" spans="1:15" ht="12.75">
      <c r="A164" s="5"/>
      <c r="D164" s="18" t="s">
        <v>318</v>
      </c>
      <c r="E164" s="20"/>
      <c r="G164" s="27">
        <v>17.2</v>
      </c>
      <c r="N164" s="41"/>
      <c r="O164" s="5"/>
    </row>
    <row r="165" spans="1:64" ht="12.75">
      <c r="A165" s="4" t="s">
        <v>74</v>
      </c>
      <c r="B165" s="14"/>
      <c r="C165" s="14" t="s">
        <v>194</v>
      </c>
      <c r="D165" s="101" t="s">
        <v>361</v>
      </c>
      <c r="E165" s="102"/>
      <c r="F165" s="14" t="s">
        <v>453</v>
      </c>
      <c r="G165" s="26">
        <v>146.2</v>
      </c>
      <c r="H165" s="193"/>
      <c r="I165" s="26">
        <f>G165*AO165</f>
        <v>0</v>
      </c>
      <c r="J165" s="26">
        <f>G165*AP165</f>
        <v>0</v>
      </c>
      <c r="K165" s="26">
        <f>G165*H165</f>
        <v>0</v>
      </c>
      <c r="L165" s="26">
        <v>0.00014</v>
      </c>
      <c r="M165" s="26">
        <f>G165*L165</f>
        <v>0.020467999999999997</v>
      </c>
      <c r="N165" s="95" t="s">
        <v>580</v>
      </c>
      <c r="O165" s="5"/>
      <c r="Z165" s="46">
        <f>IF(AQ165="5",BJ165,0)</f>
        <v>0</v>
      </c>
      <c r="AB165" s="46">
        <f>IF(AQ165="1",BH165,0)</f>
        <v>0</v>
      </c>
      <c r="AC165" s="46">
        <f>IF(AQ165="1",BI165,0)</f>
        <v>0</v>
      </c>
      <c r="AD165" s="46">
        <f>IF(AQ165="7",BH165,0)</f>
        <v>0</v>
      </c>
      <c r="AE165" s="46">
        <f>IF(AQ165="7",BI165,0)</f>
        <v>0</v>
      </c>
      <c r="AF165" s="46">
        <f>IF(AQ165="2",BH165,0)</f>
        <v>0</v>
      </c>
      <c r="AG165" s="46">
        <f>IF(AQ165="2",BI165,0)</f>
        <v>0</v>
      </c>
      <c r="AH165" s="46">
        <f>IF(AQ165="0",BJ165,0)</f>
        <v>0</v>
      </c>
      <c r="AI165" s="36"/>
      <c r="AJ165" s="26">
        <f>IF(AN165=0,K165,0)</f>
        <v>0</v>
      </c>
      <c r="AK165" s="26">
        <f>IF(AN165=15,K165,0)</f>
        <v>0</v>
      </c>
      <c r="AL165" s="26">
        <f>IF(AN165=21,K165,0)</f>
        <v>0</v>
      </c>
      <c r="AN165" s="46">
        <v>21</v>
      </c>
      <c r="AO165" s="46">
        <f>H165*0.298141743655504</f>
        <v>0</v>
      </c>
      <c r="AP165" s="46">
        <f>H165*(1-0.298141743655504)</f>
        <v>0</v>
      </c>
      <c r="AQ165" s="47" t="s">
        <v>13</v>
      </c>
      <c r="AV165" s="46">
        <f>AW165+AX165</f>
        <v>0</v>
      </c>
      <c r="AW165" s="46">
        <f>G165*AO165</f>
        <v>0</v>
      </c>
      <c r="AX165" s="46">
        <f>G165*AP165</f>
        <v>0</v>
      </c>
      <c r="AY165" s="49" t="s">
        <v>496</v>
      </c>
      <c r="AZ165" s="49" t="s">
        <v>510</v>
      </c>
      <c r="BA165" s="36" t="s">
        <v>513</v>
      </c>
      <c r="BC165" s="46">
        <f>AW165+AX165</f>
        <v>0</v>
      </c>
      <c r="BD165" s="46">
        <f>H165/(100-BE165)*100</f>
        <v>0</v>
      </c>
      <c r="BE165" s="46">
        <v>0</v>
      </c>
      <c r="BF165" s="46">
        <f>M165</f>
        <v>0.020467999999999997</v>
      </c>
      <c r="BH165" s="26">
        <f>G165*AO165</f>
        <v>0</v>
      </c>
      <c r="BI165" s="26">
        <f>G165*AP165</f>
        <v>0</v>
      </c>
      <c r="BJ165" s="26">
        <f>G165*H165</f>
        <v>0</v>
      </c>
      <c r="BK165" s="26" t="s">
        <v>518</v>
      </c>
      <c r="BL165" s="46">
        <v>765</v>
      </c>
    </row>
    <row r="166" spans="1:15" ht="12.75">
      <c r="A166" s="5"/>
      <c r="D166" s="18" t="s">
        <v>298</v>
      </c>
      <c r="E166" s="20"/>
      <c r="G166" s="27">
        <v>146.2</v>
      </c>
      <c r="N166" s="41"/>
      <c r="O166" s="5"/>
    </row>
    <row r="167" spans="1:64" ht="12.75">
      <c r="A167" s="4" t="s">
        <v>75</v>
      </c>
      <c r="B167" s="14"/>
      <c r="C167" s="14" t="s">
        <v>195</v>
      </c>
      <c r="D167" s="101" t="s">
        <v>362</v>
      </c>
      <c r="E167" s="102"/>
      <c r="F167" s="14" t="s">
        <v>453</v>
      </c>
      <c r="G167" s="26">
        <v>146.2</v>
      </c>
      <c r="H167" s="193"/>
      <c r="I167" s="26">
        <f>G167*AO167</f>
        <v>0</v>
      </c>
      <c r="J167" s="26">
        <f>G167*AP167</f>
        <v>0</v>
      </c>
      <c r="K167" s="26">
        <f>G167*H167</f>
        <v>0</v>
      </c>
      <c r="L167" s="26">
        <v>0</v>
      </c>
      <c r="M167" s="26">
        <f>G167*L167</f>
        <v>0</v>
      </c>
      <c r="N167" s="95" t="s">
        <v>580</v>
      </c>
      <c r="O167" s="5"/>
      <c r="Z167" s="46">
        <f>IF(AQ167="5",BJ167,0)</f>
        <v>0</v>
      </c>
      <c r="AB167" s="46">
        <f>IF(AQ167="1",BH167,0)</f>
        <v>0</v>
      </c>
      <c r="AC167" s="46">
        <f>IF(AQ167="1",BI167,0)</f>
        <v>0</v>
      </c>
      <c r="AD167" s="46">
        <f>IF(AQ167="7",BH167,0)</f>
        <v>0</v>
      </c>
      <c r="AE167" s="46">
        <f>IF(AQ167="7",BI167,0)</f>
        <v>0</v>
      </c>
      <c r="AF167" s="46">
        <f>IF(AQ167="2",BH167,0)</f>
        <v>0</v>
      </c>
      <c r="AG167" s="46">
        <f>IF(AQ167="2",BI167,0)</f>
        <v>0</v>
      </c>
      <c r="AH167" s="46">
        <f>IF(AQ167="0",BJ167,0)</f>
        <v>0</v>
      </c>
      <c r="AI167" s="36"/>
      <c r="AJ167" s="26">
        <f>IF(AN167=0,K167,0)</f>
        <v>0</v>
      </c>
      <c r="AK167" s="26">
        <f>IF(AN167=15,K167,0)</f>
        <v>0</v>
      </c>
      <c r="AL167" s="26">
        <f>IF(AN167=21,K167,0)</f>
        <v>0</v>
      </c>
      <c r="AN167" s="46">
        <v>21</v>
      </c>
      <c r="AO167" s="46">
        <f>H167*0</f>
        <v>0</v>
      </c>
      <c r="AP167" s="46">
        <f>H167*(1-0)</f>
        <v>0</v>
      </c>
      <c r="AQ167" s="47" t="s">
        <v>13</v>
      </c>
      <c r="AV167" s="46">
        <f>AW167+AX167</f>
        <v>0</v>
      </c>
      <c r="AW167" s="46">
        <f>G167*AO167</f>
        <v>0</v>
      </c>
      <c r="AX167" s="46">
        <f>G167*AP167</f>
        <v>0</v>
      </c>
      <c r="AY167" s="49" t="s">
        <v>496</v>
      </c>
      <c r="AZ167" s="49" t="s">
        <v>510</v>
      </c>
      <c r="BA167" s="36" t="s">
        <v>513</v>
      </c>
      <c r="BC167" s="46">
        <f>AW167+AX167</f>
        <v>0</v>
      </c>
      <c r="BD167" s="46">
        <f>H167/(100-BE167)*100</f>
        <v>0</v>
      </c>
      <c r="BE167" s="46">
        <v>0</v>
      </c>
      <c r="BF167" s="46">
        <f>M167</f>
        <v>0</v>
      </c>
      <c r="BH167" s="26">
        <f>G167*AO167</f>
        <v>0</v>
      </c>
      <c r="BI167" s="26">
        <f>G167*AP167</f>
        <v>0</v>
      </c>
      <c r="BJ167" s="26">
        <f>G167*H167</f>
        <v>0</v>
      </c>
      <c r="BK167" s="26" t="s">
        <v>518</v>
      </c>
      <c r="BL167" s="46">
        <v>765</v>
      </c>
    </row>
    <row r="168" spans="1:64" ht="12.75">
      <c r="A168" s="7" t="s">
        <v>76</v>
      </c>
      <c r="B168" s="16"/>
      <c r="C168" s="16" t="s">
        <v>196</v>
      </c>
      <c r="D168" s="108" t="s">
        <v>363</v>
      </c>
      <c r="E168" s="109"/>
      <c r="F168" s="16" t="s">
        <v>453</v>
      </c>
      <c r="G168" s="28">
        <v>160.82</v>
      </c>
      <c r="H168" s="194"/>
      <c r="I168" s="28">
        <f>G168*AO168</f>
        <v>0</v>
      </c>
      <c r="J168" s="28">
        <f>G168*AP168</f>
        <v>0</v>
      </c>
      <c r="K168" s="28">
        <f>G168*H168</f>
        <v>0</v>
      </c>
      <c r="L168" s="28">
        <v>0.00455</v>
      </c>
      <c r="M168" s="28">
        <f>G168*L168</f>
        <v>0.731731</v>
      </c>
      <c r="N168" s="95" t="s">
        <v>580</v>
      </c>
      <c r="O168" s="5"/>
      <c r="Z168" s="46">
        <f>IF(AQ168="5",BJ168,0)</f>
        <v>0</v>
      </c>
      <c r="AB168" s="46">
        <f>IF(AQ168="1",BH168,0)</f>
        <v>0</v>
      </c>
      <c r="AC168" s="46">
        <f>IF(AQ168="1",BI168,0)</f>
        <v>0</v>
      </c>
      <c r="AD168" s="46">
        <f>IF(AQ168="7",BH168,0)</f>
        <v>0</v>
      </c>
      <c r="AE168" s="46">
        <f>IF(AQ168="7",BI168,0)</f>
        <v>0</v>
      </c>
      <c r="AF168" s="46">
        <f>IF(AQ168="2",BH168,0)</f>
        <v>0</v>
      </c>
      <c r="AG168" s="46">
        <f>IF(AQ168="2",BI168,0)</f>
        <v>0</v>
      </c>
      <c r="AH168" s="46">
        <f>IF(AQ168="0",BJ168,0)</f>
        <v>0</v>
      </c>
      <c r="AI168" s="36"/>
      <c r="AJ168" s="28">
        <f>IF(AN168=0,K168,0)</f>
        <v>0</v>
      </c>
      <c r="AK168" s="28">
        <f>IF(AN168=15,K168,0)</f>
        <v>0</v>
      </c>
      <c r="AL168" s="28">
        <f>IF(AN168=21,K168,0)</f>
        <v>0</v>
      </c>
      <c r="AN168" s="46">
        <v>21</v>
      </c>
      <c r="AO168" s="46">
        <f>H168*1</f>
        <v>0</v>
      </c>
      <c r="AP168" s="46">
        <f>H168*(1-1)</f>
        <v>0</v>
      </c>
      <c r="AQ168" s="48" t="s">
        <v>13</v>
      </c>
      <c r="AV168" s="46">
        <f>AW168+AX168</f>
        <v>0</v>
      </c>
      <c r="AW168" s="46">
        <f>G168*AO168</f>
        <v>0</v>
      </c>
      <c r="AX168" s="46">
        <f>G168*AP168</f>
        <v>0</v>
      </c>
      <c r="AY168" s="49" t="s">
        <v>496</v>
      </c>
      <c r="AZ168" s="49" t="s">
        <v>510</v>
      </c>
      <c r="BA168" s="36" t="s">
        <v>513</v>
      </c>
      <c r="BC168" s="46">
        <f>AW168+AX168</f>
        <v>0</v>
      </c>
      <c r="BD168" s="46">
        <f>H168/(100-BE168)*100</f>
        <v>0</v>
      </c>
      <c r="BE168" s="46">
        <v>0</v>
      </c>
      <c r="BF168" s="46">
        <f>M168</f>
        <v>0.731731</v>
      </c>
      <c r="BH168" s="28">
        <f>G168*AO168</f>
        <v>0</v>
      </c>
      <c r="BI168" s="28">
        <f>G168*AP168</f>
        <v>0</v>
      </c>
      <c r="BJ168" s="28">
        <f>G168*H168</f>
        <v>0</v>
      </c>
      <c r="BK168" s="28" t="s">
        <v>519</v>
      </c>
      <c r="BL168" s="46">
        <v>765</v>
      </c>
    </row>
    <row r="169" spans="1:15" ht="12.75">
      <c r="A169" s="5"/>
      <c r="D169" s="18" t="s">
        <v>298</v>
      </c>
      <c r="E169" s="20"/>
      <c r="G169" s="27">
        <v>146.2</v>
      </c>
      <c r="N169" s="41"/>
      <c r="O169" s="5"/>
    </row>
    <row r="170" spans="1:15" ht="12.75">
      <c r="A170" s="5"/>
      <c r="D170" s="18" t="s">
        <v>364</v>
      </c>
      <c r="E170" s="20"/>
      <c r="G170" s="27">
        <v>14.62</v>
      </c>
      <c r="N170" s="41"/>
      <c r="O170" s="5"/>
    </row>
    <row r="171" spans="1:64" ht="12.75">
      <c r="A171" s="4" t="s">
        <v>77</v>
      </c>
      <c r="B171" s="14"/>
      <c r="C171" s="14" t="s">
        <v>197</v>
      </c>
      <c r="D171" s="101" t="s">
        <v>365</v>
      </c>
      <c r="E171" s="102"/>
      <c r="F171" s="14" t="s">
        <v>457</v>
      </c>
      <c r="G171" s="26">
        <v>0.75942</v>
      </c>
      <c r="H171" s="193"/>
      <c r="I171" s="26">
        <f>G171*AO171</f>
        <v>0</v>
      </c>
      <c r="J171" s="26">
        <f>G171*AP171</f>
        <v>0</v>
      </c>
      <c r="K171" s="26">
        <f>G171*H171</f>
        <v>0</v>
      </c>
      <c r="L171" s="26">
        <v>0</v>
      </c>
      <c r="M171" s="26">
        <f>G171*L171</f>
        <v>0</v>
      </c>
      <c r="N171" s="95" t="s">
        <v>580</v>
      </c>
      <c r="O171" s="5"/>
      <c r="Z171" s="46">
        <f>IF(AQ171="5",BJ171,0)</f>
        <v>0</v>
      </c>
      <c r="AB171" s="46">
        <f>IF(AQ171="1",BH171,0)</f>
        <v>0</v>
      </c>
      <c r="AC171" s="46">
        <f>IF(AQ171="1",BI171,0)</f>
        <v>0</v>
      </c>
      <c r="AD171" s="46">
        <f>IF(AQ171="7",BH171,0)</f>
        <v>0</v>
      </c>
      <c r="AE171" s="46">
        <f>IF(AQ171="7",BI171,0)</f>
        <v>0</v>
      </c>
      <c r="AF171" s="46">
        <f>IF(AQ171="2",BH171,0)</f>
        <v>0</v>
      </c>
      <c r="AG171" s="46">
        <f>IF(AQ171="2",BI171,0)</f>
        <v>0</v>
      </c>
      <c r="AH171" s="46">
        <f>IF(AQ171="0",BJ171,0)</f>
        <v>0</v>
      </c>
      <c r="AI171" s="36"/>
      <c r="AJ171" s="26">
        <f>IF(AN171=0,K171,0)</f>
        <v>0</v>
      </c>
      <c r="AK171" s="26">
        <f>IF(AN171=15,K171,0)</f>
        <v>0</v>
      </c>
      <c r="AL171" s="26">
        <f>IF(AN171=21,K171,0)</f>
        <v>0</v>
      </c>
      <c r="AN171" s="46">
        <v>21</v>
      </c>
      <c r="AO171" s="46">
        <f>H171*0</f>
        <v>0</v>
      </c>
      <c r="AP171" s="46">
        <f>H171*(1-0)</f>
        <v>0</v>
      </c>
      <c r="AQ171" s="47" t="s">
        <v>11</v>
      </c>
      <c r="AV171" s="46">
        <f>AW171+AX171</f>
        <v>0</v>
      </c>
      <c r="AW171" s="46">
        <f>G171*AO171</f>
        <v>0</v>
      </c>
      <c r="AX171" s="46">
        <f>G171*AP171</f>
        <v>0</v>
      </c>
      <c r="AY171" s="49" t="s">
        <v>496</v>
      </c>
      <c r="AZ171" s="49" t="s">
        <v>510</v>
      </c>
      <c r="BA171" s="36" t="s">
        <v>513</v>
      </c>
      <c r="BC171" s="46">
        <f>AW171+AX171</f>
        <v>0</v>
      </c>
      <c r="BD171" s="46">
        <f>H171/(100-BE171)*100</f>
        <v>0</v>
      </c>
      <c r="BE171" s="46">
        <v>0</v>
      </c>
      <c r="BF171" s="46">
        <f>M171</f>
        <v>0</v>
      </c>
      <c r="BH171" s="26">
        <f>G171*AO171</f>
        <v>0</v>
      </c>
      <c r="BI171" s="26">
        <f>G171*AP171</f>
        <v>0</v>
      </c>
      <c r="BJ171" s="26">
        <f>G171*H171</f>
        <v>0</v>
      </c>
      <c r="BK171" s="26" t="s">
        <v>518</v>
      </c>
      <c r="BL171" s="46">
        <v>765</v>
      </c>
    </row>
    <row r="172" spans="1:47" ht="12.75">
      <c r="A172" s="6"/>
      <c r="B172" s="15"/>
      <c r="C172" s="15" t="s">
        <v>198</v>
      </c>
      <c r="D172" s="106" t="s">
        <v>366</v>
      </c>
      <c r="E172" s="107"/>
      <c r="F172" s="24" t="s">
        <v>6</v>
      </c>
      <c r="G172" s="24" t="s">
        <v>6</v>
      </c>
      <c r="H172" s="24" t="s">
        <v>6</v>
      </c>
      <c r="I172" s="52">
        <f>SUM(I173:I186)</f>
        <v>0</v>
      </c>
      <c r="J172" s="52">
        <f>SUM(J173:J186)</f>
        <v>0</v>
      </c>
      <c r="K172" s="52">
        <f>SUM(K173:K186)</f>
        <v>0</v>
      </c>
      <c r="L172" s="36"/>
      <c r="M172" s="52">
        <f>SUM(M173:M186)</f>
        <v>0.5937796</v>
      </c>
      <c r="N172" s="42"/>
      <c r="O172" s="5"/>
      <c r="AI172" s="36"/>
      <c r="AS172" s="52">
        <f>SUM(AJ173:AJ186)</f>
        <v>0</v>
      </c>
      <c r="AT172" s="52">
        <f>SUM(AK173:AK186)</f>
        <v>0</v>
      </c>
      <c r="AU172" s="52">
        <f>SUM(AL173:AL186)</f>
        <v>0</v>
      </c>
    </row>
    <row r="173" spans="1:64" ht="12.75">
      <c r="A173" s="4" t="s">
        <v>78</v>
      </c>
      <c r="B173" s="14"/>
      <c r="C173" s="14" t="s">
        <v>199</v>
      </c>
      <c r="D173" s="101" t="s">
        <v>367</v>
      </c>
      <c r="E173" s="102"/>
      <c r="F173" s="14" t="s">
        <v>454</v>
      </c>
      <c r="G173" s="26">
        <v>10</v>
      </c>
      <c r="H173" s="193"/>
      <c r="I173" s="26">
        <f>G173*AO173</f>
        <v>0</v>
      </c>
      <c r="J173" s="26">
        <f>G173*AP173</f>
        <v>0</v>
      </c>
      <c r="K173" s="26">
        <f>G173*H173</f>
        <v>0</v>
      </c>
      <c r="L173" s="26">
        <v>0.0012</v>
      </c>
      <c r="M173" s="26">
        <f>G173*L173</f>
        <v>0.011999999999999999</v>
      </c>
      <c r="N173" s="95" t="s">
        <v>580</v>
      </c>
      <c r="O173" s="5"/>
      <c r="Z173" s="46">
        <f>IF(AQ173="5",BJ173,0)</f>
        <v>0</v>
      </c>
      <c r="AB173" s="46">
        <f>IF(AQ173="1",BH173,0)</f>
        <v>0</v>
      </c>
      <c r="AC173" s="46">
        <f>IF(AQ173="1",BI173,0)</f>
        <v>0</v>
      </c>
      <c r="AD173" s="46">
        <f>IF(AQ173="7",BH173,0)</f>
        <v>0</v>
      </c>
      <c r="AE173" s="46">
        <f>IF(AQ173="7",BI173,0)</f>
        <v>0</v>
      </c>
      <c r="AF173" s="46">
        <f>IF(AQ173="2",BH173,0)</f>
        <v>0</v>
      </c>
      <c r="AG173" s="46">
        <f>IF(AQ173="2",BI173,0)</f>
        <v>0</v>
      </c>
      <c r="AH173" s="46">
        <f>IF(AQ173="0",BJ173,0)</f>
        <v>0</v>
      </c>
      <c r="AI173" s="36"/>
      <c r="AJ173" s="26">
        <f>IF(AN173=0,K173,0)</f>
        <v>0</v>
      </c>
      <c r="AK173" s="26">
        <f>IF(AN173=15,K173,0)</f>
        <v>0</v>
      </c>
      <c r="AL173" s="26">
        <f>IF(AN173=21,K173,0)</f>
        <v>0</v>
      </c>
      <c r="AN173" s="46">
        <v>21</v>
      </c>
      <c r="AO173" s="46">
        <f>H173*0.0704718309859155</f>
        <v>0</v>
      </c>
      <c r="AP173" s="46">
        <f>H173*(1-0.0704718309859155)</f>
        <v>0</v>
      </c>
      <c r="AQ173" s="47" t="s">
        <v>13</v>
      </c>
      <c r="AV173" s="46">
        <f>AW173+AX173</f>
        <v>0</v>
      </c>
      <c r="AW173" s="46">
        <f>G173*AO173</f>
        <v>0</v>
      </c>
      <c r="AX173" s="46">
        <f>G173*AP173</f>
        <v>0</v>
      </c>
      <c r="AY173" s="49" t="s">
        <v>497</v>
      </c>
      <c r="AZ173" s="49" t="s">
        <v>510</v>
      </c>
      <c r="BA173" s="36" t="s">
        <v>513</v>
      </c>
      <c r="BC173" s="46">
        <f>AW173+AX173</f>
        <v>0</v>
      </c>
      <c r="BD173" s="46">
        <f>H173/(100-BE173)*100</f>
        <v>0</v>
      </c>
      <c r="BE173" s="46">
        <v>0</v>
      </c>
      <c r="BF173" s="46">
        <f>M173</f>
        <v>0.011999999999999999</v>
      </c>
      <c r="BH173" s="26">
        <f>G173*AO173</f>
        <v>0</v>
      </c>
      <c r="BI173" s="26">
        <f>G173*AP173</f>
        <v>0</v>
      </c>
      <c r="BJ173" s="26">
        <f>G173*H173</f>
        <v>0</v>
      </c>
      <c r="BK173" s="26" t="s">
        <v>518</v>
      </c>
      <c r="BL173" s="46">
        <v>766</v>
      </c>
    </row>
    <row r="174" spans="1:15" ht="12.75">
      <c r="A174" s="5"/>
      <c r="D174" s="18" t="s">
        <v>368</v>
      </c>
      <c r="E174" s="20"/>
      <c r="G174" s="27">
        <v>10</v>
      </c>
      <c r="N174" s="41"/>
      <c r="O174" s="5"/>
    </row>
    <row r="175" spans="1:64" ht="12.75">
      <c r="A175" s="7" t="s">
        <v>79</v>
      </c>
      <c r="B175" s="16"/>
      <c r="C175" s="16" t="s">
        <v>200</v>
      </c>
      <c r="D175" s="108" t="s">
        <v>369</v>
      </c>
      <c r="E175" s="109"/>
      <c r="F175" s="16" t="s">
        <v>454</v>
      </c>
      <c r="G175" s="28">
        <v>5</v>
      </c>
      <c r="H175" s="194"/>
      <c r="I175" s="28">
        <f>G175*AO175</f>
        <v>0</v>
      </c>
      <c r="J175" s="28">
        <f>G175*AP175</f>
        <v>0</v>
      </c>
      <c r="K175" s="28">
        <f>G175*H175</f>
        <v>0</v>
      </c>
      <c r="L175" s="28">
        <v>0.034</v>
      </c>
      <c r="M175" s="28">
        <f>G175*L175</f>
        <v>0.17</v>
      </c>
      <c r="N175" s="43"/>
      <c r="O175" s="5"/>
      <c r="Z175" s="46">
        <f>IF(AQ175="5",BJ175,0)</f>
        <v>0</v>
      </c>
      <c r="AB175" s="46">
        <f>IF(AQ175="1",BH175,0)</f>
        <v>0</v>
      </c>
      <c r="AC175" s="46">
        <f>IF(AQ175="1",BI175,0)</f>
        <v>0</v>
      </c>
      <c r="AD175" s="46">
        <f>IF(AQ175="7",BH175,0)</f>
        <v>0</v>
      </c>
      <c r="AE175" s="46">
        <f>IF(AQ175="7",BI175,0)</f>
        <v>0</v>
      </c>
      <c r="AF175" s="46">
        <f>IF(AQ175="2",BH175,0)</f>
        <v>0</v>
      </c>
      <c r="AG175" s="46">
        <f>IF(AQ175="2",BI175,0)</f>
        <v>0</v>
      </c>
      <c r="AH175" s="46">
        <f>IF(AQ175="0",BJ175,0)</f>
        <v>0</v>
      </c>
      <c r="AI175" s="36"/>
      <c r="AJ175" s="28">
        <f>IF(AN175=0,K175,0)</f>
        <v>0</v>
      </c>
      <c r="AK175" s="28">
        <f>IF(AN175=15,K175,0)</f>
        <v>0</v>
      </c>
      <c r="AL175" s="28">
        <f>IF(AN175=21,K175,0)</f>
        <v>0</v>
      </c>
      <c r="AN175" s="46">
        <v>21</v>
      </c>
      <c r="AO175" s="46">
        <f>H175*1</f>
        <v>0</v>
      </c>
      <c r="AP175" s="46">
        <f>H175*(1-1)</f>
        <v>0</v>
      </c>
      <c r="AQ175" s="48" t="s">
        <v>13</v>
      </c>
      <c r="AV175" s="46">
        <f>AW175+AX175</f>
        <v>0</v>
      </c>
      <c r="AW175" s="46">
        <f>G175*AO175</f>
        <v>0</v>
      </c>
      <c r="AX175" s="46">
        <f>G175*AP175</f>
        <v>0</v>
      </c>
      <c r="AY175" s="49" t="s">
        <v>497</v>
      </c>
      <c r="AZ175" s="49" t="s">
        <v>510</v>
      </c>
      <c r="BA175" s="36" t="s">
        <v>513</v>
      </c>
      <c r="BC175" s="46">
        <f>AW175+AX175</f>
        <v>0</v>
      </c>
      <c r="BD175" s="46">
        <f>H175/(100-BE175)*100</f>
        <v>0</v>
      </c>
      <c r="BE175" s="46">
        <v>0</v>
      </c>
      <c r="BF175" s="46">
        <f>M175</f>
        <v>0.17</v>
      </c>
      <c r="BH175" s="28">
        <f>G175*AO175</f>
        <v>0</v>
      </c>
      <c r="BI175" s="28">
        <f>G175*AP175</f>
        <v>0</v>
      </c>
      <c r="BJ175" s="28">
        <f>G175*H175</f>
        <v>0</v>
      </c>
      <c r="BK175" s="28" t="s">
        <v>519</v>
      </c>
      <c r="BL175" s="46">
        <v>766</v>
      </c>
    </row>
    <row r="176" spans="1:15" ht="12.75">
      <c r="A176" s="5"/>
      <c r="D176" s="18" t="s">
        <v>11</v>
      </c>
      <c r="E176" s="20"/>
      <c r="G176" s="27">
        <v>5</v>
      </c>
      <c r="N176" s="41"/>
      <c r="O176" s="5"/>
    </row>
    <row r="177" spans="1:64" ht="12.75">
      <c r="A177" s="7" t="s">
        <v>80</v>
      </c>
      <c r="B177" s="16"/>
      <c r="C177" s="16" t="s">
        <v>201</v>
      </c>
      <c r="D177" s="108" t="s">
        <v>370</v>
      </c>
      <c r="E177" s="109"/>
      <c r="F177" s="16" t="s">
        <v>454</v>
      </c>
      <c r="G177" s="28">
        <v>4</v>
      </c>
      <c r="H177" s="194"/>
      <c r="I177" s="28">
        <f>G177*AO177</f>
        <v>0</v>
      </c>
      <c r="J177" s="28">
        <f>G177*AP177</f>
        <v>0</v>
      </c>
      <c r="K177" s="28">
        <f>G177*H177</f>
        <v>0</v>
      </c>
      <c r="L177" s="28">
        <v>0.047</v>
      </c>
      <c r="M177" s="28">
        <f>G177*L177</f>
        <v>0.188</v>
      </c>
      <c r="N177" s="43"/>
      <c r="O177" s="5"/>
      <c r="Z177" s="46">
        <f>IF(AQ177="5",BJ177,0)</f>
        <v>0</v>
      </c>
      <c r="AB177" s="46">
        <f>IF(AQ177="1",BH177,0)</f>
        <v>0</v>
      </c>
      <c r="AC177" s="46">
        <f>IF(AQ177="1",BI177,0)</f>
        <v>0</v>
      </c>
      <c r="AD177" s="46">
        <f>IF(AQ177="7",BH177,0)</f>
        <v>0</v>
      </c>
      <c r="AE177" s="46">
        <f>IF(AQ177="7",BI177,0)</f>
        <v>0</v>
      </c>
      <c r="AF177" s="46">
        <f>IF(AQ177="2",BH177,0)</f>
        <v>0</v>
      </c>
      <c r="AG177" s="46">
        <f>IF(AQ177="2",BI177,0)</f>
        <v>0</v>
      </c>
      <c r="AH177" s="46">
        <f>IF(AQ177="0",BJ177,0)</f>
        <v>0</v>
      </c>
      <c r="AI177" s="36"/>
      <c r="AJ177" s="28">
        <f>IF(AN177=0,K177,0)</f>
        <v>0</v>
      </c>
      <c r="AK177" s="28">
        <f>IF(AN177=15,K177,0)</f>
        <v>0</v>
      </c>
      <c r="AL177" s="28">
        <f>IF(AN177=21,K177,0)</f>
        <v>0</v>
      </c>
      <c r="AN177" s="46">
        <v>21</v>
      </c>
      <c r="AO177" s="46">
        <f>H177*1</f>
        <v>0</v>
      </c>
      <c r="AP177" s="46">
        <f>H177*(1-1)</f>
        <v>0</v>
      </c>
      <c r="AQ177" s="48" t="s">
        <v>13</v>
      </c>
      <c r="AV177" s="46">
        <f>AW177+AX177</f>
        <v>0</v>
      </c>
      <c r="AW177" s="46">
        <f>G177*AO177</f>
        <v>0</v>
      </c>
      <c r="AX177" s="46">
        <f>G177*AP177</f>
        <v>0</v>
      </c>
      <c r="AY177" s="49" t="s">
        <v>497</v>
      </c>
      <c r="AZ177" s="49" t="s">
        <v>510</v>
      </c>
      <c r="BA177" s="36" t="s">
        <v>513</v>
      </c>
      <c r="BC177" s="46">
        <f>AW177+AX177</f>
        <v>0</v>
      </c>
      <c r="BD177" s="46">
        <f>H177/(100-BE177)*100</f>
        <v>0</v>
      </c>
      <c r="BE177" s="46">
        <v>0</v>
      </c>
      <c r="BF177" s="46">
        <f>M177</f>
        <v>0.188</v>
      </c>
      <c r="BH177" s="28">
        <f>G177*AO177</f>
        <v>0</v>
      </c>
      <c r="BI177" s="28">
        <f>G177*AP177</f>
        <v>0</v>
      </c>
      <c r="BJ177" s="28">
        <f>G177*H177</f>
        <v>0</v>
      </c>
      <c r="BK177" s="28" t="s">
        <v>519</v>
      </c>
      <c r="BL177" s="46">
        <v>766</v>
      </c>
    </row>
    <row r="178" spans="1:15" ht="12.75">
      <c r="A178" s="5"/>
      <c r="D178" s="18" t="s">
        <v>10</v>
      </c>
      <c r="E178" s="20"/>
      <c r="G178" s="27">
        <v>4</v>
      </c>
      <c r="N178" s="41"/>
      <c r="O178" s="5"/>
    </row>
    <row r="179" spans="1:64" ht="12.75">
      <c r="A179" s="7" t="s">
        <v>81</v>
      </c>
      <c r="B179" s="16"/>
      <c r="C179" s="16" t="s">
        <v>202</v>
      </c>
      <c r="D179" s="108" t="s">
        <v>371</v>
      </c>
      <c r="E179" s="109"/>
      <c r="F179" s="16" t="s">
        <v>454</v>
      </c>
      <c r="G179" s="28">
        <v>1</v>
      </c>
      <c r="H179" s="194"/>
      <c r="I179" s="28">
        <f>G179*AO179</f>
        <v>0</v>
      </c>
      <c r="J179" s="28">
        <f>G179*AP179</f>
        <v>0</v>
      </c>
      <c r="K179" s="28">
        <f>G179*H179</f>
        <v>0</v>
      </c>
      <c r="L179" s="28">
        <v>0.047</v>
      </c>
      <c r="M179" s="28">
        <f>G179*L179</f>
        <v>0.047</v>
      </c>
      <c r="N179" s="43"/>
      <c r="O179" s="5"/>
      <c r="Z179" s="46">
        <f>IF(AQ179="5",BJ179,0)</f>
        <v>0</v>
      </c>
      <c r="AB179" s="46">
        <f>IF(AQ179="1",BH179,0)</f>
        <v>0</v>
      </c>
      <c r="AC179" s="46">
        <f>IF(AQ179="1",BI179,0)</f>
        <v>0</v>
      </c>
      <c r="AD179" s="46">
        <f>IF(AQ179="7",BH179,0)</f>
        <v>0</v>
      </c>
      <c r="AE179" s="46">
        <f>IF(AQ179="7",BI179,0)</f>
        <v>0</v>
      </c>
      <c r="AF179" s="46">
        <f>IF(AQ179="2",BH179,0)</f>
        <v>0</v>
      </c>
      <c r="AG179" s="46">
        <f>IF(AQ179="2",BI179,0)</f>
        <v>0</v>
      </c>
      <c r="AH179" s="46">
        <f>IF(AQ179="0",BJ179,0)</f>
        <v>0</v>
      </c>
      <c r="AI179" s="36"/>
      <c r="AJ179" s="28">
        <f>IF(AN179=0,K179,0)</f>
        <v>0</v>
      </c>
      <c r="AK179" s="28">
        <f>IF(AN179=15,K179,0)</f>
        <v>0</v>
      </c>
      <c r="AL179" s="28">
        <f>IF(AN179=21,K179,0)</f>
        <v>0</v>
      </c>
      <c r="AN179" s="46">
        <v>21</v>
      </c>
      <c r="AO179" s="46">
        <f>H179*1</f>
        <v>0</v>
      </c>
      <c r="AP179" s="46">
        <f>H179*(1-1)</f>
        <v>0</v>
      </c>
      <c r="AQ179" s="48" t="s">
        <v>13</v>
      </c>
      <c r="AV179" s="46">
        <f>AW179+AX179</f>
        <v>0</v>
      </c>
      <c r="AW179" s="46">
        <f>G179*AO179</f>
        <v>0</v>
      </c>
      <c r="AX179" s="46">
        <f>G179*AP179</f>
        <v>0</v>
      </c>
      <c r="AY179" s="49" t="s">
        <v>497</v>
      </c>
      <c r="AZ179" s="49" t="s">
        <v>510</v>
      </c>
      <c r="BA179" s="36" t="s">
        <v>513</v>
      </c>
      <c r="BC179" s="46">
        <f>AW179+AX179</f>
        <v>0</v>
      </c>
      <c r="BD179" s="46">
        <f>H179/(100-BE179)*100</f>
        <v>0</v>
      </c>
      <c r="BE179" s="46">
        <v>0</v>
      </c>
      <c r="BF179" s="46">
        <f>M179</f>
        <v>0.047</v>
      </c>
      <c r="BH179" s="28">
        <f>G179*AO179</f>
        <v>0</v>
      </c>
      <c r="BI179" s="28">
        <f>G179*AP179</f>
        <v>0</v>
      </c>
      <c r="BJ179" s="28">
        <f>G179*H179</f>
        <v>0</v>
      </c>
      <c r="BK179" s="28" t="s">
        <v>519</v>
      </c>
      <c r="BL179" s="46">
        <v>766</v>
      </c>
    </row>
    <row r="180" spans="1:15" ht="12.75">
      <c r="A180" s="5"/>
      <c r="D180" s="18" t="s">
        <v>7</v>
      </c>
      <c r="E180" s="20"/>
      <c r="G180" s="27">
        <v>1</v>
      </c>
      <c r="N180" s="41"/>
      <c r="O180" s="5"/>
    </row>
    <row r="181" spans="1:64" ht="12.75">
      <c r="A181" s="4" t="s">
        <v>82</v>
      </c>
      <c r="B181" s="14"/>
      <c r="C181" s="14" t="s">
        <v>203</v>
      </c>
      <c r="D181" s="101" t="s">
        <v>372</v>
      </c>
      <c r="E181" s="102"/>
      <c r="F181" s="14" t="s">
        <v>453</v>
      </c>
      <c r="G181" s="26">
        <v>17</v>
      </c>
      <c r="H181" s="193"/>
      <c r="I181" s="26">
        <f>G181*AO181</f>
        <v>0</v>
      </c>
      <c r="J181" s="26">
        <f>G181*AP181</f>
        <v>0</v>
      </c>
      <c r="K181" s="26">
        <f>G181*H181</f>
        <v>0</v>
      </c>
      <c r="L181" s="26">
        <v>0.00029</v>
      </c>
      <c r="M181" s="26">
        <f>G181*L181</f>
        <v>0.00493</v>
      </c>
      <c r="N181" s="95" t="s">
        <v>580</v>
      </c>
      <c r="O181" s="5"/>
      <c r="Z181" s="46">
        <f>IF(AQ181="5",BJ181,0)</f>
        <v>0</v>
      </c>
      <c r="AB181" s="46">
        <f>IF(AQ181="1",BH181,0)</f>
        <v>0</v>
      </c>
      <c r="AC181" s="46">
        <f>IF(AQ181="1",BI181,0)</f>
        <v>0</v>
      </c>
      <c r="AD181" s="46">
        <f>IF(AQ181="7",BH181,0)</f>
        <v>0</v>
      </c>
      <c r="AE181" s="46">
        <f>IF(AQ181="7",BI181,0)</f>
        <v>0</v>
      </c>
      <c r="AF181" s="46">
        <f>IF(AQ181="2",BH181,0)</f>
        <v>0</v>
      </c>
      <c r="AG181" s="46">
        <f>IF(AQ181="2",BI181,0)</f>
        <v>0</v>
      </c>
      <c r="AH181" s="46">
        <f>IF(AQ181="0",BJ181,0)</f>
        <v>0</v>
      </c>
      <c r="AI181" s="36"/>
      <c r="AJ181" s="26">
        <f>IF(AN181=0,K181,0)</f>
        <v>0</v>
      </c>
      <c r="AK181" s="26">
        <f>IF(AN181=15,K181,0)</f>
        <v>0</v>
      </c>
      <c r="AL181" s="26">
        <f>IF(AN181=21,K181,0)</f>
        <v>0</v>
      </c>
      <c r="AN181" s="46">
        <v>21</v>
      </c>
      <c r="AO181" s="46">
        <f>H181*0.0311545293072824</f>
        <v>0</v>
      </c>
      <c r="AP181" s="46">
        <f>H181*(1-0.0311545293072824)</f>
        <v>0</v>
      </c>
      <c r="AQ181" s="47" t="s">
        <v>13</v>
      </c>
      <c r="AV181" s="46">
        <f>AW181+AX181</f>
        <v>0</v>
      </c>
      <c r="AW181" s="46">
        <f>G181*AO181</f>
        <v>0</v>
      </c>
      <c r="AX181" s="46">
        <f>G181*AP181</f>
        <v>0</v>
      </c>
      <c r="AY181" s="49" t="s">
        <v>497</v>
      </c>
      <c r="AZ181" s="49" t="s">
        <v>510</v>
      </c>
      <c r="BA181" s="36" t="s">
        <v>513</v>
      </c>
      <c r="BC181" s="46">
        <f>AW181+AX181</f>
        <v>0</v>
      </c>
      <c r="BD181" s="46">
        <f>H181/(100-BE181)*100</f>
        <v>0</v>
      </c>
      <c r="BE181" s="46">
        <v>0</v>
      </c>
      <c r="BF181" s="46">
        <f>M181</f>
        <v>0.00493</v>
      </c>
      <c r="BH181" s="26">
        <f>G181*AO181</f>
        <v>0</v>
      </c>
      <c r="BI181" s="26">
        <f>G181*AP181</f>
        <v>0</v>
      </c>
      <c r="BJ181" s="26">
        <f>G181*H181</f>
        <v>0</v>
      </c>
      <c r="BK181" s="26" t="s">
        <v>518</v>
      </c>
      <c r="BL181" s="46">
        <v>766</v>
      </c>
    </row>
    <row r="182" spans="1:15" ht="12.75">
      <c r="A182" s="5"/>
      <c r="D182" s="18" t="s">
        <v>284</v>
      </c>
      <c r="E182" s="20"/>
      <c r="G182" s="27">
        <v>17</v>
      </c>
      <c r="N182" s="41"/>
      <c r="O182" s="5"/>
    </row>
    <row r="183" spans="1:64" ht="12.75">
      <c r="A183" s="7" t="s">
        <v>83</v>
      </c>
      <c r="B183" s="16"/>
      <c r="C183" s="16" t="s">
        <v>204</v>
      </c>
      <c r="D183" s="108" t="s">
        <v>373</v>
      </c>
      <c r="E183" s="109"/>
      <c r="F183" s="16" t="s">
        <v>453</v>
      </c>
      <c r="G183" s="28">
        <v>17.68</v>
      </c>
      <c r="H183" s="194"/>
      <c r="I183" s="28">
        <f>G183*AO183</f>
        <v>0</v>
      </c>
      <c r="J183" s="28">
        <f>G183*AP183</f>
        <v>0</v>
      </c>
      <c r="K183" s="28">
        <f>G183*H183</f>
        <v>0</v>
      </c>
      <c r="L183" s="28">
        <v>0.00972</v>
      </c>
      <c r="M183" s="28">
        <f>G183*L183</f>
        <v>0.1718496</v>
      </c>
      <c r="N183" s="95" t="s">
        <v>580</v>
      </c>
      <c r="O183" s="5"/>
      <c r="Z183" s="46">
        <f>IF(AQ183="5",BJ183,0)</f>
        <v>0</v>
      </c>
      <c r="AB183" s="46">
        <f>IF(AQ183="1",BH183,0)</f>
        <v>0</v>
      </c>
      <c r="AC183" s="46">
        <f>IF(AQ183="1",BI183,0)</f>
        <v>0</v>
      </c>
      <c r="AD183" s="46">
        <f>IF(AQ183="7",BH183,0)</f>
        <v>0</v>
      </c>
      <c r="AE183" s="46">
        <f>IF(AQ183="7",BI183,0)</f>
        <v>0</v>
      </c>
      <c r="AF183" s="46">
        <f>IF(AQ183="2",BH183,0)</f>
        <v>0</v>
      </c>
      <c r="AG183" s="46">
        <f>IF(AQ183="2",BI183,0)</f>
        <v>0</v>
      </c>
      <c r="AH183" s="46">
        <f>IF(AQ183="0",BJ183,0)</f>
        <v>0</v>
      </c>
      <c r="AI183" s="36"/>
      <c r="AJ183" s="28">
        <f>IF(AN183=0,K183,0)</f>
        <v>0</v>
      </c>
      <c r="AK183" s="28">
        <f>IF(AN183=15,K183,0)</f>
        <v>0</v>
      </c>
      <c r="AL183" s="28">
        <f>IF(AN183=21,K183,0)</f>
        <v>0</v>
      </c>
      <c r="AN183" s="46">
        <v>21</v>
      </c>
      <c r="AO183" s="46">
        <f>H183*1</f>
        <v>0</v>
      </c>
      <c r="AP183" s="46">
        <f>H183*(1-1)</f>
        <v>0</v>
      </c>
      <c r="AQ183" s="48" t="s">
        <v>13</v>
      </c>
      <c r="AV183" s="46">
        <f>AW183+AX183</f>
        <v>0</v>
      </c>
      <c r="AW183" s="46">
        <f>G183*AO183</f>
        <v>0</v>
      </c>
      <c r="AX183" s="46">
        <f>G183*AP183</f>
        <v>0</v>
      </c>
      <c r="AY183" s="49" t="s">
        <v>497</v>
      </c>
      <c r="AZ183" s="49" t="s">
        <v>510</v>
      </c>
      <c r="BA183" s="36" t="s">
        <v>513</v>
      </c>
      <c r="BC183" s="46">
        <f>AW183+AX183</f>
        <v>0</v>
      </c>
      <c r="BD183" s="46">
        <f>H183/(100-BE183)*100</f>
        <v>0</v>
      </c>
      <c r="BE183" s="46">
        <v>0</v>
      </c>
      <c r="BF183" s="46">
        <f>M183</f>
        <v>0.1718496</v>
      </c>
      <c r="BH183" s="28">
        <f>G183*AO183</f>
        <v>0</v>
      </c>
      <c r="BI183" s="28">
        <f>G183*AP183</f>
        <v>0</v>
      </c>
      <c r="BJ183" s="28">
        <f>G183*H183</f>
        <v>0</v>
      </c>
      <c r="BK183" s="28" t="s">
        <v>519</v>
      </c>
      <c r="BL183" s="46">
        <v>766</v>
      </c>
    </row>
    <row r="184" spans="1:15" ht="12.75">
      <c r="A184" s="5"/>
      <c r="D184" s="18" t="s">
        <v>284</v>
      </c>
      <c r="E184" s="20"/>
      <c r="G184" s="27">
        <v>17</v>
      </c>
      <c r="N184" s="41"/>
      <c r="O184" s="5"/>
    </row>
    <row r="185" spans="1:15" ht="12.75">
      <c r="A185" s="5"/>
      <c r="D185" s="18" t="s">
        <v>374</v>
      </c>
      <c r="E185" s="20"/>
      <c r="G185" s="27">
        <v>0.68</v>
      </c>
      <c r="N185" s="41"/>
      <c r="O185" s="5"/>
    </row>
    <row r="186" spans="1:64" ht="12.75">
      <c r="A186" s="4" t="s">
        <v>84</v>
      </c>
      <c r="B186" s="14"/>
      <c r="C186" s="14" t="s">
        <v>205</v>
      </c>
      <c r="D186" s="101" t="s">
        <v>375</v>
      </c>
      <c r="E186" s="102"/>
      <c r="F186" s="14" t="s">
        <v>457</v>
      </c>
      <c r="G186" s="26">
        <v>0.59378</v>
      </c>
      <c r="H186" s="193"/>
      <c r="I186" s="26">
        <f>G186*AO186</f>
        <v>0</v>
      </c>
      <c r="J186" s="26">
        <f>G186*AP186</f>
        <v>0</v>
      </c>
      <c r="K186" s="26">
        <f>G186*H186</f>
        <v>0</v>
      </c>
      <c r="L186" s="26">
        <v>0</v>
      </c>
      <c r="M186" s="26">
        <f>G186*L186</f>
        <v>0</v>
      </c>
      <c r="N186" s="95" t="s">
        <v>580</v>
      </c>
      <c r="O186" s="5"/>
      <c r="Z186" s="46">
        <f>IF(AQ186="5",BJ186,0)</f>
        <v>0</v>
      </c>
      <c r="AB186" s="46">
        <f>IF(AQ186="1",BH186,0)</f>
        <v>0</v>
      </c>
      <c r="AC186" s="46">
        <f>IF(AQ186="1",BI186,0)</f>
        <v>0</v>
      </c>
      <c r="AD186" s="46">
        <f>IF(AQ186="7",BH186,0)</f>
        <v>0</v>
      </c>
      <c r="AE186" s="46">
        <f>IF(AQ186="7",BI186,0)</f>
        <v>0</v>
      </c>
      <c r="AF186" s="46">
        <f>IF(AQ186="2",BH186,0)</f>
        <v>0</v>
      </c>
      <c r="AG186" s="46">
        <f>IF(AQ186="2",BI186,0)</f>
        <v>0</v>
      </c>
      <c r="AH186" s="46">
        <f>IF(AQ186="0",BJ186,0)</f>
        <v>0</v>
      </c>
      <c r="AI186" s="36"/>
      <c r="AJ186" s="26">
        <f>IF(AN186=0,K186,0)</f>
        <v>0</v>
      </c>
      <c r="AK186" s="26">
        <f>IF(AN186=15,K186,0)</f>
        <v>0</v>
      </c>
      <c r="AL186" s="26">
        <f>IF(AN186=21,K186,0)</f>
        <v>0</v>
      </c>
      <c r="AN186" s="46">
        <v>21</v>
      </c>
      <c r="AO186" s="46">
        <f>H186*0</f>
        <v>0</v>
      </c>
      <c r="AP186" s="46">
        <f>H186*(1-0)</f>
        <v>0</v>
      </c>
      <c r="AQ186" s="47" t="s">
        <v>11</v>
      </c>
      <c r="AV186" s="46">
        <f>AW186+AX186</f>
        <v>0</v>
      </c>
      <c r="AW186" s="46">
        <f>G186*AO186</f>
        <v>0</v>
      </c>
      <c r="AX186" s="46">
        <f>G186*AP186</f>
        <v>0</v>
      </c>
      <c r="AY186" s="49" t="s">
        <v>497</v>
      </c>
      <c r="AZ186" s="49" t="s">
        <v>510</v>
      </c>
      <c r="BA186" s="36" t="s">
        <v>513</v>
      </c>
      <c r="BC186" s="46">
        <f>AW186+AX186</f>
        <v>0</v>
      </c>
      <c r="BD186" s="46">
        <f>H186/(100-BE186)*100</f>
        <v>0</v>
      </c>
      <c r="BE186" s="46">
        <v>0</v>
      </c>
      <c r="BF186" s="46">
        <f>M186</f>
        <v>0</v>
      </c>
      <c r="BH186" s="26">
        <f>G186*AO186</f>
        <v>0</v>
      </c>
      <c r="BI186" s="26">
        <f>G186*AP186</f>
        <v>0</v>
      </c>
      <c r="BJ186" s="26">
        <f>G186*H186</f>
        <v>0</v>
      </c>
      <c r="BK186" s="26" t="s">
        <v>518</v>
      </c>
      <c r="BL186" s="46">
        <v>766</v>
      </c>
    </row>
    <row r="187" spans="1:47" ht="12.75">
      <c r="A187" s="6"/>
      <c r="B187" s="15"/>
      <c r="C187" s="15" t="s">
        <v>206</v>
      </c>
      <c r="D187" s="106" t="s">
        <v>376</v>
      </c>
      <c r="E187" s="107"/>
      <c r="F187" s="24" t="s">
        <v>6</v>
      </c>
      <c r="G187" s="24" t="s">
        <v>6</v>
      </c>
      <c r="H187" s="24" t="s">
        <v>6</v>
      </c>
      <c r="I187" s="52">
        <f>SUM(I188:I194)</f>
        <v>0</v>
      </c>
      <c r="J187" s="52">
        <f>SUM(J188:J194)</f>
        <v>0</v>
      </c>
      <c r="K187" s="52">
        <f>SUM(K188:K194)</f>
        <v>0</v>
      </c>
      <c r="L187" s="36"/>
      <c r="M187" s="52">
        <f>SUM(M188:M194)</f>
        <v>1.52301</v>
      </c>
      <c r="N187" s="42"/>
      <c r="O187" s="5"/>
      <c r="AI187" s="36"/>
      <c r="AS187" s="52">
        <f>SUM(AJ188:AJ194)</f>
        <v>0</v>
      </c>
      <c r="AT187" s="52">
        <f>SUM(AK188:AK194)</f>
        <v>0</v>
      </c>
      <c r="AU187" s="52">
        <f>SUM(AL188:AL194)</f>
        <v>0</v>
      </c>
    </row>
    <row r="188" spans="1:64" ht="12.75">
      <c r="A188" s="4" t="s">
        <v>85</v>
      </c>
      <c r="B188" s="14"/>
      <c r="C188" s="14" t="s">
        <v>207</v>
      </c>
      <c r="D188" s="101" t="s">
        <v>377</v>
      </c>
      <c r="E188" s="102"/>
      <c r="F188" s="14" t="s">
        <v>453</v>
      </c>
      <c r="G188" s="26">
        <v>30</v>
      </c>
      <c r="H188" s="193"/>
      <c r="I188" s="26">
        <f>G188*AO188</f>
        <v>0</v>
      </c>
      <c r="J188" s="26">
        <f>G188*AP188</f>
        <v>0</v>
      </c>
      <c r="K188" s="26">
        <f>G188*H188</f>
        <v>0</v>
      </c>
      <c r="L188" s="26">
        <v>0.021</v>
      </c>
      <c r="M188" s="26">
        <f>G188*L188</f>
        <v>0.63</v>
      </c>
      <c r="N188" s="95" t="s">
        <v>580</v>
      </c>
      <c r="O188" s="5"/>
      <c r="Z188" s="46">
        <f>IF(AQ188="5",BJ188,0)</f>
        <v>0</v>
      </c>
      <c r="AB188" s="46">
        <f>IF(AQ188="1",BH188,0)</f>
        <v>0</v>
      </c>
      <c r="AC188" s="46">
        <f>IF(AQ188="1",BI188,0)</f>
        <v>0</v>
      </c>
      <c r="AD188" s="46">
        <f>IF(AQ188="7",BH188,0)</f>
        <v>0</v>
      </c>
      <c r="AE188" s="46">
        <f>IF(AQ188="7",BI188,0)</f>
        <v>0</v>
      </c>
      <c r="AF188" s="46">
        <f>IF(AQ188="2",BH188,0)</f>
        <v>0</v>
      </c>
      <c r="AG188" s="46">
        <f>IF(AQ188="2",BI188,0)</f>
        <v>0</v>
      </c>
      <c r="AH188" s="46">
        <f>IF(AQ188="0",BJ188,0)</f>
        <v>0</v>
      </c>
      <c r="AI188" s="36"/>
      <c r="AJ188" s="26">
        <f>IF(AN188=0,K188,0)</f>
        <v>0</v>
      </c>
      <c r="AK188" s="26">
        <f>IF(AN188=15,K188,0)</f>
        <v>0</v>
      </c>
      <c r="AL188" s="26">
        <f>IF(AN188=21,K188,0)</f>
        <v>0</v>
      </c>
      <c r="AN188" s="46">
        <v>21</v>
      </c>
      <c r="AO188" s="46">
        <f>H188*0</f>
        <v>0</v>
      </c>
      <c r="AP188" s="46">
        <f>H188*(1-0)</f>
        <v>0</v>
      </c>
      <c r="AQ188" s="47" t="s">
        <v>13</v>
      </c>
      <c r="AV188" s="46">
        <f>AW188+AX188</f>
        <v>0</v>
      </c>
      <c r="AW188" s="46">
        <f>G188*AO188</f>
        <v>0</v>
      </c>
      <c r="AX188" s="46">
        <f>G188*AP188</f>
        <v>0</v>
      </c>
      <c r="AY188" s="49" t="s">
        <v>498</v>
      </c>
      <c r="AZ188" s="49" t="s">
        <v>510</v>
      </c>
      <c r="BA188" s="36" t="s">
        <v>513</v>
      </c>
      <c r="BC188" s="46">
        <f>AW188+AX188</f>
        <v>0</v>
      </c>
      <c r="BD188" s="46">
        <f>H188/(100-BE188)*100</f>
        <v>0</v>
      </c>
      <c r="BE188" s="46">
        <v>0</v>
      </c>
      <c r="BF188" s="46">
        <f>M188</f>
        <v>0.63</v>
      </c>
      <c r="BH188" s="26">
        <f>G188*AO188</f>
        <v>0</v>
      </c>
      <c r="BI188" s="26">
        <f>G188*AP188</f>
        <v>0</v>
      </c>
      <c r="BJ188" s="26">
        <f>G188*H188</f>
        <v>0</v>
      </c>
      <c r="BK188" s="26" t="s">
        <v>518</v>
      </c>
      <c r="BL188" s="46">
        <v>767</v>
      </c>
    </row>
    <row r="189" spans="1:15" ht="12.75">
      <c r="A189" s="5"/>
      <c r="D189" s="18" t="s">
        <v>36</v>
      </c>
      <c r="E189" s="20"/>
      <c r="G189" s="27">
        <v>30</v>
      </c>
      <c r="N189" s="41"/>
      <c r="O189" s="5"/>
    </row>
    <row r="190" spans="1:64" ht="12.75">
      <c r="A190" s="4" t="s">
        <v>86</v>
      </c>
      <c r="B190" s="14"/>
      <c r="C190" s="14" t="s">
        <v>208</v>
      </c>
      <c r="D190" s="101" t="s">
        <v>378</v>
      </c>
      <c r="E190" s="102"/>
      <c r="F190" s="14" t="s">
        <v>453</v>
      </c>
      <c r="G190" s="26">
        <v>127.5</v>
      </c>
      <c r="H190" s="193"/>
      <c r="I190" s="26">
        <f>G190*AO190</f>
        <v>0</v>
      </c>
      <c r="J190" s="26">
        <f>G190*AP190</f>
        <v>0</v>
      </c>
      <c r="K190" s="26">
        <f>G190*H190</f>
        <v>0</v>
      </c>
      <c r="L190" s="26">
        <v>0.007</v>
      </c>
      <c r="M190" s="26">
        <f>G190*L190</f>
        <v>0.8925000000000001</v>
      </c>
      <c r="N190" s="95" t="s">
        <v>580</v>
      </c>
      <c r="O190" s="5"/>
      <c r="Z190" s="46">
        <f>IF(AQ190="5",BJ190,0)</f>
        <v>0</v>
      </c>
      <c r="AB190" s="46">
        <f>IF(AQ190="1",BH190,0)</f>
        <v>0</v>
      </c>
      <c r="AC190" s="46">
        <f>IF(AQ190="1",BI190,0)</f>
        <v>0</v>
      </c>
      <c r="AD190" s="46">
        <f>IF(AQ190="7",BH190,0)</f>
        <v>0</v>
      </c>
      <c r="AE190" s="46">
        <f>IF(AQ190="7",BI190,0)</f>
        <v>0</v>
      </c>
      <c r="AF190" s="46">
        <f>IF(AQ190="2",BH190,0)</f>
        <v>0</v>
      </c>
      <c r="AG190" s="46">
        <f>IF(AQ190="2",BI190,0)</f>
        <v>0</v>
      </c>
      <c r="AH190" s="46">
        <f>IF(AQ190="0",BJ190,0)</f>
        <v>0</v>
      </c>
      <c r="AI190" s="36"/>
      <c r="AJ190" s="26">
        <f>IF(AN190=0,K190,0)</f>
        <v>0</v>
      </c>
      <c r="AK190" s="26">
        <f>IF(AN190=15,K190,0)</f>
        <v>0</v>
      </c>
      <c r="AL190" s="26">
        <f>IF(AN190=21,K190,0)</f>
        <v>0</v>
      </c>
      <c r="AN190" s="46">
        <v>21</v>
      </c>
      <c r="AO190" s="46">
        <f>H190*0</f>
        <v>0</v>
      </c>
      <c r="AP190" s="46">
        <f>H190*(1-0)</f>
        <v>0</v>
      </c>
      <c r="AQ190" s="47" t="s">
        <v>13</v>
      </c>
      <c r="AV190" s="46">
        <f>AW190+AX190</f>
        <v>0</v>
      </c>
      <c r="AW190" s="46">
        <f>G190*AO190</f>
        <v>0</v>
      </c>
      <c r="AX190" s="46">
        <f>G190*AP190</f>
        <v>0</v>
      </c>
      <c r="AY190" s="49" t="s">
        <v>498</v>
      </c>
      <c r="AZ190" s="49" t="s">
        <v>510</v>
      </c>
      <c r="BA190" s="36" t="s">
        <v>513</v>
      </c>
      <c r="BC190" s="46">
        <f>AW190+AX190</f>
        <v>0</v>
      </c>
      <c r="BD190" s="46">
        <f>H190/(100-BE190)*100</f>
        <v>0</v>
      </c>
      <c r="BE190" s="46">
        <v>0</v>
      </c>
      <c r="BF190" s="46">
        <f>M190</f>
        <v>0.8925000000000001</v>
      </c>
      <c r="BH190" s="26">
        <f>G190*AO190</f>
        <v>0</v>
      </c>
      <c r="BI190" s="26">
        <f>G190*AP190</f>
        <v>0</v>
      </c>
      <c r="BJ190" s="26">
        <f>G190*H190</f>
        <v>0</v>
      </c>
      <c r="BK190" s="26" t="s">
        <v>518</v>
      </c>
      <c r="BL190" s="46">
        <v>767</v>
      </c>
    </row>
    <row r="191" spans="1:15" ht="12.75">
      <c r="A191" s="5"/>
      <c r="D191" s="18" t="s">
        <v>280</v>
      </c>
      <c r="E191" s="20"/>
      <c r="G191" s="27">
        <v>127.5</v>
      </c>
      <c r="N191" s="41"/>
      <c r="O191" s="5"/>
    </row>
    <row r="192" spans="1:64" ht="12.75">
      <c r="A192" s="4" t="s">
        <v>87</v>
      </c>
      <c r="B192" s="14"/>
      <c r="C192" s="14" t="s">
        <v>209</v>
      </c>
      <c r="D192" s="101" t="s">
        <v>379</v>
      </c>
      <c r="E192" s="102"/>
      <c r="F192" s="14" t="s">
        <v>453</v>
      </c>
      <c r="G192" s="26">
        <v>17</v>
      </c>
      <c r="H192" s="193"/>
      <c r="I192" s="26">
        <f>G192*AO192</f>
        <v>0</v>
      </c>
      <c r="J192" s="26">
        <f>G192*AP192</f>
        <v>0</v>
      </c>
      <c r="K192" s="26">
        <f>G192*H192</f>
        <v>0</v>
      </c>
      <c r="L192" s="26">
        <v>3E-05</v>
      </c>
      <c r="M192" s="26">
        <f>G192*L192</f>
        <v>0.00051</v>
      </c>
      <c r="N192" s="95" t="s">
        <v>580</v>
      </c>
      <c r="O192" s="5"/>
      <c r="Z192" s="46">
        <f>IF(AQ192="5",BJ192,0)</f>
        <v>0</v>
      </c>
      <c r="AB192" s="46">
        <f>IF(AQ192="1",BH192,0)</f>
        <v>0</v>
      </c>
      <c r="AC192" s="46">
        <f>IF(AQ192="1",BI192,0)</f>
        <v>0</v>
      </c>
      <c r="AD192" s="46">
        <f>IF(AQ192="7",BH192,0)</f>
        <v>0</v>
      </c>
      <c r="AE192" s="46">
        <f>IF(AQ192="7",BI192,0)</f>
        <v>0</v>
      </c>
      <c r="AF192" s="46">
        <f>IF(AQ192="2",BH192,0)</f>
        <v>0</v>
      </c>
      <c r="AG192" s="46">
        <f>IF(AQ192="2",BI192,0)</f>
        <v>0</v>
      </c>
      <c r="AH192" s="46">
        <f>IF(AQ192="0",BJ192,0)</f>
        <v>0</v>
      </c>
      <c r="AI192" s="36"/>
      <c r="AJ192" s="26">
        <f>IF(AN192=0,K192,0)</f>
        <v>0</v>
      </c>
      <c r="AK192" s="26">
        <f>IF(AN192=15,K192,0)</f>
        <v>0</v>
      </c>
      <c r="AL192" s="26">
        <f>IF(AN192=21,K192,0)</f>
        <v>0</v>
      </c>
      <c r="AN192" s="46">
        <v>21</v>
      </c>
      <c r="AO192" s="46">
        <f>H192*0.0128436911487759</f>
        <v>0</v>
      </c>
      <c r="AP192" s="46">
        <f>H192*(1-0.0128436911487759)</f>
        <v>0</v>
      </c>
      <c r="AQ192" s="47" t="s">
        <v>13</v>
      </c>
      <c r="AV192" s="46">
        <f>AW192+AX192</f>
        <v>0</v>
      </c>
      <c r="AW192" s="46">
        <f>G192*AO192</f>
        <v>0</v>
      </c>
      <c r="AX192" s="46">
        <f>G192*AP192</f>
        <v>0</v>
      </c>
      <c r="AY192" s="49" t="s">
        <v>498</v>
      </c>
      <c r="AZ192" s="49" t="s">
        <v>510</v>
      </c>
      <c r="BA192" s="36" t="s">
        <v>513</v>
      </c>
      <c r="BC192" s="46">
        <f>AW192+AX192</f>
        <v>0</v>
      </c>
      <c r="BD192" s="46">
        <f>H192/(100-BE192)*100</f>
        <v>0</v>
      </c>
      <c r="BE192" s="46">
        <v>0</v>
      </c>
      <c r="BF192" s="46">
        <f>M192</f>
        <v>0.00051</v>
      </c>
      <c r="BH192" s="26">
        <f>G192*AO192</f>
        <v>0</v>
      </c>
      <c r="BI192" s="26">
        <f>G192*AP192</f>
        <v>0</v>
      </c>
      <c r="BJ192" s="26">
        <f>G192*H192</f>
        <v>0</v>
      </c>
      <c r="BK192" s="26" t="s">
        <v>518</v>
      </c>
      <c r="BL192" s="46">
        <v>767</v>
      </c>
    </row>
    <row r="193" spans="1:15" ht="12.75">
      <c r="A193" s="5"/>
      <c r="D193" s="18" t="s">
        <v>284</v>
      </c>
      <c r="E193" s="20"/>
      <c r="G193" s="27">
        <v>17</v>
      </c>
      <c r="N193" s="41"/>
      <c r="O193" s="5"/>
    </row>
    <row r="194" spans="1:64" ht="12.75">
      <c r="A194" s="7" t="s">
        <v>88</v>
      </c>
      <c r="B194" s="16"/>
      <c r="C194" s="16" t="s">
        <v>210</v>
      </c>
      <c r="D194" s="108" t="s">
        <v>380</v>
      </c>
      <c r="E194" s="109"/>
      <c r="F194" s="16" t="s">
        <v>453</v>
      </c>
      <c r="G194" s="28">
        <v>17</v>
      </c>
      <c r="H194" s="194"/>
      <c r="I194" s="28">
        <f>G194*AO194</f>
        <v>0</v>
      </c>
      <c r="J194" s="28">
        <f>G194*AP194</f>
        <v>0</v>
      </c>
      <c r="K194" s="28">
        <f>G194*H194</f>
        <v>0</v>
      </c>
      <c r="L194" s="28">
        <v>0</v>
      </c>
      <c r="M194" s="28">
        <f>G194*L194</f>
        <v>0</v>
      </c>
      <c r="N194" s="95" t="s">
        <v>580</v>
      </c>
      <c r="O194" s="5"/>
      <c r="Z194" s="46">
        <f>IF(AQ194="5",BJ194,0)</f>
        <v>0</v>
      </c>
      <c r="AB194" s="46">
        <f>IF(AQ194="1",BH194,0)</f>
        <v>0</v>
      </c>
      <c r="AC194" s="46">
        <f>IF(AQ194="1",BI194,0)</f>
        <v>0</v>
      </c>
      <c r="AD194" s="46">
        <f>IF(AQ194="7",BH194,0)</f>
        <v>0</v>
      </c>
      <c r="AE194" s="46">
        <f>IF(AQ194="7",BI194,0)</f>
        <v>0</v>
      </c>
      <c r="AF194" s="46">
        <f>IF(AQ194="2",BH194,0)</f>
        <v>0</v>
      </c>
      <c r="AG194" s="46">
        <f>IF(AQ194="2",BI194,0)</f>
        <v>0</v>
      </c>
      <c r="AH194" s="46">
        <f>IF(AQ194="0",BJ194,0)</f>
        <v>0</v>
      </c>
      <c r="AI194" s="36"/>
      <c r="AJ194" s="28">
        <f>IF(AN194=0,K194,0)</f>
        <v>0</v>
      </c>
      <c r="AK194" s="28">
        <f>IF(AN194=15,K194,0)</f>
        <v>0</v>
      </c>
      <c r="AL194" s="28">
        <f>IF(AN194=21,K194,0)</f>
        <v>0</v>
      </c>
      <c r="AN194" s="46">
        <v>21</v>
      </c>
      <c r="AO194" s="46">
        <f>H194*1</f>
        <v>0</v>
      </c>
      <c r="AP194" s="46">
        <f>H194*(1-1)</f>
        <v>0</v>
      </c>
      <c r="AQ194" s="48" t="s">
        <v>13</v>
      </c>
      <c r="AV194" s="46">
        <f>AW194+AX194</f>
        <v>0</v>
      </c>
      <c r="AW194" s="46">
        <f>G194*AO194</f>
        <v>0</v>
      </c>
      <c r="AX194" s="46">
        <f>G194*AP194</f>
        <v>0</v>
      </c>
      <c r="AY194" s="49" t="s">
        <v>498</v>
      </c>
      <c r="AZ194" s="49" t="s">
        <v>510</v>
      </c>
      <c r="BA194" s="36" t="s">
        <v>513</v>
      </c>
      <c r="BC194" s="46">
        <f>AW194+AX194</f>
        <v>0</v>
      </c>
      <c r="BD194" s="46">
        <f>H194/(100-BE194)*100</f>
        <v>0</v>
      </c>
      <c r="BE194" s="46">
        <v>0</v>
      </c>
      <c r="BF194" s="46">
        <f>M194</f>
        <v>0</v>
      </c>
      <c r="BH194" s="28">
        <f>G194*AO194</f>
        <v>0</v>
      </c>
      <c r="BI194" s="28">
        <f>G194*AP194</f>
        <v>0</v>
      </c>
      <c r="BJ194" s="28">
        <f>G194*H194</f>
        <v>0</v>
      </c>
      <c r="BK194" s="28" t="s">
        <v>519</v>
      </c>
      <c r="BL194" s="46">
        <v>767</v>
      </c>
    </row>
    <row r="195" spans="1:15" ht="12.75">
      <c r="A195" s="5"/>
      <c r="D195" s="18" t="s">
        <v>284</v>
      </c>
      <c r="E195" s="20"/>
      <c r="G195" s="27">
        <v>17</v>
      </c>
      <c r="N195" s="41"/>
      <c r="O195" s="5"/>
    </row>
    <row r="196" spans="1:47" ht="12.75">
      <c r="A196" s="6"/>
      <c r="B196" s="15"/>
      <c r="C196" s="15" t="s">
        <v>211</v>
      </c>
      <c r="D196" s="106" t="s">
        <v>381</v>
      </c>
      <c r="E196" s="107"/>
      <c r="F196" s="24" t="s">
        <v>6</v>
      </c>
      <c r="G196" s="24" t="s">
        <v>6</v>
      </c>
      <c r="H196" s="24" t="s">
        <v>6</v>
      </c>
      <c r="I196" s="52">
        <f>SUM(I197:I197)</f>
        <v>0</v>
      </c>
      <c r="J196" s="52">
        <f>SUM(J197:J197)</f>
        <v>0</v>
      </c>
      <c r="K196" s="52">
        <f>SUM(K197:K197)</f>
        <v>0</v>
      </c>
      <c r="L196" s="36"/>
      <c r="M196" s="52">
        <f>SUM(M197:M197)</f>
        <v>0.011968000000000001</v>
      </c>
      <c r="N196" s="42"/>
      <c r="O196" s="5"/>
      <c r="AI196" s="36"/>
      <c r="AS196" s="52">
        <f>SUM(AJ197:AJ197)</f>
        <v>0</v>
      </c>
      <c r="AT196" s="52">
        <f>SUM(AK197:AK197)</f>
        <v>0</v>
      </c>
      <c r="AU196" s="52">
        <f>SUM(AL197:AL197)</f>
        <v>0</v>
      </c>
    </row>
    <row r="197" spans="1:64" ht="12.75">
      <c r="A197" s="4" t="s">
        <v>89</v>
      </c>
      <c r="B197" s="14"/>
      <c r="C197" s="14" t="s">
        <v>212</v>
      </c>
      <c r="D197" s="101" t="s">
        <v>382</v>
      </c>
      <c r="E197" s="102"/>
      <c r="F197" s="14" t="s">
        <v>453</v>
      </c>
      <c r="G197" s="26">
        <v>37.4</v>
      </c>
      <c r="H197" s="193"/>
      <c r="I197" s="26">
        <f>G197*AO197</f>
        <v>0</v>
      </c>
      <c r="J197" s="26">
        <f>G197*AP197</f>
        <v>0</v>
      </c>
      <c r="K197" s="26">
        <f>G197*H197</f>
        <v>0</v>
      </c>
      <c r="L197" s="26">
        <v>0.00032</v>
      </c>
      <c r="M197" s="26">
        <f>G197*L197</f>
        <v>0.011968000000000001</v>
      </c>
      <c r="N197" s="95" t="s">
        <v>580</v>
      </c>
      <c r="O197" s="5"/>
      <c r="Z197" s="46">
        <f>IF(AQ197="5",BJ197,0)</f>
        <v>0</v>
      </c>
      <c r="AB197" s="46">
        <f>IF(AQ197="1",BH197,0)</f>
        <v>0</v>
      </c>
      <c r="AC197" s="46">
        <f>IF(AQ197="1",BI197,0)</f>
        <v>0</v>
      </c>
      <c r="AD197" s="46">
        <f>IF(AQ197="7",BH197,0)</f>
        <v>0</v>
      </c>
      <c r="AE197" s="46">
        <f>IF(AQ197="7",BI197,0)</f>
        <v>0</v>
      </c>
      <c r="AF197" s="46">
        <f>IF(AQ197="2",BH197,0)</f>
        <v>0</v>
      </c>
      <c r="AG197" s="46">
        <f>IF(AQ197="2",BI197,0)</f>
        <v>0</v>
      </c>
      <c r="AH197" s="46">
        <f>IF(AQ197="0",BJ197,0)</f>
        <v>0</v>
      </c>
      <c r="AI197" s="36"/>
      <c r="AJ197" s="26">
        <f>IF(AN197=0,K197,0)</f>
        <v>0</v>
      </c>
      <c r="AK197" s="26">
        <f>IF(AN197=15,K197,0)</f>
        <v>0</v>
      </c>
      <c r="AL197" s="26">
        <f>IF(AN197=21,K197,0)</f>
        <v>0</v>
      </c>
      <c r="AN197" s="46">
        <v>21</v>
      </c>
      <c r="AO197" s="46">
        <f>H197*0.189537572254335</f>
        <v>0</v>
      </c>
      <c r="AP197" s="46">
        <f>H197*(1-0.189537572254335)</f>
        <v>0</v>
      </c>
      <c r="AQ197" s="47" t="s">
        <v>13</v>
      </c>
      <c r="AV197" s="46">
        <f>AW197+AX197</f>
        <v>0</v>
      </c>
      <c r="AW197" s="46">
        <f>G197*AO197</f>
        <v>0</v>
      </c>
      <c r="AX197" s="46">
        <f>G197*AP197</f>
        <v>0</v>
      </c>
      <c r="AY197" s="49" t="s">
        <v>499</v>
      </c>
      <c r="AZ197" s="49" t="s">
        <v>511</v>
      </c>
      <c r="BA197" s="36" t="s">
        <v>513</v>
      </c>
      <c r="BC197" s="46">
        <f>AW197+AX197</f>
        <v>0</v>
      </c>
      <c r="BD197" s="46">
        <f>H197/(100-BE197)*100</f>
        <v>0</v>
      </c>
      <c r="BE197" s="46">
        <v>0</v>
      </c>
      <c r="BF197" s="46">
        <f>M197</f>
        <v>0.011968000000000001</v>
      </c>
      <c r="BH197" s="26">
        <f>G197*AO197</f>
        <v>0</v>
      </c>
      <c r="BI197" s="26">
        <f>G197*AP197</f>
        <v>0</v>
      </c>
      <c r="BJ197" s="26">
        <f>G197*H197</f>
        <v>0</v>
      </c>
      <c r="BK197" s="26" t="s">
        <v>518</v>
      </c>
      <c r="BL197" s="46">
        <v>783</v>
      </c>
    </row>
    <row r="198" spans="1:15" ht="12.75">
      <c r="A198" s="5"/>
      <c r="D198" s="18" t="s">
        <v>383</v>
      </c>
      <c r="E198" s="20" t="s">
        <v>441</v>
      </c>
      <c r="G198" s="27">
        <v>37.4</v>
      </c>
      <c r="N198" s="41"/>
      <c r="O198" s="5"/>
    </row>
    <row r="199" spans="1:47" ht="12.75">
      <c r="A199" s="6"/>
      <c r="B199" s="15"/>
      <c r="C199" s="15" t="s">
        <v>213</v>
      </c>
      <c r="D199" s="106" t="s">
        <v>384</v>
      </c>
      <c r="E199" s="107"/>
      <c r="F199" s="24" t="s">
        <v>6</v>
      </c>
      <c r="G199" s="24" t="s">
        <v>6</v>
      </c>
      <c r="H199" s="24" t="s">
        <v>6</v>
      </c>
      <c r="I199" s="52">
        <f>SUM(I200:I203)</f>
        <v>0</v>
      </c>
      <c r="J199" s="52">
        <f>SUM(J200:J203)</f>
        <v>0</v>
      </c>
      <c r="K199" s="52">
        <f>SUM(K200:K203)</f>
        <v>0</v>
      </c>
      <c r="L199" s="36"/>
      <c r="M199" s="52">
        <f>SUM(M200:M203)</f>
        <v>0.002646</v>
      </c>
      <c r="N199" s="42"/>
      <c r="O199" s="5"/>
      <c r="AI199" s="36"/>
      <c r="AS199" s="52">
        <f>SUM(AJ200:AJ203)</f>
        <v>0</v>
      </c>
      <c r="AT199" s="52">
        <f>SUM(AK200:AK203)</f>
        <v>0</v>
      </c>
      <c r="AU199" s="52">
        <f>SUM(AL200:AL203)</f>
        <v>0</v>
      </c>
    </row>
    <row r="200" spans="1:64" ht="12.75">
      <c r="A200" s="4" t="s">
        <v>90</v>
      </c>
      <c r="B200" s="14"/>
      <c r="C200" s="14" t="s">
        <v>214</v>
      </c>
      <c r="D200" s="101" t="s">
        <v>385</v>
      </c>
      <c r="E200" s="102"/>
      <c r="F200" s="14" t="s">
        <v>453</v>
      </c>
      <c r="G200" s="26">
        <v>17.64</v>
      </c>
      <c r="H200" s="193"/>
      <c r="I200" s="26">
        <f>G200*AO200</f>
        <v>0</v>
      </c>
      <c r="J200" s="26">
        <f>G200*AP200</f>
        <v>0</v>
      </c>
      <c r="K200" s="26">
        <f>G200*H200</f>
        <v>0</v>
      </c>
      <c r="L200" s="26">
        <v>0.00015</v>
      </c>
      <c r="M200" s="26">
        <f>G200*L200</f>
        <v>0.002646</v>
      </c>
      <c r="N200" s="95" t="s">
        <v>580</v>
      </c>
      <c r="O200" s="5"/>
      <c r="Z200" s="46">
        <f>IF(AQ200="5",BJ200,0)</f>
        <v>0</v>
      </c>
      <c r="AB200" s="46">
        <f>IF(AQ200="1",BH200,0)</f>
        <v>0</v>
      </c>
      <c r="AC200" s="46">
        <f>IF(AQ200="1",BI200,0)</f>
        <v>0</v>
      </c>
      <c r="AD200" s="46">
        <f>IF(AQ200="7",BH200,0)</f>
        <v>0</v>
      </c>
      <c r="AE200" s="46">
        <f>IF(AQ200="7",BI200,0)</f>
        <v>0</v>
      </c>
      <c r="AF200" s="46">
        <f>IF(AQ200="2",BH200,0)</f>
        <v>0</v>
      </c>
      <c r="AG200" s="46">
        <f>IF(AQ200="2",BI200,0)</f>
        <v>0</v>
      </c>
      <c r="AH200" s="46">
        <f>IF(AQ200="0",BJ200,0)</f>
        <v>0</v>
      </c>
      <c r="AI200" s="36"/>
      <c r="AJ200" s="26">
        <f>IF(AN200=0,K200,0)</f>
        <v>0</v>
      </c>
      <c r="AK200" s="26">
        <f>IF(AN200=15,K200,0)</f>
        <v>0</v>
      </c>
      <c r="AL200" s="26">
        <f>IF(AN200=21,K200,0)</f>
        <v>0</v>
      </c>
      <c r="AN200" s="46">
        <v>21</v>
      </c>
      <c r="AO200" s="46">
        <f>H200*0.096644054627499</f>
        <v>0</v>
      </c>
      <c r="AP200" s="46">
        <f>H200*(1-0.096644054627499)</f>
        <v>0</v>
      </c>
      <c r="AQ200" s="47" t="s">
        <v>13</v>
      </c>
      <c r="AV200" s="46">
        <f>AW200+AX200</f>
        <v>0</v>
      </c>
      <c r="AW200" s="46">
        <f>G200*AO200</f>
        <v>0</v>
      </c>
      <c r="AX200" s="46">
        <f>G200*AP200</f>
        <v>0</v>
      </c>
      <c r="AY200" s="49" t="s">
        <v>500</v>
      </c>
      <c r="AZ200" s="49" t="s">
        <v>511</v>
      </c>
      <c r="BA200" s="36" t="s">
        <v>513</v>
      </c>
      <c r="BC200" s="46">
        <f>AW200+AX200</f>
        <v>0</v>
      </c>
      <c r="BD200" s="46">
        <f>H200/(100-BE200)*100</f>
        <v>0</v>
      </c>
      <c r="BE200" s="46">
        <v>0</v>
      </c>
      <c r="BF200" s="46">
        <f>M200</f>
        <v>0.002646</v>
      </c>
      <c r="BH200" s="26">
        <f>G200*AO200</f>
        <v>0</v>
      </c>
      <c r="BI200" s="26">
        <f>G200*AP200</f>
        <v>0</v>
      </c>
      <c r="BJ200" s="26">
        <f>G200*H200</f>
        <v>0</v>
      </c>
      <c r="BK200" s="26" t="s">
        <v>518</v>
      </c>
      <c r="BL200" s="46">
        <v>784</v>
      </c>
    </row>
    <row r="201" spans="1:15" ht="12.75">
      <c r="A201" s="5"/>
      <c r="D201" s="18" t="s">
        <v>386</v>
      </c>
      <c r="E201" s="20" t="s">
        <v>442</v>
      </c>
      <c r="G201" s="27">
        <v>13.74</v>
      </c>
      <c r="N201" s="41"/>
      <c r="O201" s="5"/>
    </row>
    <row r="202" spans="1:15" ht="12.75">
      <c r="A202" s="5"/>
      <c r="D202" s="18" t="s">
        <v>387</v>
      </c>
      <c r="E202" s="20" t="s">
        <v>443</v>
      </c>
      <c r="G202" s="27">
        <v>3.9</v>
      </c>
      <c r="N202" s="41"/>
      <c r="O202" s="5"/>
    </row>
    <row r="203" spans="1:64" ht="12.75">
      <c r="A203" s="4" t="s">
        <v>91</v>
      </c>
      <c r="B203" s="14"/>
      <c r="C203" s="14" t="s">
        <v>215</v>
      </c>
      <c r="D203" s="101" t="s">
        <v>388</v>
      </c>
      <c r="E203" s="102"/>
      <c r="F203" s="14" t="s">
        <v>456</v>
      </c>
      <c r="G203" s="26">
        <v>1</v>
      </c>
      <c r="H203" s="193"/>
      <c r="I203" s="26">
        <f>G203*AO203</f>
        <v>0</v>
      </c>
      <c r="J203" s="26">
        <f>G203*AP203</f>
        <v>0</v>
      </c>
      <c r="K203" s="26">
        <f>G203*H203</f>
        <v>0</v>
      </c>
      <c r="L203" s="26">
        <v>0</v>
      </c>
      <c r="M203" s="26">
        <f>G203*L203</f>
        <v>0</v>
      </c>
      <c r="N203" s="40"/>
      <c r="O203" s="5"/>
      <c r="Z203" s="46">
        <f>IF(AQ203="5",BJ203,0)</f>
        <v>0</v>
      </c>
      <c r="AB203" s="46">
        <f>IF(AQ203="1",BH203,0)</f>
        <v>0</v>
      </c>
      <c r="AC203" s="46">
        <f>IF(AQ203="1",BI203,0)</f>
        <v>0</v>
      </c>
      <c r="AD203" s="46">
        <f>IF(AQ203="7",BH203,0)</f>
        <v>0</v>
      </c>
      <c r="AE203" s="46">
        <f>IF(AQ203="7",BI203,0)</f>
        <v>0</v>
      </c>
      <c r="AF203" s="46">
        <f>IF(AQ203="2",BH203,0)</f>
        <v>0</v>
      </c>
      <c r="AG203" s="46">
        <f>IF(AQ203="2",BI203,0)</f>
        <v>0</v>
      </c>
      <c r="AH203" s="46">
        <f>IF(AQ203="0",BJ203,0)</f>
        <v>0</v>
      </c>
      <c r="AI203" s="36"/>
      <c r="AJ203" s="26">
        <f>IF(AN203=0,K203,0)</f>
        <v>0</v>
      </c>
      <c r="AK203" s="26">
        <f>IF(AN203=15,K203,0)</f>
        <v>0</v>
      </c>
      <c r="AL203" s="26">
        <f>IF(AN203=21,K203,0)</f>
        <v>0</v>
      </c>
      <c r="AN203" s="46">
        <v>21</v>
      </c>
      <c r="AO203" s="46">
        <f>H203*0.166666666666667</f>
        <v>0</v>
      </c>
      <c r="AP203" s="46">
        <f>H203*(1-0.166666666666667)</f>
        <v>0</v>
      </c>
      <c r="AQ203" s="47" t="s">
        <v>13</v>
      </c>
      <c r="AV203" s="46">
        <f>AW203+AX203</f>
        <v>0</v>
      </c>
      <c r="AW203" s="46">
        <f>G203*AO203</f>
        <v>0</v>
      </c>
      <c r="AX203" s="46">
        <f>G203*AP203</f>
        <v>0</v>
      </c>
      <c r="AY203" s="49" t="s">
        <v>500</v>
      </c>
      <c r="AZ203" s="49" t="s">
        <v>511</v>
      </c>
      <c r="BA203" s="36" t="s">
        <v>513</v>
      </c>
      <c r="BC203" s="46">
        <f>AW203+AX203</f>
        <v>0</v>
      </c>
      <c r="BD203" s="46">
        <f>H203/(100-BE203)*100</f>
        <v>0</v>
      </c>
      <c r="BE203" s="46">
        <v>0</v>
      </c>
      <c r="BF203" s="46">
        <f>M203</f>
        <v>0</v>
      </c>
      <c r="BH203" s="26">
        <f>G203*AO203</f>
        <v>0</v>
      </c>
      <c r="BI203" s="26">
        <f>G203*AP203</f>
        <v>0</v>
      </c>
      <c r="BJ203" s="26">
        <f>G203*H203</f>
        <v>0</v>
      </c>
      <c r="BK203" s="26" t="s">
        <v>518</v>
      </c>
      <c r="BL203" s="46">
        <v>784</v>
      </c>
    </row>
    <row r="204" spans="1:47" ht="12.75">
      <c r="A204" s="6"/>
      <c r="B204" s="15"/>
      <c r="C204" s="15" t="s">
        <v>100</v>
      </c>
      <c r="D204" s="106" t="s">
        <v>389</v>
      </c>
      <c r="E204" s="107"/>
      <c r="F204" s="24" t="s">
        <v>6</v>
      </c>
      <c r="G204" s="24" t="s">
        <v>6</v>
      </c>
      <c r="H204" s="24" t="s">
        <v>6</v>
      </c>
      <c r="I204" s="52">
        <f>SUM(I205:I215)</f>
        <v>0</v>
      </c>
      <c r="J204" s="52">
        <f>SUM(J205:J215)</f>
        <v>0</v>
      </c>
      <c r="K204" s="52">
        <f>SUM(K205:K215)</f>
        <v>0</v>
      </c>
      <c r="L204" s="36"/>
      <c r="M204" s="52">
        <f>SUM(M205:M215)</f>
        <v>3.926529</v>
      </c>
      <c r="N204" s="42"/>
      <c r="O204" s="5"/>
      <c r="AI204" s="36"/>
      <c r="AS204" s="52">
        <f>SUM(AJ205:AJ215)</f>
        <v>0</v>
      </c>
      <c r="AT204" s="52">
        <f>SUM(AK205:AK215)</f>
        <v>0</v>
      </c>
      <c r="AU204" s="52">
        <f>SUM(AL205:AL215)</f>
        <v>0</v>
      </c>
    </row>
    <row r="205" spans="1:64" ht="12.75">
      <c r="A205" s="4" t="s">
        <v>92</v>
      </c>
      <c r="B205" s="14"/>
      <c r="C205" s="14" t="s">
        <v>216</v>
      </c>
      <c r="D205" s="101" t="s">
        <v>390</v>
      </c>
      <c r="E205" s="102"/>
      <c r="F205" s="14" t="s">
        <v>453</v>
      </c>
      <c r="G205" s="26">
        <v>181.5</v>
      </c>
      <c r="H205" s="193"/>
      <c r="I205" s="26">
        <f>G205*AO205</f>
        <v>0</v>
      </c>
      <c r="J205" s="26">
        <f>G205*AP205</f>
        <v>0</v>
      </c>
      <c r="K205" s="26">
        <f>G205*H205</f>
        <v>0</v>
      </c>
      <c r="L205" s="26">
        <v>0.01838</v>
      </c>
      <c r="M205" s="26">
        <f>G205*L205</f>
        <v>3.33597</v>
      </c>
      <c r="N205" s="95" t="s">
        <v>580</v>
      </c>
      <c r="O205" s="5"/>
      <c r="Z205" s="46">
        <f>IF(AQ205="5",BJ205,0)</f>
        <v>0</v>
      </c>
      <c r="AB205" s="46">
        <f>IF(AQ205="1",BH205,0)</f>
        <v>0</v>
      </c>
      <c r="AC205" s="46">
        <f>IF(AQ205="1",BI205,0)</f>
        <v>0</v>
      </c>
      <c r="AD205" s="46">
        <f>IF(AQ205="7",BH205,0)</f>
        <v>0</v>
      </c>
      <c r="AE205" s="46">
        <f>IF(AQ205="7",BI205,0)</f>
        <v>0</v>
      </c>
      <c r="AF205" s="46">
        <f>IF(AQ205="2",BH205,0)</f>
        <v>0</v>
      </c>
      <c r="AG205" s="46">
        <f>IF(AQ205="2",BI205,0)</f>
        <v>0</v>
      </c>
      <c r="AH205" s="46">
        <f>IF(AQ205="0",BJ205,0)</f>
        <v>0</v>
      </c>
      <c r="AI205" s="36"/>
      <c r="AJ205" s="26">
        <f>IF(AN205=0,K205,0)</f>
        <v>0</v>
      </c>
      <c r="AK205" s="26">
        <f>IF(AN205=15,K205,0)</f>
        <v>0</v>
      </c>
      <c r="AL205" s="26">
        <f>IF(AN205=21,K205,0)</f>
        <v>0</v>
      </c>
      <c r="AN205" s="46">
        <v>21</v>
      </c>
      <c r="AO205" s="46">
        <f>H205*0.000128865979381443</f>
        <v>0</v>
      </c>
      <c r="AP205" s="46">
        <f>H205*(1-0.000128865979381443)</f>
        <v>0</v>
      </c>
      <c r="AQ205" s="47" t="s">
        <v>7</v>
      </c>
      <c r="AV205" s="46">
        <f>AW205+AX205</f>
        <v>0</v>
      </c>
      <c r="AW205" s="46">
        <f>G205*AO205</f>
        <v>0</v>
      </c>
      <c r="AX205" s="46">
        <f>G205*AP205</f>
        <v>0</v>
      </c>
      <c r="AY205" s="49" t="s">
        <v>501</v>
      </c>
      <c r="AZ205" s="49" t="s">
        <v>512</v>
      </c>
      <c r="BA205" s="36" t="s">
        <v>513</v>
      </c>
      <c r="BC205" s="46">
        <f>AW205+AX205</f>
        <v>0</v>
      </c>
      <c r="BD205" s="46">
        <f>H205/(100-BE205)*100</f>
        <v>0</v>
      </c>
      <c r="BE205" s="46">
        <v>0</v>
      </c>
      <c r="BF205" s="46">
        <f>M205</f>
        <v>3.33597</v>
      </c>
      <c r="BH205" s="26">
        <f>G205*AO205</f>
        <v>0</v>
      </c>
      <c r="BI205" s="26">
        <f>G205*AP205</f>
        <v>0</v>
      </c>
      <c r="BJ205" s="26">
        <f>G205*H205</f>
        <v>0</v>
      </c>
      <c r="BK205" s="26" t="s">
        <v>518</v>
      </c>
      <c r="BL205" s="46">
        <v>94</v>
      </c>
    </row>
    <row r="206" spans="1:15" ht="12.75">
      <c r="A206" s="5"/>
      <c r="D206" s="18" t="s">
        <v>391</v>
      </c>
      <c r="E206" s="20" t="s">
        <v>444</v>
      </c>
      <c r="G206" s="27">
        <v>88</v>
      </c>
      <c r="N206" s="41"/>
      <c r="O206" s="5"/>
    </row>
    <row r="207" spans="1:15" ht="12.75">
      <c r="A207" s="5"/>
      <c r="D207" s="18" t="s">
        <v>392</v>
      </c>
      <c r="E207" s="20" t="s">
        <v>445</v>
      </c>
      <c r="G207" s="27">
        <v>93.5</v>
      </c>
      <c r="N207" s="41"/>
      <c r="O207" s="5"/>
    </row>
    <row r="208" spans="1:64" ht="12.75">
      <c r="A208" s="4" t="s">
        <v>93</v>
      </c>
      <c r="B208" s="14"/>
      <c r="C208" s="14" t="s">
        <v>217</v>
      </c>
      <c r="D208" s="101" t="s">
        <v>393</v>
      </c>
      <c r="E208" s="102"/>
      <c r="F208" s="14" t="s">
        <v>453</v>
      </c>
      <c r="G208" s="26">
        <v>181.5</v>
      </c>
      <c r="H208" s="193"/>
      <c r="I208" s="26">
        <f>G208*AO208</f>
        <v>0</v>
      </c>
      <c r="J208" s="26">
        <f>G208*AP208</f>
        <v>0</v>
      </c>
      <c r="K208" s="26">
        <f>G208*H208</f>
        <v>0</v>
      </c>
      <c r="L208" s="26">
        <v>0.00097</v>
      </c>
      <c r="M208" s="26">
        <f>G208*L208</f>
        <v>0.17605500000000002</v>
      </c>
      <c r="N208" s="95" t="s">
        <v>580</v>
      </c>
      <c r="O208" s="5"/>
      <c r="Z208" s="46">
        <f>IF(AQ208="5",BJ208,0)</f>
        <v>0</v>
      </c>
      <c r="AB208" s="46">
        <f>IF(AQ208="1",BH208,0)</f>
        <v>0</v>
      </c>
      <c r="AC208" s="46">
        <f>IF(AQ208="1",BI208,0)</f>
        <v>0</v>
      </c>
      <c r="AD208" s="46">
        <f>IF(AQ208="7",BH208,0)</f>
        <v>0</v>
      </c>
      <c r="AE208" s="46">
        <f>IF(AQ208="7",BI208,0)</f>
        <v>0</v>
      </c>
      <c r="AF208" s="46">
        <f>IF(AQ208="2",BH208,0)</f>
        <v>0</v>
      </c>
      <c r="AG208" s="46">
        <f>IF(AQ208="2",BI208,0)</f>
        <v>0</v>
      </c>
      <c r="AH208" s="46">
        <f>IF(AQ208="0",BJ208,0)</f>
        <v>0</v>
      </c>
      <c r="AI208" s="36"/>
      <c r="AJ208" s="26">
        <f>IF(AN208=0,K208,0)</f>
        <v>0</v>
      </c>
      <c r="AK208" s="26">
        <f>IF(AN208=15,K208,0)</f>
        <v>0</v>
      </c>
      <c r="AL208" s="26">
        <f>IF(AN208=21,K208,0)</f>
        <v>0</v>
      </c>
      <c r="AN208" s="46">
        <v>21</v>
      </c>
      <c r="AO208" s="46">
        <f>H208*0.925433526011561</f>
        <v>0</v>
      </c>
      <c r="AP208" s="46">
        <f>H208*(1-0.925433526011561)</f>
        <v>0</v>
      </c>
      <c r="AQ208" s="47" t="s">
        <v>7</v>
      </c>
      <c r="AV208" s="46">
        <f>AW208+AX208</f>
        <v>0</v>
      </c>
      <c r="AW208" s="46">
        <f>G208*AO208</f>
        <v>0</v>
      </c>
      <c r="AX208" s="46">
        <f>G208*AP208</f>
        <v>0</v>
      </c>
      <c r="AY208" s="49" t="s">
        <v>501</v>
      </c>
      <c r="AZ208" s="49" t="s">
        <v>512</v>
      </c>
      <c r="BA208" s="36" t="s">
        <v>513</v>
      </c>
      <c r="BC208" s="46">
        <f>AW208+AX208</f>
        <v>0</v>
      </c>
      <c r="BD208" s="46">
        <f>H208/(100-BE208)*100</f>
        <v>0</v>
      </c>
      <c r="BE208" s="46">
        <v>0</v>
      </c>
      <c r="BF208" s="46">
        <f>M208</f>
        <v>0.17605500000000002</v>
      </c>
      <c r="BH208" s="26">
        <f>G208*AO208</f>
        <v>0</v>
      </c>
      <c r="BI208" s="26">
        <f>G208*AP208</f>
        <v>0</v>
      </c>
      <c r="BJ208" s="26">
        <f>G208*H208</f>
        <v>0</v>
      </c>
      <c r="BK208" s="26" t="s">
        <v>518</v>
      </c>
      <c r="BL208" s="46">
        <v>94</v>
      </c>
    </row>
    <row r="209" spans="1:64" ht="12.75">
      <c r="A209" s="4" t="s">
        <v>94</v>
      </c>
      <c r="B209" s="14"/>
      <c r="C209" s="14" t="s">
        <v>218</v>
      </c>
      <c r="D209" s="101" t="s">
        <v>394</v>
      </c>
      <c r="E209" s="102"/>
      <c r="F209" s="14" t="s">
        <v>453</v>
      </c>
      <c r="G209" s="26">
        <v>181.5</v>
      </c>
      <c r="H209" s="193"/>
      <c r="I209" s="26">
        <f>G209*AO209</f>
        <v>0</v>
      </c>
      <c r="J209" s="26">
        <f>G209*AP209</f>
        <v>0</v>
      </c>
      <c r="K209" s="26">
        <f>G209*H209</f>
        <v>0</v>
      </c>
      <c r="L209" s="26">
        <v>0</v>
      </c>
      <c r="M209" s="26">
        <f>G209*L209</f>
        <v>0</v>
      </c>
      <c r="N209" s="95" t="s">
        <v>580</v>
      </c>
      <c r="O209" s="5"/>
      <c r="Z209" s="46">
        <f>IF(AQ209="5",BJ209,0)</f>
        <v>0</v>
      </c>
      <c r="AB209" s="46">
        <f>IF(AQ209="1",BH209,0)</f>
        <v>0</v>
      </c>
      <c r="AC209" s="46">
        <f>IF(AQ209="1",BI209,0)</f>
        <v>0</v>
      </c>
      <c r="AD209" s="46">
        <f>IF(AQ209="7",BH209,0)</f>
        <v>0</v>
      </c>
      <c r="AE209" s="46">
        <f>IF(AQ209="7",BI209,0)</f>
        <v>0</v>
      </c>
      <c r="AF209" s="46">
        <f>IF(AQ209="2",BH209,0)</f>
        <v>0</v>
      </c>
      <c r="AG209" s="46">
        <f>IF(AQ209="2",BI209,0)</f>
        <v>0</v>
      </c>
      <c r="AH209" s="46">
        <f>IF(AQ209="0",BJ209,0)</f>
        <v>0</v>
      </c>
      <c r="AI209" s="36"/>
      <c r="AJ209" s="26">
        <f>IF(AN209=0,K209,0)</f>
        <v>0</v>
      </c>
      <c r="AK209" s="26">
        <f>IF(AN209=15,K209,0)</f>
        <v>0</v>
      </c>
      <c r="AL209" s="26">
        <f>IF(AN209=21,K209,0)</f>
        <v>0</v>
      </c>
      <c r="AN209" s="46">
        <v>21</v>
      </c>
      <c r="AO209" s="46">
        <f>H209*0</f>
        <v>0</v>
      </c>
      <c r="AP209" s="46">
        <f>H209*(1-0)</f>
        <v>0</v>
      </c>
      <c r="AQ209" s="47" t="s">
        <v>7</v>
      </c>
      <c r="AV209" s="46">
        <f>AW209+AX209</f>
        <v>0</v>
      </c>
      <c r="AW209" s="46">
        <f>G209*AO209</f>
        <v>0</v>
      </c>
      <c r="AX209" s="46">
        <f>G209*AP209</f>
        <v>0</v>
      </c>
      <c r="AY209" s="49" t="s">
        <v>501</v>
      </c>
      <c r="AZ209" s="49" t="s">
        <v>512</v>
      </c>
      <c r="BA209" s="36" t="s">
        <v>513</v>
      </c>
      <c r="BC209" s="46">
        <f>AW209+AX209</f>
        <v>0</v>
      </c>
      <c r="BD209" s="46">
        <f>H209/(100-BE209)*100</f>
        <v>0</v>
      </c>
      <c r="BE209" s="46">
        <v>0</v>
      </c>
      <c r="BF209" s="46">
        <f>M209</f>
        <v>0</v>
      </c>
      <c r="BH209" s="26">
        <f>G209*AO209</f>
        <v>0</v>
      </c>
      <c r="BI209" s="26">
        <f>G209*AP209</f>
        <v>0</v>
      </c>
      <c r="BJ209" s="26">
        <f>G209*H209</f>
        <v>0</v>
      </c>
      <c r="BK209" s="26" t="s">
        <v>518</v>
      </c>
      <c r="BL209" s="46">
        <v>94</v>
      </c>
    </row>
    <row r="210" spans="1:64" ht="12.75">
      <c r="A210" s="4" t="s">
        <v>95</v>
      </c>
      <c r="B210" s="14"/>
      <c r="C210" s="14" t="s">
        <v>219</v>
      </c>
      <c r="D210" s="101" t="s">
        <v>395</v>
      </c>
      <c r="E210" s="102"/>
      <c r="F210" s="14" t="s">
        <v>453</v>
      </c>
      <c r="G210" s="26">
        <v>181.5</v>
      </c>
      <c r="H210" s="196"/>
      <c r="I210" s="26">
        <f>G210*AO210</f>
        <v>0</v>
      </c>
      <c r="J210" s="26">
        <f>G210*AP210</f>
        <v>0</v>
      </c>
      <c r="K210" s="26">
        <f>G210*H210</f>
        <v>0</v>
      </c>
      <c r="L210" s="26">
        <v>0</v>
      </c>
      <c r="M210" s="26">
        <f>G210*L210</f>
        <v>0</v>
      </c>
      <c r="N210" s="95" t="s">
        <v>580</v>
      </c>
      <c r="O210" s="5"/>
      <c r="Z210" s="46">
        <f>IF(AQ210="5",BJ210,0)</f>
        <v>0</v>
      </c>
      <c r="AB210" s="46">
        <f>IF(AQ210="1",BH210,0)</f>
        <v>0</v>
      </c>
      <c r="AC210" s="46">
        <f>IF(AQ210="1",BI210,0)</f>
        <v>0</v>
      </c>
      <c r="AD210" s="46">
        <f>IF(AQ210="7",BH210,0)</f>
        <v>0</v>
      </c>
      <c r="AE210" s="46">
        <f>IF(AQ210="7",BI210,0)</f>
        <v>0</v>
      </c>
      <c r="AF210" s="46">
        <f>IF(AQ210="2",BH210,0)</f>
        <v>0</v>
      </c>
      <c r="AG210" s="46">
        <f>IF(AQ210="2",BI210,0)</f>
        <v>0</v>
      </c>
      <c r="AH210" s="46">
        <f>IF(AQ210="0",BJ210,0)</f>
        <v>0</v>
      </c>
      <c r="AI210" s="36"/>
      <c r="AJ210" s="26">
        <f>IF(AN210=0,K210,0)</f>
        <v>0</v>
      </c>
      <c r="AK210" s="26">
        <f>IF(AN210=15,K210,0)</f>
        <v>0</v>
      </c>
      <c r="AL210" s="26">
        <f>IF(AN210=21,K210,0)</f>
        <v>0</v>
      </c>
      <c r="AN210" s="46">
        <v>21</v>
      </c>
      <c r="AO210" s="46">
        <f>H210*0</f>
        <v>0</v>
      </c>
      <c r="AP210" s="46">
        <f>H210*(1-0)</f>
        <v>0</v>
      </c>
      <c r="AQ210" s="47" t="s">
        <v>7</v>
      </c>
      <c r="AV210" s="46">
        <f>AW210+AX210</f>
        <v>0</v>
      </c>
      <c r="AW210" s="46">
        <f>G210*AO210</f>
        <v>0</v>
      </c>
      <c r="AX210" s="46">
        <f>G210*AP210</f>
        <v>0</v>
      </c>
      <c r="AY210" s="49" t="s">
        <v>501</v>
      </c>
      <c r="AZ210" s="49" t="s">
        <v>512</v>
      </c>
      <c r="BA210" s="36" t="s">
        <v>513</v>
      </c>
      <c r="BC210" s="46">
        <f>AW210+AX210</f>
        <v>0</v>
      </c>
      <c r="BD210" s="46">
        <f>H210/(100-BE210)*100</f>
        <v>0</v>
      </c>
      <c r="BE210" s="46">
        <v>0</v>
      </c>
      <c r="BF210" s="46">
        <f>M210</f>
        <v>0</v>
      </c>
      <c r="BH210" s="26">
        <f>G210*AO210</f>
        <v>0</v>
      </c>
      <c r="BI210" s="26">
        <f>G210*AP210</f>
        <v>0</v>
      </c>
      <c r="BJ210" s="26">
        <f>G210*H210</f>
        <v>0</v>
      </c>
      <c r="BK210" s="26" t="s">
        <v>518</v>
      </c>
      <c r="BL210" s="46">
        <v>94</v>
      </c>
    </row>
    <row r="211" spans="1:64" ht="12.75">
      <c r="A211" s="4" t="s">
        <v>96</v>
      </c>
      <c r="B211" s="14"/>
      <c r="C211" s="14" t="s">
        <v>220</v>
      </c>
      <c r="D211" s="101" t="s">
        <v>396</v>
      </c>
      <c r="E211" s="102"/>
      <c r="F211" s="14" t="s">
        <v>453</v>
      </c>
      <c r="G211" s="26">
        <v>181.5</v>
      </c>
      <c r="H211" s="193"/>
      <c r="I211" s="26">
        <f>G211*AO211</f>
        <v>0</v>
      </c>
      <c r="J211" s="26">
        <f>G211*AP211</f>
        <v>0</v>
      </c>
      <c r="K211" s="26">
        <f>G211*H211</f>
        <v>0</v>
      </c>
      <c r="L211" s="26">
        <v>0</v>
      </c>
      <c r="M211" s="26">
        <f>G211*L211</f>
        <v>0</v>
      </c>
      <c r="N211" s="95" t="s">
        <v>580</v>
      </c>
      <c r="O211" s="5"/>
      <c r="Z211" s="46">
        <f>IF(AQ211="5",BJ211,0)</f>
        <v>0</v>
      </c>
      <c r="AB211" s="46">
        <f>IF(AQ211="1",BH211,0)</f>
        <v>0</v>
      </c>
      <c r="AC211" s="46">
        <f>IF(AQ211="1",BI211,0)</f>
        <v>0</v>
      </c>
      <c r="AD211" s="46">
        <f>IF(AQ211="7",BH211,0)</f>
        <v>0</v>
      </c>
      <c r="AE211" s="46">
        <f>IF(AQ211="7",BI211,0)</f>
        <v>0</v>
      </c>
      <c r="AF211" s="46">
        <f>IF(AQ211="2",BH211,0)</f>
        <v>0</v>
      </c>
      <c r="AG211" s="46">
        <f>IF(AQ211="2",BI211,0)</f>
        <v>0</v>
      </c>
      <c r="AH211" s="46">
        <f>IF(AQ211="0",BJ211,0)</f>
        <v>0</v>
      </c>
      <c r="AI211" s="36"/>
      <c r="AJ211" s="26">
        <f>IF(AN211=0,K211,0)</f>
        <v>0</v>
      </c>
      <c r="AK211" s="26">
        <f>IF(AN211=15,K211,0)</f>
        <v>0</v>
      </c>
      <c r="AL211" s="26">
        <f>IF(AN211=21,K211,0)</f>
        <v>0</v>
      </c>
      <c r="AN211" s="46">
        <v>21</v>
      </c>
      <c r="AO211" s="46">
        <f>H211*0</f>
        <v>0</v>
      </c>
      <c r="AP211" s="46">
        <f>H211*(1-0)</f>
        <v>0</v>
      </c>
      <c r="AQ211" s="47" t="s">
        <v>7</v>
      </c>
      <c r="AV211" s="46">
        <f>AW211+AX211</f>
        <v>0</v>
      </c>
      <c r="AW211" s="46">
        <f>G211*AO211</f>
        <v>0</v>
      </c>
      <c r="AX211" s="46">
        <f>G211*AP211</f>
        <v>0</v>
      </c>
      <c r="AY211" s="49" t="s">
        <v>501</v>
      </c>
      <c r="AZ211" s="49" t="s">
        <v>512</v>
      </c>
      <c r="BA211" s="36" t="s">
        <v>513</v>
      </c>
      <c r="BC211" s="46">
        <f>AW211+AX211</f>
        <v>0</v>
      </c>
      <c r="BD211" s="46">
        <f>H211/(100-BE211)*100</f>
        <v>0</v>
      </c>
      <c r="BE211" s="46">
        <v>0</v>
      </c>
      <c r="BF211" s="46">
        <f>M211</f>
        <v>0</v>
      </c>
      <c r="BH211" s="26">
        <f>G211*AO211</f>
        <v>0</v>
      </c>
      <c r="BI211" s="26">
        <f>G211*AP211</f>
        <v>0</v>
      </c>
      <c r="BJ211" s="26">
        <f>G211*H211</f>
        <v>0</v>
      </c>
      <c r="BK211" s="26" t="s">
        <v>518</v>
      </c>
      <c r="BL211" s="46">
        <v>94</v>
      </c>
    </row>
    <row r="212" spans="1:64" ht="12.75">
      <c r="A212" s="4" t="s">
        <v>97</v>
      </c>
      <c r="B212" s="14"/>
      <c r="C212" s="14" t="s">
        <v>221</v>
      </c>
      <c r="D212" s="101" t="s">
        <v>397</v>
      </c>
      <c r="E212" s="102"/>
      <c r="F212" s="14" t="s">
        <v>459</v>
      </c>
      <c r="G212" s="26">
        <v>56</v>
      </c>
      <c r="H212" s="193"/>
      <c r="I212" s="26">
        <f>G212*AO212</f>
        <v>0</v>
      </c>
      <c r="J212" s="26">
        <f>G212*AP212</f>
        <v>0</v>
      </c>
      <c r="K212" s="26">
        <f>G212*H212</f>
        <v>0</v>
      </c>
      <c r="L212" s="26">
        <v>0.00735</v>
      </c>
      <c r="M212" s="26">
        <f>G212*L212</f>
        <v>0.41159999999999997</v>
      </c>
      <c r="N212" s="95" t="s">
        <v>580</v>
      </c>
      <c r="O212" s="5"/>
      <c r="Z212" s="46">
        <f>IF(AQ212="5",BJ212,0)</f>
        <v>0</v>
      </c>
      <c r="AB212" s="46">
        <f>IF(AQ212="1",BH212,0)</f>
        <v>0</v>
      </c>
      <c r="AC212" s="46">
        <f>IF(AQ212="1",BI212,0)</f>
        <v>0</v>
      </c>
      <c r="AD212" s="46">
        <f>IF(AQ212="7",BH212,0)</f>
        <v>0</v>
      </c>
      <c r="AE212" s="46">
        <f>IF(AQ212="7",BI212,0)</f>
        <v>0</v>
      </c>
      <c r="AF212" s="46">
        <f>IF(AQ212="2",BH212,0)</f>
        <v>0</v>
      </c>
      <c r="AG212" s="46">
        <f>IF(AQ212="2",BI212,0)</f>
        <v>0</v>
      </c>
      <c r="AH212" s="46">
        <f>IF(AQ212="0",BJ212,0)</f>
        <v>0</v>
      </c>
      <c r="AI212" s="36"/>
      <c r="AJ212" s="26">
        <f>IF(AN212=0,K212,0)</f>
        <v>0</v>
      </c>
      <c r="AK212" s="26">
        <f>IF(AN212=15,K212,0)</f>
        <v>0</v>
      </c>
      <c r="AL212" s="26">
        <f>IF(AN212=21,K212,0)</f>
        <v>0</v>
      </c>
      <c r="AN212" s="46">
        <v>21</v>
      </c>
      <c r="AO212" s="46">
        <f>H212*0.00120481927710843</f>
        <v>0</v>
      </c>
      <c r="AP212" s="46">
        <f>H212*(1-0.00120481927710843)</f>
        <v>0</v>
      </c>
      <c r="AQ212" s="47" t="s">
        <v>7</v>
      </c>
      <c r="AV212" s="46">
        <f>AW212+AX212</f>
        <v>0</v>
      </c>
      <c r="AW212" s="46">
        <f>G212*AO212</f>
        <v>0</v>
      </c>
      <c r="AX212" s="46">
        <f>G212*AP212</f>
        <v>0</v>
      </c>
      <c r="AY212" s="49" t="s">
        <v>501</v>
      </c>
      <c r="AZ212" s="49" t="s">
        <v>512</v>
      </c>
      <c r="BA212" s="36" t="s">
        <v>513</v>
      </c>
      <c r="BC212" s="46">
        <f>AW212+AX212</f>
        <v>0</v>
      </c>
      <c r="BD212" s="46">
        <f>H212/(100-BE212)*100</f>
        <v>0</v>
      </c>
      <c r="BE212" s="46">
        <v>0</v>
      </c>
      <c r="BF212" s="46">
        <f>M212</f>
        <v>0.41159999999999997</v>
      </c>
      <c r="BH212" s="26">
        <f>G212*AO212</f>
        <v>0</v>
      </c>
      <c r="BI212" s="26">
        <f>G212*AP212</f>
        <v>0</v>
      </c>
      <c r="BJ212" s="26">
        <f>G212*H212</f>
        <v>0</v>
      </c>
      <c r="BK212" s="26" t="s">
        <v>518</v>
      </c>
      <c r="BL212" s="46">
        <v>94</v>
      </c>
    </row>
    <row r="213" spans="1:15" ht="12.75">
      <c r="A213" s="5"/>
      <c r="D213" s="18" t="s">
        <v>398</v>
      </c>
      <c r="E213" s="20"/>
      <c r="G213" s="27">
        <v>56</v>
      </c>
      <c r="N213" s="41"/>
      <c r="O213" s="5"/>
    </row>
    <row r="214" spans="1:64" ht="12.75">
      <c r="A214" s="4" t="s">
        <v>98</v>
      </c>
      <c r="B214" s="14"/>
      <c r="C214" s="14" t="s">
        <v>222</v>
      </c>
      <c r="D214" s="101" t="s">
        <v>399</v>
      </c>
      <c r="E214" s="102"/>
      <c r="F214" s="14" t="s">
        <v>459</v>
      </c>
      <c r="G214" s="26">
        <v>56</v>
      </c>
      <c r="H214" s="193"/>
      <c r="I214" s="26">
        <f>G214*AO214</f>
        <v>0</v>
      </c>
      <c r="J214" s="26">
        <f>G214*AP214</f>
        <v>0</v>
      </c>
      <c r="K214" s="26">
        <f>G214*H214</f>
        <v>0</v>
      </c>
      <c r="L214" s="26">
        <v>0</v>
      </c>
      <c r="M214" s="26">
        <f>G214*L214</f>
        <v>0</v>
      </c>
      <c r="N214" s="95" t="s">
        <v>580</v>
      </c>
      <c r="O214" s="5"/>
      <c r="Z214" s="46">
        <f>IF(AQ214="5",BJ214,0)</f>
        <v>0</v>
      </c>
      <c r="AB214" s="46">
        <f>IF(AQ214="1",BH214,0)</f>
        <v>0</v>
      </c>
      <c r="AC214" s="46">
        <f>IF(AQ214="1",BI214,0)</f>
        <v>0</v>
      </c>
      <c r="AD214" s="46">
        <f>IF(AQ214="7",BH214,0)</f>
        <v>0</v>
      </c>
      <c r="AE214" s="46">
        <f>IF(AQ214="7",BI214,0)</f>
        <v>0</v>
      </c>
      <c r="AF214" s="46">
        <f>IF(AQ214="2",BH214,0)</f>
        <v>0</v>
      </c>
      <c r="AG214" s="46">
        <f>IF(AQ214="2",BI214,0)</f>
        <v>0</v>
      </c>
      <c r="AH214" s="46">
        <f>IF(AQ214="0",BJ214,0)</f>
        <v>0</v>
      </c>
      <c r="AI214" s="36"/>
      <c r="AJ214" s="26">
        <f>IF(AN214=0,K214,0)</f>
        <v>0</v>
      </c>
      <c r="AK214" s="26">
        <f>IF(AN214=15,K214,0)</f>
        <v>0</v>
      </c>
      <c r="AL214" s="26">
        <f>IF(AN214=21,K214,0)</f>
        <v>0</v>
      </c>
      <c r="AN214" s="46">
        <v>21</v>
      </c>
      <c r="AO214" s="46">
        <f>H214*0</f>
        <v>0</v>
      </c>
      <c r="AP214" s="46">
        <f>H214*(1-0)</f>
        <v>0</v>
      </c>
      <c r="AQ214" s="47" t="s">
        <v>7</v>
      </c>
      <c r="AV214" s="46">
        <f>AW214+AX214</f>
        <v>0</v>
      </c>
      <c r="AW214" s="46">
        <f>G214*AO214</f>
        <v>0</v>
      </c>
      <c r="AX214" s="46">
        <f>G214*AP214</f>
        <v>0</v>
      </c>
      <c r="AY214" s="49" t="s">
        <v>501</v>
      </c>
      <c r="AZ214" s="49" t="s">
        <v>512</v>
      </c>
      <c r="BA214" s="36" t="s">
        <v>513</v>
      </c>
      <c r="BC214" s="46">
        <f>AW214+AX214</f>
        <v>0</v>
      </c>
      <c r="BD214" s="46">
        <f>H214/(100-BE214)*100</f>
        <v>0</v>
      </c>
      <c r="BE214" s="46">
        <v>0</v>
      </c>
      <c r="BF214" s="46">
        <f>M214</f>
        <v>0</v>
      </c>
      <c r="BH214" s="26">
        <f>G214*AO214</f>
        <v>0</v>
      </c>
      <c r="BI214" s="26">
        <f>G214*AP214</f>
        <v>0</v>
      </c>
      <c r="BJ214" s="26">
        <f>G214*H214</f>
        <v>0</v>
      </c>
      <c r="BK214" s="26" t="s">
        <v>518</v>
      </c>
      <c r="BL214" s="46">
        <v>94</v>
      </c>
    </row>
    <row r="215" spans="1:64" ht="12.75">
      <c r="A215" s="4" t="s">
        <v>99</v>
      </c>
      <c r="B215" s="14"/>
      <c r="C215" s="14" t="s">
        <v>223</v>
      </c>
      <c r="D215" s="101" t="s">
        <v>400</v>
      </c>
      <c r="E215" s="102"/>
      <c r="F215" s="14" t="s">
        <v>453</v>
      </c>
      <c r="G215" s="26">
        <v>2.4</v>
      </c>
      <c r="H215" s="193"/>
      <c r="I215" s="26">
        <f>G215*AO215</f>
        <v>0</v>
      </c>
      <c r="J215" s="26">
        <f>G215*AP215</f>
        <v>0</v>
      </c>
      <c r="K215" s="26">
        <f>G215*H215</f>
        <v>0</v>
      </c>
      <c r="L215" s="26">
        <v>0.00121</v>
      </c>
      <c r="M215" s="26">
        <f>G215*L215</f>
        <v>0.002904</v>
      </c>
      <c r="N215" s="95" t="s">
        <v>580</v>
      </c>
      <c r="O215" s="5"/>
      <c r="Z215" s="46">
        <f>IF(AQ215="5",BJ215,0)</f>
        <v>0</v>
      </c>
      <c r="AB215" s="46">
        <f>IF(AQ215="1",BH215,0)</f>
        <v>0</v>
      </c>
      <c r="AC215" s="46">
        <f>IF(AQ215="1",BI215,0)</f>
        <v>0</v>
      </c>
      <c r="AD215" s="46">
        <f>IF(AQ215="7",BH215,0)</f>
        <v>0</v>
      </c>
      <c r="AE215" s="46">
        <f>IF(AQ215="7",BI215,0)</f>
        <v>0</v>
      </c>
      <c r="AF215" s="46">
        <f>IF(AQ215="2",BH215,0)</f>
        <v>0</v>
      </c>
      <c r="AG215" s="46">
        <f>IF(AQ215="2",BI215,0)</f>
        <v>0</v>
      </c>
      <c r="AH215" s="46">
        <f>IF(AQ215="0",BJ215,0)</f>
        <v>0</v>
      </c>
      <c r="AI215" s="36"/>
      <c r="AJ215" s="26">
        <f>IF(AN215=0,K215,0)</f>
        <v>0</v>
      </c>
      <c r="AK215" s="26">
        <f>IF(AN215=15,K215,0)</f>
        <v>0</v>
      </c>
      <c r="AL215" s="26">
        <f>IF(AN215=21,K215,0)</f>
        <v>0</v>
      </c>
      <c r="AN215" s="46">
        <v>21</v>
      </c>
      <c r="AO215" s="46">
        <f>H215*0.337739130434783</f>
        <v>0</v>
      </c>
      <c r="AP215" s="46">
        <f>H215*(1-0.337739130434783)</f>
        <v>0</v>
      </c>
      <c r="AQ215" s="47" t="s">
        <v>7</v>
      </c>
      <c r="AV215" s="46">
        <f>AW215+AX215</f>
        <v>0</v>
      </c>
      <c r="AW215" s="46">
        <f>G215*AO215</f>
        <v>0</v>
      </c>
      <c r="AX215" s="46">
        <f>G215*AP215</f>
        <v>0</v>
      </c>
      <c r="AY215" s="49" t="s">
        <v>501</v>
      </c>
      <c r="AZ215" s="49" t="s">
        <v>512</v>
      </c>
      <c r="BA215" s="36" t="s">
        <v>513</v>
      </c>
      <c r="BC215" s="46">
        <f>AW215+AX215</f>
        <v>0</v>
      </c>
      <c r="BD215" s="46">
        <f>H215/(100-BE215)*100</f>
        <v>0</v>
      </c>
      <c r="BE215" s="46">
        <v>0</v>
      </c>
      <c r="BF215" s="46">
        <f>M215</f>
        <v>0.002904</v>
      </c>
      <c r="BH215" s="26">
        <f>G215*AO215</f>
        <v>0</v>
      </c>
      <c r="BI215" s="26">
        <f>G215*AP215</f>
        <v>0</v>
      </c>
      <c r="BJ215" s="26">
        <f>G215*H215</f>
        <v>0</v>
      </c>
      <c r="BK215" s="26" t="s">
        <v>518</v>
      </c>
      <c r="BL215" s="46">
        <v>94</v>
      </c>
    </row>
    <row r="216" spans="1:15" ht="12.75">
      <c r="A216" s="5"/>
      <c r="D216" s="18" t="s">
        <v>401</v>
      </c>
      <c r="E216" s="20"/>
      <c r="G216" s="27">
        <v>2.4</v>
      </c>
      <c r="N216" s="41"/>
      <c r="O216" s="5"/>
    </row>
    <row r="217" spans="1:47" ht="12.75">
      <c r="A217" s="6"/>
      <c r="B217" s="15"/>
      <c r="C217" s="15" t="s">
        <v>101</v>
      </c>
      <c r="D217" s="106" t="s">
        <v>402</v>
      </c>
      <c r="E217" s="107"/>
      <c r="F217" s="24" t="s">
        <v>6</v>
      </c>
      <c r="G217" s="24" t="s">
        <v>6</v>
      </c>
      <c r="H217" s="24" t="s">
        <v>6</v>
      </c>
      <c r="I217" s="52">
        <f>SUM(I218:I222)</f>
        <v>0</v>
      </c>
      <c r="J217" s="52">
        <f>SUM(J218:J222)</f>
        <v>0</v>
      </c>
      <c r="K217" s="52">
        <f>SUM(K218:K222)</f>
        <v>0</v>
      </c>
      <c r="L217" s="36"/>
      <c r="M217" s="52">
        <f>SUM(M218:M222)</f>
        <v>0.03148</v>
      </c>
      <c r="N217" s="42"/>
      <c r="O217" s="5"/>
      <c r="AI217" s="36"/>
      <c r="AS217" s="52">
        <f>SUM(AJ218:AJ222)</f>
        <v>0</v>
      </c>
      <c r="AT217" s="52">
        <f>SUM(AK218:AK222)</f>
        <v>0</v>
      </c>
      <c r="AU217" s="52">
        <f>SUM(AL218:AL222)</f>
        <v>0</v>
      </c>
    </row>
    <row r="218" spans="1:64" ht="12.75">
      <c r="A218" s="4" t="s">
        <v>100</v>
      </c>
      <c r="B218" s="14"/>
      <c r="C218" s="14" t="s">
        <v>224</v>
      </c>
      <c r="D218" s="101" t="s">
        <v>403</v>
      </c>
      <c r="E218" s="102"/>
      <c r="F218" s="14" t="s">
        <v>455</v>
      </c>
      <c r="G218" s="26">
        <v>1</v>
      </c>
      <c r="H218" s="193"/>
      <c r="I218" s="26">
        <f>G218*AO218</f>
        <v>0</v>
      </c>
      <c r="J218" s="26">
        <f>G218*AP218</f>
        <v>0</v>
      </c>
      <c r="K218" s="26">
        <f>G218*H218</f>
        <v>0</v>
      </c>
      <c r="L218" s="26">
        <v>0.01404</v>
      </c>
      <c r="M218" s="26">
        <f>G218*L218</f>
        <v>0.01404</v>
      </c>
      <c r="N218" s="95" t="s">
        <v>580</v>
      </c>
      <c r="O218" s="5"/>
      <c r="Z218" s="46">
        <f>IF(AQ218="5",BJ218,0)</f>
        <v>0</v>
      </c>
      <c r="AB218" s="46">
        <f>IF(AQ218="1",BH218,0)</f>
        <v>0</v>
      </c>
      <c r="AC218" s="46">
        <f>IF(AQ218="1",BI218,0)</f>
        <v>0</v>
      </c>
      <c r="AD218" s="46">
        <f>IF(AQ218="7",BH218,0)</f>
        <v>0</v>
      </c>
      <c r="AE218" s="46">
        <f>IF(AQ218="7",BI218,0)</f>
        <v>0</v>
      </c>
      <c r="AF218" s="46">
        <f>IF(AQ218="2",BH218,0)</f>
        <v>0</v>
      </c>
      <c r="AG218" s="46">
        <f>IF(AQ218="2",BI218,0)</f>
        <v>0</v>
      </c>
      <c r="AH218" s="46">
        <f>IF(AQ218="0",BJ218,0)</f>
        <v>0</v>
      </c>
      <c r="AI218" s="36"/>
      <c r="AJ218" s="26">
        <f>IF(AN218=0,K218,0)</f>
        <v>0</v>
      </c>
      <c r="AK218" s="26">
        <f>IF(AN218=15,K218,0)</f>
        <v>0</v>
      </c>
      <c r="AL218" s="26">
        <f>IF(AN218=21,K218,0)</f>
        <v>0</v>
      </c>
      <c r="AN218" s="46">
        <v>21</v>
      </c>
      <c r="AO218" s="46">
        <f>H218*0.0440163663625505</f>
        <v>0</v>
      </c>
      <c r="AP218" s="46">
        <f>H218*(1-0.0440163663625505)</f>
        <v>0</v>
      </c>
      <c r="AQ218" s="47" t="s">
        <v>7</v>
      </c>
      <c r="AV218" s="46">
        <f>AW218+AX218</f>
        <v>0</v>
      </c>
      <c r="AW218" s="46">
        <f>G218*AO218</f>
        <v>0</v>
      </c>
      <c r="AX218" s="46">
        <f>G218*AP218</f>
        <v>0</v>
      </c>
      <c r="AY218" s="49" t="s">
        <v>502</v>
      </c>
      <c r="AZ218" s="49" t="s">
        <v>512</v>
      </c>
      <c r="BA218" s="36" t="s">
        <v>513</v>
      </c>
      <c r="BC218" s="46">
        <f>AW218+AX218</f>
        <v>0</v>
      </c>
      <c r="BD218" s="46">
        <f>H218/(100-BE218)*100</f>
        <v>0</v>
      </c>
      <c r="BE218" s="46">
        <v>0</v>
      </c>
      <c r="BF218" s="46">
        <f>M218</f>
        <v>0.01404</v>
      </c>
      <c r="BH218" s="26">
        <f>G218*AO218</f>
        <v>0</v>
      </c>
      <c r="BI218" s="26">
        <f>G218*AP218</f>
        <v>0</v>
      </c>
      <c r="BJ218" s="26">
        <f>G218*H218</f>
        <v>0</v>
      </c>
      <c r="BK218" s="26" t="s">
        <v>518</v>
      </c>
      <c r="BL218" s="46">
        <v>95</v>
      </c>
    </row>
    <row r="219" spans="1:15" ht="12.75">
      <c r="A219" s="5"/>
      <c r="D219" s="18" t="s">
        <v>7</v>
      </c>
      <c r="E219" s="20"/>
      <c r="G219" s="27">
        <v>1</v>
      </c>
      <c r="N219" s="41"/>
      <c r="O219" s="5"/>
    </row>
    <row r="220" spans="1:64" ht="12.75">
      <c r="A220" s="7" t="s">
        <v>101</v>
      </c>
      <c r="B220" s="16"/>
      <c r="C220" s="16" t="s">
        <v>225</v>
      </c>
      <c r="D220" s="108" t="s">
        <v>404</v>
      </c>
      <c r="E220" s="109"/>
      <c r="F220" s="16" t="s">
        <v>455</v>
      </c>
      <c r="G220" s="28">
        <v>1</v>
      </c>
      <c r="H220" s="194"/>
      <c r="I220" s="28">
        <f>G220*AO220</f>
        <v>0</v>
      </c>
      <c r="J220" s="28">
        <f>G220*AP220</f>
        <v>0</v>
      </c>
      <c r="K220" s="28">
        <f>G220*H220</f>
        <v>0</v>
      </c>
      <c r="L220" s="28">
        <v>0.012</v>
      </c>
      <c r="M220" s="28">
        <f>G220*L220</f>
        <v>0.012</v>
      </c>
      <c r="N220" s="95" t="s">
        <v>580</v>
      </c>
      <c r="O220" s="5"/>
      <c r="Z220" s="46">
        <f>IF(AQ220="5",BJ220,0)</f>
        <v>0</v>
      </c>
      <c r="AB220" s="46">
        <f>IF(AQ220="1",BH220,0)</f>
        <v>0</v>
      </c>
      <c r="AC220" s="46">
        <f>IF(AQ220="1",BI220,0)</f>
        <v>0</v>
      </c>
      <c r="AD220" s="46">
        <f>IF(AQ220="7",BH220,0)</f>
        <v>0</v>
      </c>
      <c r="AE220" s="46">
        <f>IF(AQ220="7",BI220,0)</f>
        <v>0</v>
      </c>
      <c r="AF220" s="46">
        <f>IF(AQ220="2",BH220,0)</f>
        <v>0</v>
      </c>
      <c r="AG220" s="46">
        <f>IF(AQ220="2",BI220,0)</f>
        <v>0</v>
      </c>
      <c r="AH220" s="46">
        <f>IF(AQ220="0",BJ220,0)</f>
        <v>0</v>
      </c>
      <c r="AI220" s="36"/>
      <c r="AJ220" s="28">
        <f>IF(AN220=0,K220,0)</f>
        <v>0</v>
      </c>
      <c r="AK220" s="28">
        <f>IF(AN220=15,K220,0)</f>
        <v>0</v>
      </c>
      <c r="AL220" s="28">
        <f>IF(AN220=21,K220,0)</f>
        <v>0</v>
      </c>
      <c r="AN220" s="46">
        <v>21</v>
      </c>
      <c r="AO220" s="46">
        <f>H220*1</f>
        <v>0</v>
      </c>
      <c r="AP220" s="46">
        <f>H220*(1-1)</f>
        <v>0</v>
      </c>
      <c r="AQ220" s="48" t="s">
        <v>7</v>
      </c>
      <c r="AV220" s="46">
        <f>AW220+AX220</f>
        <v>0</v>
      </c>
      <c r="AW220" s="46">
        <f>G220*AO220</f>
        <v>0</v>
      </c>
      <c r="AX220" s="46">
        <f>G220*AP220</f>
        <v>0</v>
      </c>
      <c r="AY220" s="49" t="s">
        <v>502</v>
      </c>
      <c r="AZ220" s="49" t="s">
        <v>512</v>
      </c>
      <c r="BA220" s="36" t="s">
        <v>513</v>
      </c>
      <c r="BC220" s="46">
        <f>AW220+AX220</f>
        <v>0</v>
      </c>
      <c r="BD220" s="46">
        <f>H220/(100-BE220)*100</f>
        <v>0</v>
      </c>
      <c r="BE220" s="46">
        <v>0</v>
      </c>
      <c r="BF220" s="46">
        <f>M220</f>
        <v>0.012</v>
      </c>
      <c r="BH220" s="28">
        <f>G220*AO220</f>
        <v>0</v>
      </c>
      <c r="BI220" s="28">
        <f>G220*AP220</f>
        <v>0</v>
      </c>
      <c r="BJ220" s="28">
        <f>G220*H220</f>
        <v>0</v>
      </c>
      <c r="BK220" s="28" t="s">
        <v>519</v>
      </c>
      <c r="BL220" s="46">
        <v>95</v>
      </c>
    </row>
    <row r="221" spans="1:15" ht="12.75">
      <c r="A221" s="5"/>
      <c r="D221" s="18" t="s">
        <v>7</v>
      </c>
      <c r="E221" s="20"/>
      <c r="G221" s="27">
        <v>1</v>
      </c>
      <c r="N221" s="41"/>
      <c r="O221" s="5"/>
    </row>
    <row r="222" spans="1:64" ht="12.75">
      <c r="A222" s="4" t="s">
        <v>102</v>
      </c>
      <c r="B222" s="14"/>
      <c r="C222" s="14" t="s">
        <v>226</v>
      </c>
      <c r="D222" s="101" t="s">
        <v>405</v>
      </c>
      <c r="E222" s="102"/>
      <c r="F222" s="14" t="s">
        <v>453</v>
      </c>
      <c r="G222" s="26">
        <v>136</v>
      </c>
      <c r="H222" s="193"/>
      <c r="I222" s="26">
        <f>G222*AO222</f>
        <v>0</v>
      </c>
      <c r="J222" s="26">
        <f>G222*AP222</f>
        <v>0</v>
      </c>
      <c r="K222" s="26">
        <f>G222*H222</f>
        <v>0</v>
      </c>
      <c r="L222" s="26">
        <v>4E-05</v>
      </c>
      <c r="M222" s="26">
        <f>G222*L222</f>
        <v>0.00544</v>
      </c>
      <c r="N222" s="95" t="s">
        <v>580</v>
      </c>
      <c r="O222" s="5"/>
      <c r="Z222" s="46">
        <f>IF(AQ222="5",BJ222,0)</f>
        <v>0</v>
      </c>
      <c r="AB222" s="46">
        <f>IF(AQ222="1",BH222,0)</f>
        <v>0</v>
      </c>
      <c r="AC222" s="46">
        <f>IF(AQ222="1",BI222,0)</f>
        <v>0</v>
      </c>
      <c r="AD222" s="46">
        <f>IF(AQ222="7",BH222,0)</f>
        <v>0</v>
      </c>
      <c r="AE222" s="46">
        <f>IF(AQ222="7",BI222,0)</f>
        <v>0</v>
      </c>
      <c r="AF222" s="46">
        <f>IF(AQ222="2",BH222,0)</f>
        <v>0</v>
      </c>
      <c r="AG222" s="46">
        <f>IF(AQ222="2",BI222,0)</f>
        <v>0</v>
      </c>
      <c r="AH222" s="46">
        <f>IF(AQ222="0",BJ222,0)</f>
        <v>0</v>
      </c>
      <c r="AI222" s="36"/>
      <c r="AJ222" s="26">
        <f>IF(AN222=0,K222,0)</f>
        <v>0</v>
      </c>
      <c r="AK222" s="26">
        <f>IF(AN222=15,K222,0)</f>
        <v>0</v>
      </c>
      <c r="AL222" s="26">
        <f>IF(AN222=21,K222,0)</f>
        <v>0</v>
      </c>
      <c r="AN222" s="46">
        <v>21</v>
      </c>
      <c r="AO222" s="46">
        <f>H222*0.0124696356275304</f>
        <v>0</v>
      </c>
      <c r="AP222" s="46">
        <f>H222*(1-0.0124696356275304)</f>
        <v>0</v>
      </c>
      <c r="AQ222" s="47" t="s">
        <v>7</v>
      </c>
      <c r="AV222" s="46">
        <f>AW222+AX222</f>
        <v>0</v>
      </c>
      <c r="AW222" s="46">
        <f>G222*AO222</f>
        <v>0</v>
      </c>
      <c r="AX222" s="46">
        <f>G222*AP222</f>
        <v>0</v>
      </c>
      <c r="AY222" s="49" t="s">
        <v>502</v>
      </c>
      <c r="AZ222" s="49" t="s">
        <v>512</v>
      </c>
      <c r="BA222" s="36" t="s">
        <v>513</v>
      </c>
      <c r="BC222" s="46">
        <f>AW222+AX222</f>
        <v>0</v>
      </c>
      <c r="BD222" s="46">
        <f>H222/(100-BE222)*100</f>
        <v>0</v>
      </c>
      <c r="BE222" s="46">
        <v>0</v>
      </c>
      <c r="BF222" s="46">
        <f>M222</f>
        <v>0.00544</v>
      </c>
      <c r="BH222" s="26">
        <f>G222*AO222</f>
        <v>0</v>
      </c>
      <c r="BI222" s="26">
        <f>G222*AP222</f>
        <v>0</v>
      </c>
      <c r="BJ222" s="26">
        <f>G222*H222</f>
        <v>0</v>
      </c>
      <c r="BK222" s="26" t="s">
        <v>518</v>
      </c>
      <c r="BL222" s="46">
        <v>95</v>
      </c>
    </row>
    <row r="223" spans="1:15" ht="12.75">
      <c r="A223" s="5"/>
      <c r="D223" s="18" t="s">
        <v>406</v>
      </c>
      <c r="E223" s="20"/>
      <c r="G223" s="27">
        <v>136</v>
      </c>
      <c r="N223" s="41"/>
      <c r="O223" s="5"/>
    </row>
    <row r="224" spans="1:47" ht="12.75">
      <c r="A224" s="6"/>
      <c r="B224" s="15"/>
      <c r="C224" s="15" t="s">
        <v>102</v>
      </c>
      <c r="D224" s="106" t="s">
        <v>407</v>
      </c>
      <c r="E224" s="107"/>
      <c r="F224" s="24" t="s">
        <v>6</v>
      </c>
      <c r="G224" s="24" t="s">
        <v>6</v>
      </c>
      <c r="H224" s="24" t="s">
        <v>6</v>
      </c>
      <c r="I224" s="52">
        <f>SUM(I225:I229)</f>
        <v>0</v>
      </c>
      <c r="J224" s="52">
        <f>SUM(J225:J229)</f>
        <v>0</v>
      </c>
      <c r="K224" s="52">
        <f>SUM(K225:K229)</f>
        <v>0</v>
      </c>
      <c r="L224" s="36"/>
      <c r="M224" s="52">
        <f>SUM(M225:M229)</f>
        <v>0.6481680000000001</v>
      </c>
      <c r="N224" s="42"/>
      <c r="O224" s="5"/>
      <c r="AI224" s="36"/>
      <c r="AS224" s="52">
        <f>SUM(AJ225:AJ229)</f>
        <v>0</v>
      </c>
      <c r="AT224" s="52">
        <f>SUM(AK225:AK229)</f>
        <v>0</v>
      </c>
      <c r="AU224" s="52">
        <f>SUM(AL225:AL229)</f>
        <v>0</v>
      </c>
    </row>
    <row r="225" spans="1:64" ht="12.75">
      <c r="A225" s="4" t="s">
        <v>103</v>
      </c>
      <c r="B225" s="14"/>
      <c r="C225" s="14" t="s">
        <v>227</v>
      </c>
      <c r="D225" s="101" t="s">
        <v>408</v>
      </c>
      <c r="E225" s="102"/>
      <c r="F225" s="14" t="s">
        <v>453</v>
      </c>
      <c r="G225" s="26">
        <v>9</v>
      </c>
      <c r="H225" s="193"/>
      <c r="I225" s="26">
        <f>G225*AO225</f>
        <v>0</v>
      </c>
      <c r="J225" s="26">
        <f>G225*AP225</f>
        <v>0</v>
      </c>
      <c r="K225" s="26">
        <f>G225*H225</f>
        <v>0</v>
      </c>
      <c r="L225" s="26">
        <v>0.032</v>
      </c>
      <c r="M225" s="26">
        <f>G225*L225</f>
        <v>0.28800000000000003</v>
      </c>
      <c r="N225" s="95" t="s">
        <v>580</v>
      </c>
      <c r="O225" s="5"/>
      <c r="Z225" s="46">
        <f>IF(AQ225="5",BJ225,0)</f>
        <v>0</v>
      </c>
      <c r="AB225" s="46">
        <f>IF(AQ225="1",BH225,0)</f>
        <v>0</v>
      </c>
      <c r="AC225" s="46">
        <f>IF(AQ225="1",BI225,0)</f>
        <v>0</v>
      </c>
      <c r="AD225" s="46">
        <f>IF(AQ225="7",BH225,0)</f>
        <v>0</v>
      </c>
      <c r="AE225" s="46">
        <f>IF(AQ225="7",BI225,0)</f>
        <v>0</v>
      </c>
      <c r="AF225" s="46">
        <f>IF(AQ225="2",BH225,0)</f>
        <v>0</v>
      </c>
      <c r="AG225" s="46">
        <f>IF(AQ225="2",BI225,0)</f>
        <v>0</v>
      </c>
      <c r="AH225" s="46">
        <f>IF(AQ225="0",BJ225,0)</f>
        <v>0</v>
      </c>
      <c r="AI225" s="36"/>
      <c r="AJ225" s="26">
        <f>IF(AN225=0,K225,0)</f>
        <v>0</v>
      </c>
      <c r="AK225" s="26">
        <f>IF(AN225=15,K225,0)</f>
        <v>0</v>
      </c>
      <c r="AL225" s="26">
        <f>IF(AN225=21,K225,0)</f>
        <v>0</v>
      </c>
      <c r="AN225" s="46">
        <v>21</v>
      </c>
      <c r="AO225" s="46">
        <f>H225*0.167697160883281</f>
        <v>0</v>
      </c>
      <c r="AP225" s="46">
        <f>H225*(1-0.167697160883281)</f>
        <v>0</v>
      </c>
      <c r="AQ225" s="47" t="s">
        <v>7</v>
      </c>
      <c r="AV225" s="46">
        <f>AW225+AX225</f>
        <v>0</v>
      </c>
      <c r="AW225" s="46">
        <f>G225*AO225</f>
        <v>0</v>
      </c>
      <c r="AX225" s="46">
        <f>G225*AP225</f>
        <v>0</v>
      </c>
      <c r="AY225" s="49" t="s">
        <v>503</v>
      </c>
      <c r="AZ225" s="49" t="s">
        <v>512</v>
      </c>
      <c r="BA225" s="36" t="s">
        <v>513</v>
      </c>
      <c r="BC225" s="46">
        <f>AW225+AX225</f>
        <v>0</v>
      </c>
      <c r="BD225" s="46">
        <f>H225/(100-BE225)*100</f>
        <v>0</v>
      </c>
      <c r="BE225" s="46">
        <v>0</v>
      </c>
      <c r="BF225" s="46">
        <f>M225</f>
        <v>0.28800000000000003</v>
      </c>
      <c r="BH225" s="26">
        <f>G225*AO225</f>
        <v>0</v>
      </c>
      <c r="BI225" s="26">
        <f>G225*AP225</f>
        <v>0</v>
      </c>
      <c r="BJ225" s="26">
        <f>G225*H225</f>
        <v>0</v>
      </c>
      <c r="BK225" s="26" t="s">
        <v>518</v>
      </c>
      <c r="BL225" s="46">
        <v>96</v>
      </c>
    </row>
    <row r="226" spans="1:15" ht="12.75">
      <c r="A226" s="5"/>
      <c r="D226" s="18" t="s">
        <v>409</v>
      </c>
      <c r="E226" s="20"/>
      <c r="G226" s="27">
        <v>9</v>
      </c>
      <c r="N226" s="41"/>
      <c r="O226" s="5"/>
    </row>
    <row r="227" spans="1:64" ht="12.75">
      <c r="A227" s="4" t="s">
        <v>104</v>
      </c>
      <c r="B227" s="14"/>
      <c r="C227" s="14" t="s">
        <v>228</v>
      </c>
      <c r="D227" s="101" t="s">
        <v>410</v>
      </c>
      <c r="E227" s="102"/>
      <c r="F227" s="14" t="s">
        <v>453</v>
      </c>
      <c r="G227" s="26">
        <v>12.9</v>
      </c>
      <c r="H227" s="193"/>
      <c r="I227" s="26">
        <f>G227*AO227</f>
        <v>0</v>
      </c>
      <c r="J227" s="26">
        <f>G227*AP227</f>
        <v>0</v>
      </c>
      <c r="K227" s="26">
        <f>G227*H227</f>
        <v>0</v>
      </c>
      <c r="L227" s="26">
        <v>0.02792</v>
      </c>
      <c r="M227" s="26">
        <f>G227*L227</f>
        <v>0.360168</v>
      </c>
      <c r="N227" s="95" t="s">
        <v>580</v>
      </c>
      <c r="O227" s="5"/>
      <c r="Z227" s="46">
        <f>IF(AQ227="5",BJ227,0)</f>
        <v>0</v>
      </c>
      <c r="AB227" s="46">
        <f>IF(AQ227="1",BH227,0)</f>
        <v>0</v>
      </c>
      <c r="AC227" s="46">
        <f>IF(AQ227="1",BI227,0)</f>
        <v>0</v>
      </c>
      <c r="AD227" s="46">
        <f>IF(AQ227="7",BH227,0)</f>
        <v>0</v>
      </c>
      <c r="AE227" s="46">
        <f>IF(AQ227="7",BI227,0)</f>
        <v>0</v>
      </c>
      <c r="AF227" s="46">
        <f>IF(AQ227="2",BH227,0)</f>
        <v>0</v>
      </c>
      <c r="AG227" s="46">
        <f>IF(AQ227="2",BI227,0)</f>
        <v>0</v>
      </c>
      <c r="AH227" s="46">
        <f>IF(AQ227="0",BJ227,0)</f>
        <v>0</v>
      </c>
      <c r="AI227" s="36"/>
      <c r="AJ227" s="26">
        <f>IF(AN227=0,K227,0)</f>
        <v>0</v>
      </c>
      <c r="AK227" s="26">
        <f>IF(AN227=15,K227,0)</f>
        <v>0</v>
      </c>
      <c r="AL227" s="26">
        <f>IF(AN227=21,K227,0)</f>
        <v>0</v>
      </c>
      <c r="AN227" s="46">
        <v>21</v>
      </c>
      <c r="AO227" s="46">
        <f>H227*0.188803088803089</f>
        <v>0</v>
      </c>
      <c r="AP227" s="46">
        <f>H227*(1-0.188803088803089)</f>
        <v>0</v>
      </c>
      <c r="AQ227" s="47" t="s">
        <v>7</v>
      </c>
      <c r="AV227" s="46">
        <f>AW227+AX227</f>
        <v>0</v>
      </c>
      <c r="AW227" s="46">
        <f>G227*AO227</f>
        <v>0</v>
      </c>
      <c r="AX227" s="46">
        <f>G227*AP227</f>
        <v>0</v>
      </c>
      <c r="AY227" s="49" t="s">
        <v>503</v>
      </c>
      <c r="AZ227" s="49" t="s">
        <v>512</v>
      </c>
      <c r="BA227" s="36" t="s">
        <v>513</v>
      </c>
      <c r="BC227" s="46">
        <f>AW227+AX227</f>
        <v>0</v>
      </c>
      <c r="BD227" s="46">
        <f>H227/(100-BE227)*100</f>
        <v>0</v>
      </c>
      <c r="BE227" s="46">
        <v>0</v>
      </c>
      <c r="BF227" s="46">
        <f>M227</f>
        <v>0.360168</v>
      </c>
      <c r="BH227" s="26">
        <f>G227*AO227</f>
        <v>0</v>
      </c>
      <c r="BI227" s="26">
        <f>G227*AP227</f>
        <v>0</v>
      </c>
      <c r="BJ227" s="26">
        <f>G227*H227</f>
        <v>0</v>
      </c>
      <c r="BK227" s="26" t="s">
        <v>518</v>
      </c>
      <c r="BL227" s="46">
        <v>96</v>
      </c>
    </row>
    <row r="228" spans="1:15" ht="12.75">
      <c r="A228" s="5"/>
      <c r="D228" s="18" t="s">
        <v>411</v>
      </c>
      <c r="E228" s="20"/>
      <c r="G228" s="27">
        <v>12.9</v>
      </c>
      <c r="N228" s="41"/>
      <c r="O228" s="5"/>
    </row>
    <row r="229" spans="1:64" ht="12.75">
      <c r="A229" s="4" t="s">
        <v>105</v>
      </c>
      <c r="B229" s="14"/>
      <c r="C229" s="14" t="s">
        <v>229</v>
      </c>
      <c r="D229" s="101" t="s">
        <v>412</v>
      </c>
      <c r="E229" s="102"/>
      <c r="F229" s="14" t="s">
        <v>454</v>
      </c>
      <c r="G229" s="26">
        <v>20</v>
      </c>
      <c r="H229" s="193"/>
      <c r="I229" s="26">
        <f>G229*AO229</f>
        <v>0</v>
      </c>
      <c r="J229" s="26">
        <f>G229*AP229</f>
        <v>0</v>
      </c>
      <c r="K229" s="26">
        <f>G229*H229</f>
        <v>0</v>
      </c>
      <c r="L229" s="26">
        <v>0</v>
      </c>
      <c r="M229" s="26">
        <f>G229*L229</f>
        <v>0</v>
      </c>
      <c r="N229" s="95" t="s">
        <v>580</v>
      </c>
      <c r="O229" s="5"/>
      <c r="Z229" s="46">
        <f>IF(AQ229="5",BJ229,0)</f>
        <v>0</v>
      </c>
      <c r="AB229" s="46">
        <f>IF(AQ229="1",BH229,0)</f>
        <v>0</v>
      </c>
      <c r="AC229" s="46">
        <f>IF(AQ229="1",BI229,0)</f>
        <v>0</v>
      </c>
      <c r="AD229" s="46">
        <f>IF(AQ229="7",BH229,0)</f>
        <v>0</v>
      </c>
      <c r="AE229" s="46">
        <f>IF(AQ229="7",BI229,0)</f>
        <v>0</v>
      </c>
      <c r="AF229" s="46">
        <f>IF(AQ229="2",BH229,0)</f>
        <v>0</v>
      </c>
      <c r="AG229" s="46">
        <f>IF(AQ229="2",BI229,0)</f>
        <v>0</v>
      </c>
      <c r="AH229" s="46">
        <f>IF(AQ229="0",BJ229,0)</f>
        <v>0</v>
      </c>
      <c r="AI229" s="36"/>
      <c r="AJ229" s="26">
        <f>IF(AN229=0,K229,0)</f>
        <v>0</v>
      </c>
      <c r="AK229" s="26">
        <f>IF(AN229=15,K229,0)</f>
        <v>0</v>
      </c>
      <c r="AL229" s="26">
        <f>IF(AN229=21,K229,0)</f>
        <v>0</v>
      </c>
      <c r="AN229" s="46">
        <v>21</v>
      </c>
      <c r="AO229" s="46">
        <f>H229*0</f>
        <v>0</v>
      </c>
      <c r="AP229" s="46">
        <f>H229*(1-0)</f>
        <v>0</v>
      </c>
      <c r="AQ229" s="47" t="s">
        <v>7</v>
      </c>
      <c r="AV229" s="46">
        <f>AW229+AX229</f>
        <v>0</v>
      </c>
      <c r="AW229" s="46">
        <f>G229*AO229</f>
        <v>0</v>
      </c>
      <c r="AX229" s="46">
        <f>G229*AP229</f>
        <v>0</v>
      </c>
      <c r="AY229" s="49" t="s">
        <v>503</v>
      </c>
      <c r="AZ229" s="49" t="s">
        <v>512</v>
      </c>
      <c r="BA229" s="36" t="s">
        <v>513</v>
      </c>
      <c r="BC229" s="46">
        <f>AW229+AX229</f>
        <v>0</v>
      </c>
      <c r="BD229" s="46">
        <f>H229/(100-BE229)*100</f>
        <v>0</v>
      </c>
      <c r="BE229" s="46">
        <v>0</v>
      </c>
      <c r="BF229" s="46">
        <f>M229</f>
        <v>0</v>
      </c>
      <c r="BH229" s="26">
        <f>G229*AO229</f>
        <v>0</v>
      </c>
      <c r="BI229" s="26">
        <f>G229*AP229</f>
        <v>0</v>
      </c>
      <c r="BJ229" s="26">
        <f>G229*H229</f>
        <v>0</v>
      </c>
      <c r="BK229" s="26" t="s">
        <v>518</v>
      </c>
      <c r="BL229" s="46">
        <v>96</v>
      </c>
    </row>
    <row r="230" spans="1:15" ht="12.75">
      <c r="A230" s="5"/>
      <c r="D230" s="18" t="s">
        <v>413</v>
      </c>
      <c r="E230" s="20"/>
      <c r="G230" s="27">
        <v>20</v>
      </c>
      <c r="N230" s="41"/>
      <c r="O230" s="5"/>
    </row>
    <row r="231" spans="1:47" ht="12.75">
      <c r="A231" s="6"/>
      <c r="B231" s="15"/>
      <c r="C231" s="15" t="s">
        <v>103</v>
      </c>
      <c r="D231" s="106" t="s">
        <v>414</v>
      </c>
      <c r="E231" s="107"/>
      <c r="F231" s="24" t="s">
        <v>6</v>
      </c>
      <c r="G231" s="24" t="s">
        <v>6</v>
      </c>
      <c r="H231" s="24" t="s">
        <v>6</v>
      </c>
      <c r="I231" s="52">
        <f>SUM(I232:I236)</f>
        <v>0</v>
      </c>
      <c r="J231" s="52">
        <f>SUM(J232:J236)</f>
        <v>0</v>
      </c>
      <c r="K231" s="52">
        <f>SUM(K232:K236)</f>
        <v>0</v>
      </c>
      <c r="L231" s="36"/>
      <c r="M231" s="52">
        <f>SUM(M232:M236)</f>
        <v>1.7787895</v>
      </c>
      <c r="N231" s="42"/>
      <c r="O231" s="5"/>
      <c r="AI231" s="36"/>
      <c r="AS231" s="52">
        <f>SUM(AJ232:AJ236)</f>
        <v>0</v>
      </c>
      <c r="AT231" s="52">
        <f>SUM(AK232:AK236)</f>
        <v>0</v>
      </c>
      <c r="AU231" s="52">
        <f>SUM(AL232:AL236)</f>
        <v>0</v>
      </c>
    </row>
    <row r="232" spans="1:64" ht="12.75">
      <c r="A232" s="4" t="s">
        <v>106</v>
      </c>
      <c r="B232" s="14"/>
      <c r="C232" s="14" t="s">
        <v>230</v>
      </c>
      <c r="D232" s="101" t="s">
        <v>415</v>
      </c>
      <c r="E232" s="102"/>
      <c r="F232" s="14" t="s">
        <v>454</v>
      </c>
      <c r="G232" s="26">
        <v>2</v>
      </c>
      <c r="H232" s="193"/>
      <c r="I232" s="26">
        <f>G232*AO232</f>
        <v>0</v>
      </c>
      <c r="J232" s="26">
        <f>G232*AP232</f>
        <v>0</v>
      </c>
      <c r="K232" s="26">
        <f>G232*H232</f>
        <v>0</v>
      </c>
      <c r="L232" s="26">
        <v>0.03149</v>
      </c>
      <c r="M232" s="26">
        <f>G232*L232</f>
        <v>0.06298</v>
      </c>
      <c r="N232" s="95" t="s">
        <v>580</v>
      </c>
      <c r="O232" s="5"/>
      <c r="Z232" s="46">
        <f>IF(AQ232="5",BJ232,0)</f>
        <v>0</v>
      </c>
      <c r="AB232" s="46">
        <f>IF(AQ232="1",BH232,0)</f>
        <v>0</v>
      </c>
      <c r="AC232" s="46">
        <f>IF(AQ232="1",BI232,0)</f>
        <v>0</v>
      </c>
      <c r="AD232" s="46">
        <f>IF(AQ232="7",BH232,0)</f>
        <v>0</v>
      </c>
      <c r="AE232" s="46">
        <f>IF(AQ232="7",BI232,0)</f>
        <v>0</v>
      </c>
      <c r="AF232" s="46">
        <f>IF(AQ232="2",BH232,0)</f>
        <v>0</v>
      </c>
      <c r="AG232" s="46">
        <f>IF(AQ232="2",BI232,0)</f>
        <v>0</v>
      </c>
      <c r="AH232" s="46">
        <f>IF(AQ232="0",BJ232,0)</f>
        <v>0</v>
      </c>
      <c r="AI232" s="36"/>
      <c r="AJ232" s="26">
        <f>IF(AN232=0,K232,0)</f>
        <v>0</v>
      </c>
      <c r="AK232" s="26">
        <f>IF(AN232=15,K232,0)</f>
        <v>0</v>
      </c>
      <c r="AL232" s="26">
        <f>IF(AN232=21,K232,0)</f>
        <v>0</v>
      </c>
      <c r="AN232" s="46">
        <v>21</v>
      </c>
      <c r="AO232" s="46">
        <f>H232*0.0449569707401033</f>
        <v>0</v>
      </c>
      <c r="AP232" s="46">
        <f>H232*(1-0.0449569707401033)</f>
        <v>0</v>
      </c>
      <c r="AQ232" s="47" t="s">
        <v>7</v>
      </c>
      <c r="AV232" s="46">
        <f>AW232+AX232</f>
        <v>0</v>
      </c>
      <c r="AW232" s="46">
        <f>G232*AO232</f>
        <v>0</v>
      </c>
      <c r="AX232" s="46">
        <f>G232*AP232</f>
        <v>0</v>
      </c>
      <c r="AY232" s="49" t="s">
        <v>504</v>
      </c>
      <c r="AZ232" s="49" t="s">
        <v>512</v>
      </c>
      <c r="BA232" s="36" t="s">
        <v>513</v>
      </c>
      <c r="BC232" s="46">
        <f>AW232+AX232</f>
        <v>0</v>
      </c>
      <c r="BD232" s="46">
        <f>H232/(100-BE232)*100</f>
        <v>0</v>
      </c>
      <c r="BE232" s="46">
        <v>0</v>
      </c>
      <c r="BF232" s="46">
        <f>M232</f>
        <v>0.06298</v>
      </c>
      <c r="BH232" s="26">
        <f>G232*AO232</f>
        <v>0</v>
      </c>
      <c r="BI232" s="26">
        <f>G232*AP232</f>
        <v>0</v>
      </c>
      <c r="BJ232" s="26">
        <f>G232*H232</f>
        <v>0</v>
      </c>
      <c r="BK232" s="26" t="s">
        <v>518</v>
      </c>
      <c r="BL232" s="46">
        <v>97</v>
      </c>
    </row>
    <row r="233" spans="1:15" ht="12.75">
      <c r="A233" s="5"/>
      <c r="D233" s="18" t="s">
        <v>8</v>
      </c>
      <c r="E233" s="20"/>
      <c r="G233" s="27">
        <v>2</v>
      </c>
      <c r="N233" s="41"/>
      <c r="O233" s="5"/>
    </row>
    <row r="234" spans="1:64" ht="12.75">
      <c r="A234" s="4" t="s">
        <v>107</v>
      </c>
      <c r="B234" s="14"/>
      <c r="C234" s="14" t="s">
        <v>231</v>
      </c>
      <c r="D234" s="101" t="s">
        <v>416</v>
      </c>
      <c r="E234" s="102"/>
      <c r="F234" s="14" t="s">
        <v>453</v>
      </c>
      <c r="G234" s="26">
        <v>81.9</v>
      </c>
      <c r="H234" s="193"/>
      <c r="I234" s="26">
        <f>G234*AO234</f>
        <v>0</v>
      </c>
      <c r="J234" s="26">
        <f>G234*AP234</f>
        <v>0</v>
      </c>
      <c r="K234" s="26">
        <f>G234*H234</f>
        <v>0</v>
      </c>
      <c r="L234" s="26">
        <v>0.016</v>
      </c>
      <c r="M234" s="26">
        <f>G234*L234</f>
        <v>1.3104</v>
      </c>
      <c r="N234" s="95" t="s">
        <v>580</v>
      </c>
      <c r="O234" s="5"/>
      <c r="Z234" s="46">
        <f>IF(AQ234="5",BJ234,0)</f>
        <v>0</v>
      </c>
      <c r="AB234" s="46">
        <f>IF(AQ234="1",BH234,0)</f>
        <v>0</v>
      </c>
      <c r="AC234" s="46">
        <f>IF(AQ234="1",BI234,0)</f>
        <v>0</v>
      </c>
      <c r="AD234" s="46">
        <f>IF(AQ234="7",BH234,0)</f>
        <v>0</v>
      </c>
      <c r="AE234" s="46">
        <f>IF(AQ234="7",BI234,0)</f>
        <v>0</v>
      </c>
      <c r="AF234" s="46">
        <f>IF(AQ234="2",BH234,0)</f>
        <v>0</v>
      </c>
      <c r="AG234" s="46">
        <f>IF(AQ234="2",BI234,0)</f>
        <v>0</v>
      </c>
      <c r="AH234" s="46">
        <f>IF(AQ234="0",BJ234,0)</f>
        <v>0</v>
      </c>
      <c r="AI234" s="36"/>
      <c r="AJ234" s="26">
        <f>IF(AN234=0,K234,0)</f>
        <v>0</v>
      </c>
      <c r="AK234" s="26">
        <f>IF(AN234=15,K234,0)</f>
        <v>0</v>
      </c>
      <c r="AL234" s="26">
        <f>IF(AN234=21,K234,0)</f>
        <v>0</v>
      </c>
      <c r="AN234" s="46">
        <v>21</v>
      </c>
      <c r="AO234" s="46">
        <f>H234*0</f>
        <v>0</v>
      </c>
      <c r="AP234" s="46">
        <f>H234*(1-0)</f>
        <v>0</v>
      </c>
      <c r="AQ234" s="47" t="s">
        <v>7</v>
      </c>
      <c r="AV234" s="46">
        <f>AW234+AX234</f>
        <v>0</v>
      </c>
      <c r="AW234" s="46">
        <f>G234*AO234</f>
        <v>0</v>
      </c>
      <c r="AX234" s="46">
        <f>G234*AP234</f>
        <v>0</v>
      </c>
      <c r="AY234" s="49" t="s">
        <v>504</v>
      </c>
      <c r="AZ234" s="49" t="s">
        <v>512</v>
      </c>
      <c r="BA234" s="36" t="s">
        <v>513</v>
      </c>
      <c r="BC234" s="46">
        <f>AW234+AX234</f>
        <v>0</v>
      </c>
      <c r="BD234" s="46">
        <f>H234/(100-BE234)*100</f>
        <v>0</v>
      </c>
      <c r="BE234" s="46">
        <v>0</v>
      </c>
      <c r="BF234" s="46">
        <f>M234</f>
        <v>1.3104</v>
      </c>
      <c r="BH234" s="26">
        <f>G234*AO234</f>
        <v>0</v>
      </c>
      <c r="BI234" s="26">
        <f>G234*AP234</f>
        <v>0</v>
      </c>
      <c r="BJ234" s="26">
        <f>G234*H234</f>
        <v>0</v>
      </c>
      <c r="BK234" s="26" t="s">
        <v>518</v>
      </c>
      <c r="BL234" s="46">
        <v>97</v>
      </c>
    </row>
    <row r="235" spans="1:15" ht="12.75">
      <c r="A235" s="5"/>
      <c r="D235" s="18" t="s">
        <v>417</v>
      </c>
      <c r="E235" s="20"/>
      <c r="G235" s="27">
        <v>81.9</v>
      </c>
      <c r="N235" s="41"/>
      <c r="O235" s="5"/>
    </row>
    <row r="236" spans="1:64" ht="12.75">
      <c r="A236" s="4" t="s">
        <v>108</v>
      </c>
      <c r="B236" s="14"/>
      <c r="C236" s="14" t="s">
        <v>232</v>
      </c>
      <c r="D236" s="101" t="s">
        <v>418</v>
      </c>
      <c r="E236" s="102"/>
      <c r="F236" s="14" t="s">
        <v>459</v>
      </c>
      <c r="G236" s="26">
        <v>0.225</v>
      </c>
      <c r="H236" s="193"/>
      <c r="I236" s="26">
        <f>G236*AO236</f>
        <v>0</v>
      </c>
      <c r="J236" s="26">
        <f>G236*AP236</f>
        <v>0</v>
      </c>
      <c r="K236" s="26">
        <f>G236*H236</f>
        <v>0</v>
      </c>
      <c r="L236" s="26">
        <v>1.80182</v>
      </c>
      <c r="M236" s="26">
        <f>G236*L236</f>
        <v>0.4054095</v>
      </c>
      <c r="N236" s="95" t="s">
        <v>580</v>
      </c>
      <c r="O236" s="5"/>
      <c r="Z236" s="46">
        <f>IF(AQ236="5",BJ236,0)</f>
        <v>0</v>
      </c>
      <c r="AB236" s="46">
        <f>IF(AQ236="1",BH236,0)</f>
        <v>0</v>
      </c>
      <c r="AC236" s="46">
        <f>IF(AQ236="1",BI236,0)</f>
        <v>0</v>
      </c>
      <c r="AD236" s="46">
        <f>IF(AQ236="7",BH236,0)</f>
        <v>0</v>
      </c>
      <c r="AE236" s="46">
        <f>IF(AQ236="7",BI236,0)</f>
        <v>0</v>
      </c>
      <c r="AF236" s="46">
        <f>IF(AQ236="2",BH236,0)</f>
        <v>0</v>
      </c>
      <c r="AG236" s="46">
        <f>IF(AQ236="2",BI236,0)</f>
        <v>0</v>
      </c>
      <c r="AH236" s="46">
        <f>IF(AQ236="0",BJ236,0)</f>
        <v>0</v>
      </c>
      <c r="AI236" s="36"/>
      <c r="AJ236" s="26">
        <f>IF(AN236=0,K236,0)</f>
        <v>0</v>
      </c>
      <c r="AK236" s="26">
        <f>IF(AN236=15,K236,0)</f>
        <v>0</v>
      </c>
      <c r="AL236" s="26">
        <f>IF(AN236=21,K236,0)</f>
        <v>0</v>
      </c>
      <c r="AN236" s="46">
        <v>21</v>
      </c>
      <c r="AO236" s="46">
        <f>H236*0.0242997792297572</f>
        <v>0</v>
      </c>
      <c r="AP236" s="46">
        <f>H236*(1-0.0242997792297572)</f>
        <v>0</v>
      </c>
      <c r="AQ236" s="47" t="s">
        <v>7</v>
      </c>
      <c r="AV236" s="46">
        <f>AW236+AX236</f>
        <v>0</v>
      </c>
      <c r="AW236" s="46">
        <f>G236*AO236</f>
        <v>0</v>
      </c>
      <c r="AX236" s="46">
        <f>G236*AP236</f>
        <v>0</v>
      </c>
      <c r="AY236" s="49" t="s">
        <v>504</v>
      </c>
      <c r="AZ236" s="49" t="s">
        <v>512</v>
      </c>
      <c r="BA236" s="36" t="s">
        <v>513</v>
      </c>
      <c r="BC236" s="46">
        <f>AW236+AX236</f>
        <v>0</v>
      </c>
      <c r="BD236" s="46">
        <f>H236/(100-BE236)*100</f>
        <v>0</v>
      </c>
      <c r="BE236" s="46">
        <v>0</v>
      </c>
      <c r="BF236" s="46">
        <f>M236</f>
        <v>0.4054095</v>
      </c>
      <c r="BH236" s="26">
        <f>G236*AO236</f>
        <v>0</v>
      </c>
      <c r="BI236" s="26">
        <f>G236*AP236</f>
        <v>0</v>
      </c>
      <c r="BJ236" s="26">
        <f>G236*H236</f>
        <v>0</v>
      </c>
      <c r="BK236" s="26" t="s">
        <v>518</v>
      </c>
      <c r="BL236" s="46">
        <v>97</v>
      </c>
    </row>
    <row r="237" spans="1:15" ht="12.75">
      <c r="A237" s="5"/>
      <c r="D237" s="18" t="s">
        <v>419</v>
      </c>
      <c r="E237" s="20"/>
      <c r="G237" s="27">
        <v>0.225</v>
      </c>
      <c r="N237" s="41"/>
      <c r="O237" s="5"/>
    </row>
    <row r="238" spans="1:47" ht="12.75">
      <c r="A238" s="6"/>
      <c r="B238" s="15"/>
      <c r="C238" s="15" t="s">
        <v>233</v>
      </c>
      <c r="D238" s="106" t="s">
        <v>420</v>
      </c>
      <c r="E238" s="107"/>
      <c r="F238" s="24" t="s">
        <v>6</v>
      </c>
      <c r="G238" s="24" t="s">
        <v>6</v>
      </c>
      <c r="H238" s="24" t="s">
        <v>6</v>
      </c>
      <c r="I238" s="52">
        <f>SUM(I239:I239)</f>
        <v>0</v>
      </c>
      <c r="J238" s="52">
        <f>SUM(J239:J239)</f>
        <v>0</v>
      </c>
      <c r="K238" s="52">
        <f>SUM(K239:K239)</f>
        <v>0</v>
      </c>
      <c r="L238" s="36"/>
      <c r="M238" s="52">
        <f>SUM(M239:M239)</f>
        <v>0</v>
      </c>
      <c r="N238" s="42"/>
      <c r="O238" s="5"/>
      <c r="AI238" s="36"/>
      <c r="AS238" s="52">
        <f>SUM(AJ239:AJ239)</f>
        <v>0</v>
      </c>
      <c r="AT238" s="52">
        <f>SUM(AK239:AK239)</f>
        <v>0</v>
      </c>
      <c r="AU238" s="52">
        <f>SUM(AL239:AL239)</f>
        <v>0</v>
      </c>
    </row>
    <row r="239" spans="1:64" ht="12.75">
      <c r="A239" s="4" t="s">
        <v>109</v>
      </c>
      <c r="B239" s="14"/>
      <c r="C239" s="14" t="s">
        <v>234</v>
      </c>
      <c r="D239" s="101" t="s">
        <v>421</v>
      </c>
      <c r="E239" s="102"/>
      <c r="F239" s="14" t="s">
        <v>457</v>
      </c>
      <c r="G239" s="26">
        <v>12.885</v>
      </c>
      <c r="H239" s="193"/>
      <c r="I239" s="26">
        <f>G239*AO239</f>
        <v>0</v>
      </c>
      <c r="J239" s="26">
        <f>G239*AP239</f>
        <v>0</v>
      </c>
      <c r="K239" s="26">
        <f>G239*H239</f>
        <v>0</v>
      </c>
      <c r="L239" s="26">
        <v>0</v>
      </c>
      <c r="M239" s="26">
        <f>G239*L239</f>
        <v>0</v>
      </c>
      <c r="N239" s="95" t="s">
        <v>580</v>
      </c>
      <c r="O239" s="5"/>
      <c r="Z239" s="46">
        <f>IF(AQ239="5",BJ239,0)</f>
        <v>0</v>
      </c>
      <c r="AB239" s="46">
        <f>IF(AQ239="1",BH239,0)</f>
        <v>0</v>
      </c>
      <c r="AC239" s="46">
        <f>IF(AQ239="1",BI239,0)</f>
        <v>0</v>
      </c>
      <c r="AD239" s="46">
        <f>IF(AQ239="7",BH239,0)</f>
        <v>0</v>
      </c>
      <c r="AE239" s="46">
        <f>IF(AQ239="7",BI239,0)</f>
        <v>0</v>
      </c>
      <c r="AF239" s="46">
        <f>IF(AQ239="2",BH239,0)</f>
        <v>0</v>
      </c>
      <c r="AG239" s="46">
        <f>IF(AQ239="2",BI239,0)</f>
        <v>0</v>
      </c>
      <c r="AH239" s="46">
        <f>IF(AQ239="0",BJ239,0)</f>
        <v>0</v>
      </c>
      <c r="AI239" s="36"/>
      <c r="AJ239" s="26">
        <f>IF(AN239=0,K239,0)</f>
        <v>0</v>
      </c>
      <c r="AK239" s="26">
        <f>IF(AN239=15,K239,0)</f>
        <v>0</v>
      </c>
      <c r="AL239" s="26">
        <f>IF(AN239=21,K239,0)</f>
        <v>0</v>
      </c>
      <c r="AN239" s="46">
        <v>21</v>
      </c>
      <c r="AO239" s="46">
        <f>H239*0</f>
        <v>0</v>
      </c>
      <c r="AP239" s="46">
        <f>H239*(1-0)</f>
        <v>0</v>
      </c>
      <c r="AQ239" s="47" t="s">
        <v>11</v>
      </c>
      <c r="AV239" s="46">
        <f>AW239+AX239</f>
        <v>0</v>
      </c>
      <c r="AW239" s="46">
        <f>G239*AO239</f>
        <v>0</v>
      </c>
      <c r="AX239" s="46">
        <f>G239*AP239</f>
        <v>0</v>
      </c>
      <c r="AY239" s="49" t="s">
        <v>505</v>
      </c>
      <c r="AZ239" s="49" t="s">
        <v>512</v>
      </c>
      <c r="BA239" s="36" t="s">
        <v>513</v>
      </c>
      <c r="BC239" s="46">
        <f>AW239+AX239</f>
        <v>0</v>
      </c>
      <c r="BD239" s="46">
        <f>H239/(100-BE239)*100</f>
        <v>0</v>
      </c>
      <c r="BE239" s="46">
        <v>0</v>
      </c>
      <c r="BF239" s="46">
        <f>M239</f>
        <v>0</v>
      </c>
      <c r="BH239" s="26">
        <f>G239*AO239</f>
        <v>0</v>
      </c>
      <c r="BI239" s="26">
        <f>G239*AP239</f>
        <v>0</v>
      </c>
      <c r="BJ239" s="26">
        <f>G239*H239</f>
        <v>0</v>
      </c>
      <c r="BK239" s="26" t="s">
        <v>518</v>
      </c>
      <c r="BL239" s="46" t="s">
        <v>233</v>
      </c>
    </row>
    <row r="240" spans="1:47" ht="12.75">
      <c r="A240" s="6"/>
      <c r="B240" s="15"/>
      <c r="C240" s="15" t="s">
        <v>235</v>
      </c>
      <c r="D240" s="106" t="s">
        <v>422</v>
      </c>
      <c r="E240" s="107"/>
      <c r="F240" s="24" t="s">
        <v>6</v>
      </c>
      <c r="G240" s="24" t="s">
        <v>6</v>
      </c>
      <c r="H240" s="24" t="s">
        <v>6</v>
      </c>
      <c r="I240" s="52">
        <f>SUM(I241:I252)</f>
        <v>0</v>
      </c>
      <c r="J240" s="52">
        <f>SUM(J241:J252)</f>
        <v>0</v>
      </c>
      <c r="K240" s="52">
        <f>SUM(K241:K252)</f>
        <v>0</v>
      </c>
      <c r="L240" s="36"/>
      <c r="M240" s="52">
        <f>SUM(M241:M252)</f>
        <v>0</v>
      </c>
      <c r="N240" s="42"/>
      <c r="O240" s="5"/>
      <c r="AI240" s="36"/>
      <c r="AS240" s="52">
        <f>SUM(AJ241:AJ252)</f>
        <v>0</v>
      </c>
      <c r="AT240" s="52">
        <f>SUM(AK241:AK252)</f>
        <v>0</v>
      </c>
      <c r="AU240" s="52">
        <f>SUM(AL241:AL252)</f>
        <v>0</v>
      </c>
    </row>
    <row r="241" spans="1:64" ht="12.75">
      <c r="A241" s="4" t="s">
        <v>110</v>
      </c>
      <c r="B241" s="14"/>
      <c r="C241" s="14" t="s">
        <v>236</v>
      </c>
      <c r="D241" s="101" t="s">
        <v>423</v>
      </c>
      <c r="E241" s="102"/>
      <c r="F241" s="14" t="s">
        <v>457</v>
      </c>
      <c r="G241" s="26">
        <v>7.6826</v>
      </c>
      <c r="H241" s="193"/>
      <c r="I241" s="26">
        <f>G241*AO241</f>
        <v>0</v>
      </c>
      <c r="J241" s="26">
        <f>G241*AP241</f>
        <v>0</v>
      </c>
      <c r="K241" s="26">
        <f>G241*H241</f>
        <v>0</v>
      </c>
      <c r="L241" s="26">
        <v>0</v>
      </c>
      <c r="M241" s="26">
        <f>G241*L241</f>
        <v>0</v>
      </c>
      <c r="N241" s="95" t="s">
        <v>580</v>
      </c>
      <c r="O241" s="5"/>
      <c r="Z241" s="46">
        <f>IF(AQ241="5",BJ241,0)</f>
        <v>0</v>
      </c>
      <c r="AB241" s="46">
        <f>IF(AQ241="1",BH241,0)</f>
        <v>0</v>
      </c>
      <c r="AC241" s="46">
        <f>IF(AQ241="1",BI241,0)</f>
        <v>0</v>
      </c>
      <c r="AD241" s="46">
        <f>IF(AQ241="7",BH241,0)</f>
        <v>0</v>
      </c>
      <c r="AE241" s="46">
        <f>IF(AQ241="7",BI241,0)</f>
        <v>0</v>
      </c>
      <c r="AF241" s="46">
        <f>IF(AQ241="2",BH241,0)</f>
        <v>0</v>
      </c>
      <c r="AG241" s="46">
        <f>IF(AQ241="2",BI241,0)</f>
        <v>0</v>
      </c>
      <c r="AH241" s="46">
        <f>IF(AQ241="0",BJ241,0)</f>
        <v>0</v>
      </c>
      <c r="AI241" s="36"/>
      <c r="AJ241" s="26">
        <f>IF(AN241=0,K241,0)</f>
        <v>0</v>
      </c>
      <c r="AK241" s="26">
        <f>IF(AN241=15,K241,0)</f>
        <v>0</v>
      </c>
      <c r="AL241" s="26">
        <f>IF(AN241=21,K241,0)</f>
        <v>0</v>
      </c>
      <c r="AN241" s="46">
        <v>21</v>
      </c>
      <c r="AO241" s="46">
        <f>H241*0.0112758949298523</f>
        <v>0</v>
      </c>
      <c r="AP241" s="46">
        <f>H241*(1-0.0112758949298523)</f>
        <v>0</v>
      </c>
      <c r="AQ241" s="47" t="s">
        <v>11</v>
      </c>
      <c r="AV241" s="46">
        <f>AW241+AX241</f>
        <v>0</v>
      </c>
      <c r="AW241" s="46">
        <f>G241*AO241</f>
        <v>0</v>
      </c>
      <c r="AX241" s="46">
        <f>G241*AP241</f>
        <v>0</v>
      </c>
      <c r="AY241" s="49" t="s">
        <v>506</v>
      </c>
      <c r="AZ241" s="49" t="s">
        <v>512</v>
      </c>
      <c r="BA241" s="36" t="s">
        <v>513</v>
      </c>
      <c r="BC241" s="46">
        <f>AW241+AX241</f>
        <v>0</v>
      </c>
      <c r="BD241" s="46">
        <f>H241/(100-BE241)*100</f>
        <v>0</v>
      </c>
      <c r="BE241" s="46">
        <v>0</v>
      </c>
      <c r="BF241" s="46">
        <f>M241</f>
        <v>0</v>
      </c>
      <c r="BH241" s="26">
        <f>G241*AO241</f>
        <v>0</v>
      </c>
      <c r="BI241" s="26">
        <f>G241*AP241</f>
        <v>0</v>
      </c>
      <c r="BJ241" s="26">
        <f>G241*H241</f>
        <v>0</v>
      </c>
      <c r="BK241" s="26" t="s">
        <v>518</v>
      </c>
      <c r="BL241" s="46" t="s">
        <v>235</v>
      </c>
    </row>
    <row r="242" spans="1:64" ht="12.75">
      <c r="A242" s="4" t="s">
        <v>111</v>
      </c>
      <c r="B242" s="14"/>
      <c r="C242" s="14" t="s">
        <v>237</v>
      </c>
      <c r="D242" s="101" t="s">
        <v>424</v>
      </c>
      <c r="E242" s="102"/>
      <c r="F242" s="14" t="s">
        <v>457</v>
      </c>
      <c r="G242" s="26">
        <v>1.7788</v>
      </c>
      <c r="H242" s="193"/>
      <c r="I242" s="26">
        <f>G242*AO242</f>
        <v>0</v>
      </c>
      <c r="J242" s="26">
        <f>G242*AP242</f>
        <v>0</v>
      </c>
      <c r="K242" s="26">
        <f>G242*H242</f>
        <v>0</v>
      </c>
      <c r="L242" s="26">
        <v>0</v>
      </c>
      <c r="M242" s="26">
        <f>G242*L242</f>
        <v>0</v>
      </c>
      <c r="N242" s="95" t="s">
        <v>580</v>
      </c>
      <c r="O242" s="5"/>
      <c r="Z242" s="46">
        <f>IF(AQ242="5",BJ242,0)</f>
        <v>0</v>
      </c>
      <c r="AB242" s="46">
        <f>IF(AQ242="1",BH242,0)</f>
        <v>0</v>
      </c>
      <c r="AC242" s="46">
        <f>IF(AQ242="1",BI242,0)</f>
        <v>0</v>
      </c>
      <c r="AD242" s="46">
        <f>IF(AQ242="7",BH242,0)</f>
        <v>0</v>
      </c>
      <c r="AE242" s="46">
        <f>IF(AQ242="7",BI242,0)</f>
        <v>0</v>
      </c>
      <c r="AF242" s="46">
        <f>IF(AQ242="2",BH242,0)</f>
        <v>0</v>
      </c>
      <c r="AG242" s="46">
        <f>IF(AQ242="2",BI242,0)</f>
        <v>0</v>
      </c>
      <c r="AH242" s="46">
        <f>IF(AQ242="0",BJ242,0)</f>
        <v>0</v>
      </c>
      <c r="AI242" s="36"/>
      <c r="AJ242" s="26">
        <f>IF(AN242=0,K242,0)</f>
        <v>0</v>
      </c>
      <c r="AK242" s="26">
        <f>IF(AN242=15,K242,0)</f>
        <v>0</v>
      </c>
      <c r="AL242" s="26">
        <f>IF(AN242=21,K242,0)</f>
        <v>0</v>
      </c>
      <c r="AN242" s="46">
        <v>21</v>
      </c>
      <c r="AO242" s="46">
        <f>H242*0</f>
        <v>0</v>
      </c>
      <c r="AP242" s="46">
        <f>H242*(1-0)</f>
        <v>0</v>
      </c>
      <c r="AQ242" s="47" t="s">
        <v>11</v>
      </c>
      <c r="AV242" s="46">
        <f>AW242+AX242</f>
        <v>0</v>
      </c>
      <c r="AW242" s="46">
        <f>G242*AO242</f>
        <v>0</v>
      </c>
      <c r="AX242" s="46">
        <f>G242*AP242</f>
        <v>0</v>
      </c>
      <c r="AY242" s="49" t="s">
        <v>506</v>
      </c>
      <c r="AZ242" s="49" t="s">
        <v>512</v>
      </c>
      <c r="BA242" s="36" t="s">
        <v>513</v>
      </c>
      <c r="BC242" s="46">
        <f>AW242+AX242</f>
        <v>0</v>
      </c>
      <c r="BD242" s="46">
        <f>H242/(100-BE242)*100</f>
        <v>0</v>
      </c>
      <c r="BE242" s="46">
        <v>0</v>
      </c>
      <c r="BF242" s="46">
        <f>M242</f>
        <v>0</v>
      </c>
      <c r="BH242" s="26">
        <f>G242*AO242</f>
        <v>0</v>
      </c>
      <c r="BI242" s="26">
        <f>G242*AP242</f>
        <v>0</v>
      </c>
      <c r="BJ242" s="26">
        <f>G242*H242</f>
        <v>0</v>
      </c>
      <c r="BK242" s="26" t="s">
        <v>518</v>
      </c>
      <c r="BL242" s="46" t="s">
        <v>235</v>
      </c>
    </row>
    <row r="243" spans="1:64" ht="12.75">
      <c r="A243" s="4" t="s">
        <v>112</v>
      </c>
      <c r="B243" s="14"/>
      <c r="C243" s="14" t="s">
        <v>238</v>
      </c>
      <c r="D243" s="101" t="s">
        <v>425</v>
      </c>
      <c r="E243" s="102"/>
      <c r="F243" s="14" t="s">
        <v>457</v>
      </c>
      <c r="G243" s="26">
        <v>1.7788</v>
      </c>
      <c r="H243" s="193"/>
      <c r="I243" s="26">
        <f>G243*AO243</f>
        <v>0</v>
      </c>
      <c r="J243" s="26">
        <f>G243*AP243</f>
        <v>0</v>
      </c>
      <c r="K243" s="26">
        <f>G243*H243</f>
        <v>0</v>
      </c>
      <c r="L243" s="26">
        <v>0</v>
      </c>
      <c r="M243" s="26">
        <f>G243*L243</f>
        <v>0</v>
      </c>
      <c r="N243" s="95" t="s">
        <v>580</v>
      </c>
      <c r="O243" s="5"/>
      <c r="Z243" s="46">
        <f>IF(AQ243="5",BJ243,0)</f>
        <v>0</v>
      </c>
      <c r="AB243" s="46">
        <f>IF(AQ243="1",BH243,0)</f>
        <v>0</v>
      </c>
      <c r="AC243" s="46">
        <f>IF(AQ243="1",BI243,0)</f>
        <v>0</v>
      </c>
      <c r="AD243" s="46">
        <f>IF(AQ243="7",BH243,0)</f>
        <v>0</v>
      </c>
      <c r="AE243" s="46">
        <f>IF(AQ243="7",BI243,0)</f>
        <v>0</v>
      </c>
      <c r="AF243" s="46">
        <f>IF(AQ243="2",BH243,0)</f>
        <v>0</v>
      </c>
      <c r="AG243" s="46">
        <f>IF(AQ243="2",BI243,0)</f>
        <v>0</v>
      </c>
      <c r="AH243" s="46">
        <f>IF(AQ243="0",BJ243,0)</f>
        <v>0</v>
      </c>
      <c r="AI243" s="36"/>
      <c r="AJ243" s="26">
        <f>IF(AN243=0,K243,0)</f>
        <v>0</v>
      </c>
      <c r="AK243" s="26">
        <f>IF(AN243=15,K243,0)</f>
        <v>0</v>
      </c>
      <c r="AL243" s="26">
        <f>IF(AN243=21,K243,0)</f>
        <v>0</v>
      </c>
      <c r="AN243" s="46">
        <v>21</v>
      </c>
      <c r="AO243" s="46">
        <f>H243*0</f>
        <v>0</v>
      </c>
      <c r="AP243" s="46">
        <f>H243*(1-0)</f>
        <v>0</v>
      </c>
      <c r="AQ243" s="47" t="s">
        <v>11</v>
      </c>
      <c r="AV243" s="46">
        <f>AW243+AX243</f>
        <v>0</v>
      </c>
      <c r="AW243" s="46">
        <f>G243*AO243</f>
        <v>0</v>
      </c>
      <c r="AX243" s="46">
        <f>G243*AP243</f>
        <v>0</v>
      </c>
      <c r="AY243" s="49" t="s">
        <v>506</v>
      </c>
      <c r="AZ243" s="49" t="s">
        <v>512</v>
      </c>
      <c r="BA243" s="36" t="s">
        <v>513</v>
      </c>
      <c r="BC243" s="46">
        <f>AW243+AX243</f>
        <v>0</v>
      </c>
      <c r="BD243" s="46">
        <f>H243/(100-BE243)*100</f>
        <v>0</v>
      </c>
      <c r="BE243" s="46">
        <v>0</v>
      </c>
      <c r="BF243" s="46">
        <f>M243</f>
        <v>0</v>
      </c>
      <c r="BH243" s="26">
        <f>G243*AO243</f>
        <v>0</v>
      </c>
      <c r="BI243" s="26">
        <f>G243*AP243</f>
        <v>0</v>
      </c>
      <c r="BJ243" s="26">
        <f>G243*H243</f>
        <v>0</v>
      </c>
      <c r="BK243" s="26" t="s">
        <v>518</v>
      </c>
      <c r="BL243" s="46" t="s">
        <v>235</v>
      </c>
    </row>
    <row r="244" spans="1:64" ht="12.75">
      <c r="A244" s="4" t="s">
        <v>113</v>
      </c>
      <c r="B244" s="14"/>
      <c r="C244" s="14" t="s">
        <v>239</v>
      </c>
      <c r="D244" s="101" t="s">
        <v>426</v>
      </c>
      <c r="E244" s="102"/>
      <c r="F244" s="14" t="s">
        <v>457</v>
      </c>
      <c r="G244" s="26">
        <v>0.765</v>
      </c>
      <c r="H244" s="193"/>
      <c r="I244" s="26">
        <f>G244*AO244</f>
        <v>0</v>
      </c>
      <c r="J244" s="26">
        <f>G244*AP244</f>
        <v>0</v>
      </c>
      <c r="K244" s="26">
        <f>G244*H244</f>
        <v>0</v>
      </c>
      <c r="L244" s="26">
        <v>0</v>
      </c>
      <c r="M244" s="26">
        <f>G244*L244</f>
        <v>0</v>
      </c>
      <c r="N244" s="95" t="s">
        <v>580</v>
      </c>
      <c r="O244" s="5"/>
      <c r="Z244" s="46">
        <f>IF(AQ244="5",BJ244,0)</f>
        <v>0</v>
      </c>
      <c r="AB244" s="46">
        <f>IF(AQ244="1",BH244,0)</f>
        <v>0</v>
      </c>
      <c r="AC244" s="46">
        <f>IF(AQ244="1",BI244,0)</f>
        <v>0</v>
      </c>
      <c r="AD244" s="46">
        <f>IF(AQ244="7",BH244,0)</f>
        <v>0</v>
      </c>
      <c r="AE244" s="46">
        <f>IF(AQ244="7",BI244,0)</f>
        <v>0</v>
      </c>
      <c r="AF244" s="46">
        <f>IF(AQ244="2",BH244,0)</f>
        <v>0</v>
      </c>
      <c r="AG244" s="46">
        <f>IF(AQ244="2",BI244,0)</f>
        <v>0</v>
      </c>
      <c r="AH244" s="46">
        <f>IF(AQ244="0",BJ244,0)</f>
        <v>0</v>
      </c>
      <c r="AI244" s="36"/>
      <c r="AJ244" s="26">
        <f>IF(AN244=0,K244,0)</f>
        <v>0</v>
      </c>
      <c r="AK244" s="26">
        <f>IF(AN244=15,K244,0)</f>
        <v>0</v>
      </c>
      <c r="AL244" s="26">
        <f>IF(AN244=21,K244,0)</f>
        <v>0</v>
      </c>
      <c r="AN244" s="46">
        <v>21</v>
      </c>
      <c r="AO244" s="46">
        <f>H244*0</f>
        <v>0</v>
      </c>
      <c r="AP244" s="46">
        <f>H244*(1-0)</f>
        <v>0</v>
      </c>
      <c r="AQ244" s="47" t="s">
        <v>11</v>
      </c>
      <c r="AV244" s="46">
        <f>AW244+AX244</f>
        <v>0</v>
      </c>
      <c r="AW244" s="46">
        <f>G244*AO244</f>
        <v>0</v>
      </c>
      <c r="AX244" s="46">
        <f>G244*AP244</f>
        <v>0</v>
      </c>
      <c r="AY244" s="49" t="s">
        <v>506</v>
      </c>
      <c r="AZ244" s="49" t="s">
        <v>512</v>
      </c>
      <c r="BA244" s="36" t="s">
        <v>513</v>
      </c>
      <c r="BC244" s="46">
        <f>AW244+AX244</f>
        <v>0</v>
      </c>
      <c r="BD244" s="46">
        <f>H244/(100-BE244)*100</f>
        <v>0</v>
      </c>
      <c r="BE244" s="46">
        <v>0</v>
      </c>
      <c r="BF244" s="46">
        <f>M244</f>
        <v>0</v>
      </c>
      <c r="BH244" s="26">
        <f>G244*AO244</f>
        <v>0</v>
      </c>
      <c r="BI244" s="26">
        <f>G244*AP244</f>
        <v>0</v>
      </c>
      <c r="BJ244" s="26">
        <f>G244*H244</f>
        <v>0</v>
      </c>
      <c r="BK244" s="26" t="s">
        <v>518</v>
      </c>
      <c r="BL244" s="46" t="s">
        <v>235</v>
      </c>
    </row>
    <row r="245" spans="1:64" ht="12.75">
      <c r="A245" s="4" t="s">
        <v>114</v>
      </c>
      <c r="B245" s="14"/>
      <c r="C245" s="14" t="s">
        <v>240</v>
      </c>
      <c r="D245" s="101" t="s">
        <v>427</v>
      </c>
      <c r="E245" s="102"/>
      <c r="F245" s="14" t="s">
        <v>457</v>
      </c>
      <c r="G245" s="26">
        <v>1.2782</v>
      </c>
      <c r="H245" s="193"/>
      <c r="I245" s="26">
        <f>G245*AO245</f>
        <v>0</v>
      </c>
      <c r="J245" s="26">
        <f>G245*AP245</f>
        <v>0</v>
      </c>
      <c r="K245" s="26">
        <f>G245*H245</f>
        <v>0</v>
      </c>
      <c r="L245" s="26">
        <v>0</v>
      </c>
      <c r="M245" s="26">
        <f>G245*L245</f>
        <v>0</v>
      </c>
      <c r="N245" s="95" t="s">
        <v>580</v>
      </c>
      <c r="O245" s="5"/>
      <c r="Z245" s="46">
        <f>IF(AQ245="5",BJ245,0)</f>
        <v>0</v>
      </c>
      <c r="AB245" s="46">
        <f>IF(AQ245="1",BH245,0)</f>
        <v>0</v>
      </c>
      <c r="AC245" s="46">
        <f>IF(AQ245="1",BI245,0)</f>
        <v>0</v>
      </c>
      <c r="AD245" s="46">
        <f>IF(AQ245="7",BH245,0)</f>
        <v>0</v>
      </c>
      <c r="AE245" s="46">
        <f>IF(AQ245="7",BI245,0)</f>
        <v>0</v>
      </c>
      <c r="AF245" s="46">
        <f>IF(AQ245="2",BH245,0)</f>
        <v>0</v>
      </c>
      <c r="AG245" s="46">
        <f>IF(AQ245="2",BI245,0)</f>
        <v>0</v>
      </c>
      <c r="AH245" s="46">
        <f>IF(AQ245="0",BJ245,0)</f>
        <v>0</v>
      </c>
      <c r="AI245" s="36"/>
      <c r="AJ245" s="26">
        <f>IF(AN245=0,K245,0)</f>
        <v>0</v>
      </c>
      <c r="AK245" s="26">
        <f>IF(AN245=15,K245,0)</f>
        <v>0</v>
      </c>
      <c r="AL245" s="26">
        <f>IF(AN245=21,K245,0)</f>
        <v>0</v>
      </c>
      <c r="AN245" s="46">
        <v>21</v>
      </c>
      <c r="AO245" s="46">
        <f>H245*0</f>
        <v>0</v>
      </c>
      <c r="AP245" s="46">
        <f>H245*(1-0)</f>
        <v>0</v>
      </c>
      <c r="AQ245" s="47" t="s">
        <v>11</v>
      </c>
      <c r="AV245" s="46">
        <f>AW245+AX245</f>
        <v>0</v>
      </c>
      <c r="AW245" s="46">
        <f>G245*AO245</f>
        <v>0</v>
      </c>
      <c r="AX245" s="46">
        <f>G245*AP245</f>
        <v>0</v>
      </c>
      <c r="AY245" s="49" t="s">
        <v>506</v>
      </c>
      <c r="AZ245" s="49" t="s">
        <v>512</v>
      </c>
      <c r="BA245" s="36" t="s">
        <v>513</v>
      </c>
      <c r="BC245" s="46">
        <f>AW245+AX245</f>
        <v>0</v>
      </c>
      <c r="BD245" s="46">
        <f>H245/(100-BE245)*100</f>
        <v>0</v>
      </c>
      <c r="BE245" s="46">
        <v>0</v>
      </c>
      <c r="BF245" s="46">
        <f>M245</f>
        <v>0</v>
      </c>
      <c r="BH245" s="26">
        <f>G245*AO245</f>
        <v>0</v>
      </c>
      <c r="BI245" s="26">
        <f>G245*AP245</f>
        <v>0</v>
      </c>
      <c r="BJ245" s="26">
        <f>G245*H245</f>
        <v>0</v>
      </c>
      <c r="BK245" s="26" t="s">
        <v>518</v>
      </c>
      <c r="BL245" s="46" t="s">
        <v>235</v>
      </c>
    </row>
    <row r="246" spans="1:15" ht="12.75">
      <c r="A246" s="5"/>
      <c r="D246" s="18" t="s">
        <v>428</v>
      </c>
      <c r="E246" s="20" t="s">
        <v>446</v>
      </c>
      <c r="G246" s="27">
        <v>0.6482</v>
      </c>
      <c r="N246" s="41"/>
      <c r="O246" s="5"/>
    </row>
    <row r="247" spans="1:15" ht="12.75">
      <c r="A247" s="5"/>
      <c r="D247" s="18" t="s">
        <v>429</v>
      </c>
      <c r="E247" s="20" t="s">
        <v>447</v>
      </c>
      <c r="G247" s="27">
        <v>0.63</v>
      </c>
      <c r="N247" s="41"/>
      <c r="O247" s="5"/>
    </row>
    <row r="248" spans="1:64" ht="12.75">
      <c r="A248" s="4" t="s">
        <v>115</v>
      </c>
      <c r="B248" s="14"/>
      <c r="C248" s="14" t="s">
        <v>241</v>
      </c>
      <c r="D248" s="101" t="s">
        <v>430</v>
      </c>
      <c r="E248" s="102"/>
      <c r="F248" s="14" t="s">
        <v>457</v>
      </c>
      <c r="G248" s="26">
        <v>2.805</v>
      </c>
      <c r="H248" s="193"/>
      <c r="I248" s="26">
        <f>G248*AO248</f>
        <v>0</v>
      </c>
      <c r="J248" s="26">
        <f>G248*AP248</f>
        <v>0</v>
      </c>
      <c r="K248" s="26">
        <f>G248*H248</f>
        <v>0</v>
      </c>
      <c r="L248" s="26">
        <v>0</v>
      </c>
      <c r="M248" s="26">
        <f>G248*L248</f>
        <v>0</v>
      </c>
      <c r="N248" s="95" t="s">
        <v>580</v>
      </c>
      <c r="O248" s="5"/>
      <c r="Z248" s="46">
        <f>IF(AQ248="5",BJ248,0)</f>
        <v>0</v>
      </c>
      <c r="AB248" s="46">
        <f>IF(AQ248="1",BH248,0)</f>
        <v>0</v>
      </c>
      <c r="AC248" s="46">
        <f>IF(AQ248="1",BI248,0)</f>
        <v>0</v>
      </c>
      <c r="AD248" s="46">
        <f>IF(AQ248="7",BH248,0)</f>
        <v>0</v>
      </c>
      <c r="AE248" s="46">
        <f>IF(AQ248="7",BI248,0)</f>
        <v>0</v>
      </c>
      <c r="AF248" s="46">
        <f>IF(AQ248="2",BH248,0)</f>
        <v>0</v>
      </c>
      <c r="AG248" s="46">
        <f>IF(AQ248="2",BI248,0)</f>
        <v>0</v>
      </c>
      <c r="AH248" s="46">
        <f>IF(AQ248="0",BJ248,0)</f>
        <v>0</v>
      </c>
      <c r="AI248" s="36"/>
      <c r="AJ248" s="26">
        <f>IF(AN248=0,K248,0)</f>
        <v>0</v>
      </c>
      <c r="AK248" s="26">
        <f>IF(AN248=15,K248,0)</f>
        <v>0</v>
      </c>
      <c r="AL248" s="26">
        <f>IF(AN248=21,K248,0)</f>
        <v>0</v>
      </c>
      <c r="AN248" s="46">
        <v>21</v>
      </c>
      <c r="AO248" s="46">
        <f>H248*0</f>
        <v>0</v>
      </c>
      <c r="AP248" s="46">
        <f>H248*(1-0)</f>
        <v>0</v>
      </c>
      <c r="AQ248" s="47" t="s">
        <v>11</v>
      </c>
      <c r="AV248" s="46">
        <f>AW248+AX248</f>
        <v>0</v>
      </c>
      <c r="AW248" s="46">
        <f>G248*AO248</f>
        <v>0</v>
      </c>
      <c r="AX248" s="46">
        <f>G248*AP248</f>
        <v>0</v>
      </c>
      <c r="AY248" s="49" t="s">
        <v>506</v>
      </c>
      <c r="AZ248" s="49" t="s">
        <v>512</v>
      </c>
      <c r="BA248" s="36" t="s">
        <v>513</v>
      </c>
      <c r="BC248" s="46">
        <f>AW248+AX248</f>
        <v>0</v>
      </c>
      <c r="BD248" s="46">
        <f>H248/(100-BE248)*100</f>
        <v>0</v>
      </c>
      <c r="BE248" s="46">
        <v>0</v>
      </c>
      <c r="BF248" s="46">
        <f>M248</f>
        <v>0</v>
      </c>
      <c r="BH248" s="26">
        <f>G248*AO248</f>
        <v>0</v>
      </c>
      <c r="BI248" s="26">
        <f>G248*AP248</f>
        <v>0</v>
      </c>
      <c r="BJ248" s="26">
        <f>G248*H248</f>
        <v>0</v>
      </c>
      <c r="BK248" s="26" t="s">
        <v>518</v>
      </c>
      <c r="BL248" s="46" t="s">
        <v>235</v>
      </c>
    </row>
    <row r="249" spans="1:64" ht="12.75">
      <c r="A249" s="4" t="s">
        <v>116</v>
      </c>
      <c r="B249" s="14"/>
      <c r="C249" s="14" t="s">
        <v>242</v>
      </c>
      <c r="D249" s="101" t="s">
        <v>431</v>
      </c>
      <c r="E249" s="102"/>
      <c r="F249" s="14" t="s">
        <v>457</v>
      </c>
      <c r="G249" s="26">
        <v>1.0556</v>
      </c>
      <c r="H249" s="193"/>
      <c r="I249" s="26">
        <f>G249*AO249</f>
        <v>0</v>
      </c>
      <c r="J249" s="26">
        <f>G249*AP249</f>
        <v>0</v>
      </c>
      <c r="K249" s="26">
        <f>G249*H249</f>
        <v>0</v>
      </c>
      <c r="L249" s="26">
        <v>0</v>
      </c>
      <c r="M249" s="26">
        <f>G249*L249</f>
        <v>0</v>
      </c>
      <c r="N249" s="95" t="s">
        <v>580</v>
      </c>
      <c r="O249" s="5"/>
      <c r="Z249" s="46">
        <f>IF(AQ249="5",BJ249,0)</f>
        <v>0</v>
      </c>
      <c r="AB249" s="46">
        <f>IF(AQ249="1",BH249,0)</f>
        <v>0</v>
      </c>
      <c r="AC249" s="46">
        <f>IF(AQ249="1",BI249,0)</f>
        <v>0</v>
      </c>
      <c r="AD249" s="46">
        <f>IF(AQ249="7",BH249,0)</f>
        <v>0</v>
      </c>
      <c r="AE249" s="46">
        <f>IF(AQ249="7",BI249,0)</f>
        <v>0</v>
      </c>
      <c r="AF249" s="46">
        <f>IF(AQ249="2",BH249,0)</f>
        <v>0</v>
      </c>
      <c r="AG249" s="46">
        <f>IF(AQ249="2",BI249,0)</f>
        <v>0</v>
      </c>
      <c r="AH249" s="46">
        <f>IF(AQ249="0",BJ249,0)</f>
        <v>0</v>
      </c>
      <c r="AI249" s="36"/>
      <c r="AJ249" s="26">
        <f>IF(AN249=0,K249,0)</f>
        <v>0</v>
      </c>
      <c r="AK249" s="26">
        <f>IF(AN249=15,K249,0)</f>
        <v>0</v>
      </c>
      <c r="AL249" s="26">
        <f>IF(AN249=21,K249,0)</f>
        <v>0</v>
      </c>
      <c r="AN249" s="46">
        <v>21</v>
      </c>
      <c r="AO249" s="46">
        <f>H249*0</f>
        <v>0</v>
      </c>
      <c r="AP249" s="46">
        <f>H249*(1-0)</f>
        <v>0</v>
      </c>
      <c r="AQ249" s="47" t="s">
        <v>11</v>
      </c>
      <c r="AV249" s="46">
        <f>AW249+AX249</f>
        <v>0</v>
      </c>
      <c r="AW249" s="46">
        <f>G249*AO249</f>
        <v>0</v>
      </c>
      <c r="AX249" s="46">
        <f>G249*AP249</f>
        <v>0</v>
      </c>
      <c r="AY249" s="49" t="s">
        <v>506</v>
      </c>
      <c r="AZ249" s="49" t="s">
        <v>512</v>
      </c>
      <c r="BA249" s="36" t="s">
        <v>513</v>
      </c>
      <c r="BC249" s="46">
        <f>AW249+AX249</f>
        <v>0</v>
      </c>
      <c r="BD249" s="46">
        <f>H249/(100-BE249)*100</f>
        <v>0</v>
      </c>
      <c r="BE249" s="46">
        <v>0</v>
      </c>
      <c r="BF249" s="46">
        <f>M249</f>
        <v>0</v>
      </c>
      <c r="BH249" s="26">
        <f>G249*AO249</f>
        <v>0</v>
      </c>
      <c r="BI249" s="26">
        <f>G249*AP249</f>
        <v>0</v>
      </c>
      <c r="BJ249" s="26">
        <f>G249*H249</f>
        <v>0</v>
      </c>
      <c r="BK249" s="26" t="s">
        <v>518</v>
      </c>
      <c r="BL249" s="46" t="s">
        <v>235</v>
      </c>
    </row>
    <row r="250" spans="1:15" ht="12.75">
      <c r="A250" s="5"/>
      <c r="D250" s="18" t="s">
        <v>432</v>
      </c>
      <c r="E250" s="20"/>
      <c r="G250" s="27">
        <v>1.0556</v>
      </c>
      <c r="N250" s="41"/>
      <c r="O250" s="5"/>
    </row>
    <row r="251" spans="1:64" ht="12.75">
      <c r="A251" s="4" t="s">
        <v>117</v>
      </c>
      <c r="B251" s="14"/>
      <c r="C251" s="14" t="s">
        <v>243</v>
      </c>
      <c r="D251" s="101" t="s">
        <v>433</v>
      </c>
      <c r="E251" s="102"/>
      <c r="F251" s="14" t="s">
        <v>457</v>
      </c>
      <c r="G251" s="26">
        <v>0.4054</v>
      </c>
      <c r="H251" s="193"/>
      <c r="I251" s="26">
        <f>G251*AO251</f>
        <v>0</v>
      </c>
      <c r="J251" s="26">
        <f>G251*AP251</f>
        <v>0</v>
      </c>
      <c r="K251" s="26">
        <f>G251*H251</f>
        <v>0</v>
      </c>
      <c r="L251" s="26">
        <v>0</v>
      </c>
      <c r="M251" s="26">
        <f>G251*L251</f>
        <v>0</v>
      </c>
      <c r="N251" s="95" t="s">
        <v>580</v>
      </c>
      <c r="O251" s="5"/>
      <c r="Z251" s="46">
        <f>IF(AQ251="5",BJ251,0)</f>
        <v>0</v>
      </c>
      <c r="AB251" s="46">
        <f>IF(AQ251="1",BH251,0)</f>
        <v>0</v>
      </c>
      <c r="AC251" s="46">
        <f>IF(AQ251="1",BI251,0)</f>
        <v>0</v>
      </c>
      <c r="AD251" s="46">
        <f>IF(AQ251="7",BH251,0)</f>
        <v>0</v>
      </c>
      <c r="AE251" s="46">
        <f>IF(AQ251="7",BI251,0)</f>
        <v>0</v>
      </c>
      <c r="AF251" s="46">
        <f>IF(AQ251="2",BH251,0)</f>
        <v>0</v>
      </c>
      <c r="AG251" s="46">
        <f>IF(AQ251="2",BI251,0)</f>
        <v>0</v>
      </c>
      <c r="AH251" s="46">
        <f>IF(AQ251="0",BJ251,0)</f>
        <v>0</v>
      </c>
      <c r="AI251" s="36"/>
      <c r="AJ251" s="26">
        <f>IF(AN251=0,K251,0)</f>
        <v>0</v>
      </c>
      <c r="AK251" s="26">
        <f>IF(AN251=15,K251,0)</f>
        <v>0</v>
      </c>
      <c r="AL251" s="26">
        <f>IF(AN251=21,K251,0)</f>
        <v>0</v>
      </c>
      <c r="AN251" s="46">
        <v>21</v>
      </c>
      <c r="AO251" s="46">
        <f>H251*0</f>
        <v>0</v>
      </c>
      <c r="AP251" s="46">
        <f>H251*(1-0)</f>
        <v>0</v>
      </c>
      <c r="AQ251" s="47" t="s">
        <v>11</v>
      </c>
      <c r="AV251" s="46">
        <f>AW251+AX251</f>
        <v>0</v>
      </c>
      <c r="AW251" s="46">
        <f>G251*AO251</f>
        <v>0</v>
      </c>
      <c r="AX251" s="46">
        <f>G251*AP251</f>
        <v>0</v>
      </c>
      <c r="AY251" s="49" t="s">
        <v>506</v>
      </c>
      <c r="AZ251" s="49" t="s">
        <v>512</v>
      </c>
      <c r="BA251" s="36" t="s">
        <v>513</v>
      </c>
      <c r="BC251" s="46">
        <f>AW251+AX251</f>
        <v>0</v>
      </c>
      <c r="BD251" s="46">
        <f>H251/(100-BE251)*100</f>
        <v>0</v>
      </c>
      <c r="BE251" s="46">
        <v>0</v>
      </c>
      <c r="BF251" s="46">
        <f>M251</f>
        <v>0</v>
      </c>
      <c r="BH251" s="26">
        <f>G251*AO251</f>
        <v>0</v>
      </c>
      <c r="BI251" s="26">
        <f>G251*AP251</f>
        <v>0</v>
      </c>
      <c r="BJ251" s="26">
        <f>G251*H251</f>
        <v>0</v>
      </c>
      <c r="BK251" s="26" t="s">
        <v>518</v>
      </c>
      <c r="BL251" s="46" t="s">
        <v>235</v>
      </c>
    </row>
    <row r="252" spans="1:64" ht="12.75">
      <c r="A252" s="4" t="s">
        <v>118</v>
      </c>
      <c r="B252" s="14"/>
      <c r="C252" s="14" t="s">
        <v>244</v>
      </c>
      <c r="D252" s="101" t="s">
        <v>434</v>
      </c>
      <c r="E252" s="102"/>
      <c r="F252" s="14" t="s">
        <v>457</v>
      </c>
      <c r="G252" s="26">
        <v>0.8108</v>
      </c>
      <c r="H252" s="193"/>
      <c r="I252" s="26">
        <f>G252*AO252</f>
        <v>0</v>
      </c>
      <c r="J252" s="26">
        <f>G252*AP252</f>
        <v>0</v>
      </c>
      <c r="K252" s="26">
        <f>G252*H252</f>
        <v>0</v>
      </c>
      <c r="L252" s="26">
        <v>0</v>
      </c>
      <c r="M252" s="26">
        <f>G252*L252</f>
        <v>0</v>
      </c>
      <c r="N252" s="95" t="s">
        <v>580</v>
      </c>
      <c r="O252" s="5"/>
      <c r="Z252" s="46">
        <f>IF(AQ252="5",BJ252,0)</f>
        <v>0</v>
      </c>
      <c r="AB252" s="46">
        <f>IF(AQ252="1",BH252,0)</f>
        <v>0</v>
      </c>
      <c r="AC252" s="46">
        <f>IF(AQ252="1",BI252,0)</f>
        <v>0</v>
      </c>
      <c r="AD252" s="46">
        <f>IF(AQ252="7",BH252,0)</f>
        <v>0</v>
      </c>
      <c r="AE252" s="46">
        <f>IF(AQ252="7",BI252,0)</f>
        <v>0</v>
      </c>
      <c r="AF252" s="46">
        <f>IF(AQ252="2",BH252,0)</f>
        <v>0</v>
      </c>
      <c r="AG252" s="46">
        <f>IF(AQ252="2",BI252,0)</f>
        <v>0</v>
      </c>
      <c r="AH252" s="46">
        <f>IF(AQ252="0",BJ252,0)</f>
        <v>0</v>
      </c>
      <c r="AI252" s="36"/>
      <c r="AJ252" s="26">
        <f>IF(AN252=0,K252,0)</f>
        <v>0</v>
      </c>
      <c r="AK252" s="26">
        <f>IF(AN252=15,K252,0)</f>
        <v>0</v>
      </c>
      <c r="AL252" s="26">
        <f>IF(AN252=21,K252,0)</f>
        <v>0</v>
      </c>
      <c r="AN252" s="46">
        <v>21</v>
      </c>
      <c r="AO252" s="46">
        <f>H252*0</f>
        <v>0</v>
      </c>
      <c r="AP252" s="46">
        <f>H252*(1-0)</f>
        <v>0</v>
      </c>
      <c r="AQ252" s="47" t="s">
        <v>11</v>
      </c>
      <c r="AV252" s="46">
        <f>AW252+AX252</f>
        <v>0</v>
      </c>
      <c r="AW252" s="46">
        <f>G252*AO252</f>
        <v>0</v>
      </c>
      <c r="AX252" s="46">
        <f>G252*AP252</f>
        <v>0</v>
      </c>
      <c r="AY252" s="49" t="s">
        <v>506</v>
      </c>
      <c r="AZ252" s="49" t="s">
        <v>512</v>
      </c>
      <c r="BA252" s="36" t="s">
        <v>513</v>
      </c>
      <c r="BC252" s="46">
        <f>AW252+AX252</f>
        <v>0</v>
      </c>
      <c r="BD252" s="46">
        <f>H252/(100-BE252)*100</f>
        <v>0</v>
      </c>
      <c r="BE252" s="46">
        <v>0</v>
      </c>
      <c r="BF252" s="46">
        <f>M252</f>
        <v>0</v>
      </c>
      <c r="BH252" s="26">
        <f>G252*AO252</f>
        <v>0</v>
      </c>
      <c r="BI252" s="26">
        <f>G252*AP252</f>
        <v>0</v>
      </c>
      <c r="BJ252" s="26">
        <f>G252*H252</f>
        <v>0</v>
      </c>
      <c r="BK252" s="26" t="s">
        <v>518</v>
      </c>
      <c r="BL252" s="46" t="s">
        <v>235</v>
      </c>
    </row>
    <row r="253" spans="1:15" ht="12.75">
      <c r="A253" s="8"/>
      <c r="B253" s="17"/>
      <c r="C253" s="17"/>
      <c r="D253" s="19" t="s">
        <v>435</v>
      </c>
      <c r="E253" s="21"/>
      <c r="F253" s="17"/>
      <c r="G253" s="29">
        <v>0.8108</v>
      </c>
      <c r="H253" s="17"/>
      <c r="I253" s="17"/>
      <c r="J253" s="17"/>
      <c r="K253" s="17"/>
      <c r="L253" s="17"/>
      <c r="M253" s="17"/>
      <c r="N253" s="44"/>
      <c r="O253" s="5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103" t="s">
        <v>470</v>
      </c>
      <c r="J254" s="104"/>
      <c r="K254" s="53">
        <f>ROUND(K12+K20+K26+K46+K49+K53+K67+K85+K162+K172+K187+K196+K199+K204+K217+K224+K231+K238+K240,0)</f>
        <v>0</v>
      </c>
      <c r="L254" s="9"/>
      <c r="M254" s="9"/>
      <c r="N254" s="9"/>
    </row>
    <row r="255" ht="11.25" customHeight="1">
      <c r="A255" s="10" t="s">
        <v>119</v>
      </c>
    </row>
    <row r="256" spans="1:14" ht="12.75">
      <c r="A256" s="105" t="s">
        <v>621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</row>
    <row r="257" spans="1:14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</sheetData>
  <sheetProtection/>
  <mergeCells count="162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6:E16"/>
    <mergeCell ref="D18:E18"/>
    <mergeCell ref="D20:E20"/>
    <mergeCell ref="D21:E21"/>
    <mergeCell ref="D23:E23"/>
    <mergeCell ref="D26:E26"/>
    <mergeCell ref="D27:E27"/>
    <mergeCell ref="D29:E29"/>
    <mergeCell ref="D31:E31"/>
    <mergeCell ref="D33:E33"/>
    <mergeCell ref="D36:E36"/>
    <mergeCell ref="D39:E39"/>
    <mergeCell ref="D41:E41"/>
    <mergeCell ref="D43:E43"/>
    <mergeCell ref="D46:E46"/>
    <mergeCell ref="D47:E47"/>
    <mergeCell ref="D49:E49"/>
    <mergeCell ref="D50:E50"/>
    <mergeCell ref="D52:E52"/>
    <mergeCell ref="D53:E53"/>
    <mergeCell ref="D54:E54"/>
    <mergeCell ref="D56:E56"/>
    <mergeCell ref="D58:E58"/>
    <mergeCell ref="D61:E61"/>
    <mergeCell ref="D63:E63"/>
    <mergeCell ref="D66:E66"/>
    <mergeCell ref="D67:E67"/>
    <mergeCell ref="D68:E68"/>
    <mergeCell ref="D70:E70"/>
    <mergeCell ref="D72:E72"/>
    <mergeCell ref="D74:E74"/>
    <mergeCell ref="D76:E76"/>
    <mergeCell ref="D78:E78"/>
    <mergeCell ref="D80:E80"/>
    <mergeCell ref="D82:E82"/>
    <mergeCell ref="D84:E84"/>
    <mergeCell ref="D85:E85"/>
    <mergeCell ref="D86:E86"/>
    <mergeCell ref="D88:E88"/>
    <mergeCell ref="D90:E90"/>
    <mergeCell ref="D92:E92"/>
    <mergeCell ref="D94:E94"/>
    <mergeCell ref="D96:E96"/>
    <mergeCell ref="D98:E98"/>
    <mergeCell ref="D100:E100"/>
    <mergeCell ref="D102:E102"/>
    <mergeCell ref="D104:E104"/>
    <mergeCell ref="D106:E106"/>
    <mergeCell ref="D108:E108"/>
    <mergeCell ref="D110:E110"/>
    <mergeCell ref="D112:E112"/>
    <mergeCell ref="D114:E114"/>
    <mergeCell ref="D116:E116"/>
    <mergeCell ref="D117:E117"/>
    <mergeCell ref="D119:E119"/>
    <mergeCell ref="D122:E122"/>
    <mergeCell ref="D124:E124"/>
    <mergeCell ref="D127:E127"/>
    <mergeCell ref="D129:E129"/>
    <mergeCell ref="D132:E132"/>
    <mergeCell ref="D134:E134"/>
    <mergeCell ref="D136:E136"/>
    <mergeCell ref="D139:E139"/>
    <mergeCell ref="D141:E141"/>
    <mergeCell ref="D144:E144"/>
    <mergeCell ref="D147:E147"/>
    <mergeCell ref="D149:E149"/>
    <mergeCell ref="D151:E151"/>
    <mergeCell ref="D153:E153"/>
    <mergeCell ref="D156:E156"/>
    <mergeCell ref="D158:E158"/>
    <mergeCell ref="D161:E161"/>
    <mergeCell ref="D162:E162"/>
    <mergeCell ref="D163:E163"/>
    <mergeCell ref="D165:E165"/>
    <mergeCell ref="D167:E167"/>
    <mergeCell ref="D168:E168"/>
    <mergeCell ref="D171:E171"/>
    <mergeCell ref="D172:E172"/>
    <mergeCell ref="D173:E173"/>
    <mergeCell ref="D175:E175"/>
    <mergeCell ref="D177:E177"/>
    <mergeCell ref="D179:E179"/>
    <mergeCell ref="D181:E181"/>
    <mergeCell ref="D183:E183"/>
    <mergeCell ref="D186:E186"/>
    <mergeCell ref="D187:E187"/>
    <mergeCell ref="D188:E188"/>
    <mergeCell ref="D190:E190"/>
    <mergeCell ref="D192:E192"/>
    <mergeCell ref="D194:E194"/>
    <mergeCell ref="D196:E196"/>
    <mergeCell ref="D197:E197"/>
    <mergeCell ref="D199:E199"/>
    <mergeCell ref="D200:E200"/>
    <mergeCell ref="D203:E203"/>
    <mergeCell ref="D204:E204"/>
    <mergeCell ref="D205:E205"/>
    <mergeCell ref="D208:E208"/>
    <mergeCell ref="D209:E209"/>
    <mergeCell ref="D210:E210"/>
    <mergeCell ref="D211:E211"/>
    <mergeCell ref="D212:E212"/>
    <mergeCell ref="D214:E214"/>
    <mergeCell ref="D215:E215"/>
    <mergeCell ref="D217:E217"/>
    <mergeCell ref="D218:E218"/>
    <mergeCell ref="D220:E220"/>
    <mergeCell ref="D222:E222"/>
    <mergeCell ref="D224:E224"/>
    <mergeCell ref="D225:E225"/>
    <mergeCell ref="D227:E227"/>
    <mergeCell ref="D229:E229"/>
    <mergeCell ref="D231:E231"/>
    <mergeCell ref="D248:E248"/>
    <mergeCell ref="D232:E232"/>
    <mergeCell ref="D234:E234"/>
    <mergeCell ref="D236:E236"/>
    <mergeCell ref="D238:E238"/>
    <mergeCell ref="D239:E239"/>
    <mergeCell ref="D240:E240"/>
    <mergeCell ref="D249:E249"/>
    <mergeCell ref="D251:E251"/>
    <mergeCell ref="D252:E252"/>
    <mergeCell ref="I254:J254"/>
    <mergeCell ref="A256:N257"/>
    <mergeCell ref="D241:E241"/>
    <mergeCell ref="D242:E242"/>
    <mergeCell ref="D243:E243"/>
    <mergeCell ref="D244:E244"/>
    <mergeCell ref="D245:E24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11" topLeftCell="A24" activePane="bottomLeft" state="frozen"/>
      <selection pane="topLeft" activeCell="A1" sqref="A1"/>
      <selection pane="bottomLeft" activeCell="A33" sqref="A33:L33"/>
    </sheetView>
  </sheetViews>
  <sheetFormatPr defaultColWidth="11.57421875" defaultRowHeight="12.75"/>
  <cols>
    <col min="1" max="1" width="7.57421875" style="0" customWidth="1"/>
    <col min="2" max="2" width="5.7109375" style="0" customWidth="1"/>
    <col min="3" max="8" width="15.7109375" style="0" customWidth="1"/>
    <col min="9" max="12" width="14.28125" style="0" customWidth="1"/>
    <col min="13" max="16" width="12.140625" style="0" hidden="1" customWidth="1"/>
  </cols>
  <sheetData>
    <row r="1" spans="1:12" ht="72.75" customHeight="1">
      <c r="A1" s="129" t="s">
        <v>578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12.75">
      <c r="A2" s="131" t="s">
        <v>1</v>
      </c>
      <c r="B2" s="132"/>
      <c r="C2" s="132"/>
      <c r="D2" s="146" t="str">
        <f>'Stavební rozpočet'!D2</f>
        <v>STAVEBNÍ ÚPRAVY ČÁSTI TĚLOCVIČNY GYMNÁZIA K.V.RAISE A SOU</v>
      </c>
      <c r="E2" s="104"/>
      <c r="F2" s="104"/>
      <c r="G2" s="136" t="s">
        <v>448</v>
      </c>
      <c r="H2" s="136" t="str">
        <f>'Stavební rozpočet'!H2</f>
        <v> </v>
      </c>
      <c r="I2" s="136" t="s">
        <v>464</v>
      </c>
      <c r="J2" s="136" t="str">
        <f>'Stavební rozpočet'!J2</f>
        <v>Gymnázium K.V.Raise, Hlinsko</v>
      </c>
      <c r="K2" s="132"/>
      <c r="L2" s="137"/>
      <c r="M2" s="5"/>
    </row>
    <row r="3" spans="1:13" ht="12.75">
      <c r="A3" s="128"/>
      <c r="B3" s="121"/>
      <c r="C3" s="121"/>
      <c r="D3" s="134"/>
      <c r="E3" s="134"/>
      <c r="F3" s="134"/>
      <c r="G3" s="121"/>
      <c r="H3" s="121"/>
      <c r="I3" s="121"/>
      <c r="J3" s="121"/>
      <c r="K3" s="121"/>
      <c r="L3" s="126"/>
      <c r="M3" s="5"/>
    </row>
    <row r="4" spans="1:13" ht="12.75">
      <c r="A4" s="120" t="s">
        <v>2</v>
      </c>
      <c r="B4" s="121"/>
      <c r="C4" s="121"/>
      <c r="D4" s="124" t="str">
        <f>'Stavební rozpočet'!D4</f>
        <v>Stavební úpravy</v>
      </c>
      <c r="E4" s="121"/>
      <c r="F4" s="121"/>
      <c r="G4" s="124" t="s">
        <v>449</v>
      </c>
      <c r="H4" s="124" t="str">
        <f>'Stavební rozpočet'!H4</f>
        <v> </v>
      </c>
      <c r="I4" s="124" t="s">
        <v>465</v>
      </c>
      <c r="J4" s="124" t="str">
        <f>'Stavební rozpočet'!J4</f>
        <v> </v>
      </c>
      <c r="K4" s="121"/>
      <c r="L4" s="126"/>
      <c r="M4" s="5"/>
    </row>
    <row r="5" spans="1:13" ht="12.75">
      <c r="A5" s="12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6"/>
      <c r="M5" s="5"/>
    </row>
    <row r="6" spans="1:13" ht="12.75">
      <c r="A6" s="120" t="s">
        <v>3</v>
      </c>
      <c r="B6" s="121"/>
      <c r="C6" s="121"/>
      <c r="D6" s="124" t="str">
        <f>'Stavební rozpočet'!D6</f>
        <v>Hlinsko, Adámkova 55</v>
      </c>
      <c r="E6" s="121"/>
      <c r="F6" s="121"/>
      <c r="G6" s="124" t="s">
        <v>450</v>
      </c>
      <c r="H6" s="124" t="str">
        <f>'Stavební rozpočet'!H6</f>
        <v> </v>
      </c>
      <c r="I6" s="124" t="s">
        <v>466</v>
      </c>
      <c r="J6" s="124" t="str">
        <f>'Stavební rozpočet'!J6</f>
        <v> </v>
      </c>
      <c r="K6" s="121"/>
      <c r="L6" s="126"/>
      <c r="M6" s="5"/>
    </row>
    <row r="7" spans="1:13" ht="12.75">
      <c r="A7" s="128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6"/>
      <c r="M7" s="5"/>
    </row>
    <row r="8" spans="1:13" ht="12.75">
      <c r="A8" s="120" t="s">
        <v>4</v>
      </c>
      <c r="B8" s="121"/>
      <c r="C8" s="121"/>
      <c r="D8" s="124">
        <f>'Stavební rozpočet'!D8</f>
        <v>8013</v>
      </c>
      <c r="E8" s="121"/>
      <c r="F8" s="121"/>
      <c r="G8" s="124" t="s">
        <v>451</v>
      </c>
      <c r="H8" s="124" t="str">
        <f>'Stavební rozpočet'!H8</f>
        <v>06.03.2023</v>
      </c>
      <c r="I8" s="124" t="s">
        <v>467</v>
      </c>
      <c r="J8" s="124" t="str">
        <f>'Stavební rozpočet'!J8</f>
        <v> </v>
      </c>
      <c r="K8" s="121"/>
      <c r="L8" s="126"/>
      <c r="M8" s="5"/>
    </row>
    <row r="9" spans="1:13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7"/>
      <c r="M9" s="5"/>
    </row>
    <row r="10" spans="1:13" ht="12.75">
      <c r="A10" s="54" t="s">
        <v>6</v>
      </c>
      <c r="B10" s="59" t="s">
        <v>6</v>
      </c>
      <c r="C10" s="140" t="s">
        <v>6</v>
      </c>
      <c r="D10" s="141"/>
      <c r="E10" s="141"/>
      <c r="F10" s="141"/>
      <c r="G10" s="141"/>
      <c r="H10" s="142"/>
      <c r="I10" s="113" t="s">
        <v>468</v>
      </c>
      <c r="J10" s="114"/>
      <c r="K10" s="115"/>
      <c r="L10" s="63" t="s">
        <v>475</v>
      </c>
      <c r="M10" s="45"/>
    </row>
    <row r="11" spans="1:13" ht="12.75">
      <c r="A11" s="55" t="s">
        <v>120</v>
      </c>
      <c r="B11" s="60" t="s">
        <v>121</v>
      </c>
      <c r="C11" s="116" t="s">
        <v>247</v>
      </c>
      <c r="D11" s="143"/>
      <c r="E11" s="143"/>
      <c r="F11" s="143"/>
      <c r="G11" s="143"/>
      <c r="H11" s="144"/>
      <c r="I11" s="32" t="s">
        <v>469</v>
      </c>
      <c r="J11" s="33" t="s">
        <v>473</v>
      </c>
      <c r="K11" s="34" t="s">
        <v>474</v>
      </c>
      <c r="L11" s="64" t="s">
        <v>474</v>
      </c>
      <c r="M11" s="45"/>
    </row>
    <row r="12" spans="1:16" ht="12.75">
      <c r="A12" s="56"/>
      <c r="B12" s="61" t="s">
        <v>37</v>
      </c>
      <c r="C12" s="145" t="s">
        <v>249</v>
      </c>
      <c r="D12" s="141"/>
      <c r="E12" s="141"/>
      <c r="F12" s="141"/>
      <c r="G12" s="141"/>
      <c r="H12" s="141"/>
      <c r="I12" s="66">
        <f>'Stavební rozpočet'!I12</f>
        <v>0</v>
      </c>
      <c r="J12" s="66">
        <f>'Stavební rozpočet'!J12</f>
        <v>0</v>
      </c>
      <c r="K12" s="66">
        <f>'Stavební rozpočet'!K12</f>
        <v>0</v>
      </c>
      <c r="L12" s="68">
        <f>'Stavební rozpočet'!M12</f>
        <v>2.263867</v>
      </c>
      <c r="M12" s="65" t="s">
        <v>521</v>
      </c>
      <c r="N12" s="46">
        <f aca="true" t="shared" si="0" ref="N12:N30">IF(M12="F",0,K12)</f>
        <v>0</v>
      </c>
      <c r="O12" s="22"/>
      <c r="P12" s="46">
        <f aca="true" t="shared" si="1" ref="P12:P30">IF(M12="T",0,K12)</f>
        <v>0</v>
      </c>
    </row>
    <row r="13" spans="1:16" ht="12.75">
      <c r="A13" s="57"/>
      <c r="B13" s="22" t="s">
        <v>67</v>
      </c>
      <c r="C13" s="125" t="s">
        <v>255</v>
      </c>
      <c r="D13" s="121"/>
      <c r="E13" s="121"/>
      <c r="F13" s="121"/>
      <c r="G13" s="121"/>
      <c r="H13" s="121"/>
      <c r="I13" s="46">
        <f>'Stavební rozpočet'!I20</f>
        <v>0</v>
      </c>
      <c r="J13" s="46">
        <f>'Stavební rozpočet'!J20</f>
        <v>0</v>
      </c>
      <c r="K13" s="46">
        <f>'Stavební rozpočet'!K20</f>
        <v>0</v>
      </c>
      <c r="L13" s="69">
        <f>'Stavební rozpočet'!M20</f>
        <v>0.29487800000000003</v>
      </c>
      <c r="M13" s="65" t="s">
        <v>521</v>
      </c>
      <c r="N13" s="46">
        <f t="shared" si="0"/>
        <v>0</v>
      </c>
      <c r="O13" s="22"/>
      <c r="P13" s="46">
        <f t="shared" si="1"/>
        <v>0</v>
      </c>
    </row>
    <row r="14" spans="1:16" ht="12.75">
      <c r="A14" s="57"/>
      <c r="B14" s="22" t="s">
        <v>68</v>
      </c>
      <c r="C14" s="125" t="s">
        <v>258</v>
      </c>
      <c r="D14" s="121"/>
      <c r="E14" s="121"/>
      <c r="F14" s="121"/>
      <c r="G14" s="121"/>
      <c r="H14" s="121"/>
      <c r="I14" s="46">
        <f>'Stavební rozpočet'!I26</f>
        <v>0</v>
      </c>
      <c r="J14" s="46">
        <f>'Stavební rozpočet'!J26</f>
        <v>0</v>
      </c>
      <c r="K14" s="46">
        <f>'Stavební rozpočet'!K26</f>
        <v>0</v>
      </c>
      <c r="L14" s="69">
        <f>'Stavební rozpočet'!M26</f>
        <v>3.8373556</v>
      </c>
      <c r="M14" s="65" t="s">
        <v>521</v>
      </c>
      <c r="N14" s="46">
        <f t="shared" si="0"/>
        <v>0</v>
      </c>
      <c r="O14" s="22"/>
      <c r="P14" s="46">
        <f t="shared" si="1"/>
        <v>0</v>
      </c>
    </row>
    <row r="15" spans="1:16" ht="12.75">
      <c r="A15" s="57"/>
      <c r="B15" s="22" t="s">
        <v>70</v>
      </c>
      <c r="C15" s="125" t="s">
        <v>275</v>
      </c>
      <c r="D15" s="121"/>
      <c r="E15" s="121"/>
      <c r="F15" s="121"/>
      <c r="G15" s="121"/>
      <c r="H15" s="121"/>
      <c r="I15" s="46">
        <f>'Stavební rozpočet'!I46</f>
        <v>0</v>
      </c>
      <c r="J15" s="46">
        <f>'Stavební rozpočet'!J46</f>
        <v>0</v>
      </c>
      <c r="K15" s="46">
        <f>'Stavební rozpočet'!K46</f>
        <v>0</v>
      </c>
      <c r="L15" s="69">
        <f>'Stavební rozpočet'!M46</f>
        <v>0.19838699999999998</v>
      </c>
      <c r="M15" s="65" t="s">
        <v>521</v>
      </c>
      <c r="N15" s="46">
        <f t="shared" si="0"/>
        <v>0</v>
      </c>
      <c r="O15" s="22"/>
      <c r="P15" s="46">
        <f t="shared" si="1"/>
        <v>0</v>
      </c>
    </row>
    <row r="16" spans="1:16" ht="12.75">
      <c r="A16" s="57"/>
      <c r="B16" s="22" t="s">
        <v>136</v>
      </c>
      <c r="C16" s="125" t="s">
        <v>278</v>
      </c>
      <c r="D16" s="121"/>
      <c r="E16" s="121"/>
      <c r="F16" s="121"/>
      <c r="G16" s="121"/>
      <c r="H16" s="121"/>
      <c r="I16" s="46">
        <f>'Stavební rozpočet'!I49</f>
        <v>0</v>
      </c>
      <c r="J16" s="46">
        <f>'Stavební rozpočet'!J49</f>
        <v>0</v>
      </c>
      <c r="K16" s="46">
        <f>'Stavební rozpočet'!K49</f>
        <v>0</v>
      </c>
      <c r="L16" s="69">
        <f>'Stavební rozpočet'!M49</f>
        <v>0.765</v>
      </c>
      <c r="M16" s="65" t="s">
        <v>521</v>
      </c>
      <c r="N16" s="46">
        <f t="shared" si="0"/>
        <v>0</v>
      </c>
      <c r="O16" s="22"/>
      <c r="P16" s="46">
        <f t="shared" si="1"/>
        <v>0</v>
      </c>
    </row>
    <row r="17" spans="1:16" ht="12.75">
      <c r="A17" s="57"/>
      <c r="B17" s="22" t="s">
        <v>139</v>
      </c>
      <c r="C17" s="125" t="s">
        <v>282</v>
      </c>
      <c r="D17" s="121"/>
      <c r="E17" s="121"/>
      <c r="F17" s="121"/>
      <c r="G17" s="121"/>
      <c r="H17" s="121"/>
      <c r="I17" s="46">
        <f>'Stavební rozpočet'!I53</f>
        <v>0</v>
      </c>
      <c r="J17" s="46">
        <f>'Stavební rozpočet'!J53</f>
        <v>0</v>
      </c>
      <c r="K17" s="46">
        <f>'Stavební rozpočet'!K53</f>
        <v>0</v>
      </c>
      <c r="L17" s="69">
        <f>'Stavební rozpočet'!M53</f>
        <v>0.396474</v>
      </c>
      <c r="M17" s="65" t="s">
        <v>521</v>
      </c>
      <c r="N17" s="46">
        <f t="shared" si="0"/>
        <v>0</v>
      </c>
      <c r="O17" s="22"/>
      <c r="P17" s="46">
        <f t="shared" si="1"/>
        <v>0</v>
      </c>
    </row>
    <row r="18" spans="1:16" ht="12.75">
      <c r="A18" s="57"/>
      <c r="B18" s="22" t="s">
        <v>146</v>
      </c>
      <c r="C18" s="125" t="s">
        <v>294</v>
      </c>
      <c r="D18" s="121"/>
      <c r="E18" s="121"/>
      <c r="F18" s="121"/>
      <c r="G18" s="121"/>
      <c r="H18" s="121"/>
      <c r="I18" s="46">
        <f>'Stavební rozpočet'!I67</f>
        <v>0</v>
      </c>
      <c r="J18" s="46">
        <f>'Stavební rozpočet'!J67</f>
        <v>0</v>
      </c>
      <c r="K18" s="46">
        <f>'Stavební rozpočet'!K67</f>
        <v>0</v>
      </c>
      <c r="L18" s="69">
        <f>'Stavební rozpočet'!M67</f>
        <v>5.284189999999999</v>
      </c>
      <c r="M18" s="65" t="s">
        <v>521</v>
      </c>
      <c r="N18" s="46">
        <f t="shared" si="0"/>
        <v>0</v>
      </c>
      <c r="O18" s="22"/>
      <c r="P18" s="46">
        <f t="shared" si="1"/>
        <v>0</v>
      </c>
    </row>
    <row r="19" spans="1:16" ht="12.75">
      <c r="A19" s="57"/>
      <c r="B19" s="22" t="s">
        <v>156</v>
      </c>
      <c r="C19" s="125" t="s">
        <v>306</v>
      </c>
      <c r="D19" s="121"/>
      <c r="E19" s="121"/>
      <c r="F19" s="121"/>
      <c r="G19" s="121"/>
      <c r="H19" s="121"/>
      <c r="I19" s="46">
        <f>'Stavební rozpočet'!I85</f>
        <v>0</v>
      </c>
      <c r="J19" s="46">
        <f>'Stavební rozpočet'!J85</f>
        <v>0</v>
      </c>
      <c r="K19" s="46">
        <f>'Stavební rozpočet'!K85</f>
        <v>0</v>
      </c>
      <c r="L19" s="69">
        <f>'Stavební rozpočet'!M85</f>
        <v>0.94392735</v>
      </c>
      <c r="M19" s="65" t="s">
        <v>521</v>
      </c>
      <c r="N19" s="46">
        <f t="shared" si="0"/>
        <v>0</v>
      </c>
      <c r="O19" s="22"/>
      <c r="P19" s="46">
        <f t="shared" si="1"/>
        <v>0</v>
      </c>
    </row>
    <row r="20" spans="1:16" ht="12.75">
      <c r="A20" s="57"/>
      <c r="B20" s="22" t="s">
        <v>192</v>
      </c>
      <c r="C20" s="125" t="s">
        <v>359</v>
      </c>
      <c r="D20" s="121"/>
      <c r="E20" s="121"/>
      <c r="F20" s="121"/>
      <c r="G20" s="121"/>
      <c r="H20" s="121"/>
      <c r="I20" s="46">
        <f>'Stavební rozpočet'!I162</f>
        <v>0</v>
      </c>
      <c r="J20" s="46">
        <f>'Stavební rozpočet'!J162</f>
        <v>0</v>
      </c>
      <c r="K20" s="46">
        <f>'Stavební rozpočet'!K162</f>
        <v>0</v>
      </c>
      <c r="L20" s="69">
        <f>'Stavební rozpočet'!M162</f>
        <v>0.7594230000000001</v>
      </c>
      <c r="M20" s="65" t="s">
        <v>521</v>
      </c>
      <c r="N20" s="46">
        <f t="shared" si="0"/>
        <v>0</v>
      </c>
      <c r="O20" s="22"/>
      <c r="P20" s="46">
        <f t="shared" si="1"/>
        <v>0</v>
      </c>
    </row>
    <row r="21" spans="1:16" ht="12.75">
      <c r="A21" s="57"/>
      <c r="B21" s="22" t="s">
        <v>198</v>
      </c>
      <c r="C21" s="125" t="s">
        <v>366</v>
      </c>
      <c r="D21" s="121"/>
      <c r="E21" s="121"/>
      <c r="F21" s="121"/>
      <c r="G21" s="121"/>
      <c r="H21" s="121"/>
      <c r="I21" s="46">
        <f>'Stavební rozpočet'!I172</f>
        <v>0</v>
      </c>
      <c r="J21" s="46">
        <f>'Stavební rozpočet'!J172</f>
        <v>0</v>
      </c>
      <c r="K21" s="46">
        <f>'Stavební rozpočet'!K172</f>
        <v>0</v>
      </c>
      <c r="L21" s="69">
        <f>'Stavební rozpočet'!M172</f>
        <v>0.5937796</v>
      </c>
      <c r="M21" s="65" t="s">
        <v>521</v>
      </c>
      <c r="N21" s="46">
        <f t="shared" si="0"/>
        <v>0</v>
      </c>
      <c r="O21" s="22"/>
      <c r="P21" s="46">
        <f t="shared" si="1"/>
        <v>0</v>
      </c>
    </row>
    <row r="22" spans="1:16" ht="12.75">
      <c r="A22" s="57"/>
      <c r="B22" s="22" t="s">
        <v>206</v>
      </c>
      <c r="C22" s="125" t="s">
        <v>376</v>
      </c>
      <c r="D22" s="121"/>
      <c r="E22" s="121"/>
      <c r="F22" s="121"/>
      <c r="G22" s="121"/>
      <c r="H22" s="121"/>
      <c r="I22" s="46">
        <f>'Stavební rozpočet'!I187</f>
        <v>0</v>
      </c>
      <c r="J22" s="46">
        <f>'Stavební rozpočet'!J187</f>
        <v>0</v>
      </c>
      <c r="K22" s="46">
        <f>'Stavební rozpočet'!K187</f>
        <v>0</v>
      </c>
      <c r="L22" s="69">
        <f>'Stavební rozpočet'!M187</f>
        <v>1.52301</v>
      </c>
      <c r="M22" s="65" t="s">
        <v>521</v>
      </c>
      <c r="N22" s="46">
        <f t="shared" si="0"/>
        <v>0</v>
      </c>
      <c r="O22" s="22"/>
      <c r="P22" s="46">
        <f t="shared" si="1"/>
        <v>0</v>
      </c>
    </row>
    <row r="23" spans="1:16" ht="12.75">
      <c r="A23" s="57"/>
      <c r="B23" s="22" t="s">
        <v>211</v>
      </c>
      <c r="C23" s="125" t="s">
        <v>381</v>
      </c>
      <c r="D23" s="121"/>
      <c r="E23" s="121"/>
      <c r="F23" s="121"/>
      <c r="G23" s="121"/>
      <c r="H23" s="121"/>
      <c r="I23" s="46">
        <f>'Stavební rozpočet'!I196</f>
        <v>0</v>
      </c>
      <c r="J23" s="46">
        <f>'Stavební rozpočet'!J196</f>
        <v>0</v>
      </c>
      <c r="K23" s="46">
        <f>'Stavební rozpočet'!K196</f>
        <v>0</v>
      </c>
      <c r="L23" s="69">
        <f>'Stavební rozpočet'!M196</f>
        <v>0.011968000000000001</v>
      </c>
      <c r="M23" s="65" t="s">
        <v>521</v>
      </c>
      <c r="N23" s="46">
        <f t="shared" si="0"/>
        <v>0</v>
      </c>
      <c r="O23" s="22"/>
      <c r="P23" s="46">
        <f t="shared" si="1"/>
        <v>0</v>
      </c>
    </row>
    <row r="24" spans="1:16" ht="12.75">
      <c r="A24" s="57"/>
      <c r="B24" s="22" t="s">
        <v>213</v>
      </c>
      <c r="C24" s="125" t="s">
        <v>384</v>
      </c>
      <c r="D24" s="121"/>
      <c r="E24" s="121"/>
      <c r="F24" s="121"/>
      <c r="G24" s="121"/>
      <c r="H24" s="121"/>
      <c r="I24" s="46">
        <f>'Stavební rozpočet'!I199</f>
        <v>0</v>
      </c>
      <c r="J24" s="46">
        <f>'Stavební rozpočet'!J199</f>
        <v>0</v>
      </c>
      <c r="K24" s="46">
        <f>'Stavební rozpočet'!K199</f>
        <v>0</v>
      </c>
      <c r="L24" s="69">
        <f>'Stavební rozpočet'!M199</f>
        <v>0.002646</v>
      </c>
      <c r="M24" s="65" t="s">
        <v>521</v>
      </c>
      <c r="N24" s="46">
        <f t="shared" si="0"/>
        <v>0</v>
      </c>
      <c r="O24" s="22"/>
      <c r="P24" s="46">
        <f t="shared" si="1"/>
        <v>0</v>
      </c>
    </row>
    <row r="25" spans="1:16" ht="12.75">
      <c r="A25" s="57"/>
      <c r="B25" s="22" t="s">
        <v>100</v>
      </c>
      <c r="C25" s="125" t="s">
        <v>389</v>
      </c>
      <c r="D25" s="121"/>
      <c r="E25" s="121"/>
      <c r="F25" s="121"/>
      <c r="G25" s="121"/>
      <c r="H25" s="121"/>
      <c r="I25" s="46">
        <f>'Stavební rozpočet'!I204</f>
        <v>0</v>
      </c>
      <c r="J25" s="46">
        <f>'Stavební rozpočet'!J204</f>
        <v>0</v>
      </c>
      <c r="K25" s="46">
        <f>'Stavební rozpočet'!K204</f>
        <v>0</v>
      </c>
      <c r="L25" s="69">
        <f>'Stavební rozpočet'!M204</f>
        <v>3.926529</v>
      </c>
      <c r="M25" s="65" t="s">
        <v>521</v>
      </c>
      <c r="N25" s="46">
        <f t="shared" si="0"/>
        <v>0</v>
      </c>
      <c r="O25" s="22"/>
      <c r="P25" s="46">
        <f t="shared" si="1"/>
        <v>0</v>
      </c>
    </row>
    <row r="26" spans="1:16" ht="12.75">
      <c r="A26" s="57"/>
      <c r="B26" s="22" t="s">
        <v>101</v>
      </c>
      <c r="C26" s="125" t="s">
        <v>402</v>
      </c>
      <c r="D26" s="121"/>
      <c r="E26" s="121"/>
      <c r="F26" s="121"/>
      <c r="G26" s="121"/>
      <c r="H26" s="121"/>
      <c r="I26" s="46">
        <f>'Stavební rozpočet'!I217</f>
        <v>0</v>
      </c>
      <c r="J26" s="46">
        <f>'Stavební rozpočet'!J217</f>
        <v>0</v>
      </c>
      <c r="K26" s="46">
        <f>'Stavební rozpočet'!K217</f>
        <v>0</v>
      </c>
      <c r="L26" s="69">
        <f>'Stavební rozpočet'!M217</f>
        <v>0.03148</v>
      </c>
      <c r="M26" s="65" t="s">
        <v>521</v>
      </c>
      <c r="N26" s="46">
        <f t="shared" si="0"/>
        <v>0</v>
      </c>
      <c r="O26" s="22"/>
      <c r="P26" s="46">
        <f t="shared" si="1"/>
        <v>0</v>
      </c>
    </row>
    <row r="27" spans="1:16" ht="12.75">
      <c r="A27" s="57"/>
      <c r="B27" s="22" t="s">
        <v>102</v>
      </c>
      <c r="C27" s="125" t="s">
        <v>407</v>
      </c>
      <c r="D27" s="121"/>
      <c r="E27" s="121"/>
      <c r="F27" s="121"/>
      <c r="G27" s="121"/>
      <c r="H27" s="121"/>
      <c r="I27" s="46">
        <f>'Stavební rozpočet'!I224</f>
        <v>0</v>
      </c>
      <c r="J27" s="46">
        <f>'Stavební rozpočet'!J224</f>
        <v>0</v>
      </c>
      <c r="K27" s="46">
        <f>'Stavební rozpočet'!K224</f>
        <v>0</v>
      </c>
      <c r="L27" s="69">
        <f>'Stavební rozpočet'!M224</f>
        <v>0.6481680000000001</v>
      </c>
      <c r="M27" s="65" t="s">
        <v>521</v>
      </c>
      <c r="N27" s="46">
        <f t="shared" si="0"/>
        <v>0</v>
      </c>
      <c r="O27" s="22"/>
      <c r="P27" s="46">
        <f t="shared" si="1"/>
        <v>0</v>
      </c>
    </row>
    <row r="28" spans="1:16" ht="12.75">
      <c r="A28" s="57"/>
      <c r="B28" s="22" t="s">
        <v>103</v>
      </c>
      <c r="C28" s="125" t="s">
        <v>414</v>
      </c>
      <c r="D28" s="121"/>
      <c r="E28" s="121"/>
      <c r="F28" s="121"/>
      <c r="G28" s="121"/>
      <c r="H28" s="121"/>
      <c r="I28" s="46">
        <f>'Stavební rozpočet'!I231</f>
        <v>0</v>
      </c>
      <c r="J28" s="46">
        <f>'Stavební rozpočet'!J231</f>
        <v>0</v>
      </c>
      <c r="K28" s="46">
        <f>'Stavební rozpočet'!K231</f>
        <v>0</v>
      </c>
      <c r="L28" s="69">
        <f>'Stavební rozpočet'!M231</f>
        <v>1.7787895</v>
      </c>
      <c r="M28" s="65" t="s">
        <v>521</v>
      </c>
      <c r="N28" s="46">
        <f t="shared" si="0"/>
        <v>0</v>
      </c>
      <c r="O28" s="22"/>
      <c r="P28" s="46">
        <f t="shared" si="1"/>
        <v>0</v>
      </c>
    </row>
    <row r="29" spans="1:16" ht="12.75">
      <c r="A29" s="57"/>
      <c r="B29" s="22" t="s">
        <v>233</v>
      </c>
      <c r="C29" s="125" t="s">
        <v>420</v>
      </c>
      <c r="D29" s="121"/>
      <c r="E29" s="121"/>
      <c r="F29" s="121"/>
      <c r="G29" s="121"/>
      <c r="H29" s="121"/>
      <c r="I29" s="46">
        <f>'Stavební rozpočet'!I238</f>
        <v>0</v>
      </c>
      <c r="J29" s="46">
        <f>'Stavební rozpočet'!J238</f>
        <v>0</v>
      </c>
      <c r="K29" s="46">
        <f>'Stavební rozpočet'!K238</f>
        <v>0</v>
      </c>
      <c r="L29" s="69">
        <f>'Stavební rozpočet'!M238</f>
        <v>0</v>
      </c>
      <c r="M29" s="65" t="s">
        <v>521</v>
      </c>
      <c r="N29" s="46">
        <f t="shared" si="0"/>
        <v>0</v>
      </c>
      <c r="O29" s="22"/>
      <c r="P29" s="46">
        <f t="shared" si="1"/>
        <v>0</v>
      </c>
    </row>
    <row r="30" spans="1:16" ht="12.75">
      <c r="A30" s="58"/>
      <c r="B30" s="62" t="s">
        <v>235</v>
      </c>
      <c r="C30" s="138" t="s">
        <v>422</v>
      </c>
      <c r="D30" s="139"/>
      <c r="E30" s="139"/>
      <c r="F30" s="139"/>
      <c r="G30" s="139"/>
      <c r="H30" s="139"/>
      <c r="I30" s="67">
        <f>'Stavební rozpočet'!I240</f>
        <v>0</v>
      </c>
      <c r="J30" s="67">
        <f>'Stavební rozpočet'!J240</f>
        <v>0</v>
      </c>
      <c r="K30" s="67">
        <f>'Stavební rozpočet'!K240</f>
        <v>0</v>
      </c>
      <c r="L30" s="70">
        <f>'Stavební rozpočet'!M240</f>
        <v>0</v>
      </c>
      <c r="M30" s="65" t="s">
        <v>521</v>
      </c>
      <c r="N30" s="46">
        <f t="shared" si="0"/>
        <v>0</v>
      </c>
      <c r="O30" s="22"/>
      <c r="P30" s="46">
        <f t="shared" si="1"/>
        <v>0</v>
      </c>
    </row>
    <row r="31" spans="1:12" ht="12.75">
      <c r="A31" s="9"/>
      <c r="B31" s="9"/>
      <c r="C31" s="9"/>
      <c r="D31" s="9"/>
      <c r="E31" s="9"/>
      <c r="F31" s="9"/>
      <c r="G31" s="9"/>
      <c r="H31" s="9"/>
      <c r="I31" s="103" t="s">
        <v>470</v>
      </c>
      <c r="J31" s="104"/>
      <c r="K31" s="53">
        <f>ROUND(SUM(N12:N30),0)</f>
        <v>0</v>
      </c>
      <c r="L31" s="9"/>
    </row>
    <row r="32" ht="11.25" customHeight="1">
      <c r="A32" s="10" t="s">
        <v>119</v>
      </c>
    </row>
    <row r="33" spans="1:12" ht="12.75">
      <c r="A33" s="124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</sheetData>
  <sheetProtection/>
  <mergeCells count="49"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  <mergeCell ref="J4:L5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8:L9"/>
    <mergeCell ref="C10:H10"/>
    <mergeCell ref="I10:K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I31:J31"/>
    <mergeCell ref="A33:L3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C30" sqref="C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47" t="s">
        <v>537</v>
      </c>
      <c r="B1" s="147"/>
      <c r="C1" s="147"/>
      <c r="D1" s="147"/>
      <c r="E1" s="147"/>
      <c r="F1" s="147"/>
      <c r="G1" s="147"/>
      <c r="H1" s="147"/>
      <c r="I1" s="147"/>
    </row>
    <row r="2" spans="1:10" ht="12.75">
      <c r="A2" s="131" t="s">
        <v>1</v>
      </c>
      <c r="B2" s="132"/>
      <c r="C2" s="146" t="str">
        <f>'Stavební rozpočet'!D2</f>
        <v>STAVEBNÍ ÚPRAVY ČÁSTI TĚLOCVIČNY GYMNÁZIA K.V.RAISE A SOU</v>
      </c>
      <c r="D2" s="104"/>
      <c r="E2" s="136" t="s">
        <v>464</v>
      </c>
      <c r="F2" s="136" t="str">
        <f>'Stavební rozpočet'!J2</f>
        <v>Gymnázium K.V.Raise, Hlinsko</v>
      </c>
      <c r="G2" s="132"/>
      <c r="H2" s="136" t="s">
        <v>562</v>
      </c>
      <c r="I2" s="171"/>
      <c r="J2" s="5"/>
    </row>
    <row r="3" spans="1:10" ht="25.5" customHeight="1">
      <c r="A3" s="128"/>
      <c r="B3" s="121"/>
      <c r="C3" s="134"/>
      <c r="D3" s="134"/>
      <c r="E3" s="121"/>
      <c r="F3" s="121"/>
      <c r="G3" s="121"/>
      <c r="H3" s="121"/>
      <c r="I3" s="126"/>
      <c r="J3" s="5"/>
    </row>
    <row r="4" spans="1:10" ht="12.75">
      <c r="A4" s="120" t="s">
        <v>2</v>
      </c>
      <c r="B4" s="121"/>
      <c r="C4" s="124" t="str">
        <f>'Stavební rozpočet'!D4</f>
        <v>Stavební úpravy</v>
      </c>
      <c r="D4" s="121"/>
      <c r="E4" s="124" t="s">
        <v>465</v>
      </c>
      <c r="F4" s="124" t="str">
        <f>'Stavební rozpočet'!J4</f>
        <v> </v>
      </c>
      <c r="G4" s="121"/>
      <c r="H4" s="124" t="s">
        <v>562</v>
      </c>
      <c r="I4" s="170"/>
      <c r="J4" s="5"/>
    </row>
    <row r="5" spans="1:10" ht="12.75">
      <c r="A5" s="128"/>
      <c r="B5" s="121"/>
      <c r="C5" s="121"/>
      <c r="D5" s="121"/>
      <c r="E5" s="121"/>
      <c r="F5" s="121"/>
      <c r="G5" s="121"/>
      <c r="H5" s="121"/>
      <c r="I5" s="126"/>
      <c r="J5" s="5"/>
    </row>
    <row r="6" spans="1:10" ht="12.75">
      <c r="A6" s="120" t="s">
        <v>3</v>
      </c>
      <c r="B6" s="121"/>
      <c r="C6" s="124" t="str">
        <f>'Stavební rozpočet'!D6</f>
        <v>Hlinsko, Adámkova 55</v>
      </c>
      <c r="D6" s="121"/>
      <c r="E6" s="124" t="s">
        <v>466</v>
      </c>
      <c r="F6" s="124" t="str">
        <f>'Stavební rozpočet'!J6</f>
        <v> </v>
      </c>
      <c r="G6" s="121"/>
      <c r="H6" s="124" t="s">
        <v>562</v>
      </c>
      <c r="I6" s="170"/>
      <c r="J6" s="5"/>
    </row>
    <row r="7" spans="1:10" ht="12.75">
      <c r="A7" s="128"/>
      <c r="B7" s="121"/>
      <c r="C7" s="121"/>
      <c r="D7" s="121"/>
      <c r="E7" s="121"/>
      <c r="F7" s="121"/>
      <c r="G7" s="121"/>
      <c r="H7" s="121"/>
      <c r="I7" s="126"/>
      <c r="J7" s="5"/>
    </row>
    <row r="8" spans="1:10" ht="12.75">
      <c r="A8" s="120" t="s">
        <v>449</v>
      </c>
      <c r="B8" s="121"/>
      <c r="C8" s="124" t="str">
        <f>'Stavební rozpočet'!H4</f>
        <v> </v>
      </c>
      <c r="D8" s="121"/>
      <c r="E8" s="124" t="s">
        <v>450</v>
      </c>
      <c r="F8" s="124" t="str">
        <f>'Stavební rozpočet'!H6</f>
        <v> </v>
      </c>
      <c r="G8" s="121"/>
      <c r="H8" s="125" t="s">
        <v>563</v>
      </c>
      <c r="I8" s="170" t="s">
        <v>118</v>
      </c>
      <c r="J8" s="5"/>
    </row>
    <row r="9" spans="1:10" ht="12.75">
      <c r="A9" s="128"/>
      <c r="B9" s="121"/>
      <c r="C9" s="121"/>
      <c r="D9" s="121"/>
      <c r="E9" s="121"/>
      <c r="F9" s="121"/>
      <c r="G9" s="121"/>
      <c r="H9" s="121"/>
      <c r="I9" s="126"/>
      <c r="J9" s="5"/>
    </row>
    <row r="10" spans="1:10" ht="12.75">
      <c r="A10" s="120" t="s">
        <v>4</v>
      </c>
      <c r="B10" s="121"/>
      <c r="C10" s="124">
        <f>'Stavební rozpočet'!D8</f>
        <v>8013</v>
      </c>
      <c r="D10" s="121"/>
      <c r="E10" s="124" t="s">
        <v>467</v>
      </c>
      <c r="F10" s="124" t="str">
        <f>'Stavební rozpočet'!J8</f>
        <v> </v>
      </c>
      <c r="G10" s="121"/>
      <c r="H10" s="125" t="s">
        <v>564</v>
      </c>
      <c r="I10" s="168" t="str">
        <f>'Stavební rozpočet'!H8</f>
        <v>06.03.2023</v>
      </c>
      <c r="J10" s="5"/>
    </row>
    <row r="11" spans="1:10" ht="12.75">
      <c r="A11" s="167"/>
      <c r="B11" s="139"/>
      <c r="C11" s="139"/>
      <c r="D11" s="139"/>
      <c r="E11" s="139"/>
      <c r="F11" s="139"/>
      <c r="G11" s="139"/>
      <c r="H11" s="139"/>
      <c r="I11" s="169"/>
      <c r="J11" s="5"/>
    </row>
    <row r="12" spans="1:9" ht="23.25" customHeight="1">
      <c r="A12" s="163" t="s">
        <v>522</v>
      </c>
      <c r="B12" s="164"/>
      <c r="C12" s="164"/>
      <c r="D12" s="164"/>
      <c r="E12" s="164"/>
      <c r="F12" s="164"/>
      <c r="G12" s="164"/>
      <c r="H12" s="164"/>
      <c r="I12" s="164"/>
    </row>
    <row r="13" spans="1:10" ht="26.25" customHeight="1">
      <c r="A13" s="71" t="s">
        <v>523</v>
      </c>
      <c r="B13" s="165" t="s">
        <v>535</v>
      </c>
      <c r="C13" s="166"/>
      <c r="D13" s="71" t="s">
        <v>538</v>
      </c>
      <c r="E13" s="165" t="s">
        <v>547</v>
      </c>
      <c r="F13" s="166"/>
      <c r="G13" s="71" t="s">
        <v>548</v>
      </c>
      <c r="H13" s="165" t="s">
        <v>565</v>
      </c>
      <c r="I13" s="166"/>
      <c r="J13" s="5"/>
    </row>
    <row r="14" spans="1:10" ht="15" customHeight="1">
      <c r="A14" s="72" t="s">
        <v>524</v>
      </c>
      <c r="B14" s="76" t="s">
        <v>536</v>
      </c>
      <c r="C14" s="79">
        <f>SUM('Stavební rozpočet'!AB12:AB253)</f>
        <v>0</v>
      </c>
      <c r="D14" s="161" t="s">
        <v>539</v>
      </c>
      <c r="E14" s="162"/>
      <c r="F14" s="79">
        <f>VORN!I15</f>
        <v>0</v>
      </c>
      <c r="G14" s="161" t="s">
        <v>549</v>
      </c>
      <c r="H14" s="162"/>
      <c r="I14" s="79">
        <f>VORN!I21</f>
        <v>0</v>
      </c>
      <c r="J14" s="5"/>
    </row>
    <row r="15" spans="1:10" ht="15" customHeight="1">
      <c r="A15" s="73"/>
      <c r="B15" s="76" t="s">
        <v>473</v>
      </c>
      <c r="C15" s="79">
        <f>SUM('Stavební rozpočet'!AC12:AC253)</f>
        <v>0</v>
      </c>
      <c r="D15" s="161" t="s">
        <v>540</v>
      </c>
      <c r="E15" s="162"/>
      <c r="F15" s="79">
        <f>VORN!I16</f>
        <v>0</v>
      </c>
      <c r="G15" s="161" t="s">
        <v>550</v>
      </c>
      <c r="H15" s="162"/>
      <c r="I15" s="79">
        <f>VORN!I22</f>
        <v>0</v>
      </c>
      <c r="J15" s="5"/>
    </row>
    <row r="16" spans="1:10" ht="15" customHeight="1">
      <c r="A16" s="72" t="s">
        <v>525</v>
      </c>
      <c r="B16" s="76" t="s">
        <v>536</v>
      </c>
      <c r="C16" s="79">
        <f>SUM('Stavební rozpočet'!AD12:AD253)</f>
        <v>0</v>
      </c>
      <c r="D16" s="161" t="s">
        <v>541</v>
      </c>
      <c r="E16" s="162"/>
      <c r="F16" s="79">
        <f>VORN!I17</f>
        <v>0</v>
      </c>
      <c r="G16" s="161" t="s">
        <v>551</v>
      </c>
      <c r="H16" s="162"/>
      <c r="I16" s="79">
        <f>VORN!I23</f>
        <v>0</v>
      </c>
      <c r="J16" s="5"/>
    </row>
    <row r="17" spans="1:10" ht="15" customHeight="1">
      <c r="A17" s="73"/>
      <c r="B17" s="76" t="s">
        <v>473</v>
      </c>
      <c r="C17" s="79">
        <f>SUM('Stavební rozpočet'!AE12:AE253)</f>
        <v>0</v>
      </c>
      <c r="D17" s="161"/>
      <c r="E17" s="162"/>
      <c r="F17" s="80"/>
      <c r="G17" s="161" t="s">
        <v>552</v>
      </c>
      <c r="H17" s="162"/>
      <c r="I17" s="79">
        <f>VORN!I24</f>
        <v>0</v>
      </c>
      <c r="J17" s="5"/>
    </row>
    <row r="18" spans="1:10" ht="15" customHeight="1">
      <c r="A18" s="72" t="s">
        <v>526</v>
      </c>
      <c r="B18" s="76" t="s">
        <v>536</v>
      </c>
      <c r="C18" s="79">
        <f>SUM('Stavební rozpočet'!AF12:AF253)</f>
        <v>0</v>
      </c>
      <c r="D18" s="161"/>
      <c r="E18" s="162"/>
      <c r="F18" s="80"/>
      <c r="G18" s="161" t="s">
        <v>553</v>
      </c>
      <c r="H18" s="162"/>
      <c r="I18" s="79">
        <f>VORN!I25</f>
        <v>0</v>
      </c>
      <c r="J18" s="5"/>
    </row>
    <row r="19" spans="1:10" ht="15" customHeight="1">
      <c r="A19" s="73"/>
      <c r="B19" s="76" t="s">
        <v>473</v>
      </c>
      <c r="C19" s="79">
        <f>SUM('Stavební rozpočet'!AG12:AG253)</f>
        <v>0</v>
      </c>
      <c r="D19" s="161"/>
      <c r="E19" s="162"/>
      <c r="F19" s="80"/>
      <c r="G19" s="161" t="s">
        <v>554</v>
      </c>
      <c r="H19" s="162"/>
      <c r="I19" s="79">
        <f>VORN!I26</f>
        <v>0</v>
      </c>
      <c r="J19" s="5"/>
    </row>
    <row r="20" spans="1:10" ht="15" customHeight="1">
      <c r="A20" s="159" t="s">
        <v>527</v>
      </c>
      <c r="B20" s="160"/>
      <c r="C20" s="79">
        <f>SUM('Stavební rozpočet'!AH12:AH253)</f>
        <v>0</v>
      </c>
      <c r="D20" s="161"/>
      <c r="E20" s="162"/>
      <c r="F20" s="80"/>
      <c r="G20" s="161"/>
      <c r="H20" s="162"/>
      <c r="I20" s="80"/>
      <c r="J20" s="5"/>
    </row>
    <row r="21" spans="1:10" ht="15" customHeight="1">
      <c r="A21" s="159" t="s">
        <v>528</v>
      </c>
      <c r="B21" s="160"/>
      <c r="C21" s="79">
        <f>SUM('Stavební rozpočet'!Z12:Z253)</f>
        <v>0</v>
      </c>
      <c r="D21" s="161"/>
      <c r="E21" s="162"/>
      <c r="F21" s="80"/>
      <c r="G21" s="161"/>
      <c r="H21" s="162"/>
      <c r="I21" s="80"/>
      <c r="J21" s="5"/>
    </row>
    <row r="22" spans="1:10" ht="16.5" customHeight="1">
      <c r="A22" s="159" t="s">
        <v>529</v>
      </c>
      <c r="B22" s="160"/>
      <c r="C22" s="79">
        <f>ROUND(SUM(C14:C21),0)</f>
        <v>0</v>
      </c>
      <c r="D22" s="159" t="s">
        <v>542</v>
      </c>
      <c r="E22" s="160"/>
      <c r="F22" s="79">
        <f>SUM(F14:F21)</f>
        <v>0</v>
      </c>
      <c r="G22" s="159" t="s">
        <v>555</v>
      </c>
      <c r="H22" s="160"/>
      <c r="I22" s="79">
        <f>SUM(I14:I21)</f>
        <v>0</v>
      </c>
      <c r="J22" s="5"/>
    </row>
    <row r="23" spans="1:10" ht="15" customHeight="1">
      <c r="A23" s="9"/>
      <c r="B23" s="9"/>
      <c r="C23" s="78"/>
      <c r="D23" s="159" t="s">
        <v>543</v>
      </c>
      <c r="E23" s="160"/>
      <c r="F23" s="81">
        <v>0</v>
      </c>
      <c r="G23" s="159" t="s">
        <v>556</v>
      </c>
      <c r="H23" s="160"/>
      <c r="I23" s="79">
        <v>0</v>
      </c>
      <c r="J23" s="5"/>
    </row>
    <row r="24" spans="4:10" ht="15" customHeight="1">
      <c r="D24" s="9"/>
      <c r="E24" s="9"/>
      <c r="F24" s="82"/>
      <c r="G24" s="159" t="s">
        <v>557</v>
      </c>
      <c r="H24" s="160"/>
      <c r="I24" s="79">
        <f>vorn_sum</f>
        <v>0</v>
      </c>
      <c r="J24" s="5"/>
    </row>
    <row r="25" spans="6:10" ht="15" customHeight="1">
      <c r="F25" s="41"/>
      <c r="G25" s="159" t="s">
        <v>558</v>
      </c>
      <c r="H25" s="160"/>
      <c r="I25" s="79">
        <v>0</v>
      </c>
      <c r="J25" s="5"/>
    </row>
    <row r="26" spans="1:9" ht="12.75">
      <c r="A26" s="17"/>
      <c r="B26" s="17"/>
      <c r="C26" s="17"/>
      <c r="G26" s="9"/>
      <c r="H26" s="9"/>
      <c r="I26" s="9"/>
    </row>
    <row r="27" spans="1:9" ht="15" customHeight="1">
      <c r="A27" s="154" t="s">
        <v>530</v>
      </c>
      <c r="B27" s="155"/>
      <c r="C27" s="83">
        <f>ROUND(SUM('Stavební rozpočet'!AJ12:AJ253),0)</f>
        <v>0</v>
      </c>
      <c r="D27" s="8"/>
      <c r="E27" s="17"/>
      <c r="F27" s="17"/>
      <c r="G27" s="17"/>
      <c r="H27" s="17"/>
      <c r="I27" s="17"/>
    </row>
    <row r="28" spans="1:10" ht="15" customHeight="1">
      <c r="A28" s="154" t="s">
        <v>531</v>
      </c>
      <c r="B28" s="155"/>
      <c r="C28" s="83">
        <f>ROUND(SUM('Stavební rozpočet'!AK12:AK253),0)</f>
        <v>0</v>
      </c>
      <c r="D28" s="154" t="s">
        <v>544</v>
      </c>
      <c r="E28" s="155"/>
      <c r="F28" s="83">
        <f>ROUND(C28*(15/100),2)</f>
        <v>0</v>
      </c>
      <c r="G28" s="154" t="s">
        <v>559</v>
      </c>
      <c r="H28" s="155"/>
      <c r="I28" s="83">
        <f>ROUND(SUM(C27:C29),0)</f>
        <v>0</v>
      </c>
      <c r="J28" s="5"/>
    </row>
    <row r="29" spans="1:10" ht="15" customHeight="1">
      <c r="A29" s="154" t="s">
        <v>532</v>
      </c>
      <c r="B29" s="155"/>
      <c r="C29" s="83">
        <f>ROUND(SUM('Stavební rozpočet'!AL12:AL253)+(F22+I22+F23+I23+I24+I25),0)</f>
        <v>0</v>
      </c>
      <c r="D29" s="154" t="s">
        <v>545</v>
      </c>
      <c r="E29" s="155"/>
      <c r="F29" s="83">
        <f>ROUND(C29*(21/100),2)</f>
        <v>0</v>
      </c>
      <c r="G29" s="154" t="s">
        <v>560</v>
      </c>
      <c r="H29" s="155"/>
      <c r="I29" s="83">
        <f>ROUND(SUM(F28:F29)+I28,0)</f>
        <v>0</v>
      </c>
      <c r="J29" s="5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10" ht="14.25" customHeight="1">
      <c r="A31" s="156" t="s">
        <v>533</v>
      </c>
      <c r="B31" s="157"/>
      <c r="C31" s="158"/>
      <c r="D31" s="156" t="s">
        <v>546</v>
      </c>
      <c r="E31" s="157"/>
      <c r="F31" s="158"/>
      <c r="G31" s="156" t="s">
        <v>561</v>
      </c>
      <c r="H31" s="157"/>
      <c r="I31" s="158"/>
      <c r="J31" s="45"/>
    </row>
    <row r="32" spans="1:10" ht="14.25" customHeight="1">
      <c r="A32" s="148"/>
      <c r="B32" s="149"/>
      <c r="C32" s="150"/>
      <c r="D32" s="148"/>
      <c r="E32" s="149"/>
      <c r="F32" s="150"/>
      <c r="G32" s="148"/>
      <c r="H32" s="149"/>
      <c r="I32" s="150"/>
      <c r="J32" s="45"/>
    </row>
    <row r="33" spans="1:10" ht="14.25" customHeight="1">
      <c r="A33" s="148"/>
      <c r="B33" s="149"/>
      <c r="C33" s="150"/>
      <c r="D33" s="148"/>
      <c r="E33" s="149"/>
      <c r="F33" s="150"/>
      <c r="G33" s="148"/>
      <c r="H33" s="149"/>
      <c r="I33" s="150"/>
      <c r="J33" s="45"/>
    </row>
    <row r="34" spans="1:10" ht="14.25" customHeight="1">
      <c r="A34" s="148"/>
      <c r="B34" s="149"/>
      <c r="C34" s="150"/>
      <c r="D34" s="148"/>
      <c r="E34" s="149"/>
      <c r="F34" s="150"/>
      <c r="G34" s="148"/>
      <c r="H34" s="149"/>
      <c r="I34" s="150"/>
      <c r="J34" s="45"/>
    </row>
    <row r="35" spans="1:10" ht="14.25" customHeight="1">
      <c r="A35" s="151" t="s">
        <v>534</v>
      </c>
      <c r="B35" s="152"/>
      <c r="C35" s="153"/>
      <c r="D35" s="151" t="s">
        <v>534</v>
      </c>
      <c r="E35" s="152"/>
      <c r="F35" s="153"/>
      <c r="G35" s="151" t="s">
        <v>534</v>
      </c>
      <c r="H35" s="152"/>
      <c r="I35" s="153"/>
      <c r="J35" s="45"/>
    </row>
    <row r="36" spans="1:9" ht="11.25" customHeight="1">
      <c r="A36" s="75" t="s">
        <v>119</v>
      </c>
      <c r="B36" s="77"/>
      <c r="C36" s="77"/>
      <c r="D36" s="77"/>
      <c r="E36" s="77"/>
      <c r="F36" s="77"/>
      <c r="G36" s="77"/>
      <c r="H36" s="77"/>
      <c r="I36" s="77"/>
    </row>
    <row r="37" spans="1:9" ht="12.75">
      <c r="A37" s="124"/>
      <c r="B37" s="121"/>
      <c r="C37" s="121"/>
      <c r="D37" s="121"/>
      <c r="E37" s="121"/>
      <c r="F37" s="121"/>
      <c r="G37" s="121"/>
      <c r="H37" s="121"/>
      <c r="I37" s="121"/>
    </row>
  </sheetData>
  <sheetProtection/>
  <mergeCells count="83"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H21" sqref="H2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47" t="s">
        <v>574</v>
      </c>
      <c r="B1" s="147"/>
      <c r="C1" s="147"/>
      <c r="D1" s="147"/>
      <c r="E1" s="147"/>
      <c r="F1" s="147"/>
      <c r="G1" s="147"/>
      <c r="H1" s="147"/>
      <c r="I1" s="147"/>
    </row>
    <row r="2" spans="1:10" ht="12.75">
      <c r="A2" s="131" t="s">
        <v>1</v>
      </c>
      <c r="B2" s="132"/>
      <c r="C2" s="146" t="str">
        <f>'Stavební rozpočet'!D2</f>
        <v>STAVEBNÍ ÚPRAVY ČÁSTI TĚLOCVIČNY GYMNÁZIA K.V.RAISE A SOU</v>
      </c>
      <c r="D2" s="104"/>
      <c r="E2" s="136" t="s">
        <v>464</v>
      </c>
      <c r="F2" s="136" t="str">
        <f>'Stavební rozpočet'!J2</f>
        <v>Gymnázium K.V.Raise, Hlinsko</v>
      </c>
      <c r="G2" s="132"/>
      <c r="H2" s="136" t="s">
        <v>562</v>
      </c>
      <c r="I2" s="171"/>
      <c r="J2" s="5"/>
    </row>
    <row r="3" spans="1:10" ht="25.5" customHeight="1">
      <c r="A3" s="128"/>
      <c r="B3" s="121"/>
      <c r="C3" s="134"/>
      <c r="D3" s="134"/>
      <c r="E3" s="121"/>
      <c r="F3" s="121"/>
      <c r="G3" s="121"/>
      <c r="H3" s="121"/>
      <c r="I3" s="126"/>
      <c r="J3" s="5"/>
    </row>
    <row r="4" spans="1:10" ht="12.75">
      <c r="A4" s="120" t="s">
        <v>2</v>
      </c>
      <c r="B4" s="121"/>
      <c r="C4" s="124" t="str">
        <f>'Stavební rozpočet'!D4</f>
        <v>Stavební úpravy</v>
      </c>
      <c r="D4" s="121"/>
      <c r="E4" s="124" t="s">
        <v>465</v>
      </c>
      <c r="F4" s="124" t="str">
        <f>'Stavební rozpočet'!J4</f>
        <v> </v>
      </c>
      <c r="G4" s="121"/>
      <c r="H4" s="124" t="s">
        <v>562</v>
      </c>
      <c r="I4" s="170"/>
      <c r="J4" s="5"/>
    </row>
    <row r="5" spans="1:10" ht="12.75">
      <c r="A5" s="128"/>
      <c r="B5" s="121"/>
      <c r="C5" s="121"/>
      <c r="D5" s="121"/>
      <c r="E5" s="121"/>
      <c r="F5" s="121"/>
      <c r="G5" s="121"/>
      <c r="H5" s="121"/>
      <c r="I5" s="126"/>
      <c r="J5" s="5"/>
    </row>
    <row r="6" spans="1:10" ht="12.75">
      <c r="A6" s="120" t="s">
        <v>3</v>
      </c>
      <c r="B6" s="121"/>
      <c r="C6" s="124" t="str">
        <f>'Stavební rozpočet'!D6</f>
        <v>Hlinsko, Adámkova 55</v>
      </c>
      <c r="D6" s="121"/>
      <c r="E6" s="124" t="s">
        <v>466</v>
      </c>
      <c r="F6" s="124" t="str">
        <f>'Stavební rozpočet'!J6</f>
        <v> </v>
      </c>
      <c r="G6" s="121"/>
      <c r="H6" s="124" t="s">
        <v>562</v>
      </c>
      <c r="I6" s="170"/>
      <c r="J6" s="5"/>
    </row>
    <row r="7" spans="1:10" ht="12.75">
      <c r="A7" s="128"/>
      <c r="B7" s="121"/>
      <c r="C7" s="121"/>
      <c r="D7" s="121"/>
      <c r="E7" s="121"/>
      <c r="F7" s="121"/>
      <c r="G7" s="121"/>
      <c r="H7" s="121"/>
      <c r="I7" s="126"/>
      <c r="J7" s="5"/>
    </row>
    <row r="8" spans="1:10" ht="12.75">
      <c r="A8" s="120" t="s">
        <v>449</v>
      </c>
      <c r="B8" s="121"/>
      <c r="C8" s="124" t="str">
        <f>'Stavební rozpočet'!H4</f>
        <v> </v>
      </c>
      <c r="D8" s="121"/>
      <c r="E8" s="124" t="s">
        <v>450</v>
      </c>
      <c r="F8" s="124" t="str">
        <f>'Stavební rozpočet'!H6</f>
        <v> </v>
      </c>
      <c r="G8" s="121"/>
      <c r="H8" s="125" t="s">
        <v>563</v>
      </c>
      <c r="I8" s="170" t="s">
        <v>118</v>
      </c>
      <c r="J8" s="5"/>
    </row>
    <row r="9" spans="1:10" ht="12.75">
      <c r="A9" s="128"/>
      <c r="B9" s="121"/>
      <c r="C9" s="121"/>
      <c r="D9" s="121"/>
      <c r="E9" s="121"/>
      <c r="F9" s="121"/>
      <c r="G9" s="121"/>
      <c r="H9" s="121"/>
      <c r="I9" s="126"/>
      <c r="J9" s="5"/>
    </row>
    <row r="10" spans="1:10" ht="12.75">
      <c r="A10" s="120" t="s">
        <v>4</v>
      </c>
      <c r="B10" s="121"/>
      <c r="C10" s="124">
        <f>'Stavební rozpočet'!D8</f>
        <v>8013</v>
      </c>
      <c r="D10" s="121"/>
      <c r="E10" s="124" t="s">
        <v>467</v>
      </c>
      <c r="F10" s="124" t="str">
        <f>'Stavební rozpočet'!J8</f>
        <v> </v>
      </c>
      <c r="G10" s="121"/>
      <c r="H10" s="125" t="s">
        <v>564</v>
      </c>
      <c r="I10" s="168" t="str">
        <f>'Stavební rozpočet'!H8</f>
        <v>06.03.2023</v>
      </c>
      <c r="J10" s="5"/>
    </row>
    <row r="11" spans="1:10" ht="12.75">
      <c r="A11" s="167"/>
      <c r="B11" s="139"/>
      <c r="C11" s="139"/>
      <c r="D11" s="139"/>
      <c r="E11" s="139"/>
      <c r="F11" s="139"/>
      <c r="G11" s="139"/>
      <c r="H11" s="139"/>
      <c r="I11" s="169"/>
      <c r="J11" s="5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184" t="s">
        <v>566</v>
      </c>
      <c r="B13" s="185"/>
      <c r="C13" s="185"/>
      <c r="D13" s="185"/>
      <c r="E13" s="185"/>
      <c r="F13" s="85"/>
      <c r="G13" s="85"/>
      <c r="H13" s="85"/>
      <c r="I13" s="85"/>
    </row>
    <row r="14" spans="1:10" ht="12.75">
      <c r="A14" s="186" t="s">
        <v>567</v>
      </c>
      <c r="B14" s="187"/>
      <c r="C14" s="187"/>
      <c r="D14" s="187"/>
      <c r="E14" s="188"/>
      <c r="F14" s="86" t="s">
        <v>575</v>
      </c>
      <c r="G14" s="86" t="s">
        <v>576</v>
      </c>
      <c r="H14" s="86" t="s">
        <v>577</v>
      </c>
      <c r="I14" s="86" t="s">
        <v>575</v>
      </c>
      <c r="J14" s="45"/>
    </row>
    <row r="15" spans="1:10" ht="12.75">
      <c r="A15" s="189" t="s">
        <v>539</v>
      </c>
      <c r="B15" s="190"/>
      <c r="C15" s="190"/>
      <c r="D15" s="190"/>
      <c r="E15" s="191"/>
      <c r="F15" s="87">
        <v>0</v>
      </c>
      <c r="G15" s="90"/>
      <c r="H15" s="90"/>
      <c r="I15" s="87">
        <f>F15</f>
        <v>0</v>
      </c>
      <c r="J15" s="5"/>
    </row>
    <row r="16" spans="1:10" ht="12.75">
      <c r="A16" s="189" t="s">
        <v>540</v>
      </c>
      <c r="B16" s="190"/>
      <c r="C16" s="190"/>
      <c r="D16" s="190"/>
      <c r="E16" s="191"/>
      <c r="F16" s="87">
        <v>0</v>
      </c>
      <c r="G16" s="90"/>
      <c r="H16" s="90"/>
      <c r="I16" s="87">
        <f>F16</f>
        <v>0</v>
      </c>
      <c r="J16" s="5"/>
    </row>
    <row r="17" spans="1:10" ht="12.75">
      <c r="A17" s="172" t="s">
        <v>541</v>
      </c>
      <c r="B17" s="173"/>
      <c r="C17" s="173"/>
      <c r="D17" s="173"/>
      <c r="E17" s="174"/>
      <c r="F17" s="88">
        <v>0</v>
      </c>
      <c r="G17" s="91"/>
      <c r="H17" s="91"/>
      <c r="I17" s="88">
        <f>F17</f>
        <v>0</v>
      </c>
      <c r="J17" s="5"/>
    </row>
    <row r="18" spans="1:10" ht="12.75">
      <c r="A18" s="175" t="s">
        <v>568</v>
      </c>
      <c r="B18" s="176"/>
      <c r="C18" s="176"/>
      <c r="D18" s="176"/>
      <c r="E18" s="177"/>
      <c r="F18" s="89"/>
      <c r="G18" s="92"/>
      <c r="H18" s="92"/>
      <c r="I18" s="93">
        <f>SUM(I15:I17)</f>
        <v>0</v>
      </c>
      <c r="J18" s="45"/>
    </row>
    <row r="19" spans="1:9" ht="12.75">
      <c r="A19" s="84"/>
      <c r="B19" s="84"/>
      <c r="C19" s="84"/>
      <c r="D19" s="84"/>
      <c r="E19" s="84"/>
      <c r="F19" s="84"/>
      <c r="G19" s="84"/>
      <c r="H19" s="84"/>
      <c r="I19" s="84"/>
    </row>
    <row r="20" spans="1:10" ht="12.75">
      <c r="A20" s="186" t="s">
        <v>565</v>
      </c>
      <c r="B20" s="187"/>
      <c r="C20" s="187"/>
      <c r="D20" s="187"/>
      <c r="E20" s="188"/>
      <c r="F20" s="86" t="s">
        <v>575</v>
      </c>
      <c r="G20" s="86" t="s">
        <v>576</v>
      </c>
      <c r="H20" s="86" t="s">
        <v>577</v>
      </c>
      <c r="I20" s="86" t="s">
        <v>575</v>
      </c>
      <c r="J20" s="45"/>
    </row>
    <row r="21" spans="1:10" ht="12.75">
      <c r="A21" s="189" t="s">
        <v>549</v>
      </c>
      <c r="B21" s="190"/>
      <c r="C21" s="190"/>
      <c r="D21" s="190"/>
      <c r="E21" s="191"/>
      <c r="F21" s="87">
        <v>0</v>
      </c>
      <c r="G21" s="87">
        <v>2</v>
      </c>
      <c r="H21" s="87">
        <f>'Stavební rozpočet'!K254</f>
        <v>0</v>
      </c>
      <c r="I21" s="87">
        <f>G21*H21/100</f>
        <v>0</v>
      </c>
      <c r="J21" s="5"/>
    </row>
    <row r="22" spans="1:10" ht="12.75">
      <c r="A22" s="189" t="s">
        <v>550</v>
      </c>
      <c r="B22" s="190"/>
      <c r="C22" s="190"/>
      <c r="D22" s="190"/>
      <c r="E22" s="191"/>
      <c r="F22" s="87">
        <v>0</v>
      </c>
      <c r="G22" s="90"/>
      <c r="H22" s="90"/>
      <c r="I22" s="87">
        <f aca="true" t="shared" si="0" ref="I21:I26">F22</f>
        <v>0</v>
      </c>
      <c r="J22" s="5"/>
    </row>
    <row r="23" spans="1:10" ht="12.75">
      <c r="A23" s="189" t="s">
        <v>551</v>
      </c>
      <c r="B23" s="190"/>
      <c r="C23" s="190"/>
      <c r="D23" s="190"/>
      <c r="E23" s="191"/>
      <c r="F23" s="87">
        <v>0</v>
      </c>
      <c r="G23" s="90"/>
      <c r="H23" s="90"/>
      <c r="I23" s="87">
        <f t="shared" si="0"/>
        <v>0</v>
      </c>
      <c r="J23" s="5"/>
    </row>
    <row r="24" spans="1:10" ht="12.75">
      <c r="A24" s="189" t="s">
        <v>552</v>
      </c>
      <c r="B24" s="190"/>
      <c r="C24" s="190"/>
      <c r="D24" s="190"/>
      <c r="E24" s="191"/>
      <c r="F24" s="87">
        <v>0</v>
      </c>
      <c r="G24" s="90"/>
      <c r="H24" s="90"/>
      <c r="I24" s="87">
        <f t="shared" si="0"/>
        <v>0</v>
      </c>
      <c r="J24" s="5"/>
    </row>
    <row r="25" spans="1:10" ht="12.75">
      <c r="A25" s="189" t="s">
        <v>553</v>
      </c>
      <c r="B25" s="190"/>
      <c r="C25" s="190"/>
      <c r="D25" s="190"/>
      <c r="E25" s="191"/>
      <c r="F25" s="87">
        <v>0</v>
      </c>
      <c r="G25" s="90"/>
      <c r="H25" s="90"/>
      <c r="I25" s="87">
        <f t="shared" si="0"/>
        <v>0</v>
      </c>
      <c r="J25" s="5"/>
    </row>
    <row r="26" spans="1:10" ht="12.75">
      <c r="A26" s="172" t="s">
        <v>554</v>
      </c>
      <c r="B26" s="173"/>
      <c r="C26" s="173"/>
      <c r="D26" s="173"/>
      <c r="E26" s="174"/>
      <c r="F26" s="88">
        <v>0</v>
      </c>
      <c r="G26" s="91"/>
      <c r="H26" s="91"/>
      <c r="I26" s="88">
        <f t="shared" si="0"/>
        <v>0</v>
      </c>
      <c r="J26" s="5"/>
    </row>
    <row r="27" spans="1:10" ht="12.75">
      <c r="A27" s="175" t="s">
        <v>569</v>
      </c>
      <c r="B27" s="176"/>
      <c r="C27" s="176"/>
      <c r="D27" s="176"/>
      <c r="E27" s="177"/>
      <c r="F27" s="89"/>
      <c r="G27" s="92"/>
      <c r="H27" s="92"/>
      <c r="I27" s="93">
        <f>SUM(I21:I26)</f>
        <v>0</v>
      </c>
      <c r="J27" s="45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  <row r="29" spans="1:10" ht="15" customHeight="1">
      <c r="A29" s="178" t="s">
        <v>570</v>
      </c>
      <c r="B29" s="179"/>
      <c r="C29" s="179"/>
      <c r="D29" s="179"/>
      <c r="E29" s="180"/>
      <c r="F29" s="181">
        <f>I18+I27</f>
        <v>0</v>
      </c>
      <c r="G29" s="182"/>
      <c r="H29" s="182"/>
      <c r="I29" s="183"/>
      <c r="J29" s="45"/>
    </row>
    <row r="30" spans="1:9" ht="12.75">
      <c r="A30" s="77"/>
      <c r="B30" s="77"/>
      <c r="C30" s="77"/>
      <c r="D30" s="77"/>
      <c r="E30" s="77"/>
      <c r="F30" s="77"/>
      <c r="G30" s="77"/>
      <c r="H30" s="77"/>
      <c r="I30" s="77"/>
    </row>
    <row r="33" spans="1:9" ht="15" customHeight="1">
      <c r="A33" s="184" t="s">
        <v>571</v>
      </c>
      <c r="B33" s="185"/>
      <c r="C33" s="185"/>
      <c r="D33" s="185"/>
      <c r="E33" s="185"/>
      <c r="F33" s="85"/>
      <c r="G33" s="85"/>
      <c r="H33" s="85"/>
      <c r="I33" s="85"/>
    </row>
    <row r="34" spans="1:10" ht="12.75">
      <c r="A34" s="186" t="s">
        <v>572</v>
      </c>
      <c r="B34" s="187"/>
      <c r="C34" s="187"/>
      <c r="D34" s="187"/>
      <c r="E34" s="188"/>
      <c r="F34" s="86" t="s">
        <v>575</v>
      </c>
      <c r="G34" s="86" t="s">
        <v>576</v>
      </c>
      <c r="H34" s="86" t="s">
        <v>577</v>
      </c>
      <c r="I34" s="86" t="s">
        <v>575</v>
      </c>
      <c r="J34" s="45"/>
    </row>
    <row r="35" spans="1:10" ht="12.75">
      <c r="A35" s="172"/>
      <c r="B35" s="173"/>
      <c r="C35" s="173"/>
      <c r="D35" s="173"/>
      <c r="E35" s="174"/>
      <c r="F35" s="88">
        <v>0</v>
      </c>
      <c r="G35" s="91"/>
      <c r="H35" s="91"/>
      <c r="I35" s="88">
        <f>F35</f>
        <v>0</v>
      </c>
      <c r="J35" s="5"/>
    </row>
    <row r="36" spans="1:10" ht="12.75">
      <c r="A36" s="175" t="s">
        <v>573</v>
      </c>
      <c r="B36" s="176"/>
      <c r="C36" s="176"/>
      <c r="D36" s="176"/>
      <c r="E36" s="177"/>
      <c r="F36" s="89"/>
      <c r="G36" s="92"/>
      <c r="H36" s="92"/>
      <c r="I36" s="93">
        <f>SUM(I35:I35)</f>
        <v>0</v>
      </c>
      <c r="J36" s="45"/>
    </row>
    <row r="37" spans="1:9" ht="12.75">
      <c r="A37" s="77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51"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H10:H11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35:E35"/>
    <mergeCell ref="A36:E36"/>
    <mergeCell ref="A1:I1"/>
    <mergeCell ref="A26:E26"/>
    <mergeCell ref="A27:E27"/>
    <mergeCell ref="A29:E29"/>
    <mergeCell ref="F29:I29"/>
    <mergeCell ref="A33:E33"/>
    <mergeCell ref="A34:E34"/>
    <mergeCell ref="A20:E2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6384" width="9.140625" style="98" customWidth="1"/>
  </cols>
  <sheetData>
    <row r="1" spans="1:7" ht="12.75">
      <c r="A1" s="96" t="s">
        <v>581</v>
      </c>
      <c r="B1" s="97"/>
      <c r="C1" s="97"/>
      <c r="D1" s="97"/>
      <c r="E1" s="97"/>
      <c r="F1" s="97"/>
      <c r="G1" s="97"/>
    </row>
    <row r="2" spans="1:7" ht="54" customHeight="1">
      <c r="A2" s="192" t="s">
        <v>582</v>
      </c>
      <c r="B2" s="192"/>
      <c r="C2" s="192"/>
      <c r="D2" s="192"/>
      <c r="E2" s="192"/>
      <c r="F2" s="192"/>
      <c r="G2" s="192"/>
    </row>
    <row r="4" ht="12.75">
      <c r="A4" s="99" t="s">
        <v>583</v>
      </c>
    </row>
    <row r="5" ht="12.75">
      <c r="A5" s="100" t="s">
        <v>584</v>
      </c>
    </row>
    <row r="6" ht="12.75">
      <c r="A6" s="100" t="s">
        <v>585</v>
      </c>
    </row>
    <row r="7" ht="12.75">
      <c r="A7" s="100" t="s">
        <v>586</v>
      </c>
    </row>
    <row r="8" ht="12.75">
      <c r="A8" s="100" t="s">
        <v>587</v>
      </c>
    </row>
    <row r="9" ht="12.75">
      <c r="A9" s="100" t="s">
        <v>588</v>
      </c>
    </row>
    <row r="10" ht="12.75">
      <c r="A10" s="100" t="s">
        <v>589</v>
      </c>
    </row>
    <row r="11" ht="12.75">
      <c r="A11" s="100" t="s">
        <v>590</v>
      </c>
    </row>
    <row r="12" ht="12.75">
      <c r="A12" s="100" t="s">
        <v>591</v>
      </c>
    </row>
    <row r="13" ht="12.75">
      <c r="A13" s="100" t="s">
        <v>592</v>
      </c>
    </row>
    <row r="14" ht="12.75">
      <c r="A14" s="100" t="s">
        <v>593</v>
      </c>
    </row>
    <row r="15" ht="12.75">
      <c r="A15" s="100" t="s">
        <v>594</v>
      </c>
    </row>
    <row r="16" ht="12.75">
      <c r="A16" s="100" t="s">
        <v>595</v>
      </c>
    </row>
    <row r="17" ht="12.75">
      <c r="A17" s="100" t="s">
        <v>596</v>
      </c>
    </row>
    <row r="18" ht="12.75">
      <c r="A18" s="100" t="s">
        <v>597</v>
      </c>
    </row>
    <row r="19" ht="12.75">
      <c r="A19" s="100" t="s">
        <v>598</v>
      </c>
    </row>
    <row r="20" ht="12.75">
      <c r="A20" s="100" t="s">
        <v>599</v>
      </c>
    </row>
    <row r="21" ht="12.75">
      <c r="A21" s="100" t="s">
        <v>600</v>
      </c>
    </row>
    <row r="22" ht="12.75">
      <c r="A22" s="100" t="s">
        <v>601</v>
      </c>
    </row>
    <row r="23" ht="12.75">
      <c r="A23" s="100" t="s">
        <v>602</v>
      </c>
    </row>
    <row r="24" ht="12.75">
      <c r="A24" s="100" t="s">
        <v>603</v>
      </c>
    </row>
    <row r="25" ht="12.75">
      <c r="A25" s="100" t="s">
        <v>604</v>
      </c>
    </row>
    <row r="26" ht="12.75">
      <c r="A26" s="100" t="s">
        <v>605</v>
      </c>
    </row>
    <row r="27" ht="12.75">
      <c r="A27" s="100" t="s">
        <v>606</v>
      </c>
    </row>
    <row r="28" ht="12.75">
      <c r="A28" s="100" t="s">
        <v>607</v>
      </c>
    </row>
    <row r="29" ht="12.75">
      <c r="A29" s="100" t="s">
        <v>608</v>
      </c>
    </row>
    <row r="30" ht="12.75">
      <c r="A30" s="100" t="s">
        <v>609</v>
      </c>
    </row>
    <row r="31" ht="12.75">
      <c r="A31" s="100" t="s">
        <v>610</v>
      </c>
    </row>
    <row r="32" ht="12.75">
      <c r="A32" s="100" t="s">
        <v>611</v>
      </c>
    </row>
    <row r="33" ht="12.75">
      <c r="A33" s="100" t="s">
        <v>612</v>
      </c>
    </row>
    <row r="34" ht="12.75">
      <c r="A34" s="100" t="s">
        <v>613</v>
      </c>
    </row>
    <row r="35" ht="12.75">
      <c r="A35" s="100" t="s">
        <v>614</v>
      </c>
    </row>
    <row r="36" ht="12.75">
      <c r="A36" s="100" t="s">
        <v>615</v>
      </c>
    </row>
    <row r="37" ht="12.75">
      <c r="A37" s="100" t="s">
        <v>616</v>
      </c>
    </row>
    <row r="38" ht="12.75">
      <c r="A38" s="100" t="s">
        <v>617</v>
      </c>
    </row>
    <row r="39" ht="12.75">
      <c r="A39" s="100" t="s">
        <v>618</v>
      </c>
    </row>
    <row r="40" ht="12.75">
      <c r="A40" s="100" t="s">
        <v>619</v>
      </c>
    </row>
    <row r="41" ht="12.75">
      <c r="A41" s="100" t="s">
        <v>620</v>
      </c>
    </row>
    <row r="42" ht="12.75">
      <c r="A42" s="100"/>
    </row>
    <row r="43" ht="12.75">
      <c r="A43" s="100"/>
    </row>
    <row r="44" ht="12.75">
      <c r="A44" s="100"/>
    </row>
    <row r="45" ht="12.75">
      <c r="A45" s="100"/>
    </row>
    <row r="46" ht="12.75">
      <c r="A46" s="100"/>
    </row>
    <row r="47" ht="12.75">
      <c r="A47" s="100"/>
    </row>
  </sheetData>
  <sheetProtection/>
  <mergeCells count="1">
    <mergeCell ref="A2:G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2023-03-08T10:27:00Z</cp:lastPrinted>
  <dcterms:created xsi:type="dcterms:W3CDTF">2023-03-08T10:34:04Z</dcterms:created>
  <dcterms:modified xsi:type="dcterms:W3CDTF">2023-03-08T10:37:50Z</dcterms:modified>
  <cp:category/>
  <cp:version/>
  <cp:contentType/>
  <cp:contentStatus/>
</cp:coreProperties>
</file>