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360" yWindow="285" windowWidth="15480" windowHeight="7170" activeTab="3"/>
  </bookViews>
  <sheets>
    <sheet name="Stavba" sheetId="1" r:id="rId1"/>
    <sheet name="01  KL" sheetId="2" r:id="rId2"/>
    <sheet name="01  Rek" sheetId="3" r:id="rId3"/>
    <sheet name="01  Pol" sheetId="4" r:id="rId4"/>
  </sheets>
  <definedNames>
    <definedName name="CelkemObjekty" localSheetId="0">Stavba!$F$34</definedName>
    <definedName name="CisloStavby" localSheetId="0">Stavba!$D$5</definedName>
    <definedName name="dadresa" localSheetId="0">Stavba!$D$8</definedName>
    <definedName name="DIČ" localSheetId="0">Stavba!$K$8</definedName>
    <definedName name="dmisto" localSheetId="0">Stavba!$D$9</definedName>
    <definedName name="dpsc" localSheetId="0">Stavba!$C$9</definedName>
    <definedName name="IČO" localSheetId="0">Stavba!$K$7</definedName>
    <definedName name="NazevObjektu" localSheetId="0">Stavba!$C$29</definedName>
    <definedName name="NazevStavby" localSheetId="0">Stavba!$E$5</definedName>
    <definedName name="_xlnm.Print_Titles" localSheetId="3">'01  Pol'!$1:$6</definedName>
    <definedName name="_xlnm.Print_Titles" localSheetId="2">'01  Rek'!$1:$3</definedName>
    <definedName name="Objednatel" localSheetId="0">Stavba!$D$11</definedName>
    <definedName name="Objekt" localSheetId="0">Stavba!$B$29</definedName>
    <definedName name="_xlnm.Print_Area" localSheetId="1">'01  KL'!$A$1:$G$46</definedName>
    <definedName name="_xlnm.Print_Area" localSheetId="3">'01  Pol'!$A$1:$P$420</definedName>
    <definedName name="_xlnm.Print_Area" localSheetId="2">'01  Rek'!$A$1:$I$63</definedName>
    <definedName name="_xlnm.Print_Area" localSheetId="0">Stavba!$B$1:$J$40</definedName>
    <definedName name="odic" localSheetId="0">Stavba!$K$12</definedName>
    <definedName name="oico" localSheetId="0">Stavba!$K$11</definedName>
    <definedName name="omisto" localSheetId="0">Stavba!$D$13</definedName>
    <definedName name="onazev" localSheetId="0">Stavba!$D$12</definedName>
    <definedName name="opsc" localSheetId="0">Stavba!$C$13</definedName>
    <definedName name="SazbaDPH1" localSheetId="0">Stavba!$D$19</definedName>
    <definedName name="SazbaDPH2" localSheetId="0">Stavba!$D$21</definedName>
    <definedName name="solver_lin" localSheetId="3" hidden="1">0</definedName>
    <definedName name="solver_num" localSheetId="3" hidden="1">0</definedName>
    <definedName name="solver_opt" localSheetId="3" hidden="1">'01  Pol'!#REF!</definedName>
    <definedName name="solver_typ" localSheetId="3" hidden="1">1</definedName>
    <definedName name="solver_val" localSheetId="3" hidden="1">0</definedName>
    <definedName name="SoucetDilu" localSheetId="0">Stavba!#REF!</definedName>
    <definedName name="StavbaCelkem" localSheetId="0">Stavba!$H$34</definedName>
    <definedName name="Zhotovitel" localSheetId="0">Stavba!$D$7</definedName>
  </definedNames>
  <calcPr calcId="145621"/>
</workbook>
</file>

<file path=xl/calcChain.xml><?xml version="1.0" encoding="utf-8"?>
<calcChain xmlns="http://schemas.openxmlformats.org/spreadsheetml/2006/main">
  <c r="H413" i="4" l="1"/>
  <c r="H406" i="4"/>
  <c r="H396" i="4"/>
  <c r="H341" i="4"/>
  <c r="H310" i="4"/>
  <c r="F229" i="4"/>
  <c r="F225" i="4"/>
  <c r="L225" i="4" s="1"/>
  <c r="H241" i="4"/>
  <c r="H234" i="4"/>
  <c r="H207" i="4"/>
  <c r="H194" i="4"/>
  <c r="H86" i="4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H60" i="3"/>
  <c r="H32" i="3"/>
  <c r="G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B9" i="3"/>
  <c r="B8" i="3"/>
  <c r="B7" i="3"/>
  <c r="F419" i="4"/>
  <c r="I419" i="4" s="1"/>
  <c r="J419" i="4" s="1"/>
  <c r="J420" i="4"/>
  <c r="F22" i="3" s="1"/>
  <c r="F411" i="4"/>
  <c r="F412" i="4" s="1"/>
  <c r="P372" i="4"/>
  <c r="N372" i="4"/>
  <c r="L372" i="4"/>
  <c r="H372" i="4"/>
  <c r="J372" i="4"/>
  <c r="P371" i="4"/>
  <c r="N371" i="4"/>
  <c r="L371" i="4"/>
  <c r="H371" i="4"/>
  <c r="J371" i="4"/>
  <c r="P370" i="4"/>
  <c r="N370" i="4"/>
  <c r="L370" i="4"/>
  <c r="H370" i="4"/>
  <c r="J370" i="4" s="1"/>
  <c r="F357" i="4"/>
  <c r="F356" i="4"/>
  <c r="F351" i="4"/>
  <c r="F352" i="4" s="1"/>
  <c r="P348" i="4"/>
  <c r="N348" i="4"/>
  <c r="L348" i="4"/>
  <c r="F346" i="4"/>
  <c r="F347" i="4" s="1"/>
  <c r="P343" i="4"/>
  <c r="N343" i="4"/>
  <c r="L343" i="4"/>
  <c r="I343" i="4"/>
  <c r="J343" i="4" s="1"/>
  <c r="L337" i="4"/>
  <c r="F328" i="4"/>
  <c r="F329" i="4"/>
  <c r="F283" i="4"/>
  <c r="F284" i="4" s="1"/>
  <c r="F278" i="4"/>
  <c r="F269" i="4"/>
  <c r="I269" i="4" s="1"/>
  <c r="J269" i="4"/>
  <c r="F263" i="4"/>
  <c r="F262" i="4"/>
  <c r="F264" i="4" s="1"/>
  <c r="L264" i="4" s="1"/>
  <c r="F240" i="4"/>
  <c r="I240" i="4" s="1"/>
  <c r="I241" i="4" s="1"/>
  <c r="F217" i="4"/>
  <c r="F213" i="4"/>
  <c r="F204" i="4"/>
  <c r="F206" i="4" s="1"/>
  <c r="F205" i="4"/>
  <c r="F200" i="4"/>
  <c r="F193" i="4"/>
  <c r="F185" i="4"/>
  <c r="F181" i="4"/>
  <c r="I181" i="4"/>
  <c r="J181" i="4" s="1"/>
  <c r="F176" i="4"/>
  <c r="I176" i="4" s="1"/>
  <c r="J176" i="4" s="1"/>
  <c r="F171" i="4"/>
  <c r="F170" i="4"/>
  <c r="F151" i="4"/>
  <c r="F152" i="4" s="1"/>
  <c r="L152" i="4" s="1"/>
  <c r="F119" i="4"/>
  <c r="F146" i="4"/>
  <c r="F147" i="4" s="1"/>
  <c r="L147" i="4" s="1"/>
  <c r="P148" i="4"/>
  <c r="N148" i="4"/>
  <c r="L148" i="4"/>
  <c r="P142" i="4"/>
  <c r="N142" i="4"/>
  <c r="L142" i="4"/>
  <c r="F165" i="4"/>
  <c r="F166" i="4" s="1"/>
  <c r="L166" i="4" s="1"/>
  <c r="F156" i="4"/>
  <c r="F157" i="4"/>
  <c r="F158" i="4"/>
  <c r="F161" i="4" s="1"/>
  <c r="F159" i="4"/>
  <c r="F160" i="4"/>
  <c r="P162" i="4"/>
  <c r="N162" i="4"/>
  <c r="L162" i="4"/>
  <c r="F140" i="4"/>
  <c r="F139" i="4"/>
  <c r="F141" i="4"/>
  <c r="F134" i="4"/>
  <c r="F135" i="4"/>
  <c r="L135" i="4" s="1"/>
  <c r="P131" i="4"/>
  <c r="N131" i="4"/>
  <c r="L131" i="4"/>
  <c r="F129" i="4"/>
  <c r="F128" i="4"/>
  <c r="F127" i="4"/>
  <c r="F126" i="4"/>
  <c r="F125" i="4"/>
  <c r="F124" i="4"/>
  <c r="F118" i="4"/>
  <c r="F113" i="4"/>
  <c r="F111" i="4"/>
  <c r="F112" i="4"/>
  <c r="F110" i="4"/>
  <c r="F109" i="4"/>
  <c r="F108" i="4"/>
  <c r="F107" i="4"/>
  <c r="F106" i="4"/>
  <c r="F98" i="4"/>
  <c r="F96" i="4"/>
  <c r="F100" i="4" s="1"/>
  <c r="I100" i="4" s="1"/>
  <c r="J100" i="4" s="1"/>
  <c r="F97" i="4"/>
  <c r="F99" i="4"/>
  <c r="F91" i="4"/>
  <c r="F92" i="4" s="1"/>
  <c r="L92" i="4" s="1"/>
  <c r="L101" i="4" s="1"/>
  <c r="F84" i="4"/>
  <c r="F77" i="4"/>
  <c r="F76" i="4"/>
  <c r="F82" i="4"/>
  <c r="F85" i="4" s="1"/>
  <c r="F83" i="4"/>
  <c r="F75" i="4"/>
  <c r="F78" i="4" s="1"/>
  <c r="L78" i="4" s="1"/>
  <c r="F71" i="4"/>
  <c r="P67" i="4"/>
  <c r="N67" i="4"/>
  <c r="N86" i="4" s="1"/>
  <c r="L67" i="4"/>
  <c r="J67" i="4"/>
  <c r="BJ86" i="4"/>
  <c r="BI86" i="4"/>
  <c r="BH86" i="4"/>
  <c r="BG86" i="4"/>
  <c r="F64" i="4"/>
  <c r="L64" i="4"/>
  <c r="P63" i="4"/>
  <c r="N63" i="4"/>
  <c r="L63" i="4"/>
  <c r="J63" i="4"/>
  <c r="P60" i="4"/>
  <c r="N60" i="4"/>
  <c r="L60" i="4"/>
  <c r="J60" i="4"/>
  <c r="F59" i="4"/>
  <c r="P55" i="4"/>
  <c r="N55" i="4"/>
  <c r="L55" i="4"/>
  <c r="J55" i="4"/>
  <c r="F53" i="4"/>
  <c r="F54" i="4" s="1"/>
  <c r="L54" i="4" s="1"/>
  <c r="P50" i="4"/>
  <c r="N50" i="4"/>
  <c r="L50" i="4"/>
  <c r="J50" i="4"/>
  <c r="F48" i="4"/>
  <c r="P45" i="4"/>
  <c r="N45" i="4"/>
  <c r="L45" i="4"/>
  <c r="J45" i="4"/>
  <c r="H65" i="4"/>
  <c r="H43" i="4"/>
  <c r="F42" i="4"/>
  <c r="L42" i="4" s="1"/>
  <c r="P38" i="4"/>
  <c r="N38" i="4"/>
  <c r="L38" i="4"/>
  <c r="J38" i="4"/>
  <c r="F36" i="4"/>
  <c r="F37" i="4"/>
  <c r="L37" i="4" s="1"/>
  <c r="P33" i="4"/>
  <c r="N33" i="4"/>
  <c r="L33" i="4"/>
  <c r="J33" i="4"/>
  <c r="F31" i="4"/>
  <c r="P28" i="4"/>
  <c r="N28" i="4"/>
  <c r="L28" i="4"/>
  <c r="J28" i="4"/>
  <c r="F26" i="4"/>
  <c r="F27" i="4" s="1"/>
  <c r="L27" i="4" s="1"/>
  <c r="P26" i="4"/>
  <c r="P23" i="4"/>
  <c r="N23" i="4"/>
  <c r="L23" i="4"/>
  <c r="J23" i="4"/>
  <c r="F21" i="4"/>
  <c r="P18" i="4"/>
  <c r="N18" i="4"/>
  <c r="L18" i="4"/>
  <c r="J18" i="4"/>
  <c r="F16" i="4"/>
  <c r="P13" i="4"/>
  <c r="N13" i="4"/>
  <c r="N43" i="4" s="1"/>
  <c r="L13" i="4"/>
  <c r="J13" i="4"/>
  <c r="F11" i="4"/>
  <c r="J11" i="4"/>
  <c r="F12" i="4"/>
  <c r="I12" i="4" s="1"/>
  <c r="P11" i="4"/>
  <c r="N11" i="4"/>
  <c r="L11" i="4"/>
  <c r="P8" i="4"/>
  <c r="N8" i="4"/>
  <c r="L8" i="4"/>
  <c r="J8" i="4"/>
  <c r="L405" i="4"/>
  <c r="I405" i="4"/>
  <c r="J405" i="4" s="1"/>
  <c r="L401" i="4"/>
  <c r="F392" i="4"/>
  <c r="I337" i="4"/>
  <c r="J337" i="4"/>
  <c r="L333" i="4"/>
  <c r="I333" i="4"/>
  <c r="J333" i="4"/>
  <c r="L324" i="4"/>
  <c r="I324" i="4"/>
  <c r="J324" i="4" s="1"/>
  <c r="L320" i="4"/>
  <c r="I320" i="4"/>
  <c r="L321" i="4"/>
  <c r="N321" i="4"/>
  <c r="N341" i="4"/>
  <c r="P321" i="4"/>
  <c r="L325" i="4"/>
  <c r="N325" i="4"/>
  <c r="P325" i="4"/>
  <c r="I328" i="4"/>
  <c r="I330" i="4"/>
  <c r="J330" i="4" s="1"/>
  <c r="L330" i="4"/>
  <c r="N330" i="4"/>
  <c r="P330" i="4"/>
  <c r="E307" i="4"/>
  <c r="E304" i="4"/>
  <c r="E301" i="4"/>
  <c r="E298" i="4"/>
  <c r="E292" i="4"/>
  <c r="E295" i="4"/>
  <c r="F304" i="4"/>
  <c r="I304" i="4" s="1"/>
  <c r="J304" i="4" s="1"/>
  <c r="N304" i="4"/>
  <c r="L288" i="4"/>
  <c r="F279" i="4"/>
  <c r="I279" i="4" s="1"/>
  <c r="J279" i="4" s="1"/>
  <c r="I258" i="4"/>
  <c r="J258" i="4" s="1"/>
  <c r="I254" i="4"/>
  <c r="J254" i="4" s="1"/>
  <c r="I250" i="4"/>
  <c r="J250" i="4" s="1"/>
  <c r="I246" i="4"/>
  <c r="J246" i="4" s="1"/>
  <c r="L233" i="4"/>
  <c r="L221" i="4"/>
  <c r="L217" i="4"/>
  <c r="A12" i="3"/>
  <c r="B12" i="3"/>
  <c r="A13" i="3"/>
  <c r="H420" i="4"/>
  <c r="H101" i="4"/>
  <c r="H368" i="4"/>
  <c r="J368" i="4" s="1"/>
  <c r="H367" i="4"/>
  <c r="J367" i="4" s="1"/>
  <c r="H366" i="4"/>
  <c r="J366" i="4" s="1"/>
  <c r="H365" i="4"/>
  <c r="J365" i="4" s="1"/>
  <c r="H364" i="4"/>
  <c r="J364" i="4" s="1"/>
  <c r="H363" i="4"/>
  <c r="J363" i="4" s="1"/>
  <c r="H362" i="4"/>
  <c r="J362" i="4" s="1"/>
  <c r="H361" i="4"/>
  <c r="J361" i="4" s="1"/>
  <c r="H360" i="4"/>
  <c r="H359" i="4"/>
  <c r="J359" i="4"/>
  <c r="H381" i="4"/>
  <c r="J381" i="4" s="1"/>
  <c r="H380" i="4"/>
  <c r="J380" i="4"/>
  <c r="H379" i="4"/>
  <c r="I334" i="4"/>
  <c r="J334" i="4" s="1"/>
  <c r="I270" i="4"/>
  <c r="J270" i="4" s="1"/>
  <c r="I255" i="4"/>
  <c r="J255" i="4" s="1"/>
  <c r="I251" i="4"/>
  <c r="J251" i="4" s="1"/>
  <c r="I247" i="4"/>
  <c r="J247" i="4" s="1"/>
  <c r="I243" i="4"/>
  <c r="J243" i="4" s="1"/>
  <c r="P368" i="4"/>
  <c r="N368" i="4"/>
  <c r="L368" i="4"/>
  <c r="P367" i="4"/>
  <c r="N367" i="4"/>
  <c r="L367" i="4"/>
  <c r="P366" i="4"/>
  <c r="P386" i="4" s="1"/>
  <c r="N366" i="4"/>
  <c r="L366" i="4"/>
  <c r="P365" i="4"/>
  <c r="N365" i="4"/>
  <c r="L365" i="4"/>
  <c r="P364" i="4"/>
  <c r="N364" i="4"/>
  <c r="L364" i="4"/>
  <c r="I274" i="4"/>
  <c r="J274" i="4" s="1"/>
  <c r="I213" i="4"/>
  <c r="J213" i="4"/>
  <c r="L200" i="4"/>
  <c r="P381" i="4"/>
  <c r="N381" i="4"/>
  <c r="L381" i="4"/>
  <c r="P380" i="4"/>
  <c r="N380" i="4"/>
  <c r="L380" i="4"/>
  <c r="P379" i="4"/>
  <c r="N379" i="4"/>
  <c r="L379" i="4"/>
  <c r="P201" i="4"/>
  <c r="N201" i="4"/>
  <c r="L201" i="4"/>
  <c r="P196" i="4"/>
  <c r="N196" i="4"/>
  <c r="L196" i="4"/>
  <c r="P177" i="4"/>
  <c r="F32" i="1"/>
  <c r="F33" i="1"/>
  <c r="L415" i="4"/>
  <c r="L407" i="4"/>
  <c r="L383" i="4"/>
  <c r="L363" i="4"/>
  <c r="L362" i="4"/>
  <c r="L361" i="4"/>
  <c r="L360" i="4"/>
  <c r="L359" i="4"/>
  <c r="L353" i="4"/>
  <c r="L393" i="4"/>
  <c r="L342" i="4"/>
  <c r="L338" i="4"/>
  <c r="L334" i="4"/>
  <c r="L317" i="4"/>
  <c r="L270" i="4"/>
  <c r="L265" i="4"/>
  <c r="L255" i="4"/>
  <c r="L251" i="4"/>
  <c r="L247" i="4"/>
  <c r="L243" i="4"/>
  <c r="L236" i="4"/>
  <c r="L241" i="4" s="1"/>
  <c r="L209" i="4"/>
  <c r="L190" i="4"/>
  <c r="L182" i="4"/>
  <c r="L177" i="4"/>
  <c r="L173" i="4"/>
  <c r="L167" i="4"/>
  <c r="L136" i="4"/>
  <c r="L121" i="4"/>
  <c r="L115" i="4"/>
  <c r="L103" i="4"/>
  <c r="J236" i="4"/>
  <c r="I2" i="1"/>
  <c r="P415" i="4"/>
  <c r="P420" i="4"/>
  <c r="N415" i="4"/>
  <c r="N420" i="4"/>
  <c r="B22" i="3"/>
  <c r="A22" i="3"/>
  <c r="B21" i="3"/>
  <c r="A21" i="3"/>
  <c r="B20" i="3"/>
  <c r="A20" i="3"/>
  <c r="P383" i="4"/>
  <c r="N383" i="4"/>
  <c r="P363" i="4"/>
  <c r="N363" i="4"/>
  <c r="P362" i="4"/>
  <c r="N362" i="4"/>
  <c r="P361" i="4"/>
  <c r="N361" i="4"/>
  <c r="P360" i="4"/>
  <c r="N360" i="4"/>
  <c r="P359" i="4"/>
  <c r="N359" i="4"/>
  <c r="P353" i="4"/>
  <c r="N353" i="4"/>
  <c r="P393" i="4"/>
  <c r="N393" i="4"/>
  <c r="B19" i="3"/>
  <c r="A19" i="3"/>
  <c r="B18" i="3"/>
  <c r="A18" i="3"/>
  <c r="P338" i="4"/>
  <c r="N338" i="4"/>
  <c r="P334" i="4"/>
  <c r="N334" i="4"/>
  <c r="P317" i="4"/>
  <c r="N317" i="4"/>
  <c r="B17" i="3"/>
  <c r="A17" i="3"/>
  <c r="B16" i="3"/>
  <c r="A16" i="3"/>
  <c r="P270" i="4"/>
  <c r="N270" i="4"/>
  <c r="P265" i="4"/>
  <c r="N265" i="4"/>
  <c r="P255" i="4"/>
  <c r="N255" i="4"/>
  <c r="P251" i="4"/>
  <c r="N251" i="4"/>
  <c r="P247" i="4"/>
  <c r="N247" i="4"/>
  <c r="P243" i="4"/>
  <c r="N243" i="4"/>
  <c r="B15" i="3"/>
  <c r="A15" i="3"/>
  <c r="P236" i="4"/>
  <c r="P241" i="4" s="1"/>
  <c r="N236" i="4"/>
  <c r="N241" i="4" s="1"/>
  <c r="B14" i="3"/>
  <c r="A14" i="3"/>
  <c r="P209" i="4"/>
  <c r="N209" i="4"/>
  <c r="B13" i="3"/>
  <c r="P190" i="4"/>
  <c r="N190" i="4"/>
  <c r="P182" i="4"/>
  <c r="N182" i="4"/>
  <c r="N177" i="4"/>
  <c r="P173" i="4"/>
  <c r="N173" i="4"/>
  <c r="P167" i="4"/>
  <c r="N167" i="4"/>
  <c r="P136" i="4"/>
  <c r="N136" i="4"/>
  <c r="P121" i="4"/>
  <c r="N121" i="4"/>
  <c r="P115" i="4"/>
  <c r="P194" i="4" s="1"/>
  <c r="N115" i="4"/>
  <c r="P103" i="4"/>
  <c r="N103" i="4"/>
  <c r="B11" i="3"/>
  <c r="A11" i="3"/>
  <c r="B10" i="3"/>
  <c r="A10" i="3"/>
  <c r="C38" i="2"/>
  <c r="F38" i="2"/>
  <c r="C36" i="2"/>
  <c r="G7" i="2"/>
  <c r="G34" i="1"/>
  <c r="I19" i="1"/>
  <c r="H29" i="1"/>
  <c r="G29" i="1"/>
  <c r="D22" i="1"/>
  <c r="D20" i="1"/>
  <c r="F31" i="1"/>
  <c r="F120" i="4"/>
  <c r="I222" i="4"/>
  <c r="J222" i="4"/>
  <c r="I230" i="4"/>
  <c r="J230" i="4"/>
  <c r="I218" i="4"/>
  <c r="J218" i="4"/>
  <c r="I226" i="4"/>
  <c r="J226" i="4"/>
  <c r="H23" i="3"/>
  <c r="C17" i="2"/>
  <c r="I23" i="3"/>
  <c r="C21" i="2"/>
  <c r="G23" i="3"/>
  <c r="C18" i="2"/>
  <c r="P153" i="4"/>
  <c r="L153" i="4"/>
  <c r="N153" i="4"/>
  <c r="L218" i="4"/>
  <c r="L222" i="4"/>
  <c r="N186" i="4"/>
  <c r="P218" i="4"/>
  <c r="L275" i="4"/>
  <c r="L176" i="4"/>
  <c r="I200" i="4"/>
  <c r="P275" i="4"/>
  <c r="L186" i="4"/>
  <c r="N88" i="4"/>
  <c r="N101" i="4"/>
  <c r="L88" i="4"/>
  <c r="P88" i="4"/>
  <c r="P101" i="4"/>
  <c r="N222" i="4"/>
  <c r="I401" i="4"/>
  <c r="J401" i="4"/>
  <c r="L392" i="4"/>
  <c r="I392" i="4"/>
  <c r="P230" i="4"/>
  <c r="L388" i="4"/>
  <c r="N218" i="4"/>
  <c r="P304" i="4"/>
  <c r="L304" i="4"/>
  <c r="N388" i="4"/>
  <c r="N396" i="4" s="1"/>
  <c r="I288" i="4"/>
  <c r="J288" i="4"/>
  <c r="P388" i="4"/>
  <c r="P396" i="4"/>
  <c r="P222" i="4"/>
  <c r="L230" i="4"/>
  <c r="I233" i="4"/>
  <c r="J233" i="4"/>
  <c r="I221" i="4"/>
  <c r="J221" i="4"/>
  <c r="I217" i="4"/>
  <c r="J217" i="4"/>
  <c r="L226" i="4"/>
  <c r="L408" i="4"/>
  <c r="I408" i="4"/>
  <c r="N408" i="4"/>
  <c r="N413" i="4" s="1"/>
  <c r="P408" i="4"/>
  <c r="P413" i="4"/>
  <c r="P280" i="4"/>
  <c r="L280" i="4"/>
  <c r="N280" i="4"/>
  <c r="P186" i="4"/>
  <c r="N275" i="4"/>
  <c r="P259" i="4"/>
  <c r="N259" i="4"/>
  <c r="P214" i="4"/>
  <c r="N226" i="4"/>
  <c r="N214" i="4"/>
  <c r="N230" i="4"/>
  <c r="N234" i="4" s="1"/>
  <c r="L259" i="4"/>
  <c r="P226" i="4"/>
  <c r="J408" i="4"/>
  <c r="P285" i="4"/>
  <c r="N285" i="4"/>
  <c r="L285" i="4"/>
  <c r="L398" i="4"/>
  <c r="N398" i="4"/>
  <c r="F402" i="4"/>
  <c r="I402" i="4" s="1"/>
  <c r="J402" i="4" s="1"/>
  <c r="J406" i="4" s="1"/>
  <c r="P398" i="4"/>
  <c r="L312" i="4"/>
  <c r="L315" i="4"/>
  <c r="P312" i="4"/>
  <c r="P315" i="4"/>
  <c r="N312" i="4"/>
  <c r="N315" i="4"/>
  <c r="I312" i="4"/>
  <c r="J314" i="4"/>
  <c r="J315" i="4" s="1"/>
  <c r="E16" i="3" s="1"/>
  <c r="L289" i="4"/>
  <c r="F292" i="4"/>
  <c r="F307" i="4"/>
  <c r="I307" i="4" s="1"/>
  <c r="J307" i="4" s="1"/>
  <c r="P289" i="4"/>
  <c r="I289" i="4"/>
  <c r="F295" i="4"/>
  <c r="P295" i="4" s="1"/>
  <c r="F298" i="4"/>
  <c r="N298" i="4" s="1"/>
  <c r="F301" i="4"/>
  <c r="L301" i="4" s="1"/>
  <c r="N289" i="4"/>
  <c r="P402" i="4"/>
  <c r="N402" i="4"/>
  <c r="N406" i="4"/>
  <c r="J289" i="4"/>
  <c r="J70" i="4"/>
  <c r="L70" i="4"/>
  <c r="N70" i="4"/>
  <c r="P70" i="4"/>
  <c r="P86" i="4" s="1"/>
  <c r="BF86" i="4"/>
  <c r="I64" i="4"/>
  <c r="J64" i="4"/>
  <c r="J58" i="4"/>
  <c r="L58" i="4"/>
  <c r="N58" i="4"/>
  <c r="P58" i="4"/>
  <c r="J53" i="4"/>
  <c r="L53" i="4"/>
  <c r="N53" i="4"/>
  <c r="P53" i="4"/>
  <c r="P65" i="4" s="1"/>
  <c r="I42" i="4"/>
  <c r="J42" i="4"/>
  <c r="J41" i="4"/>
  <c r="L41" i="4"/>
  <c r="N41" i="4"/>
  <c r="P41" i="4"/>
  <c r="J36" i="4"/>
  <c r="L36" i="4"/>
  <c r="N36" i="4"/>
  <c r="P36" i="4"/>
  <c r="J31" i="4"/>
  <c r="J26" i="4"/>
  <c r="L26" i="4"/>
  <c r="N26" i="4"/>
  <c r="J12" i="4"/>
  <c r="J200" i="4"/>
  <c r="J240" i="4"/>
  <c r="J241" i="4" s="1"/>
  <c r="E14" i="3" s="1"/>
  <c r="L120" i="4"/>
  <c r="I120" i="4"/>
  <c r="J120" i="4" s="1"/>
  <c r="I301" i="4"/>
  <c r="J301" i="4" s="1"/>
  <c r="I152" i="4"/>
  <c r="J152" i="4" s="1"/>
  <c r="L298" i="4"/>
  <c r="I298" i="4"/>
  <c r="J298" i="4" s="1"/>
  <c r="L413" i="4"/>
  <c r="I135" i="4"/>
  <c r="J135" i="4" s="1"/>
  <c r="F358" i="4"/>
  <c r="L358" i="4" s="1"/>
  <c r="L419" i="4"/>
  <c r="L420" i="4" s="1"/>
  <c r="P207" i="4"/>
  <c r="J379" i="4"/>
  <c r="J320" i="4"/>
  <c r="F22" i="4"/>
  <c r="I22" i="4"/>
  <c r="N31" i="4"/>
  <c r="P31" i="4"/>
  <c r="L181" i="4"/>
  <c r="L22" i="4"/>
  <c r="J22" i="4"/>
  <c r="I59" i="4"/>
  <c r="J59" i="4" s="1"/>
  <c r="L59" i="4"/>
  <c r="I78" i="4"/>
  <c r="J78" i="4" s="1"/>
  <c r="I27" i="4"/>
  <c r="J27" i="4"/>
  <c r="F49" i="4"/>
  <c r="P48" i="4"/>
  <c r="J48" i="4"/>
  <c r="L48" i="4"/>
  <c r="N48" i="4"/>
  <c r="L307" i="4"/>
  <c r="P307" i="4"/>
  <c r="N307" i="4"/>
  <c r="P234" i="4"/>
  <c r="F20" i="3"/>
  <c r="J16" i="4"/>
  <c r="F17" i="4"/>
  <c r="I17" i="4" s="1"/>
  <c r="J17" i="4" s="1"/>
  <c r="N16" i="4"/>
  <c r="P16" i="4"/>
  <c r="I358" i="4"/>
  <c r="J358" i="4" s="1"/>
  <c r="I383" i="4" s="1"/>
  <c r="J383" i="4" s="1"/>
  <c r="L16" i="4"/>
  <c r="I20" i="1"/>
  <c r="J360" i="4"/>
  <c r="J328" i="4"/>
  <c r="L378" i="4"/>
  <c r="I378" i="4"/>
  <c r="J378" i="4"/>
  <c r="I185" i="4"/>
  <c r="J185" i="4" s="1"/>
  <c r="L185" i="4"/>
  <c r="I295" i="4"/>
  <c r="J295" i="4" s="1"/>
  <c r="N295" i="4"/>
  <c r="L295" i="4"/>
  <c r="J21" i="4"/>
  <c r="P21" i="4"/>
  <c r="I225" i="4"/>
  <c r="I234" i="4" s="1"/>
  <c r="L229" i="4"/>
  <c r="L234" i="4" s="1"/>
  <c r="I229" i="4"/>
  <c r="J229" i="4" s="1"/>
  <c r="I420" i="4"/>
  <c r="N21" i="4"/>
  <c r="L21" i="4"/>
  <c r="I92" i="4"/>
  <c r="I101" i="4" s="1"/>
  <c r="F395" i="4"/>
  <c r="L396" i="4"/>
  <c r="F32" i="4"/>
  <c r="I32" i="4" s="1"/>
  <c r="J32" i="4" s="1"/>
  <c r="L31" i="4"/>
  <c r="N65" i="4"/>
  <c r="F114" i="4"/>
  <c r="F130" i="4"/>
  <c r="L130" i="4" s="1"/>
  <c r="I352" i="4"/>
  <c r="J352" i="4" s="1"/>
  <c r="L352" i="4"/>
  <c r="I37" i="4"/>
  <c r="J37" i="4" s="1"/>
  <c r="I71" i="4"/>
  <c r="J71" i="4" s="1"/>
  <c r="L71" i="4"/>
  <c r="L86" i="4" s="1"/>
  <c r="J392" i="4"/>
  <c r="L17" i="4"/>
  <c r="I130" i="4"/>
  <c r="J130" i="4" s="1"/>
  <c r="L32" i="4"/>
  <c r="L395" i="4"/>
  <c r="I395" i="4"/>
  <c r="J395" i="4"/>
  <c r="P43" i="4"/>
  <c r="I49" i="4"/>
  <c r="L49" i="4"/>
  <c r="L65" i="4"/>
  <c r="F189" i="4"/>
  <c r="I189" i="4" s="1"/>
  <c r="I114" i="4"/>
  <c r="L114" i="4"/>
  <c r="J92" i="4"/>
  <c r="J101" i="4" s="1"/>
  <c r="E10" i="3" s="1"/>
  <c r="J189" i="4"/>
  <c r="J49" i="4"/>
  <c r="J114" i="4"/>
  <c r="L161" i="4" l="1"/>
  <c r="I161" i="4"/>
  <c r="J161" i="4" s="1"/>
  <c r="I43" i="4"/>
  <c r="I393" i="4"/>
  <c r="N194" i="4"/>
  <c r="N207" i="4" s="1"/>
  <c r="N386" i="4"/>
  <c r="P341" i="4"/>
  <c r="L100" i="4"/>
  <c r="I166" i="4"/>
  <c r="J166" i="4" s="1"/>
  <c r="I147" i="4"/>
  <c r="J147" i="4" s="1"/>
  <c r="F172" i="4"/>
  <c r="I412" i="4"/>
  <c r="L412" i="4"/>
  <c r="L292" i="4"/>
  <c r="I292" i="4"/>
  <c r="J292" i="4" s="1"/>
  <c r="N292" i="4"/>
  <c r="N310" i="4" s="1"/>
  <c r="J43" i="4"/>
  <c r="E7" i="3" s="1"/>
  <c r="I141" i="4"/>
  <c r="L141" i="4"/>
  <c r="F306" i="4"/>
  <c r="J225" i="4"/>
  <c r="J234" i="4" s="1"/>
  <c r="E13" i="3" s="1"/>
  <c r="H386" i="4"/>
  <c r="I264" i="4"/>
  <c r="L279" i="4"/>
  <c r="I54" i="4"/>
  <c r="I85" i="4"/>
  <c r="J85" i="4" s="1"/>
  <c r="J86" i="4" s="1"/>
  <c r="E9" i="3" s="1"/>
  <c r="L85" i="4"/>
  <c r="L193" i="4"/>
  <c r="I193" i="4"/>
  <c r="J193" i="4" s="1"/>
  <c r="L284" i="4"/>
  <c r="I284" i="4"/>
  <c r="J284" i="4" s="1"/>
  <c r="L206" i="4"/>
  <c r="L207" i="4" s="1"/>
  <c r="I206" i="4"/>
  <c r="L189" i="4"/>
  <c r="P292" i="4"/>
  <c r="P310" i="4" s="1"/>
  <c r="F385" i="4"/>
  <c r="I406" i="4"/>
  <c r="N301" i="4"/>
  <c r="P301" i="4"/>
  <c r="P406" i="4"/>
  <c r="F340" i="4"/>
  <c r="L329" i="4"/>
  <c r="L341" i="4" s="1"/>
  <c r="I329" i="4"/>
  <c r="I347" i="4"/>
  <c r="J347" i="4" s="1"/>
  <c r="L347" i="4"/>
  <c r="L386" i="4" s="1"/>
  <c r="P298" i="4"/>
  <c r="L402" i="4"/>
  <c r="L406" i="4" s="1"/>
  <c r="L12" i="4"/>
  <c r="L43" i="4" s="1"/>
  <c r="I385" i="4"/>
  <c r="L385" i="4"/>
  <c r="L194" i="4" l="1"/>
  <c r="F314" i="4" s="1"/>
  <c r="L340" i="4"/>
  <c r="I340" i="4"/>
  <c r="J340" i="4" s="1"/>
  <c r="I86" i="4"/>
  <c r="F309" i="4"/>
  <c r="F300" i="4"/>
  <c r="F294" i="4"/>
  <c r="J141" i="4"/>
  <c r="J194" i="4" s="1"/>
  <c r="E11" i="3" s="1"/>
  <c r="I207" i="4"/>
  <c r="J206" i="4"/>
  <c r="J207" i="4" s="1"/>
  <c r="E12" i="3" s="1"/>
  <c r="J54" i="4"/>
  <c r="J65" i="4" s="1"/>
  <c r="E8" i="3" s="1"/>
  <c r="I65" i="4"/>
  <c r="F291" i="4"/>
  <c r="J412" i="4"/>
  <c r="J413" i="4" s="1"/>
  <c r="F21" i="3" s="1"/>
  <c r="I413" i="4"/>
  <c r="J393" i="4"/>
  <c r="J396" i="4" s="1"/>
  <c r="F19" i="3" s="1"/>
  <c r="I396" i="4"/>
  <c r="J264" i="4"/>
  <c r="L306" i="4"/>
  <c r="I306" i="4"/>
  <c r="J306" i="4" s="1"/>
  <c r="J329" i="4"/>
  <c r="J341" i="4" s="1"/>
  <c r="F17" i="3" s="1"/>
  <c r="I341" i="4"/>
  <c r="L172" i="4"/>
  <c r="I172" i="4"/>
  <c r="J172" i="4" s="1"/>
  <c r="J385" i="4"/>
  <c r="J386" i="4" s="1"/>
  <c r="F18" i="3" s="1"/>
  <c r="F23" i="3" s="1"/>
  <c r="C16" i="2" s="1"/>
  <c r="I386" i="4"/>
  <c r="I291" i="4" l="1"/>
  <c r="L291" i="4"/>
  <c r="F297" i="4"/>
  <c r="I294" i="4"/>
  <c r="J294" i="4" s="1"/>
  <c r="L294" i="4"/>
  <c r="I194" i="4"/>
  <c r="F303" i="4"/>
  <c r="L300" i="4"/>
  <c r="I300" i="4"/>
  <c r="J300" i="4" s="1"/>
  <c r="I309" i="4"/>
  <c r="J309" i="4" s="1"/>
  <c r="L309" i="4"/>
  <c r="I314" i="4"/>
  <c r="I315" i="4" s="1"/>
  <c r="L314" i="4"/>
  <c r="I297" i="4" l="1"/>
  <c r="J297" i="4" s="1"/>
  <c r="L297" i="4"/>
  <c r="J291" i="4"/>
  <c r="J310" i="4" s="1"/>
  <c r="E15" i="3" s="1"/>
  <c r="E23" i="3" s="1"/>
  <c r="C15" i="2" s="1"/>
  <c r="C19" i="2" s="1"/>
  <c r="C22" i="2" s="1"/>
  <c r="C28" i="2" s="1"/>
  <c r="F35" i="2" s="1"/>
  <c r="L310" i="4"/>
  <c r="L303" i="4"/>
  <c r="I303" i="4"/>
  <c r="J303" i="4" s="1"/>
  <c r="I310" i="4" l="1"/>
  <c r="F36" i="2"/>
  <c r="F39" i="2" s="1"/>
  <c r="G57" i="2"/>
  <c r="H30" i="1" s="1"/>
  <c r="I30" i="1" l="1"/>
  <c r="I34" i="1" s="1"/>
  <c r="H34" i="1"/>
  <c r="I21" i="1" s="1"/>
  <c r="I22" i="1" l="1"/>
  <c r="I23" i="1" s="1"/>
  <c r="F30" i="1"/>
  <c r="F34" i="1" s="1"/>
  <c r="J34" i="1" l="1"/>
  <c r="J30" i="1"/>
</calcChain>
</file>

<file path=xl/comments1.xml><?xml version="1.0" encoding="utf-8"?>
<comments xmlns="http://schemas.openxmlformats.org/spreadsheetml/2006/main">
  <authors>
    <author>name</author>
  </authors>
  <commentList>
    <comment ref="D16" authorId="0">
      <text>
        <r>
          <rPr>
            <b/>
            <sz val="8"/>
            <color indexed="81"/>
            <rFont val="Tahoma"/>
            <family val="2"/>
            <charset val="238"/>
          </rPr>
          <t>name: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<sst xmlns="http://schemas.openxmlformats.org/spreadsheetml/2006/main" count="1034" uniqueCount="434">
  <si>
    <t>Položkový rozpočet stavby</t>
  </si>
  <si>
    <t xml:space="preserve">Datum: </t>
  </si>
  <si>
    <t xml:space="preserve"> </t>
  </si>
  <si>
    <t>Stavba :</t>
  </si>
  <si>
    <t xml:space="preserve">Objednatel : </t>
  </si>
  <si>
    <t>IČO :</t>
  </si>
  <si>
    <t>DIČ :</t>
  </si>
  <si>
    <t xml:space="preserve">Zhotovitel : </t>
  </si>
  <si>
    <t>Za objednatele :</t>
  </si>
  <si>
    <t>_______________</t>
  </si>
  <si>
    <t>Rozpočtové náklady</t>
  </si>
  <si>
    <t>Základ pro DPH</t>
  </si>
  <si>
    <t>%</t>
  </si>
  <si>
    <t xml:space="preserve">DPH </t>
  </si>
  <si>
    <t>Cena celkem za stavbu</t>
  </si>
  <si>
    <t>Rekapitulace stavebních objektů a provozních souborů</t>
  </si>
  <si>
    <t>Číslo a název objektu / provozního souboru</t>
  </si>
  <si>
    <t>Cena celkem</t>
  </si>
  <si>
    <t>DPH celkem</t>
  </si>
  <si>
    <t>Celkem za stavbu</t>
  </si>
  <si>
    <t>HSV</t>
  </si>
  <si>
    <t>PSV</t>
  </si>
  <si>
    <t>Dodávka</t>
  </si>
  <si>
    <t>Montáž</t>
  </si>
  <si>
    <t>HZS</t>
  </si>
  <si>
    <t>POLOŽKOVÝ ROZPOČET</t>
  </si>
  <si>
    <t>Rozpočet</t>
  </si>
  <si>
    <t xml:space="preserve">JKSO </t>
  </si>
  <si>
    <t>Objekt</t>
  </si>
  <si>
    <t xml:space="preserve">SKP </t>
  </si>
  <si>
    <t>Měrná jednotka</t>
  </si>
  <si>
    <t>Stavba</t>
  </si>
  <si>
    <t>Počet jednotek</t>
  </si>
  <si>
    <t>Náklady na m.j.</t>
  </si>
  <si>
    <t>Projektant</t>
  </si>
  <si>
    <t>Typ rozpočtu</t>
  </si>
  <si>
    <t>Zpracovatel projektu</t>
  </si>
  <si>
    <t>Objednatel</t>
  </si>
  <si>
    <t>Dodavatel</t>
  </si>
  <si>
    <t xml:space="preserve">Zakázkové číslo </t>
  </si>
  <si>
    <t>Rozpočtoval</t>
  </si>
  <si>
    <t>Počet listů</t>
  </si>
  <si>
    <t>ROZPOČTOVÉ NÁKLADY</t>
  </si>
  <si>
    <t>Základní rozpočtové náklady</t>
  </si>
  <si>
    <t>Ostatní rozpočtové náklady</t>
  </si>
  <si>
    <t>HSV celkem</t>
  </si>
  <si>
    <t>Z</t>
  </si>
  <si>
    <t>PSV celkem</t>
  </si>
  <si>
    <t>R</t>
  </si>
  <si>
    <t>M práce celkem</t>
  </si>
  <si>
    <t>N</t>
  </si>
  <si>
    <t>M dodávky celkem</t>
  </si>
  <si>
    <t>ZRN celkem</t>
  </si>
  <si>
    <t>ZRN+HZS</t>
  </si>
  <si>
    <t>ZRN+ost.náklady+HZS</t>
  </si>
  <si>
    <t>Ostatní náklady celkem</t>
  </si>
  <si>
    <t>Vypracoval</t>
  </si>
  <si>
    <t>Za zhotovitele</t>
  </si>
  <si>
    <t>Za objednatele</t>
  </si>
  <si>
    <t>Jméno :</t>
  </si>
  <si>
    <t>Datum :</t>
  </si>
  <si>
    <t>Podpis :</t>
  </si>
  <si>
    <t>Podpis:</t>
  </si>
  <si>
    <t xml:space="preserve">%  </t>
  </si>
  <si>
    <t>DPH</t>
  </si>
  <si>
    <t xml:space="preserve">% </t>
  </si>
  <si>
    <t>CENA ZA OBJEKT CELKEM</t>
  </si>
  <si>
    <t>Poznámka :</t>
  </si>
  <si>
    <t>Objekt :</t>
  </si>
  <si>
    <t>REKAPITULACE  STAVEBNÍCH  DÍLŮ</t>
  </si>
  <si>
    <t>Stavební díl</t>
  </si>
  <si>
    <t>CELKEM  OBJEKT</t>
  </si>
  <si>
    <t>VEDLEJŠÍ ROZPOČTOVÉ  NÁKLADY</t>
  </si>
  <si>
    <t>Název VRN</t>
  </si>
  <si>
    <t>Kč</t>
  </si>
  <si>
    <t>CELKEM VRN</t>
  </si>
  <si>
    <t xml:space="preserve">Položkový rozpočet </t>
  </si>
  <si>
    <t>Rozpočet:</t>
  </si>
  <si>
    <t>P.č.</t>
  </si>
  <si>
    <t>Číslo položky</t>
  </si>
  <si>
    <t>Název položky</t>
  </si>
  <si>
    <t>MJ</t>
  </si>
  <si>
    <t>Jednotková hmotnost</t>
  </si>
  <si>
    <t>Celková hmotnost</t>
  </si>
  <si>
    <t>Jednotková dem.hmot.</t>
  </si>
  <si>
    <t>Celková dem.hmot.</t>
  </si>
  <si>
    <t>Díl:</t>
  </si>
  <si>
    <t>Celkem za</t>
  </si>
  <si>
    <t>01</t>
  </si>
  <si>
    <t>m2</t>
  </si>
  <si>
    <t>m</t>
  </si>
  <si>
    <t>kus</t>
  </si>
  <si>
    <t>Upravy povrchů vnitřní</t>
  </si>
  <si>
    <t>61 Upravy povrchů vnitřní</t>
  </si>
  <si>
    <t xml:space="preserve">Začištění omítek kolem oken - zatmelení </t>
  </si>
  <si>
    <t>Úpravy povrchů vnější</t>
  </si>
  <si>
    <t>62 Úpravy povrchů vnější</t>
  </si>
  <si>
    <t xml:space="preserve">Očištění tlakovou vodou zdiva stěn </t>
  </si>
  <si>
    <t>Lešení a stavební výtahy</t>
  </si>
  <si>
    <t>94 Lešení a stavební výtahy</t>
  </si>
  <si>
    <t xml:space="preserve">Montáž lešení leh.řad.s podlahami,š.1,5 m, H 10 m </t>
  </si>
  <si>
    <t xml:space="preserve">Příplatek za každý měsíc použití lešení k pol.1051 </t>
  </si>
  <si>
    <t xml:space="preserve">Demontáž lešení leh.řad.s podlahami,š.1,5 m,H 10 m </t>
  </si>
  <si>
    <t xml:space="preserve">Montáž ochranné sítě z umělých vláken </t>
  </si>
  <si>
    <t xml:space="preserve">Příplatek za každý měsíc použití sítí k pol. 4011 </t>
  </si>
  <si>
    <t xml:space="preserve">Demontáž ochranné sítě z umělých vláken </t>
  </si>
  <si>
    <t>Dokončovací konstrukce na pozemních stavbách</t>
  </si>
  <si>
    <t>95 Dokončovací konstrukce na pozemních stavbách</t>
  </si>
  <si>
    <t xml:space="preserve">Vyčištění budov o výšce podlaží do 4 m </t>
  </si>
  <si>
    <t>Bourání konstrukcí</t>
  </si>
  <si>
    <t>96 Bourání konstrukcí</t>
  </si>
  <si>
    <t xml:space="preserve">Demontáž žlabů půlkruh. rovných, rš 330 mm, do 45° </t>
  </si>
  <si>
    <t xml:space="preserve">Demontáž kotlíku kónického, sklon do 45° </t>
  </si>
  <si>
    <t xml:space="preserve">Demontáž oplechování parapetů,rš od 100 do 330 mm </t>
  </si>
  <si>
    <t xml:space="preserve">Demontáž odpadních trub kruhových,D 120 mm </t>
  </si>
  <si>
    <t xml:space="preserve">Přisekání rovných ostění cihelných na MVC </t>
  </si>
  <si>
    <t xml:space="preserve">Vyvěšení dřevěných okenních křídel pl. do 1,5 m2 </t>
  </si>
  <si>
    <t xml:space="preserve">Vyvěšení dřevěných dveřních křídel pl. do 2 m2 </t>
  </si>
  <si>
    <t>Vybourání dřevěných rámů oken dvojitých vč. vnitřního parapetu</t>
  </si>
  <si>
    <t xml:space="preserve">Vybourání dřevěných dveřních zárubní </t>
  </si>
  <si>
    <t>t</t>
  </si>
  <si>
    <t xml:space="preserve">Odvoz suti a vybour. hmot na skládku do 1 km </t>
  </si>
  <si>
    <t xml:space="preserve">Příplatek k odvozu za každý další 1 km </t>
  </si>
  <si>
    <t xml:space="preserve">Vnitrostaveništní doprava suti do 10 m </t>
  </si>
  <si>
    <t xml:space="preserve">Příplatek k vnitrost. dopravě suti za dalších 5 m </t>
  </si>
  <si>
    <t>Staveništní přesun hmot</t>
  </si>
  <si>
    <t>99 Staveništní přesun hmot</t>
  </si>
  <si>
    <t xml:space="preserve">Přesun hmot pro opravy a údržbu </t>
  </si>
  <si>
    <t>Konstrukce klempířské</t>
  </si>
  <si>
    <t>764 Konstrukce klempířské</t>
  </si>
  <si>
    <t xml:space="preserve">Žlaby z Pz plechu podokapní půlkruhové, rš 330 mm </t>
  </si>
  <si>
    <t xml:space="preserve">Kotlík z Pz plechu kónický pro trouby D do 125 mm </t>
  </si>
  <si>
    <t>Oplechování říms, rš 250 mm eloxovaný  AL plech</t>
  </si>
  <si>
    <t xml:space="preserve">Odpadní trouby z Pz plechu, kruhové, D 120 mm </t>
  </si>
  <si>
    <t>Oplechování parapetů, rš 350 mm eloxovaný  AL plech</t>
  </si>
  <si>
    <t xml:space="preserve">Přesun hmot pro klempířské konstr., výšky do 12 m </t>
  </si>
  <si>
    <t>Konstrukce truhlářské</t>
  </si>
  <si>
    <t>766 Konstrukce truhlářské</t>
  </si>
  <si>
    <t>Konstrukce zámečnické</t>
  </si>
  <si>
    <t>767 Konstrukce zámečnické</t>
  </si>
  <si>
    <t xml:space="preserve">Přesun hmot pro zámečnické konstr., výšky do 6 m </t>
  </si>
  <si>
    <t>Malby</t>
  </si>
  <si>
    <t>784 Malby</t>
  </si>
  <si>
    <t xml:space="preserve">Malba směsí tekutou - bíla, míst. do 3,8 m </t>
  </si>
  <si>
    <t xml:space="preserve">Malba směsí tekutou - barevně, míst. do 3,8 m </t>
  </si>
  <si>
    <t>Čalounické úpravy</t>
  </si>
  <si>
    <t>786 Čalounické úpravy</t>
  </si>
  <si>
    <t xml:space="preserve">Žaluzie horizontální dodávka a montáž </t>
  </si>
  <si>
    <t>Elektromontáže</t>
  </si>
  <si>
    <t>02</t>
  </si>
  <si>
    <t>03</t>
  </si>
  <si>
    <t>04</t>
  </si>
  <si>
    <t>Celkem (Kč)</t>
  </si>
  <si>
    <t>Cena / MJ</t>
  </si>
  <si>
    <t>Množství</t>
  </si>
  <si>
    <t>Celkem (t)</t>
  </si>
  <si>
    <t>Hmotnost/MJ</t>
  </si>
  <si>
    <t>Snížení energetické náročnosti</t>
  </si>
  <si>
    <t>Doplnění zdiva okenních obrub</t>
  </si>
  <si>
    <t>celkem</t>
  </si>
  <si>
    <t xml:space="preserve">Doplnění říms podokenních a nadokenních </t>
  </si>
  <si>
    <t>Vnitřní omítka zdiva vápenocementová ze směsí</t>
  </si>
  <si>
    <t xml:space="preserve">KZS stěn z tesek z exp. Polystyrenu tl. 140mm zakončený stěrkou a výztužovou tkaninou </t>
  </si>
  <si>
    <r>
      <t>m</t>
    </r>
    <r>
      <rPr>
        <vertAlign val="superscript"/>
        <sz val="8"/>
        <rFont val="Arial"/>
        <family val="2"/>
        <charset val="238"/>
      </rPr>
      <t>2</t>
    </r>
  </si>
  <si>
    <t>Osazování</t>
  </si>
  <si>
    <t>64 Osazování</t>
  </si>
  <si>
    <r>
      <t>m</t>
    </r>
    <r>
      <rPr>
        <vertAlign val="superscript"/>
        <sz val="8"/>
        <rFont val="Arial"/>
        <family val="2"/>
        <charset val="238"/>
      </rPr>
      <t>3</t>
    </r>
  </si>
  <si>
    <t>Ing. Jijří Pavlů</t>
  </si>
  <si>
    <t>Počet položek:</t>
  </si>
  <si>
    <t>Ing. Jiří Pavlů</t>
  </si>
  <si>
    <t xml:space="preserve">Snížení energetiské náročnosti budovy </t>
  </si>
  <si>
    <t>Město Jilemnice</t>
  </si>
  <si>
    <t>Masarykovo nám. 82</t>
  </si>
  <si>
    <t>514 01 Jilemnice</t>
  </si>
  <si>
    <t xml:space="preserve">Ing. Jiří Pavlů </t>
  </si>
  <si>
    <t>Rozpočet: Ing. Jiří Pavlů</t>
  </si>
  <si>
    <t>CS ÚRS 2013</t>
  </si>
  <si>
    <t>Doplnění zdiva (s dodáním hmot) okenních obrub</t>
  </si>
  <si>
    <t>Výkres:</t>
  </si>
  <si>
    <t>Pohledy J SP 09; Z SP 10; S SP 11; V SP 12; tab. oken SP 13;tab. dveří SP 14</t>
  </si>
  <si>
    <t xml:space="preserve">Doplnění zdiva (s dodáním hmot) říms podokenních a nadokenních </t>
  </si>
  <si>
    <t xml:space="preserve">Začištění omítek kolem oken, dveří, podlah, obkladů apod.  </t>
  </si>
  <si>
    <t>Vnitřní omítka zdiva vápenocementová ze suchých směsí v podlaží i ve schodišti na jakýkoliv druh podkladu strojně nebo ručně nanášená</t>
  </si>
  <si>
    <t xml:space="preserve">Pohledy J SP 09; Z SP 10; S SP 11; V SP 12; </t>
  </si>
  <si>
    <t xml:space="preserve">Otryskání stávající fasády tlakovou vodou </t>
  </si>
  <si>
    <t>Zakrývání při úpravách povrchů nástřikem plast. Hmot</t>
  </si>
  <si>
    <t xml:space="preserve">Zakrývání při úpavách povrchů nástřikem plastických (lepivých) hmot výplní vnějších otvorů z lešení, prováděné jakýmkoliv způsobem </t>
  </si>
  <si>
    <t>Lišty k zateplovacím systémům rohové</t>
  </si>
  <si>
    <t>Lišty k zateplovacím systémům rohové Al 25/25 mm perforované</t>
  </si>
  <si>
    <t>Lišty k zateplovacím systémům začišťovací parapetní</t>
  </si>
  <si>
    <t>Lišty k zateplovacím systémům soklové tl. 0,8mm</t>
  </si>
  <si>
    <t xml:space="preserve">Lišty k zateplovacím systémům začišťovací </t>
  </si>
  <si>
    <t>Lišty k zateplovacím systémům začišťovací okenní</t>
  </si>
  <si>
    <t xml:space="preserve">Oprava vnějších omítek vápených  a vápenocementových bez otlučení vadných míst stupně III, v rozsahu opravované plochy do 10 % </t>
  </si>
  <si>
    <t xml:space="preserve">Oprava vnějších omítek vápen. hladk. III, do 10 % </t>
  </si>
  <si>
    <t>Vyrovnávací potěr cementový</t>
  </si>
  <si>
    <t>Vyrovnávací potěr cementový ze suchých směsí v pásu na zdivu jako podklad např. pod parapety, hlazený dřevěným hladítkem tl. přes 30 do 40 mm</t>
  </si>
  <si>
    <t xml:space="preserve">Osazování zárubní kovových dveřních </t>
  </si>
  <si>
    <t>Osazování zárubní kovových dveřních z úhelníků bez dveřních křídel , s vybetonováním prahu v zárubní, na montážní pěnu, o ploše otvoru přes 2,5 do 4,5 m2</t>
  </si>
  <si>
    <r>
      <t>Osazvání rámů oken 1-4m</t>
    </r>
    <r>
      <rPr>
        <vertAlign val="superscript"/>
        <sz val="8"/>
        <rFont val="Arial"/>
        <family val="2"/>
        <charset val="238"/>
      </rPr>
      <t>2</t>
    </r>
  </si>
  <si>
    <t>Osazování rámů kovových okenních bez sdružených dveřní, na montážní pěnu, o ploše otvoru přes 1 do 4 m2</t>
  </si>
  <si>
    <t xml:space="preserve">Montáž lešení lehkého řadového s podlahami, šířky 1,5 m, výšky do 10 m </t>
  </si>
  <si>
    <t xml:space="preserve">Demontáž lešení lehkého řadového s podlahami, šířky 1,5 m, výšky do 10 m </t>
  </si>
  <si>
    <t>Montáž ochranné sítě z umělých vláken k zabránění pádů materíálu a sutě z lešení</t>
  </si>
  <si>
    <t>Dontáž ochranné sítě z umělých vláken k zabránění pádů materíálu a sutě z lešení</t>
  </si>
  <si>
    <t xml:space="preserve">Vyčištění budov občanské výstavby (zametení a umytí podlah, vyšištění a umytí oken, dveří s rámy, zárubněmi a zařicovacích předmětů) při světlé výšce podlaží do 4 m </t>
  </si>
  <si>
    <t xml:space="preserve">Půdorysy 1NP SP 02; 2NP SP 03; 3NP SP 04 </t>
  </si>
  <si>
    <t>Pohledy J SP 09; Z SP 10; S SP 11; V SP 12; tab.klempířských konstrucí SP 15</t>
  </si>
  <si>
    <t xml:space="preserve">Přisekání (špicování) plošné rovných ostění cihelných na MVC </t>
  </si>
  <si>
    <t>cekem</t>
  </si>
  <si>
    <t>Celkem</t>
  </si>
  <si>
    <t>Pohledy J SP 09; Z SP 10; S SP 11; V SP 12</t>
  </si>
  <si>
    <t>Otlučení šlechtěných omítek vnějších -10%</t>
  </si>
  <si>
    <t>Otlučení šlechtěných omítek vnějších břizolitových v rozsahu 10%</t>
  </si>
  <si>
    <t>Součet hmotností bouracích prací</t>
  </si>
  <si>
    <t>Svislá doprava suti a vybour. Hmot</t>
  </si>
  <si>
    <t>Svislá doprava suti a vybouraných hmot za prvé podlaží nad základním</t>
  </si>
  <si>
    <t xml:space="preserve">Vzdálenost vnitrostaveništní skládky 20m </t>
  </si>
  <si>
    <t xml:space="preserve">Poplatek za skladku keramického materiálu </t>
  </si>
  <si>
    <t xml:space="preserve">Poplatek za skládku keramického materiálu </t>
  </si>
  <si>
    <t xml:space="preserve">Součet hmotností bouracích prací zdících materiálů </t>
  </si>
  <si>
    <t>Poplatek za skládku spalitelného odpadu</t>
  </si>
  <si>
    <t>Součet hmotností bouracích prací výplní otvorů</t>
  </si>
  <si>
    <t>Součet hmotností prací HSV</t>
  </si>
  <si>
    <t>Přesun hmot pro opravy a údržbu dosavadních objektů včetně vnějších plášťů, výšky do 25 m</t>
  </si>
  <si>
    <t>Typ</t>
  </si>
  <si>
    <t>K</t>
  </si>
  <si>
    <t xml:space="preserve">celkem </t>
  </si>
  <si>
    <t>M</t>
  </si>
  <si>
    <t>Odpadní trouby z Pz plechu, kruhové, D 120 mm, RŠ 530 mm</t>
  </si>
  <si>
    <t>Součet hmotností prací konstrukce klempířské</t>
  </si>
  <si>
    <t>tab. oken SP 13</t>
  </si>
  <si>
    <t>tab. Klempířských konstrukcí a ostatních výrobků SP 15</t>
  </si>
  <si>
    <t xml:space="preserve">Montáž parapetních desek </t>
  </si>
  <si>
    <t>Montáž ostatních truhlářských konstrukcí parapetních desek, šířky přes 300 mm délky přes 1000 do 1600 mm</t>
  </si>
  <si>
    <t>ks</t>
  </si>
  <si>
    <t xml:space="preserve">Přesun hmot pro konstrucke truhlářské, výšky do 12 m </t>
  </si>
  <si>
    <t>Součet hmotností prací konstrukce truhlářské</t>
  </si>
  <si>
    <t>Tabulky výpní otvorů - okna SP 13;</t>
  </si>
  <si>
    <t xml:space="preserve">demontáž a montáž stávajících hromosvodů </t>
  </si>
  <si>
    <t>demontáž a montáž stávajících hromosvodů, po porvední předložit revizní zprávu</t>
  </si>
  <si>
    <t>742 Elektromontáže</t>
  </si>
  <si>
    <t xml:space="preserve">Budova školy "Malé gymnázium" </t>
  </si>
  <si>
    <t>Snížení energetiské náročnosti budovy školy</t>
  </si>
  <si>
    <t>"Malé gymnázium", č.p 101, Jilemnice</t>
  </si>
  <si>
    <t>Snížení energetiské náročnosti budovy školy "Malé gymnázium"</t>
  </si>
  <si>
    <t xml:space="preserve">Budova školy "Malé gymnázium" čp. 101 Jilemnice </t>
  </si>
  <si>
    <t>Snížení energetické náročnosti budovy školy, č.p. 101, Jilemnice</t>
  </si>
  <si>
    <t>1</t>
  </si>
  <si>
    <t>Zemní práce</t>
  </si>
  <si>
    <t>5</t>
  </si>
  <si>
    <t>Komunikace</t>
  </si>
  <si>
    <t>113106121</t>
  </si>
  <si>
    <t>Rozebrání dlažeb nebo dílců komunikací pro pěší z betonových nebo kamených dlaždic</t>
  </si>
  <si>
    <t>Půdorys 1NP SP 02, Řez A2 SP 06; Řez A4 SP 07</t>
  </si>
  <si>
    <t>Plocha: +0,5 *(8,58+18,186+5,739+2,947+6,279)</t>
  </si>
  <si>
    <t>132202101</t>
  </si>
  <si>
    <t xml:space="preserve">Hloubení rýh š. - 600mm ručním nebo pneu.nářadím v soudržných horninách tř. 3 </t>
  </si>
  <si>
    <t xml:space="preserve">Hloubení rýh š. do 600mm ručním nebo pneumatickým nářadím v soudržných horninách tř. 3 </t>
  </si>
  <si>
    <t>objem: +0,5*0,5 *(6,36+2,17+5,5+8,58+18,186+5,739+2,947+6,279+3,75)</t>
  </si>
  <si>
    <t>Jedna polovina objemu výkopku: +0,5*0,5 *(6,36+2,17+5,5+8,58+18,186+5,739+2,947+6,279+3,75)/2</t>
  </si>
  <si>
    <t>132202109</t>
  </si>
  <si>
    <t xml:space="preserve">Příplatek za lepivost u hloubení rýh š. - 600mm ručním nebo pneu.nářadím v soudržných horninách tř. 3 </t>
  </si>
  <si>
    <t xml:space="preserve">Příplatek za lepivost u hloubení rýh š. do 600mm ručním nebo pneumatickým nářadím v soudržných horninách tř. 3 </t>
  </si>
  <si>
    <t>167101101</t>
  </si>
  <si>
    <t>Jedna pětina objemu výkopku: +0,5*0,5 *(6,36+2,17+5,5+8,58+18,186+5,739+2,947+6,279+3,75)/5</t>
  </si>
  <si>
    <t>162701105</t>
  </si>
  <si>
    <r>
      <t>Nakládání výkopku z hornin tř. 1-4 do 100 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</t>
    </r>
  </si>
  <si>
    <t xml:space="preserve">Nakládání výkopku z hornin tř. 1-4 do 100 m3 (ručně) </t>
  </si>
  <si>
    <t>rozdíl zemniny vykopané a odvezené: +7,44-2,98</t>
  </si>
  <si>
    <t>171201211</t>
  </si>
  <si>
    <t xml:space="preserve">Poplatek za uložení odpadu ze sypaniny na skládce </t>
  </si>
  <si>
    <t>Vodorovné přemístění do 10000 m výkopku, sypaniny z hornin tř. 1-4</t>
  </si>
  <si>
    <t>Poplatek za uložení odpadu ze sypaniny na skládce do 10 km</t>
  </si>
  <si>
    <t>převod objemu výkopku na hmotnost: +2,98*1,8</t>
  </si>
  <si>
    <t>174101101</t>
  </si>
  <si>
    <t>Zásyp jam, šachet nebo kolem objektů sypaninou</t>
  </si>
  <si>
    <t>Zásyp jam, šachet nebo kolem objektů sypaninou s prosátím a zhutněním</t>
  </si>
  <si>
    <t>objem použitého výkopku na místě: +4,46</t>
  </si>
  <si>
    <t>457971115</t>
  </si>
  <si>
    <t>Zřízení podkladní vrstvy z folie o sklonu do 1:5</t>
  </si>
  <si>
    <t>půdorysná plocha výkopu: +0,5*(6,36+2,17+5,5+8,58+18,186+5,739+2,947+6,279+3,75)</t>
  </si>
  <si>
    <t>693951105</t>
  </si>
  <si>
    <t>Folie proti prorůstání trávy</t>
  </si>
  <si>
    <t>ztratné dle podkladu URS: 50%</t>
  </si>
  <si>
    <t>564231111</t>
  </si>
  <si>
    <t xml:space="preserve">Podklad ze štěrkopísku SP tl. 100 mm </t>
  </si>
  <si>
    <t xml:space="preserve">Podklad nebo podsyp pod dlažby se zhutněním ze štěrkopísku SP tl. 100 mm </t>
  </si>
  <si>
    <t>Plocha rozebrané zámkové dlažby</t>
  </si>
  <si>
    <t>596211110</t>
  </si>
  <si>
    <t>Kladení zámkové dlažby komunikací pro pěší tl. 60 mm</t>
  </si>
  <si>
    <t>Kladení zámkové dlažby komunikací tl. 60 mm</t>
  </si>
  <si>
    <t>31</t>
  </si>
  <si>
    <t>Svislé a kompletní konstrukce</t>
  </si>
  <si>
    <t>317944323</t>
  </si>
  <si>
    <t xml:space="preserve">Válcované nosníky č. 14 až 22 dodatečně osazované do připravených otvorů </t>
  </si>
  <si>
    <t xml:space="preserve">Válcované nosníky dodatečně osazované do připravených otvorů bez zazdění hlav č. 14 až 22. </t>
  </si>
  <si>
    <t>Půdorys 1NP SP 02, Řez A2 SP 06;</t>
  </si>
  <si>
    <t xml:space="preserve">Polložka je včetně dodávky válcovaných nosníků a ztratného </t>
  </si>
  <si>
    <t>Dveře nadpraží: +(2,1*2+2,9)</t>
  </si>
  <si>
    <t>Okna špalety: +((2,1*32+2,1*3+1,1*4+1,4*4+1,4*7+(2,1+1,4)*2+1,85*2+1,4*4)*2)</t>
  </si>
  <si>
    <t>Dveře špalety: +(3+3+3)*2</t>
  </si>
  <si>
    <t>položky č. 12 + č. 13 + (237,2+171,5)</t>
  </si>
  <si>
    <t>Loubí: +(3,1*2)*4</t>
  </si>
  <si>
    <t>Loubí: +(5,25+5,1+2,34+3,02)</t>
  </si>
  <si>
    <t>Okna nadpraží a parapety+((1,6*32+1,4*3+0,6*4+0,6*4+1,6*7+1,6*2+3,2*2+0,6*2)*2)</t>
  </si>
  <si>
    <t>Omítka po výměněn oken špalet: +((2,1*32+2,1*3+1,1*4+1,4*4+1,4*7+(2,1+1,4)*2+1,85*2+1,4*4)*2)*0,2</t>
  </si>
  <si>
    <t>Omítka po výměně dveří špalet: +(3+3+3)*2*0,2</t>
  </si>
  <si>
    <t>Omítka nadpraží po výměně oken parapety+((1,6*32+1,4*3+0,6*4+0,6*4+1,6*7+1,6*2+3,2*2+0,6*2))*0,2</t>
  </si>
  <si>
    <t>Omítka nadpraří po výměně dveří: +(2,1*2+2,9)*0,2</t>
  </si>
  <si>
    <t>J+(15,63*8,1+3,83*5,8+15,63*3,5)-(1,6*2,1*11+5,3*3+5,25*3)</t>
  </si>
  <si>
    <t>Z+(6,77*8,1+2,68*1,4/2+6,77*3,5)-(1,6*2,1*4+3,52*3)+(8,53*8,1+5,5*3,6)</t>
  </si>
  <si>
    <t>S+((8,58*8,1+8,58*3,6)+(2,15*6,71+2,15*3,6)+(6,33*9,69+6,33*2,25)-(1,4*2,1*3+2,15*3,1*2+1,6*2,1*6+1,6*1,4*4))</t>
  </si>
  <si>
    <t>V+(23,28*8,1+23,28*3,6+3,83*5,8)-(1,6*2,1*12+1,6*1,4*3+0,6*1,4*8+0,6*1,1*4)</t>
  </si>
  <si>
    <t>Loubí +(17,46*3,25)-(3,2*1,85*2+2,9*3)</t>
  </si>
  <si>
    <t>Omítka špalet: +((2,1*32+2,1*3+1,1*4+1,4*4+1,4*7+(2,1+1,4)*2+1,85*2+1,4*4)*2)*0,15</t>
  </si>
  <si>
    <t>Omítka nadpraží +((1,6*32+1,4*3+0,6*4+0,6*4+1,6*7+1,6*2+3,2*2+0,6*2))*0,15</t>
  </si>
  <si>
    <t>Omítka podhledů (loubí, 2 x lodžie) +(60,84+6,54*2)</t>
  </si>
  <si>
    <t>Vnější tenkovrstvá omítka silikonová tl. -2mm (podhledů)</t>
  </si>
  <si>
    <t>Vnější tenkovrstvá omítka silikonová tl. -2mm</t>
  </si>
  <si>
    <t>Vnější tenkovrstvá omítka silikonová zatřená (hlazená) tl. -2 mm</t>
  </si>
  <si>
    <t>Vnější tenkovrstvá omítka akrylátová zatřená (hlazená) tl. -2 mm</t>
  </si>
  <si>
    <t>Vnější tenkovrstvá omítka akrylátová tl. -4mm mozaiková</t>
  </si>
  <si>
    <t>Vnější tenkovrstvá omítka akrylátová na jakoukoliv konstrukci mozaiková (soklu) tl. -4 mm</t>
  </si>
  <si>
    <t>Omítka soklu: 0,5 *(6,36+2,17+5,5+8,58+18,186+5,739+2,947+6,279+3,75)</t>
  </si>
  <si>
    <t>Okna+(1,6*2,1*32+1,4*2,1*3+0,6*1,1*4+0,6*1,4*4+1,6*1,4*7+1,6*2,1+1,6*2,1+3,2*1,85*2+1,4*0,7/2*15+0,6*1,4*4)</t>
  </si>
  <si>
    <t>Dveře: +(2,15*3*2+2,9*3)</t>
  </si>
  <si>
    <t xml:space="preserve">Kompletní zatpelovací systém KZS stěn budov z tesek z exp. polystyrenu EPS tl. tepelní izolace 140mm zakončený stěrkou a výztužovou tkaninou </t>
  </si>
  <si>
    <t>Z+(6,77*8,1+2,68*1,4/2+6,77*3,0)-(1,6*2,1*4+3,52*3)+(8,53*8,1+5,5*3,6)</t>
  </si>
  <si>
    <t>S+((8,58*8,1+8,58*3,1)+(2,15*6,71+2,15*3,1)+(6,33*9,69+6,33*2,25)-(1,4*2,1*3+2,15*3,1*2+1,6*2,1*6+1,6*1,4*4))</t>
  </si>
  <si>
    <t>V+(23,28*8,1+23,28*3,1+3,83*5,8)-(1,6*2,1*12+1,6*1,4*3+0,6*1,4*8+0,6*1,1*4)</t>
  </si>
  <si>
    <t>Loubí +(17,46*2,75)-(3,2*1,85*2+2,9*3)</t>
  </si>
  <si>
    <t xml:space="preserve">KZS stěn budov pod keramický obklad z tesek z extr. Polystyrenu tl. 140mm zakončený stěrkou a výztužovou tkaninou </t>
  </si>
  <si>
    <t xml:space="preserve">Kompletní zatpelovací systém KZS budov pod keramický obklad z tesek z extr. polystyrenu XPS tl. tepelní izolace 140mm zakončený stěrkou a výztužovou tkaninou </t>
  </si>
  <si>
    <t>Omítka soklu: 1,05 *(6,36+2,17+5,5+8,58+18,186+5,739+2,947+6,279+3,75)</t>
  </si>
  <si>
    <t xml:space="preserve">Montáž zateplení vnějších stěn podhledů z polystyrenových desek tl. - 240mm  </t>
  </si>
  <si>
    <t>základní povrchová úprava obsahuje přestěrkování izolace omítkou s armovací sítí, upevnění plastovými hmoždinkami.</t>
  </si>
  <si>
    <t>Montáž zateplení vnějších stěn podhledů z polystyrenových desek tl. - 240mm,</t>
  </si>
  <si>
    <t>Deska z extrudovaného polystyrenu (šedý) XPS SF 240mm</t>
  </si>
  <si>
    <t>Deska z extrudovaného polystyrenu (šedý) XPS SF tl. 240mm</t>
  </si>
  <si>
    <t>Omítka podhledů (loubí, lodžie) +(60,84+(3,75*2,15))</t>
  </si>
  <si>
    <t>Omítka podhledů (loubí, 2 x lodžie) +(60,84+6,54+(3,75*2,15))</t>
  </si>
  <si>
    <t>ztratné dle podkladu URS: +2%</t>
  </si>
  <si>
    <t>Okna+(219,2+18+164,4/2+7,1)</t>
  </si>
  <si>
    <t>Lišty k zateplovacím systémům soklové</t>
  </si>
  <si>
    <t>Omítka soklu: +(6,36+2,17+5,5+8,58+18,186+5,739+2,947+6,279+3,75)</t>
  </si>
  <si>
    <t>Parapety+(164,4/2)</t>
  </si>
  <si>
    <t>Položka č. 16</t>
  </si>
  <si>
    <t>Parapety+(104,4*0,45)</t>
  </si>
  <si>
    <t>Dveře: +(2,15+3)*4+(2,9+3)*2)</t>
  </si>
  <si>
    <t>Lešení řadové: +(15,06+1,2*2)*13,16+(8,94+1,2)*13,16+(5,5+1,2)*13,16+(6,34+1,2)*13,16+(8,58+1,2*2)*13,16+(23,28+1,2*2)*13,16</t>
  </si>
  <si>
    <t>Za 3 měsíce: +1033,06*3</t>
  </si>
  <si>
    <t>celkem: +1033,06</t>
  </si>
  <si>
    <t>Plocha měřena elektronicky v garafickém programu n. p. +(12,33+7,64+3,94+63,06+3,7+4,69+3,51+4,67+25,47)+(45,63+54,62+3,78+4,67+3,7+4,69+56,57+6,54+13,65+17,42)*2+(45,63+18,97+35,67+3,78+4,67+,70+4,69+56,57+13,38+17,43)</t>
  </si>
  <si>
    <t>Okna špalety: +((2,1*32+2,1*3+1,1*4+1,4*4+1,4*7+(2,1+1,4)*2+1,85*2+1,4*4)*2)*0,15</t>
  </si>
  <si>
    <t>Okna nadpraží a parapety+(1,6*32+1,4*3+0,6*4+0,6*4+1,6*7+1,6*2+3,2*2+0,6*2)*0,15</t>
  </si>
  <si>
    <t>Tabulka dveří: +(2+2+1)</t>
  </si>
  <si>
    <t>Tabulka oken: +(32*2+3*2+4+4+7*2+2*2+2*4+15+4)</t>
  </si>
  <si>
    <t xml:space="preserve">Součet 1NP + 2NP + 3 NP + 4 NP </t>
  </si>
  <si>
    <t>Vzdálenost skládky 11 km</t>
  </si>
  <si>
    <t>Fasáda: +(0,64*2)</t>
  </si>
  <si>
    <t>Montáž obložení podhledů jednoduchých š. +80 -100</t>
  </si>
  <si>
    <t>Palubkový obklad operků: +(0,4+0,25) *(6,36+2,17+5,5+8,58+18,186+3,75+2,15)</t>
  </si>
  <si>
    <t>Montáž oken dřevěných, dvojitých otevíravých do zdiva, výšky do 1,5 m</t>
  </si>
  <si>
    <t>Okna+(0,6*1,1*4+0,6*1,4*4+1,6*1,4*7+1,4*0,7/2*15+0,6*1,4*4)</t>
  </si>
  <si>
    <t>Montáž oken dřevěných, dvojitých otevíravých do zdiva, výšky přes 1,5 m do 2,5 m</t>
  </si>
  <si>
    <t>Okna+(1,6*2,1*32+1,4*2,1*3+1,6*2,1+1,6*2,1+3,2*1,85*2)</t>
  </si>
  <si>
    <t>OLP 01</t>
  </si>
  <si>
    <t xml:space="preserve">Dřevěné okno lepený profil 1600/2100  U = 1,2 W/m2K </t>
  </si>
  <si>
    <t>OLP 02</t>
  </si>
  <si>
    <t>OLP 03</t>
  </si>
  <si>
    <t>OLP 04</t>
  </si>
  <si>
    <t>OLP 05</t>
  </si>
  <si>
    <t>OLP 06</t>
  </si>
  <si>
    <t>OLP 07</t>
  </si>
  <si>
    <t>OLP 08</t>
  </si>
  <si>
    <t>OLP 09</t>
  </si>
  <si>
    <t>OLP 10</t>
  </si>
  <si>
    <t xml:space="preserve">Dřevěné okno lepený profil 1400/2100  U = 1,2 W/m2K </t>
  </si>
  <si>
    <t xml:space="preserve">Dřevěné okno lepený profil   600/1100  U = 1,2 W/m2K </t>
  </si>
  <si>
    <t xml:space="preserve">Dřevěné okno lepený profil   600/1400  U = 1,2 W/m2K </t>
  </si>
  <si>
    <t xml:space="preserve">Dřevěné okno lepený profil 1600/1400  U = 1,2 W/m2K </t>
  </si>
  <si>
    <t xml:space="preserve">Dřevěné okno lepený profil 3200/1850  U = 1,2 W/m2K </t>
  </si>
  <si>
    <t xml:space="preserve">Dřevěné okno lepený profil 1400/700    U = 1,2 W/m2K </t>
  </si>
  <si>
    <t>tab. Dveří SP 14</t>
  </si>
  <si>
    <t xml:space="preserve">Dřevěné dveře vchodové 2900/3000 vč. kování </t>
  </si>
  <si>
    <t>Zámečnická montáž atypického prvku hm. -20kg</t>
  </si>
  <si>
    <t>Zámečnická montáž atypického prvku hmotnosti do 20kg</t>
  </si>
  <si>
    <t>Tabulka klempířských konstrukcí a fasádních prvků SP 15</t>
  </si>
  <si>
    <t>Z1 - prvky na fasádě, skříně elektro, HUP, věrqcí mřížky celkem 5 ks</t>
  </si>
  <si>
    <t>kg</t>
  </si>
  <si>
    <t>Položka č. 15</t>
  </si>
  <si>
    <t>Okna+(1,6*2,1*26+1,6*2,1+1,6*2,1+3,2*1,85*2)</t>
  </si>
  <si>
    <t>Rohy budovy +(8,1+3,5)*5)</t>
  </si>
  <si>
    <t xml:space="preserve">742.Z2 </t>
  </si>
  <si>
    <t>Pohledy J SP 09; Z SP 10; S SP 11; V SP 12; tabulky SP 15</t>
  </si>
  <si>
    <t>Upravení na tloušťku KZS</t>
  </si>
  <si>
    <t>SOUPIS OSTATNÍCH NÁKLADŮ</t>
  </si>
  <si>
    <t>801.32</t>
  </si>
  <si>
    <t>Název ON</t>
  </si>
  <si>
    <t xml:space="preserve">Popis položky:
Náklady na vypracování dokumentace skutečného provedení stavby - ve třech vyhotoveních v grafické (tištěné) podobě.
</t>
  </si>
  <si>
    <t>2) Vypracování projektové dokumentace skutečného provedení stavby – elektronická verze – 1 ks</t>
  </si>
  <si>
    <t>Popis položky:
Náklady na vypracování dokumentace skutečného provedení stavby - jednou v elektronické podobě ve formátech .pdf a .dwg.</t>
  </si>
  <si>
    <t xml:space="preserve">Popis položky:
Náklady na  projednání a zajištění případného zvláštního užívání komunikací a veřejných ploch včetně úhrady vyměřených poplatků a nájemného, včetně úhrady za případné dočasné zábory ploch, dočasné i trvalé skládky. Zajištění případného dopravního značení včetně jeho projednání k dopravním omezením, jejich údržba, přemisťování a následné odstranění.
</t>
  </si>
  <si>
    <t>Popis položky:
Náklady na zajištění průběžné fotodokumentace provádění díla – zhotovitel zajistí a předá objednateli průběžnou fotodokumentaci realizace díla v 1 digitálním vyhotovení. Fotodokumentace bude dokladovat průběh díla a bude zejména dokumentovat části stavby a konstrukce před jejich zakrytím.</t>
  </si>
  <si>
    <t>Popis položky:
Náklady na pojištění odpovědnosti za škodu v souladu a rozsahu s článkem 17 – Pojištění díla (Příloha č. 2 ZD - Návrh smlouvy o dílo – závazné obchodní podmínky)</t>
  </si>
  <si>
    <t xml:space="preserve">Popis položky:
Náklady na seznámení se s rozmístěním a trasou stávajících známých inženýrských sítí na staveništi a přilehlých pozemcích dotčených prováděním díla, jejich případné přeložení, nebo ochrana tak, aby v průběhu provádění díla nedošlo k jejich poškození. Zhotovitel je povinen dodržovat všechny podmínky správců nebo vlastníků těchto sítí a nese veškeré důsledky a škody vzniklé jejich nedodržením. </t>
  </si>
  <si>
    <t>Popis položky:
Náklady na poskytnutou záruku dodavatele, vyplývající z podmínek smlouvy o dílo článek 15 – Záruka za jakost díla (Příloha č. 2 ZD - Návrh smlouvy o dílo – závazné obchodní podmínky)</t>
  </si>
  <si>
    <t xml:space="preserve">Popis položky:
Náklady na smluvní pokuty souvisící s neplněním závazku vyplývajících ze smlouvy (jedná se o smluvní pokutu za neplnění dohodnutých termínů či lhůt, smluvní pokutu za neodstranění vad a nedodělků zjištěných při předání a převzetí díla, smluvní pokutu za neodstranění reklamovaných vad, smluvní pokutu za neodstranění odpadů, smluvní pokutu za nepředání seznamu subdodavatelů). </t>
  </si>
  <si>
    <t>Popis položky:
Jedná se o sankce, které nejsou dohodnuty ve smlouvě o dílo, ale vyplývají z porušení zákonů a jiných předpisů.</t>
  </si>
  <si>
    <t>školy "malé Gymnázium" Komenského čp. 101 Jilemnice</t>
  </si>
  <si>
    <t>1) Vybudování, provoz, údržba a odstranění zařízení staveniště - Kč</t>
  </si>
  <si>
    <t xml:space="preserve">Popis položky: Náklady na vybudování a zajištění zařízení staveniště a jeho provoz, údržbu a likvidaci 
v souladu s platnými právními předpisy, včetně případného zajištění ohlášení dle zákona č. 183/2006 Sb., o územním plánování a stavebním řádu (stavební zákon), ve znění pozdějších předpisů; zřízení staveništních přípojek energií (vody a energie), jejich měření, provoz, údržba, úhrada a likvidace; zajištění případného zimního opatření; náklady na úpravu povrchů po odstranění zařízení staveniště a úklid ploch, na kterých bylo zařízení staveniště provozováno; dodávka, skladování, správa, zabudování a montáž veškerých dílů a materiálů a zařízení týkající se veřejné zakázky; zajištění staveniště proti přístupu nepovolaných osob, zabezpečení staveniště. Náklady na vybavení objektů zařízení staveniště a odstranění objektů zařízení staveniště včetně odvozu. Náklady na střežení, vhodné zabezpečení staveniště.
</t>
  </si>
  <si>
    <t>2) Provozní a územní vlivy - Kč</t>
  </si>
  <si>
    <t>Popis položky: Náklady na úpravu pozemků, jež  nejsou součástí díla, ale budou stavbou dotčeny, uvede zhotovitel po ukončení prací neprodleně do původního stavu; náklady na zajištění opatření k dočasné ochraně vzrostlých dřevin, jež mají být zachovány, konstrukcí a staveb, náklady na opatření k ochraně a zabezpečení strojů a materiálů na staveništi.</t>
  </si>
  <si>
    <t>1) Vypracování projektové dokumentace skutečného provedení stavby – tištěná verze - 3ks</t>
  </si>
  <si>
    <t>3) Dočasná dopravní zařízení - Kč</t>
  </si>
  <si>
    <t>4) Zkoušky a revize - Kč</t>
  </si>
  <si>
    <t xml:space="preserve">Popis položky:
Náklady na zajištění všech nezbytných zkoušek, atestů a revizí podle ČSN a případných jiných právních nebo technických předpisů platných v době provádění a předání díla, kterými bude prokázáno dosažení předepsané kvality a předepsaných technických parametrů díla.
</t>
  </si>
  <si>
    <t>5) Fotodokumentace prováděného díla - 1ks</t>
  </si>
  <si>
    <t>6) Pojištění díla - Kč</t>
  </si>
  <si>
    <t>7) Inženýrské sítě - Kč</t>
  </si>
  <si>
    <t>8) Záruka za jakost díla - Kč</t>
  </si>
  <si>
    <t>9) Smluvní pokuty - Kč</t>
  </si>
  <si>
    <t>10) Ostatní pokuty - Kč</t>
  </si>
  <si>
    <t>11) Koordinační a kompletační  činnosti - Kč</t>
  </si>
  <si>
    <t>Popis položky:
Náklady na zajištění a dodržení splnění všech požadavků a podmínek uvedených ve vyjádřeních vyplývajících ze stavebního povolení nebo stanovisek orgánů státní správy a případně účastníků řízenína; zajištění oznámení zahájení stavebních prací v souladu s pravomocnými rozhodnutími a vyjádřeními například správců sítí.; poskytnutí součinnosti při tvorbě povinných monitorovacích zpráv projektu; zajištění koordinační činnosti subdodavatelů zhotovitele; zajištění a provedení všech nezbytných opatření organizačního a stavebně technologického charakteru k řádnému provedení předmětu díla; předání všech dokladů o dokončené stavbě.Předložení všech potřebných dokumentů a zajištění své účasti na závěrečné kontrolní prohlídce stavby = kolaudaci po dokončení stavby, a v určených termínech odstranění případných závad uvedených v zápisu z této prohlídky vzniklých činností dodavatele a opakovanou účast na případných dalších kontrolních prohlídkách.</t>
  </si>
  <si>
    <t>CELKEM ON</t>
  </si>
  <si>
    <t>D 11</t>
  </si>
  <si>
    <t>Dřevěné dveře balkonové 2150/3000 vč. kování; tabulka dveří SP 14 varianta I.</t>
  </si>
  <si>
    <t>Položka zrušena</t>
  </si>
  <si>
    <t>D 12</t>
  </si>
  <si>
    <t>Parapety+73</t>
  </si>
  <si>
    <t>Patapet š. 450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</si>
</sst>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%"/>
    <numFmt numFmtId="165" formatCode="0.0"/>
    <numFmt numFmtId="166" formatCode="dd/mm/yy"/>
    <numFmt numFmtId="167" formatCode="#,##0\ &quot;Kč&quot;"/>
    <numFmt numFmtId="168" formatCode="0.00000"/>
    <numFmt numFmtId="169" formatCode="#,##0.0"/>
    <numFmt numFmtId="170" formatCode="[$-405]mmmm\ yy;@"/>
  </numFmts>
  <fonts count="22" x14ac:knownFonts="1">
    <font>
      <sz val="10"/>
      <name val="Arial CE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</font>
    <font>
      <b/>
      <u/>
      <sz val="12"/>
      <name val="Arial"/>
      <family val="2"/>
      <charset val="238"/>
    </font>
    <font>
      <b/>
      <u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indexed="9"/>
      <name val="Arial"/>
      <family val="2"/>
      <charset val="238"/>
    </font>
    <font>
      <b/>
      <i/>
      <sz val="10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sz val="8"/>
      <name val="Arial CE"/>
      <charset val="238"/>
    </font>
    <font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</fills>
  <borders count="1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525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/>
    <xf numFmtId="0" fontId="3" fillId="0" borderId="0" xfId="0" applyFont="1" applyAlignment="1">
      <alignment horizontal="right"/>
    </xf>
    <xf numFmtId="14" fontId="3" fillId="0" borderId="0" xfId="0" applyNumberFormat="1" applyFont="1" applyAlignment="1">
      <alignment horizontal="left"/>
    </xf>
    <xf numFmtId="0" fontId="4" fillId="0" borderId="0" xfId="0" applyFont="1" applyAlignment="1">
      <alignment horizontal="right"/>
    </xf>
    <xf numFmtId="49" fontId="1" fillId="0" borderId="0" xfId="0" applyNumberFormat="1" applyFont="1"/>
    <xf numFmtId="0" fontId="5" fillId="0" borderId="0" xfId="0" applyFont="1" applyAlignment="1">
      <alignment horizontal="righ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/>
    <xf numFmtId="0" fontId="7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4" fillId="2" borderId="1" xfId="0" applyFont="1" applyFill="1" applyBorder="1" applyAlignment="1">
      <alignment wrapText="1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4" fillId="2" borderId="1" xfId="0" applyFont="1" applyFill="1" applyBorder="1" applyAlignment="1">
      <alignment horizontal="right" wrapText="1"/>
    </xf>
    <xf numFmtId="0" fontId="1" fillId="2" borderId="2" xfId="0" applyFont="1" applyFill="1" applyBorder="1" applyAlignment="1"/>
    <xf numFmtId="0" fontId="4" fillId="2" borderId="2" xfId="0" applyFont="1" applyFill="1" applyBorder="1" applyAlignment="1">
      <alignment horizontal="right" wrapText="1"/>
    </xf>
    <xf numFmtId="0" fontId="4" fillId="2" borderId="3" xfId="0" applyFont="1" applyFill="1" applyBorder="1" applyAlignment="1">
      <alignment horizontal="right" vertical="center"/>
    </xf>
    <xf numFmtId="0" fontId="4" fillId="3" borderId="0" xfId="0" applyFont="1" applyFill="1" applyBorder="1" applyAlignment="1">
      <alignment horizontal="right" wrapText="1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1" fontId="1" fillId="0" borderId="0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4" fontId="1" fillId="0" borderId="6" xfId="0" applyNumberFormat="1" applyFont="1" applyBorder="1" applyAlignment="1">
      <alignment horizontal="right" vertical="center"/>
    </xf>
    <xf numFmtId="4" fontId="1" fillId="0" borderId="7" xfId="0" applyNumberFormat="1" applyFont="1" applyBorder="1" applyAlignment="1">
      <alignment horizontal="right" vertical="center"/>
    </xf>
    <xf numFmtId="4" fontId="1" fillId="3" borderId="0" xfId="0" applyNumberFormat="1" applyFont="1" applyFill="1" applyBorder="1" applyAlignment="1">
      <alignment vertical="center"/>
    </xf>
    <xf numFmtId="4" fontId="1" fillId="0" borderId="4" xfId="0" applyNumberFormat="1" applyFont="1" applyBorder="1" applyAlignment="1">
      <alignment horizontal="right" vertical="center"/>
    </xf>
    <xf numFmtId="4" fontId="1" fillId="0" borderId="0" xfId="0" applyNumberFormat="1" applyFont="1" applyBorder="1" applyAlignment="1">
      <alignment horizontal="right" vertical="center"/>
    </xf>
    <xf numFmtId="4" fontId="1" fillId="0" borderId="8" xfId="0" applyNumberFormat="1" applyFont="1" applyBorder="1" applyAlignment="1">
      <alignment horizontal="right" vertical="center"/>
    </xf>
    <xf numFmtId="4" fontId="1" fillId="0" borderId="9" xfId="0" applyNumberFormat="1" applyFont="1" applyBorder="1" applyAlignment="1">
      <alignment horizontal="right" vertical="center"/>
    </xf>
    <xf numFmtId="0" fontId="6" fillId="4" borderId="1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4" fontId="6" fillId="4" borderId="10" xfId="0" applyNumberFormat="1" applyFont="1" applyFill="1" applyBorder="1" applyAlignment="1">
      <alignment horizontal="right" vertical="center"/>
    </xf>
    <xf numFmtId="4" fontId="6" fillId="4" borderId="11" xfId="0" applyNumberFormat="1" applyFont="1" applyFill="1" applyBorder="1" applyAlignment="1">
      <alignment horizontal="right" vertical="center"/>
    </xf>
    <xf numFmtId="4" fontId="7" fillId="3" borderId="0" xfId="0" applyNumberFormat="1" applyFont="1" applyFill="1" applyBorder="1" applyAlignment="1">
      <alignment vertical="center"/>
    </xf>
    <xf numFmtId="0" fontId="2" fillId="0" borderId="0" xfId="0" applyFont="1" applyAlignment="1">
      <alignment horizontal="center"/>
    </xf>
    <xf numFmtId="4" fontId="1" fillId="0" borderId="0" xfId="0" applyNumberFormat="1" applyFont="1"/>
    <xf numFmtId="0" fontId="4" fillId="2" borderId="1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0" fontId="7" fillId="2" borderId="3" xfId="0" applyFont="1" applyFill="1" applyBorder="1" applyAlignment="1">
      <alignment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7" xfId="0" applyFont="1" applyBorder="1"/>
    <xf numFmtId="164" fontId="3" fillId="0" borderId="13" xfId="0" applyNumberFormat="1" applyFont="1" applyBorder="1"/>
    <xf numFmtId="3" fontId="4" fillId="0" borderId="14" xfId="0" applyNumberFormat="1" applyFont="1" applyBorder="1" applyAlignment="1">
      <alignment horizontal="right"/>
    </xf>
    <xf numFmtId="3" fontId="3" fillId="0" borderId="13" xfId="0" applyNumberFormat="1" applyFont="1" applyBorder="1" applyAlignment="1">
      <alignment horizontal="right"/>
    </xf>
    <xf numFmtId="3" fontId="3" fillId="0" borderId="14" xfId="0" applyNumberFormat="1" applyFont="1" applyBorder="1" applyAlignment="1">
      <alignment horizontal="right"/>
    </xf>
    <xf numFmtId="165" fontId="1" fillId="0" borderId="15" xfId="0" applyNumberFormat="1" applyFont="1" applyBorder="1"/>
    <xf numFmtId="49" fontId="3" fillId="0" borderId="4" xfId="0" applyNumberFormat="1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0" xfId="0" applyFont="1" applyBorder="1"/>
    <xf numFmtId="164" fontId="3" fillId="0" borderId="5" xfId="0" applyNumberFormat="1" applyFont="1" applyBorder="1"/>
    <xf numFmtId="3" fontId="4" fillId="0" borderId="15" xfId="0" applyNumberFormat="1" applyFont="1" applyBorder="1" applyAlignment="1">
      <alignment horizontal="right"/>
    </xf>
    <xf numFmtId="3" fontId="3" fillId="0" borderId="5" xfId="0" applyNumberFormat="1" applyFont="1" applyBorder="1" applyAlignment="1">
      <alignment horizontal="right"/>
    </xf>
    <xf numFmtId="0" fontId="4" fillId="4" borderId="1" xfId="0" applyFont="1" applyFill="1" applyBorder="1" applyAlignment="1">
      <alignment vertical="center"/>
    </xf>
    <xf numFmtId="49" fontId="4" fillId="4" borderId="2" xfId="0" applyNumberFormat="1" applyFont="1" applyFill="1" applyBorder="1" applyAlignment="1">
      <alignment horizontal="left" vertical="center"/>
    </xf>
    <xf numFmtId="0" fontId="4" fillId="4" borderId="2" xfId="0" applyFont="1" applyFill="1" applyBorder="1" applyAlignment="1">
      <alignment vertical="center"/>
    </xf>
    <xf numFmtId="164" fontId="3" fillId="4" borderId="3" xfId="0" applyNumberFormat="1" applyFont="1" applyFill="1" applyBorder="1"/>
    <xf numFmtId="3" fontId="4" fillId="4" borderId="12" xfId="0" applyNumberFormat="1" applyFont="1" applyFill="1" applyBorder="1" applyAlignment="1">
      <alignment horizontal="right" vertical="center"/>
    </xf>
    <xf numFmtId="165" fontId="4" fillId="4" borderId="12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left" vertical="top" wrapText="1"/>
    </xf>
    <xf numFmtId="0" fontId="2" fillId="0" borderId="9" xfId="0" applyFont="1" applyBorder="1" applyAlignment="1">
      <alignment horizontal="centerContinuous" vertical="top"/>
    </xf>
    <xf numFmtId="0" fontId="1" fillId="0" borderId="9" xfId="0" applyFont="1" applyBorder="1" applyAlignment="1">
      <alignment horizontal="centerContinuous"/>
    </xf>
    <xf numFmtId="0" fontId="7" fillId="2" borderId="16" xfId="0" applyFont="1" applyFill="1" applyBorder="1" applyAlignment="1">
      <alignment horizontal="left"/>
    </xf>
    <xf numFmtId="0" fontId="3" fillId="2" borderId="17" xfId="0" applyFont="1" applyFill="1" applyBorder="1" applyAlignment="1">
      <alignment horizontal="centerContinuous"/>
    </xf>
    <xf numFmtId="0" fontId="4" fillId="2" borderId="18" xfId="0" applyFont="1" applyFill="1" applyBorder="1" applyAlignment="1">
      <alignment horizontal="left"/>
    </xf>
    <xf numFmtId="0" fontId="3" fillId="0" borderId="19" xfId="0" applyFont="1" applyBorder="1"/>
    <xf numFmtId="49" fontId="3" fillId="0" borderId="20" xfId="0" applyNumberFormat="1" applyFont="1" applyBorder="1" applyAlignment="1">
      <alignment horizontal="left"/>
    </xf>
    <xf numFmtId="0" fontId="1" fillId="0" borderId="21" xfId="0" applyFont="1" applyBorder="1"/>
    <xf numFmtId="0" fontId="3" fillId="0" borderId="3" xfId="0" applyFont="1" applyBorder="1"/>
    <xf numFmtId="0" fontId="3" fillId="0" borderId="2" xfId="0" applyFont="1" applyBorder="1"/>
    <xf numFmtId="0" fontId="3" fillId="0" borderId="12" xfId="0" applyFont="1" applyBorder="1"/>
    <xf numFmtId="0" fontId="3" fillId="0" borderId="22" xfId="0" applyFont="1" applyBorder="1" applyAlignment="1">
      <alignment horizontal="left"/>
    </xf>
    <xf numFmtId="0" fontId="7" fillId="0" borderId="21" xfId="0" applyFont="1" applyBorder="1"/>
    <xf numFmtId="49" fontId="3" fillId="0" borderId="22" xfId="0" applyNumberFormat="1" applyFont="1" applyBorder="1" applyAlignment="1">
      <alignment horizontal="left"/>
    </xf>
    <xf numFmtId="49" fontId="7" fillId="2" borderId="21" xfId="0" applyNumberFormat="1" applyFont="1" applyFill="1" applyBorder="1"/>
    <xf numFmtId="49" fontId="1" fillId="2" borderId="3" xfId="0" applyNumberFormat="1" applyFont="1" applyFill="1" applyBorder="1"/>
    <xf numFmtId="0" fontId="7" fillId="2" borderId="2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3" fillId="0" borderId="12" xfId="0" applyFont="1" applyFill="1" applyBorder="1"/>
    <xf numFmtId="3" fontId="3" fillId="0" borderId="22" xfId="0" applyNumberFormat="1" applyFont="1" applyBorder="1" applyAlignment="1">
      <alignment horizontal="left"/>
    </xf>
    <xf numFmtId="0" fontId="1" fillId="0" borderId="0" xfId="0" applyFont="1" applyFill="1"/>
    <xf numFmtId="49" fontId="7" fillId="2" borderId="23" xfId="0" applyNumberFormat="1" applyFont="1" applyFill="1" applyBorder="1"/>
    <xf numFmtId="49" fontId="1" fillId="2" borderId="5" xfId="0" applyNumberFormat="1" applyFont="1" applyFill="1" applyBorder="1"/>
    <xf numFmtId="0" fontId="7" fillId="2" borderId="0" xfId="0" applyFont="1" applyFill="1" applyBorder="1"/>
    <xf numFmtId="0" fontId="1" fillId="2" borderId="0" xfId="0" applyFont="1" applyFill="1" applyBorder="1"/>
    <xf numFmtId="49" fontId="3" fillId="0" borderId="12" xfId="0" applyNumberFormat="1" applyFont="1" applyBorder="1" applyAlignment="1">
      <alignment horizontal="left"/>
    </xf>
    <xf numFmtId="0" fontId="3" fillId="0" borderId="24" xfId="0" applyFont="1" applyBorder="1"/>
    <xf numFmtId="0" fontId="3" fillId="0" borderId="12" xfId="0" applyNumberFormat="1" applyFont="1" applyBorder="1"/>
    <xf numFmtId="0" fontId="3" fillId="0" borderId="25" xfId="0" applyNumberFormat="1" applyFont="1" applyBorder="1" applyAlignment="1">
      <alignment horizontal="left"/>
    </xf>
    <xf numFmtId="0" fontId="1" fillId="0" borderId="0" xfId="0" applyNumberFormat="1" applyFont="1" applyBorder="1"/>
    <xf numFmtId="0" fontId="1" fillId="0" borderId="0" xfId="0" applyNumberFormat="1" applyFont="1"/>
    <xf numFmtId="0" fontId="3" fillId="0" borderId="25" xfId="0" applyFont="1" applyBorder="1" applyAlignment="1">
      <alignment horizontal="left"/>
    </xf>
    <xf numFmtId="0" fontId="1" fillId="0" borderId="0" xfId="0" applyFont="1" applyBorder="1"/>
    <xf numFmtId="0" fontId="3" fillId="0" borderId="12" xfId="0" applyFont="1" applyFill="1" applyBorder="1" applyAlignment="1"/>
    <xf numFmtId="0" fontId="3" fillId="0" borderId="25" xfId="0" applyFont="1" applyFill="1" applyBorder="1" applyAlignment="1"/>
    <xf numFmtId="0" fontId="1" fillId="0" borderId="0" xfId="0" applyFont="1" applyFill="1" applyBorder="1" applyAlignment="1"/>
    <xf numFmtId="0" fontId="3" fillId="0" borderId="12" xfId="0" applyFont="1" applyBorder="1" applyAlignment="1"/>
    <xf numFmtId="0" fontId="3" fillId="0" borderId="25" xfId="0" applyFont="1" applyBorder="1" applyAlignment="1"/>
    <xf numFmtId="3" fontId="1" fillId="0" borderId="0" xfId="0" applyNumberFormat="1" applyFont="1"/>
    <xf numFmtId="0" fontId="3" fillId="0" borderId="21" xfId="0" applyFont="1" applyBorder="1"/>
    <xf numFmtId="0" fontId="3" fillId="0" borderId="19" xfId="0" applyFont="1" applyBorder="1" applyAlignment="1">
      <alignment horizontal="left"/>
    </xf>
    <xf numFmtId="0" fontId="3" fillId="0" borderId="26" xfId="0" applyFont="1" applyBorder="1" applyAlignment="1">
      <alignment horizontal="left"/>
    </xf>
    <xf numFmtId="0" fontId="2" fillId="0" borderId="27" xfId="0" applyFont="1" applyBorder="1" applyAlignment="1">
      <alignment horizontal="centerContinuous" vertical="center"/>
    </xf>
    <xf numFmtId="0" fontId="6" fillId="0" borderId="28" xfId="0" applyFont="1" applyBorder="1" applyAlignment="1">
      <alignment horizontal="centerContinuous" vertical="center"/>
    </xf>
    <xf numFmtId="0" fontId="1" fillId="0" borderId="28" xfId="0" applyFont="1" applyBorder="1" applyAlignment="1">
      <alignment horizontal="centerContinuous" vertical="center"/>
    </xf>
    <xf numFmtId="0" fontId="1" fillId="0" borderId="29" xfId="0" applyFont="1" applyBorder="1" applyAlignment="1">
      <alignment horizontal="centerContinuous" vertical="center"/>
    </xf>
    <xf numFmtId="0" fontId="7" fillId="2" borderId="10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30" xfId="0" applyFont="1" applyFill="1" applyBorder="1" applyAlignment="1">
      <alignment horizontal="centerContinuous"/>
    </xf>
    <xf numFmtId="0" fontId="7" fillId="2" borderId="11" xfId="0" applyFont="1" applyFill="1" applyBorder="1" applyAlignment="1">
      <alignment horizontal="centerContinuous"/>
    </xf>
    <xf numFmtId="0" fontId="1" fillId="2" borderId="11" xfId="0" applyFont="1" applyFill="1" applyBorder="1" applyAlignment="1">
      <alignment horizontal="centerContinuous"/>
    </xf>
    <xf numFmtId="0" fontId="1" fillId="0" borderId="31" xfId="0" applyFont="1" applyBorder="1"/>
    <xf numFmtId="0" fontId="1" fillId="0" borderId="32" xfId="0" applyFont="1" applyBorder="1"/>
    <xf numFmtId="3" fontId="1" fillId="0" borderId="20" xfId="0" applyNumberFormat="1" applyFont="1" applyBorder="1"/>
    <xf numFmtId="0" fontId="1" fillId="0" borderId="16" xfId="0" applyFont="1" applyBorder="1"/>
    <xf numFmtId="3" fontId="1" fillId="0" borderId="18" xfId="0" applyNumberFormat="1" applyFont="1" applyBorder="1"/>
    <xf numFmtId="0" fontId="1" fillId="0" borderId="17" xfId="0" applyFont="1" applyBorder="1"/>
    <xf numFmtId="3" fontId="1" fillId="0" borderId="2" xfId="0" applyNumberFormat="1" applyFont="1" applyBorder="1"/>
    <xf numFmtId="0" fontId="1" fillId="0" borderId="3" xfId="0" applyFont="1" applyBorder="1"/>
    <xf numFmtId="0" fontId="1" fillId="0" borderId="33" xfId="0" applyFont="1" applyBorder="1"/>
    <xf numFmtId="0" fontId="1" fillId="0" borderId="32" xfId="0" applyFont="1" applyBorder="1" applyAlignment="1">
      <alignment shrinkToFit="1"/>
    </xf>
    <xf numFmtId="0" fontId="1" fillId="0" borderId="34" xfId="0" applyFont="1" applyBorder="1"/>
    <xf numFmtId="0" fontId="1" fillId="0" borderId="23" xfId="0" applyFont="1" applyBorder="1"/>
    <xf numFmtId="3" fontId="1" fillId="0" borderId="35" xfId="0" applyNumberFormat="1" applyFont="1" applyBorder="1"/>
    <xf numFmtId="0" fontId="1" fillId="0" borderId="36" xfId="0" applyFont="1" applyBorder="1"/>
    <xf numFmtId="3" fontId="1" fillId="0" borderId="37" xfId="0" applyNumberFormat="1" applyFont="1" applyBorder="1"/>
    <xf numFmtId="0" fontId="1" fillId="0" borderId="38" xfId="0" applyFont="1" applyBorder="1"/>
    <xf numFmtId="0" fontId="7" fillId="2" borderId="16" xfId="0" applyFont="1" applyFill="1" applyBorder="1"/>
    <xf numFmtId="0" fontId="7" fillId="2" borderId="18" xfId="0" applyFont="1" applyFill="1" applyBorder="1"/>
    <xf numFmtId="0" fontId="7" fillId="2" borderId="17" xfId="0" applyFont="1" applyFill="1" applyBorder="1"/>
    <xf numFmtId="0" fontId="7" fillId="2" borderId="39" xfId="0" applyFont="1" applyFill="1" applyBorder="1"/>
    <xf numFmtId="0" fontId="7" fillId="2" borderId="40" xfId="0" applyFont="1" applyFill="1" applyBorder="1"/>
    <xf numFmtId="0" fontId="1" fillId="0" borderId="5" xfId="0" applyFont="1" applyBorder="1"/>
    <xf numFmtId="0" fontId="1" fillId="0" borderId="4" xfId="0" applyFont="1" applyBorder="1"/>
    <xf numFmtId="0" fontId="1" fillId="0" borderId="41" xfId="0" applyFont="1" applyBorder="1"/>
    <xf numFmtId="0" fontId="1" fillId="0" borderId="0" xfId="0" applyFont="1" applyBorder="1" applyAlignment="1">
      <alignment horizontal="right"/>
    </xf>
    <xf numFmtId="166" fontId="1" fillId="0" borderId="0" xfId="0" applyNumberFormat="1" applyFont="1" applyBorder="1"/>
    <xf numFmtId="0" fontId="1" fillId="0" borderId="0" xfId="0" applyFont="1" applyFill="1" applyBorder="1"/>
    <xf numFmtId="0" fontId="1" fillId="0" borderId="42" xfId="0" applyFont="1" applyBorder="1"/>
    <xf numFmtId="0" fontId="1" fillId="0" borderId="43" xfId="0" applyFont="1" applyBorder="1"/>
    <xf numFmtId="0" fontId="1" fillId="0" borderId="44" xfId="0" applyFont="1" applyBorder="1"/>
    <xf numFmtId="0" fontId="1" fillId="0" borderId="7" xfId="0" applyFont="1" applyBorder="1"/>
    <xf numFmtId="165" fontId="1" fillId="0" borderId="13" xfId="0" applyNumberFormat="1" applyFont="1" applyBorder="1" applyAlignment="1">
      <alignment horizontal="right"/>
    </xf>
    <xf numFmtId="0" fontId="1" fillId="0" borderId="13" xfId="0" applyFont="1" applyBorder="1"/>
    <xf numFmtId="0" fontId="1" fillId="0" borderId="2" xfId="0" applyFont="1" applyBorder="1"/>
    <xf numFmtId="165" fontId="1" fillId="0" borderId="3" xfId="0" applyNumberFormat="1" applyFont="1" applyBorder="1" applyAlignment="1">
      <alignment horizontal="right"/>
    </xf>
    <xf numFmtId="0" fontId="6" fillId="2" borderId="36" xfId="0" applyFont="1" applyFill="1" applyBorder="1"/>
    <xf numFmtId="0" fontId="6" fillId="2" borderId="37" xfId="0" applyFont="1" applyFill="1" applyBorder="1"/>
    <xf numFmtId="0" fontId="6" fillId="2" borderId="38" xfId="0" applyFont="1" applyFill="1" applyBorder="1"/>
    <xf numFmtId="0" fontId="6" fillId="0" borderId="0" xfId="0" applyFont="1"/>
    <xf numFmtId="0" fontId="1" fillId="0" borderId="0" xfId="0" applyFont="1" applyAlignment="1">
      <alignment vertical="justify"/>
    </xf>
    <xf numFmtId="0" fontId="7" fillId="0" borderId="45" xfId="1" applyFont="1" applyBorder="1"/>
    <xf numFmtId="0" fontId="1" fillId="0" borderId="45" xfId="1" applyFont="1" applyBorder="1"/>
    <xf numFmtId="0" fontId="1" fillId="0" borderId="45" xfId="1" applyFont="1" applyBorder="1" applyAlignment="1">
      <alignment horizontal="right"/>
    </xf>
    <xf numFmtId="0" fontId="1" fillId="0" borderId="46" xfId="1" applyFont="1" applyBorder="1"/>
    <xf numFmtId="0" fontId="1" fillId="0" borderId="47" xfId="0" applyNumberFormat="1" applyFont="1" applyBorder="1"/>
    <xf numFmtId="0" fontId="7" fillId="0" borderId="48" xfId="1" applyFont="1" applyBorder="1"/>
    <xf numFmtId="0" fontId="1" fillId="0" borderId="48" xfId="1" applyFont="1" applyBorder="1"/>
    <xf numFmtId="0" fontId="1" fillId="0" borderId="48" xfId="1" applyFont="1" applyBorder="1" applyAlignment="1">
      <alignment horizontal="right"/>
    </xf>
    <xf numFmtId="49" fontId="2" fillId="0" borderId="0" xfId="0" applyNumberFormat="1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2" fillId="0" borderId="0" xfId="0" applyFont="1" applyBorder="1" applyAlignment="1">
      <alignment horizontal="centerContinuous"/>
    </xf>
    <xf numFmtId="49" fontId="7" fillId="2" borderId="10" xfId="0" applyNumberFormat="1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30" xfId="0" applyFont="1" applyFill="1" applyBorder="1" applyAlignment="1">
      <alignment horizontal="center"/>
    </xf>
    <xf numFmtId="0" fontId="7" fillId="2" borderId="49" xfId="0" applyFont="1" applyFill="1" applyBorder="1" applyAlignment="1">
      <alignment horizontal="center"/>
    </xf>
    <xf numFmtId="0" fontId="7" fillId="2" borderId="50" xfId="0" applyFont="1" applyFill="1" applyBorder="1" applyAlignment="1">
      <alignment horizontal="center"/>
    </xf>
    <xf numFmtId="0" fontId="7" fillId="2" borderId="51" xfId="0" applyFont="1" applyFill="1" applyBorder="1" applyAlignment="1">
      <alignment horizontal="center"/>
    </xf>
    <xf numFmtId="3" fontId="1" fillId="0" borderId="41" xfId="0" applyNumberFormat="1" applyFont="1" applyBorder="1"/>
    <xf numFmtId="0" fontId="7" fillId="2" borderId="10" xfId="0" applyFont="1" applyFill="1" applyBorder="1"/>
    <xf numFmtId="0" fontId="7" fillId="2" borderId="11" xfId="0" applyFont="1" applyFill="1" applyBorder="1"/>
    <xf numFmtId="3" fontId="7" fillId="2" borderId="30" xfId="0" applyNumberFormat="1" applyFont="1" applyFill="1" applyBorder="1"/>
    <xf numFmtId="3" fontId="7" fillId="2" borderId="49" xfId="0" applyNumberFormat="1" applyFont="1" applyFill="1" applyBorder="1"/>
    <xf numFmtId="3" fontId="7" fillId="2" borderId="50" xfId="0" applyNumberFormat="1" applyFont="1" applyFill="1" applyBorder="1"/>
    <xf numFmtId="3" fontId="7" fillId="2" borderId="51" xfId="0" applyNumberFormat="1" applyFont="1" applyFill="1" applyBorder="1"/>
    <xf numFmtId="3" fontId="2" fillId="0" borderId="0" xfId="0" applyNumberFormat="1" applyFont="1" applyAlignment="1">
      <alignment horizontal="centerContinuous"/>
    </xf>
    <xf numFmtId="3" fontId="3" fillId="0" borderId="0" xfId="0" applyNumberFormat="1" applyFont="1"/>
    <xf numFmtId="4" fontId="3" fillId="0" borderId="0" xfId="0" applyNumberFormat="1" applyFont="1"/>
    <xf numFmtId="0" fontId="1" fillId="0" borderId="0" xfId="1" applyFont="1"/>
    <xf numFmtId="0" fontId="12" fillId="0" borderId="0" xfId="1" applyFont="1" applyAlignment="1">
      <alignment horizontal="centerContinuous"/>
    </xf>
    <xf numFmtId="0" fontId="12" fillId="0" borderId="0" xfId="1" applyFont="1" applyAlignment="1">
      <alignment horizontal="right"/>
    </xf>
    <xf numFmtId="0" fontId="1" fillId="0" borderId="45" xfId="1" applyFont="1" applyBorder="1" applyAlignment="1">
      <alignment horizontal="left"/>
    </xf>
    <xf numFmtId="0" fontId="3" fillId="0" borderId="0" xfId="1" applyFont="1"/>
    <xf numFmtId="0" fontId="1" fillId="0" borderId="0" xfId="1" applyFont="1" applyAlignment="1">
      <alignment horizontal="right"/>
    </xf>
    <xf numFmtId="0" fontId="1" fillId="0" borderId="0" xfId="1" applyFont="1" applyAlignment="1"/>
    <xf numFmtId="0" fontId="3" fillId="2" borderId="12" xfId="1" applyFont="1" applyFill="1" applyBorder="1" applyAlignment="1">
      <alignment horizontal="center" wrapText="1"/>
    </xf>
    <xf numFmtId="0" fontId="7" fillId="0" borderId="15" xfId="1" applyFont="1" applyBorder="1" applyAlignment="1">
      <alignment horizontal="center"/>
    </xf>
    <xf numFmtId="0" fontId="1" fillId="0" borderId="6" xfId="1" applyNumberFormat="1" applyFont="1" applyFill="1" applyBorder="1"/>
    <xf numFmtId="0" fontId="1" fillId="0" borderId="13" xfId="1" applyNumberFormat="1" applyFont="1" applyFill="1" applyBorder="1"/>
    <xf numFmtId="0" fontId="1" fillId="0" borderId="6" xfId="1" applyFont="1" applyFill="1" applyBorder="1"/>
    <xf numFmtId="0" fontId="1" fillId="0" borderId="13" xfId="1" applyFont="1" applyFill="1" applyBorder="1"/>
    <xf numFmtId="0" fontId="13" fillId="0" borderId="0" xfId="1" applyFont="1"/>
    <xf numFmtId="168" fontId="8" fillId="0" borderId="14" xfId="1" applyNumberFormat="1" applyFont="1" applyBorder="1"/>
    <xf numFmtId="4" fontId="8" fillId="0" borderId="13" xfId="1" applyNumberFormat="1" applyFont="1" applyBorder="1"/>
    <xf numFmtId="0" fontId="1" fillId="0" borderId="0" xfId="1" applyFont="1" applyBorder="1"/>
    <xf numFmtId="0" fontId="1" fillId="2" borderId="2" xfId="1" applyFont="1" applyFill="1" applyBorder="1"/>
    <xf numFmtId="4" fontId="7" fillId="2" borderId="3" xfId="1" applyNumberFormat="1" applyFont="1" applyFill="1" applyBorder="1"/>
    <xf numFmtId="0" fontId="15" fillId="0" borderId="0" xfId="1" applyFont="1" applyAlignment="1"/>
    <xf numFmtId="0" fontId="16" fillId="0" borderId="0" xfId="1" applyFont="1" applyBorder="1"/>
    <xf numFmtId="3" fontId="16" fillId="0" borderId="0" xfId="1" applyNumberFormat="1" applyFont="1" applyBorder="1" applyAlignment="1">
      <alignment horizontal="right"/>
    </xf>
    <xf numFmtId="4" fontId="16" fillId="0" borderId="0" xfId="1" applyNumberFormat="1" applyFont="1" applyBorder="1"/>
    <xf numFmtId="0" fontId="15" fillId="0" borderId="0" xfId="1" applyFont="1" applyBorder="1" applyAlignment="1"/>
    <xf numFmtId="0" fontId="1" fillId="0" borderId="0" xfId="1" applyFont="1" applyBorder="1" applyAlignment="1">
      <alignment horizontal="right"/>
    </xf>
    <xf numFmtId="49" fontId="3" fillId="0" borderId="23" xfId="0" applyNumberFormat="1" applyFont="1" applyBorder="1"/>
    <xf numFmtId="3" fontId="1" fillId="0" borderId="5" xfId="0" applyNumberFormat="1" applyFont="1" applyBorder="1"/>
    <xf numFmtId="3" fontId="1" fillId="0" borderId="15" xfId="0" applyNumberFormat="1" applyFont="1" applyBorder="1"/>
    <xf numFmtId="3" fontId="1" fillId="0" borderId="52" xfId="0" applyNumberFormat="1" applyFont="1" applyBorder="1"/>
    <xf numFmtId="4" fontId="1" fillId="0" borderId="0" xfId="1" applyNumberFormat="1" applyFont="1"/>
    <xf numFmtId="169" fontId="3" fillId="0" borderId="14" xfId="0" applyNumberFormat="1" applyFont="1" applyBorder="1" applyAlignment="1">
      <alignment horizontal="right"/>
    </xf>
    <xf numFmtId="167" fontId="1" fillId="0" borderId="0" xfId="0" applyNumberFormat="1" applyFont="1"/>
    <xf numFmtId="49" fontId="1" fillId="0" borderId="0" xfId="1" applyNumberFormat="1" applyFont="1"/>
    <xf numFmtId="49" fontId="3" fillId="0" borderId="0" xfId="1" applyNumberFormat="1" applyFont="1"/>
    <xf numFmtId="49" fontId="7" fillId="0" borderId="15" xfId="1" applyNumberFormat="1" applyFont="1" applyBorder="1" applyAlignment="1">
      <alignment horizontal="center"/>
    </xf>
    <xf numFmtId="49" fontId="1" fillId="0" borderId="0" xfId="1" applyNumberFormat="1" applyFont="1" applyBorder="1"/>
    <xf numFmtId="49" fontId="15" fillId="0" borderId="0" xfId="1" applyNumberFormat="1" applyFont="1" applyAlignment="1"/>
    <xf numFmtId="49" fontId="15" fillId="0" borderId="0" xfId="1" applyNumberFormat="1" applyFont="1" applyBorder="1" applyAlignment="1"/>
    <xf numFmtId="0" fontId="1" fillId="0" borderId="53" xfId="1" applyFont="1" applyBorder="1" applyAlignment="1">
      <alignment horizontal="left"/>
    </xf>
    <xf numFmtId="0" fontId="1" fillId="0" borderId="54" xfId="1" applyFont="1" applyBorder="1" applyAlignment="1">
      <alignment horizontal="center" shrinkToFit="1"/>
    </xf>
    <xf numFmtId="0" fontId="8" fillId="0" borderId="55" xfId="1" applyFont="1" applyBorder="1" applyAlignment="1">
      <alignment horizontal="center" vertical="top"/>
    </xf>
    <xf numFmtId="49" fontId="8" fillId="0" borderId="56" xfId="1" applyNumberFormat="1" applyFont="1" applyBorder="1" applyAlignment="1">
      <alignment horizontal="center" shrinkToFit="1"/>
    </xf>
    <xf numFmtId="4" fontId="8" fillId="0" borderId="56" xfId="1" applyNumberFormat="1" applyFont="1" applyBorder="1" applyAlignment="1">
      <alignment horizontal="right"/>
    </xf>
    <xf numFmtId="4" fontId="8" fillId="0" borderId="56" xfId="1" applyNumberFormat="1" applyFont="1" applyBorder="1"/>
    <xf numFmtId="0" fontId="8" fillId="0" borderId="57" xfId="1" applyFont="1" applyBorder="1" applyAlignment="1">
      <alignment horizontal="center" vertical="top"/>
    </xf>
    <xf numFmtId="49" fontId="8" fillId="0" borderId="58" xfId="1" applyNumberFormat="1" applyFont="1" applyBorder="1" applyAlignment="1">
      <alignment horizontal="center" vertical="top"/>
    </xf>
    <xf numFmtId="0" fontId="8" fillId="0" borderId="58" xfId="1" applyFont="1" applyBorder="1" applyAlignment="1">
      <alignment vertical="top" wrapText="1"/>
    </xf>
    <xf numFmtId="49" fontId="8" fillId="0" borderId="58" xfId="1" applyNumberFormat="1" applyFont="1" applyBorder="1" applyAlignment="1">
      <alignment horizontal="center" shrinkToFit="1"/>
    </xf>
    <xf numFmtId="4" fontId="8" fillId="0" borderId="58" xfId="1" applyNumberFormat="1" applyFont="1" applyBorder="1" applyAlignment="1">
      <alignment horizontal="right"/>
    </xf>
    <xf numFmtId="4" fontId="8" fillId="0" borderId="58" xfId="1" applyNumberFormat="1" applyFont="1" applyBorder="1"/>
    <xf numFmtId="49" fontId="8" fillId="0" borderId="56" xfId="1" applyNumberFormat="1" applyFont="1" applyBorder="1" applyAlignment="1">
      <alignment horizontal="center" vertical="top"/>
    </xf>
    <xf numFmtId="0" fontId="8" fillId="0" borderId="56" xfId="1" applyFont="1" applyBorder="1" applyAlignment="1">
      <alignment vertical="top" wrapText="1"/>
    </xf>
    <xf numFmtId="49" fontId="8" fillId="0" borderId="59" xfId="1" applyNumberFormat="1" applyFont="1" applyBorder="1" applyAlignment="1">
      <alignment horizontal="center" shrinkToFit="1"/>
    </xf>
    <xf numFmtId="4" fontId="8" fillId="0" borderId="59" xfId="1" applyNumberFormat="1" applyFont="1" applyBorder="1" applyAlignment="1">
      <alignment horizontal="right"/>
    </xf>
    <xf numFmtId="0" fontId="8" fillId="0" borderId="59" xfId="1" applyFont="1" applyBorder="1" applyAlignment="1">
      <alignment vertical="top" wrapText="1"/>
    </xf>
    <xf numFmtId="0" fontId="8" fillId="0" borderId="60" xfId="1" applyFont="1" applyBorder="1" applyAlignment="1">
      <alignment horizontal="center" vertical="top"/>
    </xf>
    <xf numFmtId="49" fontId="8" fillId="0" borderId="61" xfId="1" applyNumberFormat="1" applyFont="1" applyBorder="1" applyAlignment="1">
      <alignment horizontal="center" vertical="top"/>
    </xf>
    <xf numFmtId="49" fontId="8" fillId="0" borderId="61" xfId="1" applyNumberFormat="1" applyFont="1" applyBorder="1" applyAlignment="1">
      <alignment horizontal="center" shrinkToFit="1"/>
    </xf>
    <xf numFmtId="4" fontId="8" fillId="0" borderId="61" xfId="1" applyNumberFormat="1" applyFont="1" applyBorder="1" applyAlignment="1">
      <alignment horizontal="right"/>
    </xf>
    <xf numFmtId="4" fontId="8" fillId="0" borderId="61" xfId="1" applyNumberFormat="1" applyFont="1" applyBorder="1"/>
    <xf numFmtId="0" fontId="8" fillId="0" borderId="61" xfId="1" applyFont="1" applyBorder="1" applyAlignment="1">
      <alignment vertical="top" wrapText="1"/>
    </xf>
    <xf numFmtId="4" fontId="8" fillId="0" borderId="59" xfId="1" applyNumberFormat="1" applyFont="1" applyBorder="1" applyAlignment="1">
      <alignment wrapText="1"/>
    </xf>
    <xf numFmtId="0" fontId="8" fillId="0" borderId="62" xfId="1" applyFont="1" applyBorder="1" applyAlignment="1">
      <alignment vertical="top" wrapText="1"/>
    </xf>
    <xf numFmtId="4" fontId="8" fillId="0" borderId="62" xfId="1" applyNumberFormat="1" applyFont="1" applyBorder="1" applyAlignment="1">
      <alignment horizontal="right"/>
    </xf>
    <xf numFmtId="0" fontId="1" fillId="2" borderId="63" xfId="1" applyFont="1" applyFill="1" applyBorder="1" applyAlignment="1">
      <alignment horizontal="center"/>
    </xf>
    <xf numFmtId="49" fontId="1" fillId="2" borderId="37" xfId="1" applyNumberFormat="1" applyFont="1" applyFill="1" applyBorder="1" applyAlignment="1">
      <alignment horizontal="center"/>
    </xf>
    <xf numFmtId="0" fontId="14" fillId="2" borderId="37" xfId="1" applyFont="1" applyFill="1" applyBorder="1"/>
    <xf numFmtId="0" fontId="1" fillId="2" borderId="37" xfId="1" applyFont="1" applyFill="1" applyBorder="1" applyAlignment="1">
      <alignment horizontal="center"/>
    </xf>
    <xf numFmtId="4" fontId="1" fillId="2" borderId="37" xfId="1" applyNumberFormat="1" applyFont="1" applyFill="1" applyBorder="1" applyAlignment="1">
      <alignment horizontal="right"/>
    </xf>
    <xf numFmtId="4" fontId="7" fillId="2" borderId="37" xfId="1" applyNumberFormat="1" applyFont="1" applyFill="1" applyBorder="1"/>
    <xf numFmtId="0" fontId="7" fillId="0" borderId="43" xfId="1" applyFont="1" applyBorder="1"/>
    <xf numFmtId="0" fontId="1" fillId="0" borderId="32" xfId="1" applyFont="1" applyBorder="1" applyAlignment="1">
      <alignment horizontal="center"/>
    </xf>
    <xf numFmtId="0" fontId="1" fillId="0" borderId="32" xfId="1" applyNumberFormat="1" applyFont="1" applyBorder="1" applyAlignment="1">
      <alignment horizontal="right"/>
    </xf>
    <xf numFmtId="0" fontId="1" fillId="0" borderId="42" xfId="1" applyNumberFormat="1" applyFont="1" applyBorder="1"/>
    <xf numFmtId="0" fontId="11" fillId="0" borderId="0" xfId="1" applyNumberFormat="1" applyFont="1" applyAlignment="1">
      <alignment horizontal="centerContinuous"/>
    </xf>
    <xf numFmtId="0" fontId="1" fillId="0" borderId="0" xfId="1" applyNumberFormat="1" applyFont="1"/>
    <xf numFmtId="0" fontId="7" fillId="0" borderId="15" xfId="1" applyNumberFormat="1" applyFont="1" applyBorder="1" applyAlignment="1">
      <alignment horizontal="left"/>
    </xf>
    <xf numFmtId="0" fontId="8" fillId="0" borderId="56" xfId="1" applyNumberFormat="1" applyFont="1" applyBorder="1" applyAlignment="1">
      <alignment horizontal="left" vertical="top"/>
    </xf>
    <xf numFmtId="0" fontId="8" fillId="0" borderId="61" xfId="1" applyNumberFormat="1" applyFont="1" applyBorder="1" applyAlignment="1">
      <alignment horizontal="left" vertical="top"/>
    </xf>
    <xf numFmtId="0" fontId="8" fillId="0" borderId="58" xfId="1" applyNumberFormat="1" applyFont="1" applyBorder="1" applyAlignment="1">
      <alignment horizontal="left" vertical="top"/>
    </xf>
    <xf numFmtId="0" fontId="14" fillId="2" borderId="37" xfId="1" applyNumberFormat="1" applyFont="1" applyFill="1" applyBorder="1" applyAlignment="1">
      <alignment horizontal="left"/>
    </xf>
    <xf numFmtId="0" fontId="1" fillId="0" borderId="0" xfId="1" applyNumberFormat="1" applyFont="1" applyBorder="1"/>
    <xf numFmtId="0" fontId="15" fillId="0" borderId="0" xfId="1" applyNumberFormat="1" applyFont="1" applyAlignment="1"/>
    <xf numFmtId="0" fontId="15" fillId="0" borderId="0" xfId="1" applyNumberFormat="1" applyFont="1" applyBorder="1" applyAlignment="1"/>
    <xf numFmtId="0" fontId="8" fillId="0" borderId="56" xfId="1" applyNumberFormat="1" applyFont="1" applyBorder="1" applyAlignment="1">
      <alignment horizontal="center" vertical="top"/>
    </xf>
    <xf numFmtId="0" fontId="1" fillId="0" borderId="54" xfId="1" applyFont="1" applyBorder="1" applyAlignment="1">
      <alignment shrinkToFit="1"/>
    </xf>
    <xf numFmtId="0" fontId="1" fillId="0" borderId="48" xfId="1" applyFont="1" applyBorder="1" applyAlignment="1">
      <alignment shrinkToFit="1"/>
    </xf>
    <xf numFmtId="0" fontId="3" fillId="0" borderId="45" xfId="1" applyFont="1" applyBorder="1" applyAlignment="1">
      <alignment horizontal="right"/>
    </xf>
    <xf numFmtId="0" fontId="3" fillId="0" borderId="46" xfId="1" applyFont="1" applyBorder="1" applyAlignment="1"/>
    <xf numFmtId="170" fontId="1" fillId="0" borderId="48" xfId="1" applyNumberFormat="1" applyFont="1" applyBorder="1" applyAlignment="1">
      <alignment shrinkToFit="1"/>
    </xf>
    <xf numFmtId="0" fontId="1" fillId="0" borderId="47" xfId="1" applyFont="1" applyBorder="1"/>
    <xf numFmtId="0" fontId="1" fillId="0" borderId="53" xfId="1" applyFont="1" applyBorder="1" applyAlignment="1">
      <alignment shrinkToFit="1"/>
    </xf>
    <xf numFmtId="49" fontId="3" fillId="2" borderId="64" xfId="1" applyNumberFormat="1" applyFont="1" applyFill="1" applyBorder="1"/>
    <xf numFmtId="49" fontId="3" fillId="2" borderId="38" xfId="1" applyNumberFormat="1" applyFont="1" applyFill="1" applyBorder="1"/>
    <xf numFmtId="0" fontId="3" fillId="2" borderId="38" xfId="1" applyNumberFormat="1" applyFont="1" applyFill="1" applyBorder="1" applyAlignment="1">
      <alignment horizontal="center"/>
    </xf>
    <xf numFmtId="0" fontId="3" fillId="2" borderId="38" xfId="1" applyFont="1" applyFill="1" applyBorder="1" applyAlignment="1">
      <alignment horizontal="center"/>
    </xf>
    <xf numFmtId="0" fontId="3" fillId="2" borderId="64" xfId="1" applyFont="1" applyFill="1" applyBorder="1" applyAlignment="1">
      <alignment horizontal="center"/>
    </xf>
    <xf numFmtId="0" fontId="3" fillId="2" borderId="64" xfId="1" applyFont="1" applyFill="1" applyBorder="1" applyAlignment="1">
      <alignment horizontal="center" wrapText="1"/>
    </xf>
    <xf numFmtId="0" fontId="8" fillId="0" borderId="65" xfId="1" applyFont="1" applyBorder="1" applyAlignment="1">
      <alignment horizontal="center" vertical="top"/>
    </xf>
    <xf numFmtId="49" fontId="8" fillId="0" borderId="66" xfId="1" applyNumberFormat="1" applyFont="1" applyBorder="1" applyAlignment="1">
      <alignment horizontal="center" vertical="top"/>
    </xf>
    <xf numFmtId="0" fontId="8" fillId="0" borderId="67" xfId="1" applyNumberFormat="1" applyFont="1" applyBorder="1" applyAlignment="1">
      <alignment horizontal="left" vertical="top"/>
    </xf>
    <xf numFmtId="0" fontId="8" fillId="0" borderId="4" xfId="1" applyFont="1" applyBorder="1" applyAlignment="1">
      <alignment horizontal="center" vertical="top"/>
    </xf>
    <xf numFmtId="49" fontId="8" fillId="0" borderId="0" xfId="1" applyNumberFormat="1" applyFont="1" applyBorder="1" applyAlignment="1">
      <alignment horizontal="center" vertical="top"/>
    </xf>
    <xf numFmtId="0" fontId="8" fillId="0" borderId="68" xfId="1" applyNumberFormat="1" applyFont="1" applyBorder="1" applyAlignment="1">
      <alignment horizontal="left" vertical="top"/>
    </xf>
    <xf numFmtId="0" fontId="8" fillId="0" borderId="43" xfId="1" applyFont="1" applyBorder="1" applyAlignment="1">
      <alignment horizontal="center" vertical="top"/>
    </xf>
    <xf numFmtId="49" fontId="8" fillId="0" borderId="32" xfId="1" applyNumberFormat="1" applyFont="1" applyBorder="1" applyAlignment="1">
      <alignment horizontal="center" vertical="top"/>
    </xf>
    <xf numFmtId="0" fontId="8" fillId="0" borderId="69" xfId="1" applyNumberFormat="1" applyFont="1" applyBorder="1" applyAlignment="1">
      <alignment horizontal="left" vertical="top"/>
    </xf>
    <xf numFmtId="4" fontId="8" fillId="0" borderId="70" xfId="1" applyNumberFormat="1" applyFont="1" applyBorder="1" applyAlignment="1">
      <alignment horizontal="right"/>
    </xf>
    <xf numFmtId="4" fontId="8" fillId="0" borderId="7" xfId="1" applyNumberFormat="1" applyFont="1" applyBorder="1" applyAlignment="1">
      <alignment horizontal="right"/>
    </xf>
    <xf numFmtId="4" fontId="8" fillId="0" borderId="7" xfId="1" applyNumberFormat="1" applyFont="1" applyBorder="1"/>
    <xf numFmtId="4" fontId="8" fillId="0" borderId="71" xfId="1" applyNumberFormat="1" applyFont="1" applyBorder="1" applyAlignment="1">
      <alignment horizontal="right"/>
    </xf>
    <xf numFmtId="4" fontId="8" fillId="0" borderId="0" xfId="1" applyNumberFormat="1" applyFont="1" applyBorder="1" applyAlignment="1">
      <alignment horizontal="right"/>
    </xf>
    <xf numFmtId="4" fontId="8" fillId="0" borderId="0" xfId="1" applyNumberFormat="1" applyFont="1" applyBorder="1"/>
    <xf numFmtId="4" fontId="8" fillId="0" borderId="72" xfId="1" applyNumberFormat="1" applyFont="1" applyBorder="1" applyAlignment="1">
      <alignment horizontal="right"/>
    </xf>
    <xf numFmtId="4" fontId="8" fillId="0" borderId="73" xfId="1" applyNumberFormat="1" applyFont="1" applyBorder="1" applyAlignment="1">
      <alignment horizontal="right"/>
    </xf>
    <xf numFmtId="4" fontId="8" fillId="0" borderId="73" xfId="1" applyNumberFormat="1" applyFont="1" applyBorder="1"/>
    <xf numFmtId="168" fontId="8" fillId="0" borderId="61" xfId="1" applyNumberFormat="1" applyFont="1" applyBorder="1"/>
    <xf numFmtId="168" fontId="1" fillId="0" borderId="42" xfId="1" applyNumberFormat="1" applyFont="1" applyBorder="1"/>
    <xf numFmtId="168" fontId="8" fillId="0" borderId="7" xfId="1" applyNumberFormat="1" applyFont="1" applyBorder="1"/>
    <xf numFmtId="168" fontId="8" fillId="0" borderId="0" xfId="1" applyNumberFormat="1" applyFont="1" applyBorder="1"/>
    <xf numFmtId="168" fontId="8" fillId="0" borderId="73" xfId="1" applyNumberFormat="1" applyFont="1" applyBorder="1"/>
    <xf numFmtId="168" fontId="8" fillId="0" borderId="58" xfId="1" applyNumberFormat="1" applyFont="1" applyBorder="1"/>
    <xf numFmtId="168" fontId="7" fillId="2" borderId="37" xfId="1" applyNumberFormat="1" applyFont="1" applyFill="1" applyBorder="1"/>
    <xf numFmtId="168" fontId="8" fillId="0" borderId="56" xfId="1" applyNumberFormat="1" applyFont="1" applyBorder="1"/>
    <xf numFmtId="168" fontId="8" fillId="0" borderId="13" xfId="1" applyNumberFormat="1" applyFont="1" applyBorder="1"/>
    <xf numFmtId="168" fontId="8" fillId="0" borderId="5" xfId="1" applyNumberFormat="1" applyFont="1" applyBorder="1"/>
    <xf numFmtId="168" fontId="8" fillId="0" borderId="74" xfId="1" applyNumberFormat="1" applyFont="1" applyBorder="1"/>
    <xf numFmtId="168" fontId="8" fillId="0" borderId="75" xfId="1" applyNumberFormat="1" applyFont="1" applyBorder="1"/>
    <xf numFmtId="168" fontId="8" fillId="0" borderId="76" xfId="1" applyNumberFormat="1" applyFont="1" applyBorder="1"/>
    <xf numFmtId="168" fontId="7" fillId="2" borderId="38" xfId="1" applyNumberFormat="1" applyFont="1" applyFill="1" applyBorder="1"/>
    <xf numFmtId="168" fontId="8" fillId="0" borderId="15" xfId="1" applyNumberFormat="1" applyFont="1" applyBorder="1"/>
    <xf numFmtId="4" fontId="8" fillId="0" borderId="70" xfId="1" applyNumberFormat="1" applyFont="1" applyBorder="1"/>
    <xf numFmtId="168" fontId="8" fillId="0" borderId="71" xfId="1" applyNumberFormat="1" applyFont="1" applyBorder="1"/>
    <xf numFmtId="4" fontId="19" fillId="2" borderId="37" xfId="1" applyNumberFormat="1" applyFont="1" applyFill="1" applyBorder="1"/>
    <xf numFmtId="0" fontId="1" fillId="0" borderId="46" xfId="0" applyNumberFormat="1" applyFont="1" applyBorder="1" applyAlignment="1">
      <alignment horizontal="left"/>
    </xf>
    <xf numFmtId="0" fontId="1" fillId="0" borderId="77" xfId="1" applyFont="1" applyBorder="1"/>
    <xf numFmtId="0" fontId="1" fillId="0" borderId="78" xfId="1" applyFont="1" applyBorder="1" applyAlignment="1">
      <alignment shrinkToFit="1"/>
    </xf>
    <xf numFmtId="0" fontId="7" fillId="0" borderId="2" xfId="0" applyFont="1" applyBorder="1"/>
    <xf numFmtId="4" fontId="8" fillId="0" borderId="61" xfId="1" applyNumberFormat="1" applyFont="1" applyFill="1" applyBorder="1" applyAlignment="1">
      <alignment horizontal="right"/>
    </xf>
    <xf numFmtId="168" fontId="19" fillId="2" borderId="38" xfId="1" applyNumberFormat="1" applyFont="1" applyFill="1" applyBorder="1"/>
    <xf numFmtId="0" fontId="8" fillId="0" borderId="0" xfId="1" applyNumberFormat="1" applyFont="1" applyBorder="1" applyAlignment="1">
      <alignment horizontal="center" vertical="top"/>
    </xf>
    <xf numFmtId="0" fontId="8" fillId="0" borderId="79" xfId="1" applyFont="1" applyBorder="1" applyAlignment="1">
      <alignment vertical="top" wrapText="1"/>
    </xf>
    <xf numFmtId="49" fontId="8" fillId="0" borderId="80" xfId="1" applyNumberFormat="1" applyFont="1" applyBorder="1" applyAlignment="1">
      <alignment horizontal="center" shrinkToFit="1"/>
    </xf>
    <xf numFmtId="4" fontId="8" fillId="0" borderId="81" xfId="1" applyNumberFormat="1" applyFont="1" applyBorder="1" applyAlignment="1">
      <alignment horizontal="right"/>
    </xf>
    <xf numFmtId="0" fontId="8" fillId="0" borderId="79" xfId="1" applyFont="1" applyBorder="1" applyAlignment="1">
      <alignment vertical="top"/>
    </xf>
    <xf numFmtId="4" fontId="8" fillId="6" borderId="61" xfId="1" applyNumberFormat="1" applyFont="1" applyFill="1" applyBorder="1" applyAlignment="1">
      <alignment horizontal="right"/>
    </xf>
    <xf numFmtId="0" fontId="8" fillId="0" borderId="72" xfId="1" applyFont="1" applyBorder="1" applyAlignment="1">
      <alignment vertical="top"/>
    </xf>
    <xf numFmtId="49" fontId="8" fillId="0" borderId="73" xfId="1" applyNumberFormat="1" applyFont="1" applyBorder="1" applyAlignment="1">
      <alignment horizontal="center" shrinkToFit="1"/>
    </xf>
    <xf numFmtId="4" fontId="8" fillId="0" borderId="82" xfId="1" applyNumberFormat="1" applyFont="1" applyBorder="1" applyAlignment="1">
      <alignment horizontal="right"/>
    </xf>
    <xf numFmtId="168" fontId="8" fillId="0" borderId="70" xfId="1" applyNumberFormat="1" applyFont="1" applyBorder="1"/>
    <xf numFmtId="0" fontId="8" fillId="0" borderId="79" xfId="1" applyFont="1" applyBorder="1" applyAlignment="1">
      <alignment horizontal="left" vertical="top"/>
    </xf>
    <xf numFmtId="0" fontId="8" fillId="0" borderId="80" xfId="1" applyFont="1" applyBorder="1" applyAlignment="1">
      <alignment horizontal="left" vertical="top"/>
    </xf>
    <xf numFmtId="0" fontId="8" fillId="0" borderId="81" xfId="1" applyFont="1" applyBorder="1" applyAlignment="1">
      <alignment horizontal="left" vertical="top"/>
    </xf>
    <xf numFmtId="0" fontId="8" fillId="0" borderId="83" xfId="1" applyFont="1" applyBorder="1" applyAlignment="1">
      <alignment vertical="top" wrapText="1"/>
    </xf>
    <xf numFmtId="4" fontId="8" fillId="0" borderId="84" xfId="1" applyNumberFormat="1" applyFont="1" applyBorder="1" applyAlignment="1">
      <alignment horizontal="right"/>
    </xf>
    <xf numFmtId="0" fontId="8" fillId="0" borderId="85" xfId="1" applyFont="1" applyBorder="1" applyAlignment="1">
      <alignment vertical="top"/>
    </xf>
    <xf numFmtId="49" fontId="8" fillId="0" borderId="66" xfId="1" applyNumberFormat="1" applyFont="1" applyBorder="1" applyAlignment="1">
      <alignment horizontal="center" shrinkToFit="1"/>
    </xf>
    <xf numFmtId="4" fontId="8" fillId="0" borderId="67" xfId="1" applyNumberFormat="1" applyFont="1" applyBorder="1" applyAlignment="1">
      <alignment horizontal="right"/>
    </xf>
    <xf numFmtId="0" fontId="8" fillId="0" borderId="66" xfId="1" applyNumberFormat="1" applyFont="1" applyBorder="1" applyAlignment="1">
      <alignment horizontal="center" vertical="top"/>
    </xf>
    <xf numFmtId="0" fontId="8" fillId="0" borderId="86" xfId="1" applyFont="1" applyBorder="1" applyAlignment="1">
      <alignment horizontal="center" vertical="top"/>
    </xf>
    <xf numFmtId="0" fontId="8" fillId="0" borderId="73" xfId="1" applyNumberFormat="1" applyFont="1" applyBorder="1" applyAlignment="1">
      <alignment horizontal="center" vertical="top"/>
    </xf>
    <xf numFmtId="0" fontId="8" fillId="0" borderId="82" xfId="1" applyNumberFormat="1" applyFont="1" applyBorder="1" applyAlignment="1">
      <alignment horizontal="left" vertical="top"/>
    </xf>
    <xf numFmtId="0" fontId="8" fillId="0" borderId="87" xfId="1" applyFont="1" applyBorder="1" applyAlignment="1">
      <alignment vertical="top" wrapText="1"/>
    </xf>
    <xf numFmtId="4" fontId="8" fillId="0" borderId="87" xfId="1" applyNumberFormat="1" applyFont="1" applyBorder="1" applyAlignment="1">
      <alignment horizontal="right"/>
    </xf>
    <xf numFmtId="0" fontId="8" fillId="0" borderId="72" xfId="1" applyFont="1" applyBorder="1" applyAlignment="1">
      <alignment horizontal="left" vertical="top"/>
    </xf>
    <xf numFmtId="0" fontId="8" fillId="0" borderId="73" xfId="1" applyFont="1" applyBorder="1" applyAlignment="1">
      <alignment horizontal="left" vertical="top"/>
    </xf>
    <xf numFmtId="0" fontId="8" fillId="0" borderId="82" xfId="1" applyFont="1" applyBorder="1" applyAlignment="1">
      <alignment horizontal="left" vertical="top"/>
    </xf>
    <xf numFmtId="4" fontId="8" fillId="0" borderId="56" xfId="1" applyNumberFormat="1" applyFont="1" applyFill="1" applyBorder="1" applyAlignment="1">
      <alignment horizontal="right"/>
    </xf>
    <xf numFmtId="4" fontId="8" fillId="0" borderId="70" xfId="1" applyNumberFormat="1" applyFont="1" applyFill="1" applyBorder="1" applyAlignment="1">
      <alignment horizontal="right"/>
    </xf>
    <xf numFmtId="4" fontId="8" fillId="0" borderId="7" xfId="1" applyNumberFormat="1" applyFont="1" applyFill="1" applyBorder="1" applyAlignment="1">
      <alignment horizontal="right"/>
    </xf>
    <xf numFmtId="0" fontId="8" fillId="0" borderId="71" xfId="1" applyFont="1" applyBorder="1" applyAlignment="1">
      <alignment vertical="top"/>
    </xf>
    <xf numFmtId="4" fontId="8" fillId="6" borderId="58" xfId="1" applyNumberFormat="1" applyFont="1" applyFill="1" applyBorder="1" applyAlignment="1">
      <alignment horizontal="right"/>
    </xf>
    <xf numFmtId="4" fontId="8" fillId="0" borderId="13" xfId="1" applyNumberFormat="1" applyFont="1" applyBorder="1" applyAlignment="1">
      <alignment horizontal="right"/>
    </xf>
    <xf numFmtId="0" fontId="1" fillId="0" borderId="88" xfId="1" applyFont="1" applyBorder="1"/>
    <xf numFmtId="0" fontId="1" fillId="0" borderId="89" xfId="1" applyFont="1" applyBorder="1"/>
    <xf numFmtId="49" fontId="8" fillId="0" borderId="56" xfId="1" applyNumberFormat="1" applyFont="1" applyFill="1" applyBorder="1" applyAlignment="1">
      <alignment horizontal="center" vertical="top"/>
    </xf>
    <xf numFmtId="0" fontId="8" fillId="0" borderId="56" xfId="1" applyNumberFormat="1" applyFont="1" applyFill="1" applyBorder="1" applyAlignment="1">
      <alignment horizontal="left" vertical="top"/>
    </xf>
    <xf numFmtId="0" fontId="8" fillId="0" borderId="56" xfId="1" applyFont="1" applyFill="1" applyBorder="1" applyAlignment="1">
      <alignment vertical="top" wrapText="1"/>
    </xf>
    <xf numFmtId="168" fontId="8" fillId="0" borderId="13" xfId="1" applyNumberFormat="1" applyFont="1" applyFill="1" applyBorder="1"/>
    <xf numFmtId="0" fontId="8" fillId="0" borderId="68" xfId="1" applyFont="1" applyBorder="1" applyAlignment="1">
      <alignment horizontal="left" vertical="top"/>
    </xf>
    <xf numFmtId="4" fontId="8" fillId="0" borderId="90" xfId="1" applyNumberFormat="1" applyFont="1" applyBorder="1" applyAlignment="1">
      <alignment horizontal="right"/>
    </xf>
    <xf numFmtId="49" fontId="8" fillId="0" borderId="62" xfId="1" applyNumberFormat="1" applyFont="1" applyBorder="1" applyAlignment="1">
      <alignment horizontal="center" shrinkToFit="1"/>
    </xf>
    <xf numFmtId="4" fontId="8" fillId="0" borderId="62" xfId="1" applyNumberFormat="1" applyFont="1" applyFill="1" applyBorder="1" applyAlignment="1">
      <alignment horizontal="right"/>
    </xf>
    <xf numFmtId="0" fontId="8" fillId="0" borderId="83" xfId="1" applyFont="1" applyBorder="1" applyAlignment="1">
      <alignment vertical="top"/>
    </xf>
    <xf numFmtId="49" fontId="7" fillId="0" borderId="15" xfId="1" applyNumberFormat="1" applyFont="1" applyBorder="1" applyAlignment="1">
      <alignment horizontal="left"/>
    </xf>
    <xf numFmtId="0" fontId="7" fillId="0" borderId="1" xfId="1" applyFont="1" applyBorder="1"/>
    <xf numFmtId="0" fontId="1" fillId="0" borderId="2" xfId="1" applyFont="1" applyBorder="1" applyAlignment="1">
      <alignment horizontal="center"/>
    </xf>
    <xf numFmtId="0" fontId="1" fillId="0" borderId="2" xfId="1" applyNumberFormat="1" applyFont="1" applyBorder="1" applyAlignment="1">
      <alignment horizontal="right"/>
    </xf>
    <xf numFmtId="0" fontId="1" fillId="0" borderId="3" xfId="1" applyNumberFormat="1" applyFont="1" applyBorder="1"/>
    <xf numFmtId="0" fontId="1" fillId="2" borderId="2" xfId="1" applyFont="1" applyFill="1" applyBorder="1" applyAlignment="1">
      <alignment horizontal="center"/>
    </xf>
    <xf numFmtId="4" fontId="1" fillId="2" borderId="2" xfId="1" applyNumberFormat="1" applyFont="1" applyFill="1" applyBorder="1" applyAlignment="1">
      <alignment horizontal="right"/>
    </xf>
    <xf numFmtId="3" fontId="1" fillId="0" borderId="0" xfId="1" applyNumberFormat="1" applyFont="1"/>
    <xf numFmtId="0" fontId="8" fillId="0" borderId="56" xfId="1" applyFont="1" applyBorder="1" applyAlignment="1">
      <alignment horizontal="center" vertical="top"/>
    </xf>
    <xf numFmtId="49" fontId="8" fillId="0" borderId="56" xfId="1" applyNumberFormat="1" applyFont="1" applyBorder="1" applyAlignment="1">
      <alignment horizontal="left" vertical="top"/>
    </xf>
    <xf numFmtId="0" fontId="8" fillId="0" borderId="66" xfId="1" applyFont="1" applyBorder="1" applyAlignment="1">
      <alignment horizontal="center" vertical="top"/>
    </xf>
    <xf numFmtId="49" fontId="8" fillId="0" borderId="67" xfId="1" applyNumberFormat="1" applyFont="1" applyBorder="1" applyAlignment="1">
      <alignment horizontal="left" vertical="top"/>
    </xf>
    <xf numFmtId="4" fontId="8" fillId="0" borderId="74" xfId="1" applyNumberFormat="1" applyFont="1" applyBorder="1"/>
    <xf numFmtId="4" fontId="8" fillId="0" borderId="66" xfId="1" applyNumberFormat="1" applyFont="1" applyBorder="1" applyAlignment="1">
      <alignment horizontal="right"/>
    </xf>
    <xf numFmtId="4" fontId="8" fillId="0" borderId="85" xfId="1" applyNumberFormat="1" applyFont="1" applyBorder="1" applyAlignment="1">
      <alignment horizontal="right"/>
    </xf>
    <xf numFmtId="0" fontId="1" fillId="2" borderId="1" xfId="1" applyFont="1" applyFill="1" applyBorder="1" applyAlignment="1">
      <alignment horizontal="center"/>
    </xf>
    <xf numFmtId="49" fontId="14" fillId="2" borderId="2" xfId="1" applyNumberFormat="1" applyFont="1" applyFill="1" applyBorder="1" applyAlignment="1">
      <alignment horizontal="left"/>
    </xf>
    <xf numFmtId="0" fontId="14" fillId="2" borderId="2" xfId="1" applyFont="1" applyFill="1" applyBorder="1"/>
    <xf numFmtId="4" fontId="7" fillId="2" borderId="2" xfId="1" applyNumberFormat="1" applyFont="1" applyFill="1" applyBorder="1"/>
    <xf numFmtId="4" fontId="19" fillId="2" borderId="2" xfId="1" applyNumberFormat="1" applyFont="1" applyFill="1" applyBorder="1"/>
    <xf numFmtId="0" fontId="8" fillId="0" borderId="55" xfId="1" applyFont="1" applyFill="1" applyBorder="1" applyAlignment="1">
      <alignment horizontal="center" vertical="top"/>
    </xf>
    <xf numFmtId="0" fontId="8" fillId="0" borderId="84" xfId="1" applyFont="1" applyBorder="1" applyAlignment="1">
      <alignment vertical="top" wrapText="1"/>
    </xf>
    <xf numFmtId="49" fontId="8" fillId="0" borderId="91" xfId="1" applyNumberFormat="1" applyFont="1" applyBorder="1" applyAlignment="1">
      <alignment horizontal="center" shrinkToFit="1"/>
    </xf>
    <xf numFmtId="49" fontId="3" fillId="0" borderId="23" xfId="0" applyNumberFormat="1" applyFont="1" applyFill="1" applyBorder="1"/>
    <xf numFmtId="0" fontId="3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41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0" fontId="7" fillId="0" borderId="52" xfId="0" applyFont="1" applyFill="1" applyBorder="1" applyAlignment="1">
      <alignment horizontal="center"/>
    </xf>
    <xf numFmtId="0" fontId="7" fillId="2" borderId="92" xfId="0" applyFont="1" applyFill="1" applyBorder="1"/>
    <xf numFmtId="0" fontId="7" fillId="2" borderId="93" xfId="0" applyFont="1" applyFill="1" applyBorder="1"/>
    <xf numFmtId="0" fontId="1" fillId="2" borderId="93" xfId="0" applyFont="1" applyFill="1" applyBorder="1"/>
    <xf numFmtId="0" fontId="7" fillId="2" borderId="93" xfId="0" applyFont="1" applyFill="1" applyBorder="1" applyAlignment="1">
      <alignment horizontal="right"/>
    </xf>
    <xf numFmtId="0" fontId="7" fillId="2" borderId="93" xfId="0" applyFont="1" applyFill="1" applyBorder="1" applyAlignment="1">
      <alignment horizontal="center"/>
    </xf>
    <xf numFmtId="4" fontId="4" fillId="2" borderId="92" xfId="0" applyNumberFormat="1" applyFont="1" applyFill="1" applyBorder="1" applyAlignment="1">
      <alignment horizontal="right"/>
    </xf>
    <xf numFmtId="4" fontId="4" fillId="2" borderId="94" xfId="0" applyNumberFormat="1" applyFont="1" applyFill="1" applyBorder="1" applyAlignment="1">
      <alignment horizontal="right"/>
    </xf>
    <xf numFmtId="0" fontId="1" fillId="2" borderId="95" xfId="0" applyFont="1" applyFill="1" applyBorder="1"/>
    <xf numFmtId="0" fontId="7" fillId="2" borderId="9" xfId="0" applyFont="1" applyFill="1" applyBorder="1"/>
    <xf numFmtId="0" fontId="1" fillId="2" borderId="9" xfId="0" applyFont="1" applyFill="1" applyBorder="1"/>
    <xf numFmtId="4" fontId="1" fillId="2" borderId="9" xfId="0" applyNumberFormat="1" applyFont="1" applyFill="1" applyBorder="1"/>
    <xf numFmtId="4" fontId="1" fillId="0" borderId="0" xfId="0" applyNumberFormat="1" applyFont="1" applyBorder="1" applyAlignment="1">
      <alignment horizontal="right"/>
    </xf>
    <xf numFmtId="3" fontId="1" fillId="0" borderId="41" xfId="0" applyNumberFormat="1" applyFont="1" applyBorder="1" applyAlignment="1">
      <alignment horizontal="right"/>
    </xf>
    <xf numFmtId="3" fontId="1" fillId="0" borderId="22" xfId="0" applyNumberFormat="1" applyFont="1" applyBorder="1"/>
    <xf numFmtId="49" fontId="14" fillId="2" borderId="37" xfId="1" applyNumberFormat="1" applyFont="1" applyFill="1" applyBorder="1" applyAlignment="1">
      <alignment horizontal="left"/>
    </xf>
    <xf numFmtId="4" fontId="7" fillId="2" borderId="38" xfId="1" applyNumberFormat="1" applyFont="1" applyFill="1" applyBorder="1"/>
    <xf numFmtId="4" fontId="8" fillId="2" borderId="37" xfId="1" applyNumberFormat="1" applyFont="1" applyFill="1" applyBorder="1" applyAlignment="1">
      <alignment horizontal="right"/>
    </xf>
    <xf numFmtId="0" fontId="8" fillId="0" borderId="0" xfId="0" applyFont="1" applyAlignment="1">
      <alignment horizontal="left" vertical="top" wrapText="1"/>
    </xf>
    <xf numFmtId="0" fontId="8" fillId="8" borderId="57" xfId="1" applyFont="1" applyFill="1" applyBorder="1" applyAlignment="1">
      <alignment horizontal="center" vertical="top"/>
    </xf>
    <xf numFmtId="49" fontId="8" fillId="8" borderId="58" xfId="1" applyNumberFormat="1" applyFont="1" applyFill="1" applyBorder="1" applyAlignment="1">
      <alignment horizontal="center" vertical="top"/>
    </xf>
    <xf numFmtId="0" fontId="8" fillId="8" borderId="58" xfId="1" applyNumberFormat="1" applyFont="1" applyFill="1" applyBorder="1" applyAlignment="1">
      <alignment horizontal="left" vertical="top"/>
    </xf>
    <xf numFmtId="0" fontId="8" fillId="8" borderId="58" xfId="1" applyFont="1" applyFill="1" applyBorder="1" applyAlignment="1">
      <alignment vertical="top" wrapText="1"/>
    </xf>
    <xf numFmtId="49" fontId="8" fillId="8" borderId="58" xfId="1" applyNumberFormat="1" applyFont="1" applyFill="1" applyBorder="1" applyAlignment="1">
      <alignment horizontal="center" shrinkToFit="1"/>
    </xf>
    <xf numFmtId="4" fontId="8" fillId="8" borderId="58" xfId="1" applyNumberFormat="1" applyFont="1" applyFill="1" applyBorder="1" applyAlignment="1">
      <alignment horizontal="right"/>
    </xf>
    <xf numFmtId="0" fontId="8" fillId="8" borderId="55" xfId="1" applyFont="1" applyFill="1" applyBorder="1" applyAlignment="1">
      <alignment horizontal="center" vertical="top"/>
    </xf>
    <xf numFmtId="49" fontId="8" fillId="8" borderId="56" xfId="1" applyNumberFormat="1" applyFont="1" applyFill="1" applyBorder="1" applyAlignment="1">
      <alignment horizontal="center" vertical="top"/>
    </xf>
    <xf numFmtId="0" fontId="8" fillId="8" borderId="56" xfId="1" applyNumberFormat="1" applyFont="1" applyFill="1" applyBorder="1" applyAlignment="1">
      <alignment horizontal="left" vertical="top"/>
    </xf>
    <xf numFmtId="0" fontId="8" fillId="8" borderId="56" xfId="1" applyFont="1" applyFill="1" applyBorder="1" applyAlignment="1">
      <alignment vertical="top" wrapText="1"/>
    </xf>
    <xf numFmtId="4" fontId="8" fillId="8" borderId="56" xfId="1" applyNumberFormat="1" applyFont="1" applyFill="1" applyBorder="1"/>
    <xf numFmtId="0" fontId="8" fillId="8" borderId="4" xfId="1" applyFont="1" applyFill="1" applyBorder="1" applyAlignment="1">
      <alignment horizontal="center" vertical="top"/>
    </xf>
    <xf numFmtId="0" fontId="8" fillId="8" borderId="0" xfId="1" applyNumberFormat="1" applyFont="1" applyFill="1" applyBorder="1" applyAlignment="1">
      <alignment horizontal="center" vertical="top"/>
    </xf>
    <xf numFmtId="0" fontId="8" fillId="8" borderId="68" xfId="1" applyNumberFormat="1" applyFont="1" applyFill="1" applyBorder="1" applyAlignment="1">
      <alignment horizontal="left" vertical="top"/>
    </xf>
    <xf numFmtId="0" fontId="8" fillId="8" borderId="72" xfId="1" applyFont="1" applyFill="1" applyBorder="1" applyAlignment="1">
      <alignment horizontal="left" vertical="top"/>
    </xf>
    <xf numFmtId="0" fontId="8" fillId="8" borderId="73" xfId="1" applyFont="1" applyFill="1" applyBorder="1" applyAlignment="1">
      <alignment horizontal="left" vertical="top"/>
    </xf>
    <xf numFmtId="0" fontId="8" fillId="8" borderId="82" xfId="1" applyFont="1" applyFill="1" applyBorder="1" applyAlignment="1">
      <alignment horizontal="left" vertical="top"/>
    </xf>
    <xf numFmtId="0" fontId="8" fillId="8" borderId="86" xfId="1" applyFont="1" applyFill="1" applyBorder="1" applyAlignment="1">
      <alignment horizontal="center" vertical="top"/>
    </xf>
    <xf numFmtId="0" fontId="8" fillId="8" borderId="73" xfId="1" applyNumberFormat="1" applyFont="1" applyFill="1" applyBorder="1" applyAlignment="1">
      <alignment horizontal="center" vertical="top"/>
    </xf>
    <xf numFmtId="0" fontId="8" fillId="8" borderId="82" xfId="1" applyNumberFormat="1" applyFont="1" applyFill="1" applyBorder="1" applyAlignment="1">
      <alignment horizontal="left" vertical="top"/>
    </xf>
    <xf numFmtId="0" fontId="8" fillId="8" borderId="79" xfId="1" applyFont="1" applyFill="1" applyBorder="1" applyAlignment="1">
      <alignment vertical="top"/>
    </xf>
    <xf numFmtId="49" fontId="8" fillId="8" borderId="80" xfId="1" applyNumberFormat="1" applyFont="1" applyFill="1" applyBorder="1" applyAlignment="1">
      <alignment horizontal="center" shrinkToFit="1"/>
    </xf>
    <xf numFmtId="4" fontId="8" fillId="8" borderId="81" xfId="1" applyNumberFormat="1" applyFont="1" applyFill="1" applyBorder="1" applyAlignment="1">
      <alignment horizontal="right"/>
    </xf>
    <xf numFmtId="0" fontId="8" fillId="8" borderId="65" xfId="1" applyFont="1" applyFill="1" applyBorder="1" applyAlignment="1">
      <alignment horizontal="center" vertical="top"/>
    </xf>
    <xf numFmtId="0" fontId="8" fillId="8" borderId="66" xfId="1" applyNumberFormat="1" applyFont="1" applyFill="1" applyBorder="1" applyAlignment="1">
      <alignment horizontal="center" vertical="top"/>
    </xf>
    <xf numFmtId="0" fontId="8" fillId="8" borderId="67" xfId="1" applyNumberFormat="1" applyFont="1" applyFill="1" applyBorder="1" applyAlignment="1">
      <alignment horizontal="left" vertical="top"/>
    </xf>
    <xf numFmtId="0" fontId="8" fillId="8" borderId="62" xfId="1" applyFont="1" applyFill="1" applyBorder="1" applyAlignment="1">
      <alignment vertical="top" wrapText="1"/>
    </xf>
    <xf numFmtId="49" fontId="8" fillId="8" borderId="66" xfId="1" applyNumberFormat="1" applyFont="1" applyFill="1" applyBorder="1" applyAlignment="1">
      <alignment horizontal="center" shrinkToFit="1"/>
    </xf>
    <xf numFmtId="4" fontId="8" fillId="8" borderId="67" xfId="1" applyNumberFormat="1" applyFont="1" applyFill="1" applyBorder="1" applyAlignment="1">
      <alignment horizontal="right"/>
    </xf>
    <xf numFmtId="0" fontId="8" fillId="8" borderId="43" xfId="1" applyFont="1" applyFill="1" applyBorder="1" applyAlignment="1">
      <alignment horizontal="center" vertical="top"/>
    </xf>
    <xf numFmtId="49" fontId="8" fillId="8" borderId="32" xfId="1" applyNumberFormat="1" applyFont="1" applyFill="1" applyBorder="1" applyAlignment="1">
      <alignment horizontal="center" vertical="top"/>
    </xf>
    <xf numFmtId="0" fontId="8" fillId="8" borderId="69" xfId="1" applyNumberFormat="1" applyFont="1" applyFill="1" applyBorder="1" applyAlignment="1">
      <alignment horizontal="left" vertical="top"/>
    </xf>
    <xf numFmtId="0" fontId="8" fillId="8" borderId="61" xfId="1" applyFont="1" applyFill="1" applyBorder="1" applyAlignment="1">
      <alignment vertical="top" wrapText="1"/>
    </xf>
    <xf numFmtId="49" fontId="8" fillId="8" borderId="61" xfId="1" applyNumberFormat="1" applyFont="1" applyFill="1" applyBorder="1" applyAlignment="1">
      <alignment horizontal="center" shrinkToFit="1"/>
    </xf>
    <xf numFmtId="4" fontId="8" fillId="8" borderId="61" xfId="1" applyNumberFormat="1" applyFont="1" applyFill="1" applyBorder="1" applyAlignment="1">
      <alignment horizontal="right"/>
    </xf>
    <xf numFmtId="0" fontId="8" fillId="8" borderId="58" xfId="1" applyNumberFormat="1" applyFont="1" applyFill="1" applyBorder="1" applyAlignment="1">
      <alignment horizontal="center" vertical="top"/>
    </xf>
    <xf numFmtId="4" fontId="8" fillId="7" borderId="58" xfId="1" applyNumberFormat="1" applyFont="1" applyFill="1" applyBorder="1" applyAlignment="1">
      <alignment horizontal="right"/>
    </xf>
    <xf numFmtId="3" fontId="6" fillId="5" borderId="11" xfId="0" applyNumberFormat="1" applyFont="1" applyFill="1" applyBorder="1" applyAlignment="1">
      <alignment horizontal="right" vertical="center"/>
    </xf>
    <xf numFmtId="3" fontId="6" fillId="5" borderId="49" xfId="0" applyNumberFormat="1" applyFont="1" applyFill="1" applyBorder="1" applyAlignment="1">
      <alignment horizontal="right" vertical="center"/>
    </xf>
    <xf numFmtId="4" fontId="1" fillId="0" borderId="7" xfId="0" applyNumberFormat="1" applyFont="1" applyBorder="1" applyAlignment="1">
      <alignment horizontal="right" vertical="center"/>
    </xf>
    <xf numFmtId="4" fontId="1" fillId="0" borderId="13" xfId="0" applyNumberFormat="1" applyFont="1" applyBorder="1" applyAlignment="1">
      <alignment horizontal="right" vertical="center"/>
    </xf>
    <xf numFmtId="4" fontId="1" fillId="0" borderId="0" xfId="0" applyNumberFormat="1" applyFont="1" applyBorder="1" applyAlignment="1">
      <alignment horizontal="right" vertical="center"/>
    </xf>
    <xf numFmtId="4" fontId="1" fillId="0" borderId="5" xfId="0" applyNumberFormat="1" applyFont="1" applyBorder="1" applyAlignment="1">
      <alignment horizontal="right" vertical="center"/>
    </xf>
    <xf numFmtId="4" fontId="1" fillId="0" borderId="9" xfId="0" applyNumberFormat="1" applyFont="1" applyBorder="1" applyAlignment="1">
      <alignment horizontal="right" vertical="center"/>
    </xf>
    <xf numFmtId="4" fontId="1" fillId="0" borderId="96" xfId="0" applyNumberFormat="1" applyFont="1" applyBorder="1" applyAlignment="1">
      <alignment horizontal="right" vertical="center"/>
    </xf>
    <xf numFmtId="0" fontId="1" fillId="0" borderId="0" xfId="0" applyFont="1" applyAlignment="1">
      <alignment horizontal="left" wrapText="1"/>
    </xf>
    <xf numFmtId="167" fontId="6" fillId="2" borderId="63" xfId="0" applyNumberFormat="1" applyFont="1" applyFill="1" applyBorder="1" applyAlignment="1">
      <alignment horizontal="right" indent="2"/>
    </xf>
    <xf numFmtId="167" fontId="6" fillId="2" borderId="97" xfId="0" applyNumberFormat="1" applyFont="1" applyFill="1" applyBorder="1" applyAlignment="1">
      <alignment horizontal="right" indent="2"/>
    </xf>
    <xf numFmtId="0" fontId="8" fillId="0" borderId="0" xfId="0" applyFont="1" applyAlignment="1">
      <alignment horizontal="center" vertical="top" wrapText="1"/>
    </xf>
    <xf numFmtId="167" fontId="1" fillId="0" borderId="1" xfId="0" applyNumberFormat="1" applyFont="1" applyBorder="1" applyAlignment="1">
      <alignment horizontal="right" indent="2"/>
    </xf>
    <xf numFmtId="167" fontId="1" fillId="0" borderId="25" xfId="0" applyNumberFormat="1" applyFont="1" applyBorder="1" applyAlignment="1">
      <alignment horizontal="right" indent="2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1" fillId="0" borderId="36" xfId="0" applyFont="1" applyBorder="1" applyAlignment="1">
      <alignment horizontal="center" shrinkToFit="1"/>
    </xf>
    <xf numFmtId="0" fontId="1" fillId="0" borderId="38" xfId="0" applyFont="1" applyBorder="1" applyAlignment="1">
      <alignment horizontal="center" shrinkToFit="1"/>
    </xf>
    <xf numFmtId="0" fontId="3" fillId="0" borderId="12" xfId="0" applyFont="1" applyBorder="1" applyAlignment="1">
      <alignment horizontal="left"/>
    </xf>
    <xf numFmtId="0" fontId="7" fillId="0" borderId="98" xfId="0" applyFont="1" applyBorder="1" applyAlignment="1">
      <alignment horizontal="left" vertical="top" wrapText="1"/>
    </xf>
    <xf numFmtId="0" fontId="0" fillId="0" borderId="99" xfId="0" applyBorder="1" applyAlignment="1">
      <alignment horizontal="left" vertical="top" wrapText="1"/>
    </xf>
    <xf numFmtId="0" fontId="0" fillId="0" borderId="100" xfId="0" applyBorder="1" applyAlignment="1">
      <alignment horizontal="left" vertical="top" wrapText="1"/>
    </xf>
    <xf numFmtId="3" fontId="1" fillId="0" borderId="101" xfId="0" applyNumberFormat="1" applyFont="1" applyBorder="1" applyAlignment="1">
      <alignment horizontal="right"/>
    </xf>
    <xf numFmtId="3" fontId="1" fillId="0" borderId="102" xfId="0" applyNumberFormat="1" applyFont="1" applyBorder="1" applyAlignment="1">
      <alignment horizontal="right"/>
    </xf>
    <xf numFmtId="0" fontId="8" fillId="0" borderId="103" xfId="0" applyFont="1" applyBorder="1" applyAlignment="1">
      <alignment horizontal="left" vertical="top" wrapText="1"/>
    </xf>
    <xf numFmtId="0" fontId="8" fillId="0" borderId="104" xfId="0" applyFont="1" applyBorder="1" applyAlignment="1">
      <alignment horizontal="left" vertical="top" wrapText="1"/>
    </xf>
    <xf numFmtId="4" fontId="1" fillId="0" borderId="105" xfId="0" applyNumberFormat="1" applyFont="1" applyBorder="1" applyAlignment="1">
      <alignment horizontal="right"/>
    </xf>
    <xf numFmtId="4" fontId="1" fillId="0" borderId="106" xfId="0" applyNumberFormat="1" applyFont="1" applyBorder="1" applyAlignment="1">
      <alignment horizontal="right"/>
    </xf>
    <xf numFmtId="3" fontId="7" fillId="2" borderId="95" xfId="0" applyNumberFormat="1" applyFont="1" applyFill="1" applyBorder="1" applyAlignment="1">
      <alignment horizontal="right"/>
    </xf>
    <xf numFmtId="3" fontId="7" fillId="2" borderId="107" xfId="0" applyNumberFormat="1" applyFont="1" applyFill="1" applyBorder="1" applyAlignment="1">
      <alignment horizontal="right"/>
    </xf>
    <xf numFmtId="0" fontId="8" fillId="0" borderId="108" xfId="0" applyFont="1" applyBorder="1" applyAlignment="1">
      <alignment horizontal="left" vertical="top" wrapText="1"/>
    </xf>
    <xf numFmtId="0" fontId="8" fillId="0" borderId="62" xfId="0" applyFont="1" applyBorder="1" applyAlignment="1">
      <alignment horizontal="left" vertical="top" wrapText="1"/>
    </xf>
    <xf numFmtId="4" fontId="1" fillId="0" borderId="84" xfId="0" applyNumberFormat="1" applyFont="1" applyBorder="1" applyAlignment="1">
      <alignment horizontal="right"/>
    </xf>
    <xf numFmtId="4" fontId="1" fillId="0" borderId="109" xfId="0" applyNumberFormat="1" applyFont="1" applyBorder="1" applyAlignment="1">
      <alignment horizontal="right"/>
    </xf>
    <xf numFmtId="0" fontId="0" fillId="0" borderId="102" xfId="0" applyBorder="1" applyAlignment="1">
      <alignment horizontal="right"/>
    </xf>
    <xf numFmtId="0" fontId="0" fillId="0" borderId="106" xfId="0" applyBorder="1" applyAlignment="1">
      <alignment horizontal="right"/>
    </xf>
    <xf numFmtId="0" fontId="0" fillId="0" borderId="110" xfId="0" applyBorder="1" applyAlignment="1">
      <alignment horizontal="left" vertical="top" wrapText="1"/>
    </xf>
    <xf numFmtId="3" fontId="1" fillId="0" borderId="10" xfId="0" applyNumberFormat="1" applyFont="1" applyBorder="1" applyAlignment="1">
      <alignment horizontal="right"/>
    </xf>
    <xf numFmtId="3" fontId="1" fillId="0" borderId="30" xfId="0" applyNumberFormat="1" applyFont="1" applyBorder="1" applyAlignment="1">
      <alignment horizontal="right"/>
    </xf>
    <xf numFmtId="4" fontId="1" fillId="0" borderId="111" xfId="0" applyNumberFormat="1" applyFont="1" applyBorder="1" applyAlignment="1">
      <alignment horizontal="right"/>
    </xf>
    <xf numFmtId="0" fontId="0" fillId="0" borderId="30" xfId="0" applyBorder="1" applyAlignment="1">
      <alignment horizontal="right"/>
    </xf>
    <xf numFmtId="0" fontId="1" fillId="0" borderId="117" xfId="1" applyFont="1" applyBorder="1" applyAlignment="1">
      <alignment horizontal="center"/>
    </xf>
    <xf numFmtId="0" fontId="1" fillId="0" borderId="77" xfId="1" applyFont="1" applyBorder="1" applyAlignment="1">
      <alignment horizontal="center"/>
    </xf>
    <xf numFmtId="0" fontId="1" fillId="0" borderId="118" xfId="1" applyFont="1" applyBorder="1" applyAlignment="1">
      <alignment horizontal="center"/>
    </xf>
    <xf numFmtId="0" fontId="1" fillId="0" borderId="78" xfId="1" applyFont="1" applyBorder="1" applyAlignment="1">
      <alignment horizontal="center"/>
    </xf>
    <xf numFmtId="0" fontId="7" fillId="7" borderId="98" xfId="0" applyFont="1" applyFill="1" applyBorder="1" applyAlignment="1">
      <alignment horizontal="left" wrapText="1"/>
    </xf>
    <xf numFmtId="0" fontId="1" fillId="7" borderId="99" xfId="0" applyFont="1" applyFill="1" applyBorder="1" applyAlignment="1">
      <alignment horizontal="left" wrapText="1"/>
    </xf>
    <xf numFmtId="0" fontId="1" fillId="7" borderId="100" xfId="0" applyFont="1" applyFill="1" applyBorder="1" applyAlignment="1">
      <alignment horizontal="left" wrapText="1"/>
    </xf>
    <xf numFmtId="4" fontId="1" fillId="0" borderId="113" xfId="0" applyNumberFormat="1" applyFont="1" applyBorder="1" applyAlignment="1">
      <alignment horizontal="right"/>
    </xf>
    <xf numFmtId="0" fontId="0" fillId="0" borderId="107" xfId="0" applyBorder="1" applyAlignment="1">
      <alignment horizontal="right"/>
    </xf>
    <xf numFmtId="0" fontId="7" fillId="0" borderId="114" xfId="0" applyFont="1" applyBorder="1" applyAlignment="1">
      <alignment horizontal="left" vertical="top" wrapText="1" readingOrder="1"/>
    </xf>
    <xf numFmtId="0" fontId="1" fillId="0" borderId="115" xfId="0" applyFont="1" applyBorder="1" applyAlignment="1">
      <alignment horizontal="left" vertical="top" wrapText="1" readingOrder="1"/>
    </xf>
    <xf numFmtId="0" fontId="1" fillId="0" borderId="116" xfId="0" applyFont="1" applyBorder="1" applyAlignment="1">
      <alignment horizontal="left" vertical="top" wrapText="1" readingOrder="1"/>
    </xf>
    <xf numFmtId="0" fontId="8" fillId="0" borderId="112" xfId="0" applyFont="1" applyBorder="1" applyAlignment="1">
      <alignment horizontal="left" vertical="top" wrapText="1"/>
    </xf>
    <xf numFmtId="0" fontId="8" fillId="0" borderId="66" xfId="0" applyFont="1" applyBorder="1" applyAlignment="1">
      <alignment horizontal="left" vertical="top" wrapText="1"/>
    </xf>
    <xf numFmtId="0" fontId="8" fillId="0" borderId="67" xfId="0" applyFont="1" applyBorder="1" applyAlignment="1">
      <alignment horizontal="left" vertical="top" wrapText="1"/>
    </xf>
    <xf numFmtId="0" fontId="10" fillId="0" borderId="0" xfId="1" applyFont="1" applyAlignment="1">
      <alignment horizontal="center"/>
    </xf>
    <xf numFmtId="0" fontId="1" fillId="0" borderId="45" xfId="1" applyFont="1" applyBorder="1" applyAlignment="1">
      <alignment horizontal="center"/>
    </xf>
    <xf numFmtId="49" fontId="1" fillId="0" borderId="118" xfId="1" applyNumberFormat="1" applyFont="1" applyBorder="1" applyAlignment="1">
      <alignment horizontal="center"/>
    </xf>
    <xf numFmtId="49" fontId="1" fillId="0" borderId="48" xfId="1" applyNumberFormat="1" applyFont="1" applyBorder="1" applyAlignment="1">
      <alignment horizontal="center"/>
    </xf>
    <xf numFmtId="0" fontId="8" fillId="9" borderId="57" xfId="1" applyFont="1" applyFill="1" applyBorder="1" applyAlignment="1">
      <alignment horizontal="center" vertical="top"/>
    </xf>
    <xf numFmtId="49" fontId="8" fillId="9" borderId="119" xfId="1" applyNumberFormat="1" applyFont="1" applyFill="1" applyBorder="1" applyAlignment="1">
      <alignment horizontal="center" vertical="top"/>
    </xf>
    <xf numFmtId="49" fontId="8" fillId="9" borderId="2" xfId="1" applyNumberFormat="1" applyFont="1" applyFill="1" applyBorder="1" applyAlignment="1">
      <alignment horizontal="center" vertical="top"/>
    </xf>
    <xf numFmtId="49" fontId="8" fillId="9" borderId="120" xfId="1" applyNumberFormat="1" applyFont="1" applyFill="1" applyBorder="1" applyAlignment="1">
      <alignment horizontal="center" vertical="top"/>
    </xf>
  </cellXfs>
  <cellStyles count="2">
    <cellStyle name="Normální" xfId="0" builtinId="0"/>
    <cellStyle name="normální_POL.XLS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112">
    <pageSetUpPr fitToPage="1"/>
  </sheetPr>
  <dimension ref="A1:O40"/>
  <sheetViews>
    <sheetView showGridLines="0" topLeftCell="B1" zoomScaleSheetLayoutView="75" workbookViewId="0">
      <selection activeCell="B1" sqref="B1"/>
    </sheetView>
  </sheetViews>
  <sheetFormatPr defaultRowHeight="12.75" x14ac:dyDescent="0.2"/>
  <cols>
    <col min="1" max="1" width="0.5703125" style="1" hidden="1" customWidth="1"/>
    <col min="2" max="2" width="7.140625" style="1" customWidth="1"/>
    <col min="3" max="3" width="9.140625" style="1"/>
    <col min="4" max="4" width="19.7109375" style="1" customWidth="1"/>
    <col min="5" max="5" width="6.85546875" style="1" customWidth="1"/>
    <col min="6" max="6" width="13.140625" style="1" customWidth="1"/>
    <col min="7" max="7" width="12.42578125" style="2" customWidth="1"/>
    <col min="8" max="8" width="13.5703125" style="1" customWidth="1"/>
    <col min="9" max="9" width="11.42578125" style="2" customWidth="1"/>
    <col min="10" max="10" width="7" style="2" customWidth="1"/>
    <col min="11" max="15" width="10.7109375" style="1" customWidth="1"/>
    <col min="16" max="16384" width="9.140625" style="1"/>
  </cols>
  <sheetData>
    <row r="1" spans="2:15" ht="12" customHeight="1" x14ac:dyDescent="0.2"/>
    <row r="2" spans="2:15" ht="17.25" customHeight="1" x14ac:dyDescent="0.25">
      <c r="B2" s="3"/>
      <c r="C2" s="4" t="s">
        <v>0</v>
      </c>
      <c r="E2" s="5"/>
      <c r="F2" s="4"/>
      <c r="G2" s="6"/>
      <c r="H2" s="7" t="s">
        <v>1</v>
      </c>
      <c r="I2" s="8">
        <f ca="1">TODAY()</f>
        <v>41354</v>
      </c>
      <c r="K2" s="3"/>
    </row>
    <row r="3" spans="2:15" ht="6" customHeight="1" x14ac:dyDescent="0.2">
      <c r="C3" s="9"/>
      <c r="D3" s="10" t="s">
        <v>2</v>
      </c>
    </row>
    <row r="4" spans="2:15" ht="4.5" customHeight="1" x14ac:dyDescent="0.2"/>
    <row r="5" spans="2:15" ht="13.5" customHeight="1" x14ac:dyDescent="0.25">
      <c r="C5" s="11" t="s">
        <v>3</v>
      </c>
      <c r="D5" s="12" t="s">
        <v>170</v>
      </c>
      <c r="E5" s="13"/>
      <c r="F5" s="14"/>
      <c r="G5" s="15"/>
      <c r="H5" s="14"/>
      <c r="I5" s="15"/>
      <c r="O5" s="8"/>
    </row>
    <row r="6" spans="2:15" ht="15.75" x14ac:dyDescent="0.25">
      <c r="D6" s="163" t="s">
        <v>410</v>
      </c>
    </row>
    <row r="7" spans="2:15" x14ac:dyDescent="0.2">
      <c r="C7" s="16" t="s">
        <v>4</v>
      </c>
      <c r="D7" s="17" t="s">
        <v>171</v>
      </c>
      <c r="H7" s="18" t="s">
        <v>5</v>
      </c>
      <c r="J7" s="17"/>
      <c r="K7" s="17"/>
    </row>
    <row r="8" spans="2:15" x14ac:dyDescent="0.2">
      <c r="D8" s="17" t="s">
        <v>172</v>
      </c>
      <c r="H8" s="18" t="s">
        <v>6</v>
      </c>
      <c r="J8" s="17"/>
      <c r="K8" s="17"/>
    </row>
    <row r="9" spans="2:15" x14ac:dyDescent="0.2">
      <c r="C9" s="18"/>
      <c r="D9" s="17" t="s">
        <v>173</v>
      </c>
      <c r="H9" s="18"/>
      <c r="J9" s="17"/>
    </row>
    <row r="10" spans="2:15" x14ac:dyDescent="0.2">
      <c r="H10" s="18"/>
      <c r="J10" s="17"/>
    </row>
    <row r="11" spans="2:15" x14ac:dyDescent="0.2">
      <c r="C11" s="16" t="s">
        <v>7</v>
      </c>
      <c r="D11" s="17"/>
      <c r="H11" s="18" t="s">
        <v>5</v>
      </c>
      <c r="J11" s="17"/>
      <c r="K11" s="17"/>
    </row>
    <row r="12" spans="2:15" x14ac:dyDescent="0.2">
      <c r="D12" s="17"/>
      <c r="H12" s="18" t="s">
        <v>6</v>
      </c>
      <c r="J12" s="17"/>
      <c r="K12" s="17"/>
    </row>
    <row r="13" spans="2:15" ht="12" customHeight="1" x14ac:dyDescent="0.2">
      <c r="C13" s="18"/>
      <c r="D13" s="17"/>
      <c r="J13" s="18"/>
    </row>
    <row r="14" spans="2:15" ht="24.75" customHeight="1" x14ac:dyDescent="0.2">
      <c r="C14" s="17"/>
      <c r="H14" s="19" t="s">
        <v>8</v>
      </c>
      <c r="J14" s="18"/>
    </row>
    <row r="15" spans="2:15" ht="12.75" customHeight="1" x14ac:dyDescent="0.2">
      <c r="J15" s="18"/>
    </row>
    <row r="16" spans="2:15" ht="28.5" customHeight="1" x14ac:dyDescent="0.2">
      <c r="C16" s="19" t="s">
        <v>9</v>
      </c>
      <c r="H16" s="19" t="s">
        <v>9</v>
      </c>
    </row>
    <row r="17" spans="2:12" ht="25.5" customHeight="1" x14ac:dyDescent="0.2"/>
    <row r="18" spans="2:12" ht="13.5" customHeight="1" x14ac:dyDescent="0.2">
      <c r="B18" s="20"/>
      <c r="C18" s="21"/>
      <c r="D18" s="21"/>
      <c r="E18" s="22"/>
      <c r="F18" s="23"/>
      <c r="G18" s="24"/>
      <c r="H18" s="25"/>
      <c r="I18" s="24"/>
      <c r="J18" s="26" t="s">
        <v>10</v>
      </c>
      <c r="K18" s="27"/>
    </row>
    <row r="19" spans="2:12" ht="15" customHeight="1" x14ac:dyDescent="0.2">
      <c r="B19" s="28" t="s">
        <v>11</v>
      </c>
      <c r="C19" s="29"/>
      <c r="D19" s="30">
        <v>15</v>
      </c>
      <c r="E19" s="31" t="s">
        <v>12</v>
      </c>
      <c r="F19" s="32"/>
      <c r="G19" s="33"/>
      <c r="H19" s="33"/>
      <c r="I19" s="462">
        <f>ROUND(G34,0)</f>
        <v>0</v>
      </c>
      <c r="J19" s="463"/>
      <c r="K19" s="34"/>
    </row>
    <row r="20" spans="2:12" x14ac:dyDescent="0.2">
      <c r="B20" s="28" t="s">
        <v>13</v>
      </c>
      <c r="C20" s="29"/>
      <c r="D20" s="30">
        <f>SazbaDPH1</f>
        <v>15</v>
      </c>
      <c r="E20" s="31" t="s">
        <v>12</v>
      </c>
      <c r="F20" s="35"/>
      <c r="G20" s="36"/>
      <c r="H20" s="36"/>
      <c r="I20" s="464">
        <f>ROUND(I19*D20/100,0)</f>
        <v>0</v>
      </c>
      <c r="J20" s="465"/>
      <c r="K20" s="34"/>
    </row>
    <row r="21" spans="2:12" x14ac:dyDescent="0.2">
      <c r="B21" s="28" t="s">
        <v>11</v>
      </c>
      <c r="C21" s="29"/>
      <c r="D21" s="30">
        <v>21</v>
      </c>
      <c r="E21" s="31" t="s">
        <v>12</v>
      </c>
      <c r="F21" s="35"/>
      <c r="G21" s="36"/>
      <c r="H21" s="36"/>
      <c r="I21" s="464">
        <f>ROUND(H34,0)</f>
        <v>0</v>
      </c>
      <c r="J21" s="465"/>
      <c r="K21" s="34"/>
    </row>
    <row r="22" spans="2:12" ht="13.5" thickBot="1" x14ac:dyDescent="0.25">
      <c r="B22" s="28" t="s">
        <v>13</v>
      </c>
      <c r="C22" s="29"/>
      <c r="D22" s="30">
        <f>SazbaDPH2</f>
        <v>21</v>
      </c>
      <c r="E22" s="31" t="s">
        <v>12</v>
      </c>
      <c r="F22" s="37"/>
      <c r="G22" s="38"/>
      <c r="H22" s="38"/>
      <c r="I22" s="466">
        <f>ROUND(I21*D21/100,0)</f>
        <v>0</v>
      </c>
      <c r="J22" s="467"/>
      <c r="K22" s="34"/>
    </row>
    <row r="23" spans="2:12" ht="16.5" thickBot="1" x14ac:dyDescent="0.25">
      <c r="B23" s="39" t="s">
        <v>14</v>
      </c>
      <c r="C23" s="40"/>
      <c r="D23" s="40"/>
      <c r="E23" s="41"/>
      <c r="F23" s="42"/>
      <c r="G23" s="43"/>
      <c r="H23" s="43"/>
      <c r="I23" s="460">
        <f>SUM(I19:I22)</f>
        <v>0</v>
      </c>
      <c r="J23" s="461"/>
      <c r="K23" s="44"/>
    </row>
    <row r="26" spans="2:12" ht="1.5" customHeight="1" x14ac:dyDescent="0.2"/>
    <row r="27" spans="2:12" ht="15.75" customHeight="1" x14ac:dyDescent="0.25">
      <c r="B27" s="13" t="s">
        <v>15</v>
      </c>
      <c r="C27" s="45"/>
      <c r="D27" s="45"/>
      <c r="E27" s="45"/>
      <c r="F27" s="45"/>
      <c r="G27" s="45"/>
      <c r="H27" s="45"/>
      <c r="I27" s="45"/>
      <c r="J27" s="45"/>
      <c r="K27" s="45"/>
      <c r="L27" s="46"/>
    </row>
    <row r="28" spans="2:12" ht="5.25" customHeight="1" x14ac:dyDescent="0.2">
      <c r="L28" s="46"/>
    </row>
    <row r="29" spans="2:12" ht="24" customHeight="1" x14ac:dyDescent="0.2">
      <c r="B29" s="47" t="s">
        <v>16</v>
      </c>
      <c r="C29" s="48"/>
      <c r="D29" s="48"/>
      <c r="E29" s="49"/>
      <c r="F29" s="50" t="s">
        <v>17</v>
      </c>
      <c r="G29" s="51" t="str">
        <f>CONCATENATE("Základ DPH ",SazbaDPH1," %")</f>
        <v>Základ DPH 15 %</v>
      </c>
      <c r="H29" s="50" t="str">
        <f>CONCATENATE("Základ DPH ",SazbaDPH2," %")</f>
        <v>Základ DPH 21 %</v>
      </c>
      <c r="I29" s="50" t="s">
        <v>18</v>
      </c>
      <c r="J29" s="50" t="s">
        <v>12</v>
      </c>
    </row>
    <row r="30" spans="2:12" x14ac:dyDescent="0.2">
      <c r="B30" s="52" t="s">
        <v>88</v>
      </c>
      <c r="C30" s="53" t="s">
        <v>157</v>
      </c>
      <c r="D30" s="54"/>
      <c r="E30" s="55"/>
      <c r="F30" s="56">
        <f>G30+H30+I30</f>
        <v>0</v>
      </c>
      <c r="G30" s="57">
        <v>0</v>
      </c>
      <c r="H30" s="222">
        <f>'01  KL'!G57</f>
        <v>0</v>
      </c>
      <c r="I30" s="58">
        <f>(G30*SazbaDPH1)/100+(H30*SazbaDPH2)/100</f>
        <v>0</v>
      </c>
      <c r="J30" s="59" t="str">
        <f>IF(CelkemObjekty=0,"",F30/CelkemObjekty*100)</f>
        <v/>
      </c>
    </row>
    <row r="31" spans="2:12" x14ac:dyDescent="0.2">
      <c r="B31" s="60" t="s">
        <v>149</v>
      </c>
      <c r="C31" s="61"/>
      <c r="D31" s="62"/>
      <c r="E31" s="63"/>
      <c r="F31" s="64">
        <f>G31+H31+I31</f>
        <v>0</v>
      </c>
      <c r="G31" s="65">
        <v>0</v>
      </c>
      <c r="H31" s="65">
        <v>0</v>
      </c>
      <c r="I31" s="65">
        <v>0</v>
      </c>
      <c r="J31" s="65">
        <v>0</v>
      </c>
    </row>
    <row r="32" spans="2:12" x14ac:dyDescent="0.2">
      <c r="B32" s="60" t="s">
        <v>150</v>
      </c>
      <c r="C32" s="61"/>
      <c r="D32" s="62"/>
      <c r="E32" s="63"/>
      <c r="F32" s="64">
        <f>G32+H32+I32</f>
        <v>0</v>
      </c>
      <c r="G32" s="65">
        <v>0</v>
      </c>
      <c r="H32" s="65">
        <v>0</v>
      </c>
      <c r="I32" s="65">
        <v>0</v>
      </c>
      <c r="J32" s="65">
        <v>0</v>
      </c>
    </row>
    <row r="33" spans="2:11" x14ac:dyDescent="0.2">
      <c r="B33" s="60" t="s">
        <v>151</v>
      </c>
      <c r="C33" s="61"/>
      <c r="D33" s="62"/>
      <c r="E33" s="63"/>
      <c r="F33" s="64">
        <f>G33+H33+I33</f>
        <v>0</v>
      </c>
      <c r="G33" s="65">
        <v>0</v>
      </c>
      <c r="H33" s="65">
        <v>0</v>
      </c>
      <c r="I33" s="65">
        <v>0</v>
      </c>
      <c r="J33" s="65">
        <v>0</v>
      </c>
    </row>
    <row r="34" spans="2:11" ht="17.25" customHeight="1" x14ac:dyDescent="0.2">
      <c r="B34" s="66" t="s">
        <v>19</v>
      </c>
      <c r="C34" s="67"/>
      <c r="D34" s="68"/>
      <c r="E34" s="69"/>
      <c r="F34" s="70">
        <f>SUM(F30:F33)</f>
        <v>0</v>
      </c>
      <c r="G34" s="70">
        <f>SUM(G30:G33)</f>
        <v>0</v>
      </c>
      <c r="H34" s="70">
        <f>SUM(H30:H33)</f>
        <v>0</v>
      </c>
      <c r="I34" s="70">
        <f>SUM(I30:I33)</f>
        <v>0</v>
      </c>
      <c r="J34" s="71" t="str">
        <f>IF(CelkemObjekty=0,"",F34/CelkemObjekty*100)</f>
        <v/>
      </c>
    </row>
    <row r="35" spans="2:11" x14ac:dyDescent="0.2">
      <c r="B35" s="72"/>
      <c r="C35" s="72"/>
      <c r="D35" s="72"/>
      <c r="E35" s="72"/>
      <c r="F35" s="72"/>
      <c r="G35" s="72"/>
      <c r="H35" s="72"/>
      <c r="I35" s="72"/>
      <c r="J35" s="72"/>
      <c r="K35" s="72"/>
    </row>
    <row r="36" spans="2:11" ht="9.75" customHeight="1" x14ac:dyDescent="0.2">
      <c r="B36" s="72"/>
      <c r="C36" s="72"/>
      <c r="D36" s="72"/>
      <c r="E36" s="72"/>
      <c r="F36" s="72"/>
      <c r="G36" s="72"/>
      <c r="H36" s="72"/>
      <c r="I36" s="72"/>
      <c r="J36" s="72"/>
      <c r="K36" s="72"/>
    </row>
    <row r="37" spans="2:11" ht="7.5" customHeight="1" x14ac:dyDescent="0.2">
      <c r="B37" s="72"/>
      <c r="C37" s="72"/>
      <c r="D37" s="72"/>
      <c r="E37" s="72"/>
      <c r="F37" s="72"/>
      <c r="G37" s="72"/>
      <c r="H37" s="72"/>
      <c r="I37" s="72"/>
      <c r="J37" s="72"/>
      <c r="K37" s="72"/>
    </row>
    <row r="38" spans="2:11" ht="6" customHeight="1" x14ac:dyDescent="0.2"/>
    <row r="39" spans="2:11" ht="3" customHeight="1" x14ac:dyDescent="0.2"/>
    <row r="40" spans="2:11" ht="6.75" customHeight="1" x14ac:dyDescent="0.2"/>
  </sheetData>
  <mergeCells count="5">
    <mergeCell ref="I23:J23"/>
    <mergeCell ref="I19:J19"/>
    <mergeCell ref="I20:J20"/>
    <mergeCell ref="I21:J21"/>
    <mergeCell ref="I22:J22"/>
  </mergeCells>
  <phoneticPr fontId="17" type="noConversion"/>
  <pageMargins left="0.39370078740157483" right="0.19685039370078741" top="0.39370078740157483" bottom="0.39370078740157483" header="0" footer="0.19685039370078741"/>
  <pageSetup paperSize="9" scale="98" fitToHeight="9999" orientation="portrait" horizontalDpi="300" verticalDpi="300" r:id="rId1"/>
  <headerFooter alignWithMargins="0">
    <oddFooter>Stránka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1"/>
  <dimension ref="A1:BE57"/>
  <sheetViews>
    <sheetView workbookViewId="0"/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73" t="s">
        <v>25</v>
      </c>
      <c r="B1" s="74"/>
      <c r="C1" s="74"/>
      <c r="D1" s="74"/>
      <c r="E1" s="74"/>
      <c r="F1" s="74"/>
      <c r="G1" s="74"/>
    </row>
    <row r="2" spans="1:57" ht="12.75" customHeight="1" x14ac:dyDescent="0.2">
      <c r="A2" s="75" t="s">
        <v>26</v>
      </c>
      <c r="B2" s="76"/>
      <c r="C2" s="77"/>
      <c r="D2" s="77"/>
      <c r="E2" s="76"/>
      <c r="F2" s="78" t="s">
        <v>27</v>
      </c>
      <c r="G2" s="79" t="s">
        <v>398</v>
      </c>
    </row>
    <row r="3" spans="1:57" ht="3" hidden="1" customHeight="1" x14ac:dyDescent="0.2">
      <c r="A3" s="80"/>
      <c r="B3" s="81"/>
      <c r="C3" s="82"/>
      <c r="D3" s="82"/>
      <c r="E3" s="81"/>
      <c r="F3" s="83"/>
      <c r="G3" s="84"/>
    </row>
    <row r="4" spans="1:57" ht="12" customHeight="1" x14ac:dyDescent="0.2">
      <c r="A4" s="85" t="s">
        <v>28</v>
      </c>
      <c r="B4" s="81"/>
      <c r="C4" s="329" t="s">
        <v>242</v>
      </c>
      <c r="D4" s="82"/>
      <c r="E4" s="81"/>
      <c r="F4" s="83" t="s">
        <v>29</v>
      </c>
      <c r="G4" s="86"/>
    </row>
    <row r="5" spans="1:57" ht="12.95" customHeight="1" x14ac:dyDescent="0.2">
      <c r="A5" s="87" t="s">
        <v>88</v>
      </c>
      <c r="B5" s="88"/>
      <c r="C5" s="89"/>
      <c r="D5" s="90"/>
      <c r="E5" s="91"/>
      <c r="F5" s="83" t="s">
        <v>30</v>
      </c>
      <c r="G5" s="84"/>
    </row>
    <row r="6" spans="1:57" ht="12.95" customHeight="1" x14ac:dyDescent="0.2">
      <c r="A6" s="85" t="s">
        <v>31</v>
      </c>
      <c r="B6" s="81"/>
      <c r="C6" s="329" t="s">
        <v>243</v>
      </c>
      <c r="D6" s="82"/>
      <c r="E6" s="81"/>
      <c r="F6" s="92" t="s">
        <v>32</v>
      </c>
      <c r="G6" s="93">
        <v>0</v>
      </c>
      <c r="O6" s="94"/>
    </row>
    <row r="7" spans="1:57" ht="12.95" customHeight="1" x14ac:dyDescent="0.2">
      <c r="A7" s="95"/>
      <c r="B7" s="96"/>
      <c r="C7" s="97" t="s">
        <v>244</v>
      </c>
      <c r="D7" s="98"/>
      <c r="E7" s="98"/>
      <c r="F7" s="99" t="s">
        <v>33</v>
      </c>
      <c r="G7" s="93">
        <f>IF(G6=0,,ROUND((F35+F37)/G6,1))</f>
        <v>0</v>
      </c>
    </row>
    <row r="8" spans="1:57" x14ac:dyDescent="0.2">
      <c r="A8" s="100" t="s">
        <v>34</v>
      </c>
      <c r="B8" s="83"/>
      <c r="C8" s="479" t="s">
        <v>169</v>
      </c>
      <c r="D8" s="479"/>
      <c r="E8" s="474"/>
      <c r="F8" s="101" t="s">
        <v>35</v>
      </c>
      <c r="G8" s="102"/>
      <c r="H8" s="103"/>
      <c r="I8" s="104"/>
    </row>
    <row r="9" spans="1:57" x14ac:dyDescent="0.2">
      <c r="A9" s="100" t="s">
        <v>36</v>
      </c>
      <c r="B9" s="83"/>
      <c r="C9" s="479" t="s">
        <v>169</v>
      </c>
      <c r="D9" s="479"/>
      <c r="E9" s="474"/>
      <c r="F9" s="83"/>
      <c r="G9" s="105"/>
      <c r="H9" s="106"/>
    </row>
    <row r="10" spans="1:57" x14ac:dyDescent="0.2">
      <c r="A10" s="100" t="s">
        <v>37</v>
      </c>
      <c r="B10" s="83"/>
      <c r="C10" s="479" t="s">
        <v>171</v>
      </c>
      <c r="D10" s="479"/>
      <c r="E10" s="479"/>
      <c r="F10" s="107"/>
      <c r="G10" s="108"/>
      <c r="H10" s="109"/>
    </row>
    <row r="11" spans="1:57" ht="13.5" customHeight="1" x14ac:dyDescent="0.2">
      <c r="A11" s="100" t="s">
        <v>38</v>
      </c>
      <c r="B11" s="83"/>
      <c r="C11" s="479"/>
      <c r="D11" s="479"/>
      <c r="E11" s="479"/>
      <c r="F11" s="110" t="s">
        <v>39</v>
      </c>
      <c r="G11" s="111"/>
      <c r="H11" s="106"/>
      <c r="BA11" s="112"/>
      <c r="BB11" s="112"/>
      <c r="BC11" s="112"/>
      <c r="BD11" s="112"/>
      <c r="BE11" s="112"/>
    </row>
    <row r="12" spans="1:57" ht="12.75" customHeight="1" x14ac:dyDescent="0.2">
      <c r="A12" s="113" t="s">
        <v>40</v>
      </c>
      <c r="B12" s="81"/>
      <c r="C12" s="474" t="s">
        <v>174</v>
      </c>
      <c r="D12" s="475"/>
      <c r="E12" s="476"/>
      <c r="F12" s="114" t="s">
        <v>41</v>
      </c>
      <c r="G12" s="115"/>
      <c r="H12" s="106"/>
    </row>
    <row r="13" spans="1:57" ht="28.5" customHeight="1" thickBot="1" x14ac:dyDescent="0.25">
      <c r="A13" s="116" t="s">
        <v>42</v>
      </c>
      <c r="B13" s="117"/>
      <c r="C13" s="117"/>
      <c r="D13" s="117"/>
      <c r="E13" s="118"/>
      <c r="F13" s="118"/>
      <c r="G13" s="119"/>
      <c r="H13" s="106"/>
    </row>
    <row r="14" spans="1:57" ht="17.25" customHeight="1" thickBot="1" x14ac:dyDescent="0.25">
      <c r="A14" s="120" t="s">
        <v>43</v>
      </c>
      <c r="B14" s="121"/>
      <c r="C14" s="122"/>
      <c r="D14" s="123" t="s">
        <v>44</v>
      </c>
      <c r="E14" s="124"/>
      <c r="F14" s="124"/>
      <c r="G14" s="122"/>
    </row>
    <row r="15" spans="1:57" ht="15.95" customHeight="1" x14ac:dyDescent="0.2">
      <c r="A15" s="125"/>
      <c r="B15" s="126" t="s">
        <v>45</v>
      </c>
      <c r="C15" s="127">
        <f>'01  Rek'!E23</f>
        <v>0</v>
      </c>
      <c r="D15" s="128" t="str">
        <f>'01  Rek'!A28</f>
        <v>1) Vybudování, provoz, údržba a odstranění zařízení staveniště - Kč</v>
      </c>
      <c r="E15" s="129"/>
      <c r="F15" s="130"/>
      <c r="G15" s="127">
        <f>'01  Rek'!H28</f>
        <v>0</v>
      </c>
    </row>
    <row r="16" spans="1:57" ht="15.95" customHeight="1" x14ac:dyDescent="0.2">
      <c r="A16" s="125" t="s">
        <v>46</v>
      </c>
      <c r="B16" s="126" t="s">
        <v>47</v>
      </c>
      <c r="C16" s="127">
        <f>'01  Rek'!F23</f>
        <v>0</v>
      </c>
      <c r="D16" s="80" t="str">
        <f>'01  Rek'!A30</f>
        <v>2) Provozní a územní vlivy - Kč</v>
      </c>
      <c r="E16" s="131"/>
      <c r="F16" s="132"/>
      <c r="G16" s="127">
        <f>'01  Rek'!H30</f>
        <v>0</v>
      </c>
    </row>
    <row r="17" spans="1:7" ht="15.95" customHeight="1" x14ac:dyDescent="0.2">
      <c r="A17" s="125" t="s">
        <v>48</v>
      </c>
      <c r="B17" s="126" t="s">
        <v>49</v>
      </c>
      <c r="C17" s="127">
        <f>'01  Rek'!H23</f>
        <v>0</v>
      </c>
      <c r="D17" s="80" t="str">
        <f>'01  Rek'!A38</f>
        <v>1) Vypracování projektové dokumentace skutečného provedení stavby – tištěná verze - 3ks</v>
      </c>
      <c r="E17" s="131"/>
      <c r="F17" s="132"/>
      <c r="G17" s="127">
        <f>'01  Rek'!H38</f>
        <v>0</v>
      </c>
    </row>
    <row r="18" spans="1:7" ht="15.95" customHeight="1" x14ac:dyDescent="0.2">
      <c r="A18" s="133" t="s">
        <v>50</v>
      </c>
      <c r="B18" s="134" t="s">
        <v>51</v>
      </c>
      <c r="C18" s="127">
        <f>'01  Rek'!G23</f>
        <v>0</v>
      </c>
      <c r="D18" s="80" t="str">
        <f>'01  Rek'!A40</f>
        <v>2) Vypracování projektové dokumentace skutečného provedení stavby – elektronická verze – 1 ks</v>
      </c>
      <c r="E18" s="131"/>
      <c r="F18" s="132"/>
      <c r="G18" s="127">
        <f>'01  Rek'!H40</f>
        <v>0</v>
      </c>
    </row>
    <row r="19" spans="1:7" ht="15.95" customHeight="1" x14ac:dyDescent="0.2">
      <c r="A19" s="135" t="s">
        <v>52</v>
      </c>
      <c r="B19" s="126"/>
      <c r="C19" s="127">
        <f>SUM(C15:C18)</f>
        <v>0</v>
      </c>
      <c r="D19" s="80" t="str">
        <f>'01  Rek'!A42</f>
        <v>3) Dočasná dopravní zařízení - Kč</v>
      </c>
      <c r="E19" s="131"/>
      <c r="F19" s="132"/>
      <c r="G19" s="127">
        <f>'01  Rek'!H42</f>
        <v>0</v>
      </c>
    </row>
    <row r="20" spans="1:7" ht="15.95" customHeight="1" x14ac:dyDescent="0.2">
      <c r="A20" s="135"/>
      <c r="B20" s="126"/>
      <c r="C20" s="127"/>
      <c r="D20" s="80" t="str">
        <f>'01  Rek'!A44</f>
        <v>4) Zkoušky a revize - Kč</v>
      </c>
      <c r="E20" s="131"/>
      <c r="F20" s="132"/>
      <c r="G20" s="127">
        <f>'01  Rek'!H44</f>
        <v>0</v>
      </c>
    </row>
    <row r="21" spans="1:7" ht="15.95" customHeight="1" x14ac:dyDescent="0.2">
      <c r="A21" s="135" t="s">
        <v>24</v>
      </c>
      <c r="B21" s="126"/>
      <c r="C21" s="127">
        <f>'01  Rek'!I23</f>
        <v>0</v>
      </c>
      <c r="D21" s="80" t="str">
        <f>'01  Rek'!A46</f>
        <v>5) Fotodokumentace prováděného díla - 1ks</v>
      </c>
      <c r="E21" s="131"/>
      <c r="F21" s="132"/>
      <c r="G21" s="127">
        <f>'01  Rek'!H46</f>
        <v>0</v>
      </c>
    </row>
    <row r="22" spans="1:7" ht="15.95" customHeight="1" x14ac:dyDescent="0.2">
      <c r="A22" s="136" t="s">
        <v>53</v>
      </c>
      <c r="B22" s="106"/>
      <c r="C22" s="220">
        <f>C19+C21</f>
        <v>0</v>
      </c>
      <c r="D22" s="80" t="str">
        <f>'01  Rek'!A48</f>
        <v>6) Pojištění díla - Kč</v>
      </c>
      <c r="E22" s="131"/>
      <c r="F22" s="132"/>
      <c r="G22" s="127">
        <f>'01  Rek'!H48</f>
        <v>0</v>
      </c>
    </row>
    <row r="23" spans="1:7" ht="15.95" customHeight="1" x14ac:dyDescent="0.2">
      <c r="A23" s="80"/>
      <c r="B23" s="158"/>
      <c r="C23" s="418"/>
      <c r="D23" s="80" t="str">
        <f>'01  Rek'!A50</f>
        <v>7) Inženýrské sítě - Kč</v>
      </c>
      <c r="E23" s="131"/>
      <c r="F23" s="132"/>
      <c r="G23" s="127">
        <f>'01  Rek'!H50</f>
        <v>0</v>
      </c>
    </row>
    <row r="24" spans="1:7" ht="15.95" customHeight="1" x14ac:dyDescent="0.2">
      <c r="A24" s="80"/>
      <c r="B24" s="158"/>
      <c r="C24" s="418"/>
      <c r="D24" s="80" t="str">
        <f>'01  Rek'!A52</f>
        <v>8) Záruka za jakost díla - Kč</v>
      </c>
      <c r="E24" s="131"/>
      <c r="F24" s="132"/>
      <c r="G24" s="127">
        <f>'01  Rek'!H52</f>
        <v>0</v>
      </c>
    </row>
    <row r="25" spans="1:7" ht="15.95" customHeight="1" x14ac:dyDescent="0.2">
      <c r="A25" s="80"/>
      <c r="B25" s="158"/>
      <c r="C25" s="418"/>
      <c r="D25" s="80" t="str">
        <f>'01  Rek'!A54</f>
        <v>9) Smluvní pokuty - Kč</v>
      </c>
      <c r="E25" s="131"/>
      <c r="F25" s="132"/>
      <c r="G25" s="127">
        <f>'01  Rek'!H54</f>
        <v>0</v>
      </c>
    </row>
    <row r="26" spans="1:7" ht="15.95" customHeight="1" x14ac:dyDescent="0.2">
      <c r="A26" s="80"/>
      <c r="B26" s="158"/>
      <c r="C26" s="418"/>
      <c r="D26" s="80" t="str">
        <f>'01  Rek'!A56</f>
        <v>10) Ostatní pokuty - Kč</v>
      </c>
      <c r="E26" s="131"/>
      <c r="F26" s="132"/>
      <c r="G26" s="127">
        <f>'01  Rek'!H56</f>
        <v>0</v>
      </c>
    </row>
    <row r="27" spans="1:7" ht="15.95" customHeight="1" x14ac:dyDescent="0.2">
      <c r="A27" s="80"/>
      <c r="B27" s="158"/>
      <c r="C27" s="418"/>
      <c r="D27" s="80" t="str">
        <f>'01  Rek'!A58</f>
        <v>11) Koordinační a kompletační  činnosti - Kč</v>
      </c>
      <c r="E27" s="131"/>
      <c r="F27" s="132"/>
      <c r="G27" s="127">
        <f>'01  Rek'!H58</f>
        <v>0</v>
      </c>
    </row>
    <row r="28" spans="1:7" ht="15.95" customHeight="1" thickBot="1" x14ac:dyDescent="0.25">
      <c r="A28" s="477" t="s">
        <v>54</v>
      </c>
      <c r="B28" s="478"/>
      <c r="C28" s="137">
        <f>C22+G28</f>
        <v>0</v>
      </c>
      <c r="D28" s="138" t="s">
        <v>55</v>
      </c>
      <c r="E28" s="139"/>
      <c r="F28" s="140"/>
      <c r="G28" s="127">
        <f>'01  Rek'!H32+'01  Rek'!H60</f>
        <v>0</v>
      </c>
    </row>
    <row r="29" spans="1:7" x14ac:dyDescent="0.2">
      <c r="A29" s="141" t="s">
        <v>56</v>
      </c>
      <c r="B29" s="142"/>
      <c r="C29" s="143"/>
      <c r="D29" s="142" t="s">
        <v>57</v>
      </c>
      <c r="E29" s="142"/>
      <c r="F29" s="144" t="s">
        <v>58</v>
      </c>
      <c r="G29" s="145"/>
    </row>
    <row r="30" spans="1:7" x14ac:dyDescent="0.2">
      <c r="A30" s="136" t="s">
        <v>59</v>
      </c>
      <c r="B30" s="106"/>
      <c r="C30" s="146"/>
      <c r="D30" s="106" t="s">
        <v>59</v>
      </c>
      <c r="F30" s="147" t="s">
        <v>59</v>
      </c>
      <c r="G30" s="148"/>
    </row>
    <row r="31" spans="1:7" ht="37.5" customHeight="1" x14ac:dyDescent="0.2">
      <c r="A31" s="136" t="s">
        <v>60</v>
      </c>
      <c r="B31" s="149"/>
      <c r="C31" s="146"/>
      <c r="D31" s="106" t="s">
        <v>60</v>
      </c>
      <c r="F31" s="147" t="s">
        <v>60</v>
      </c>
      <c r="G31" s="148"/>
    </row>
    <row r="32" spans="1:7" x14ac:dyDescent="0.2">
      <c r="A32" s="136"/>
      <c r="B32" s="150"/>
      <c r="C32" s="146"/>
      <c r="D32" s="106"/>
      <c r="F32" s="147"/>
      <c r="G32" s="148"/>
    </row>
    <row r="33" spans="1:8" x14ac:dyDescent="0.2">
      <c r="A33" s="136" t="s">
        <v>61</v>
      </c>
      <c r="B33" s="106"/>
      <c r="C33" s="146"/>
      <c r="D33" s="147" t="s">
        <v>62</v>
      </c>
      <c r="E33" s="146"/>
      <c r="F33" s="151" t="s">
        <v>62</v>
      </c>
      <c r="G33" s="148"/>
    </row>
    <row r="34" spans="1:8" ht="69" customHeight="1" x14ac:dyDescent="0.2">
      <c r="A34" s="136"/>
      <c r="B34" s="106"/>
      <c r="C34" s="152"/>
      <c r="D34" s="153"/>
      <c r="E34" s="152"/>
      <c r="F34" s="106"/>
      <c r="G34" s="148"/>
    </row>
    <row r="35" spans="1:8" x14ac:dyDescent="0.2">
      <c r="A35" s="154" t="s">
        <v>11</v>
      </c>
      <c r="B35" s="155"/>
      <c r="C35" s="156">
        <v>21</v>
      </c>
      <c r="D35" s="155" t="s">
        <v>63</v>
      </c>
      <c r="E35" s="157"/>
      <c r="F35" s="472">
        <f>C28-F37</f>
        <v>0</v>
      </c>
      <c r="G35" s="473"/>
    </row>
    <row r="36" spans="1:8" x14ac:dyDescent="0.2">
      <c r="A36" s="154" t="s">
        <v>64</v>
      </c>
      <c r="B36" s="155"/>
      <c r="C36" s="156">
        <f>C35</f>
        <v>21</v>
      </c>
      <c r="D36" s="155" t="s">
        <v>65</v>
      </c>
      <c r="E36" s="157"/>
      <c r="F36" s="472">
        <f>ROUND(PRODUCT(F35,C36/100),0)</f>
        <v>0</v>
      </c>
      <c r="G36" s="473"/>
    </row>
    <row r="37" spans="1:8" x14ac:dyDescent="0.2">
      <c r="A37" s="154" t="s">
        <v>11</v>
      </c>
      <c r="B37" s="155"/>
      <c r="C37" s="156">
        <v>15</v>
      </c>
      <c r="D37" s="155" t="s">
        <v>65</v>
      </c>
      <c r="E37" s="157"/>
      <c r="F37" s="472">
        <v>0</v>
      </c>
      <c r="G37" s="473"/>
    </row>
    <row r="38" spans="1:8" x14ac:dyDescent="0.2">
      <c r="A38" s="154" t="s">
        <v>64</v>
      </c>
      <c r="B38" s="158"/>
      <c r="C38" s="159">
        <f>C37</f>
        <v>15</v>
      </c>
      <c r="D38" s="155" t="s">
        <v>65</v>
      </c>
      <c r="E38" s="132"/>
      <c r="F38" s="472">
        <f>ROUND(PRODUCT(F37,C38/100),0)</f>
        <v>0</v>
      </c>
      <c r="G38" s="473"/>
    </row>
    <row r="39" spans="1:8" s="163" customFormat="1" ht="19.5" customHeight="1" thickBot="1" x14ac:dyDescent="0.3">
      <c r="A39" s="160" t="s">
        <v>66</v>
      </c>
      <c r="B39" s="161"/>
      <c r="C39" s="161"/>
      <c r="D39" s="161"/>
      <c r="E39" s="162"/>
      <c r="F39" s="469">
        <f>ROUND(SUM(F35:F38),0)</f>
        <v>0</v>
      </c>
      <c r="G39" s="470"/>
    </row>
    <row r="41" spans="1:8" x14ac:dyDescent="0.2">
      <c r="A41" s="2" t="s">
        <v>67</v>
      </c>
      <c r="B41" s="2"/>
      <c r="C41" s="2"/>
      <c r="D41" s="2"/>
      <c r="E41" s="2"/>
      <c r="F41" s="2"/>
      <c r="G41" s="2"/>
      <c r="H41" s="1" t="s">
        <v>2</v>
      </c>
    </row>
    <row r="42" spans="1:8" ht="14.25" customHeight="1" x14ac:dyDescent="0.2">
      <c r="A42" s="2"/>
      <c r="B42" s="471"/>
      <c r="C42" s="471"/>
      <c r="D42" s="471"/>
      <c r="E42" s="471"/>
      <c r="F42" s="471"/>
      <c r="G42" s="471"/>
      <c r="H42" s="1" t="s">
        <v>2</v>
      </c>
    </row>
    <row r="43" spans="1:8" ht="12.75" customHeight="1" x14ac:dyDescent="0.2">
      <c r="A43" s="164"/>
      <c r="B43" s="471"/>
      <c r="C43" s="471"/>
      <c r="D43" s="471"/>
      <c r="E43" s="471"/>
      <c r="F43" s="471"/>
      <c r="G43" s="471"/>
      <c r="H43" s="1" t="s">
        <v>2</v>
      </c>
    </row>
    <row r="44" spans="1:8" x14ac:dyDescent="0.2">
      <c r="A44" s="164"/>
      <c r="B44" s="471"/>
      <c r="C44" s="471"/>
      <c r="D44" s="471"/>
      <c r="E44" s="471"/>
      <c r="F44" s="471"/>
      <c r="G44" s="471"/>
      <c r="H44" s="1" t="s">
        <v>2</v>
      </c>
    </row>
    <row r="45" spans="1:8" x14ac:dyDescent="0.2">
      <c r="A45" s="164"/>
      <c r="B45" s="471"/>
      <c r="C45" s="471"/>
      <c r="D45" s="471"/>
      <c r="E45" s="471"/>
      <c r="F45" s="471"/>
      <c r="G45" s="471"/>
      <c r="H45" s="1" t="s">
        <v>2</v>
      </c>
    </row>
    <row r="46" spans="1:8" x14ac:dyDescent="0.2">
      <c r="A46" s="164"/>
      <c r="B46" s="471"/>
      <c r="C46" s="471"/>
      <c r="D46" s="471"/>
      <c r="E46" s="471"/>
      <c r="F46" s="471"/>
      <c r="G46" s="471"/>
      <c r="H46" s="1" t="s">
        <v>2</v>
      </c>
    </row>
    <row r="47" spans="1:8" x14ac:dyDescent="0.2">
      <c r="A47" s="164"/>
      <c r="B47" s="422"/>
      <c r="C47" s="422"/>
      <c r="D47" s="422"/>
      <c r="E47" s="422"/>
      <c r="F47" s="422"/>
      <c r="G47" s="422"/>
      <c r="H47" s="1" t="s">
        <v>2</v>
      </c>
    </row>
    <row r="48" spans="1:8" x14ac:dyDescent="0.2">
      <c r="A48" s="164"/>
      <c r="B48" s="422"/>
      <c r="C48" s="422"/>
      <c r="D48" s="422"/>
      <c r="E48" s="422"/>
      <c r="F48" s="422"/>
      <c r="G48" s="422"/>
      <c r="H48" s="1" t="s">
        <v>2</v>
      </c>
    </row>
    <row r="49" spans="1:8" ht="12.75" customHeight="1" x14ac:dyDescent="0.2">
      <c r="A49" s="164"/>
      <c r="B49" s="422"/>
      <c r="C49" s="422"/>
      <c r="D49" s="422"/>
      <c r="E49" s="422"/>
      <c r="F49" s="422"/>
      <c r="G49" s="422"/>
      <c r="H49" s="1" t="s">
        <v>2</v>
      </c>
    </row>
    <row r="50" spans="1:8" ht="12.75" customHeight="1" x14ac:dyDescent="0.2">
      <c r="A50" s="164"/>
      <c r="B50" s="422"/>
      <c r="C50" s="422"/>
      <c r="D50" s="422"/>
      <c r="E50" s="422"/>
      <c r="F50" s="422"/>
      <c r="G50" s="422"/>
      <c r="H50" s="1" t="s">
        <v>2</v>
      </c>
    </row>
    <row r="51" spans="1:8" x14ac:dyDescent="0.2">
      <c r="B51" s="468"/>
      <c r="C51" s="468"/>
      <c r="D51" s="468"/>
      <c r="E51" s="468"/>
      <c r="F51" s="468"/>
      <c r="G51" s="468"/>
    </row>
    <row r="52" spans="1:8" x14ac:dyDescent="0.2">
      <c r="B52" s="468"/>
      <c r="C52" s="468"/>
      <c r="D52" s="468"/>
      <c r="E52" s="468"/>
      <c r="F52" s="468"/>
      <c r="G52" s="468"/>
    </row>
    <row r="53" spans="1:8" x14ac:dyDescent="0.2">
      <c r="B53" s="468"/>
      <c r="C53" s="468"/>
      <c r="D53" s="468"/>
      <c r="E53" s="468"/>
      <c r="F53" s="468"/>
      <c r="G53" s="468"/>
    </row>
    <row r="54" spans="1:8" x14ac:dyDescent="0.2">
      <c r="B54" s="468"/>
      <c r="C54" s="468"/>
      <c r="D54" s="468"/>
      <c r="E54" s="468"/>
      <c r="F54" s="468"/>
      <c r="G54" s="468"/>
    </row>
    <row r="55" spans="1:8" x14ac:dyDescent="0.2">
      <c r="B55" s="468"/>
      <c r="C55" s="468"/>
      <c r="D55" s="468"/>
      <c r="E55" s="468"/>
      <c r="F55" s="468"/>
      <c r="G55" s="468"/>
    </row>
    <row r="56" spans="1:8" x14ac:dyDescent="0.2">
      <c r="B56" s="468"/>
      <c r="C56" s="468"/>
      <c r="D56" s="468"/>
      <c r="E56" s="468"/>
      <c r="F56" s="468"/>
      <c r="G56" s="468"/>
    </row>
    <row r="57" spans="1:8" hidden="1" x14ac:dyDescent="0.2">
      <c r="G57" s="223">
        <f>F35</f>
        <v>0</v>
      </c>
    </row>
  </sheetData>
  <mergeCells count="18">
    <mergeCell ref="C8:E8"/>
    <mergeCell ref="C9:E9"/>
    <mergeCell ref="C10:E10"/>
    <mergeCell ref="C11:E11"/>
    <mergeCell ref="F35:G35"/>
    <mergeCell ref="F37:G37"/>
    <mergeCell ref="F38:G38"/>
    <mergeCell ref="C12:E12"/>
    <mergeCell ref="A28:B28"/>
    <mergeCell ref="B53:G53"/>
    <mergeCell ref="F36:G36"/>
    <mergeCell ref="B55:G55"/>
    <mergeCell ref="B56:G56"/>
    <mergeCell ref="F39:G39"/>
    <mergeCell ref="B51:G51"/>
    <mergeCell ref="B52:G52"/>
    <mergeCell ref="B42:G46"/>
    <mergeCell ref="B54:G54"/>
  </mergeCells>
  <phoneticPr fontId="17" type="noConversion"/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Stránka &amp;P z &amp;N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1"/>
  <dimension ref="A1:BE93"/>
  <sheetViews>
    <sheetView workbookViewId="0">
      <selection sqref="A1:B1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9" width="10.7109375" style="1" customWidth="1"/>
    <col min="10" max="16384" width="9.140625" style="1"/>
  </cols>
  <sheetData>
    <row r="1" spans="1:9" ht="13.5" thickTop="1" x14ac:dyDescent="0.2">
      <c r="A1" s="502" t="s">
        <v>3</v>
      </c>
      <c r="B1" s="503"/>
      <c r="C1" s="165" t="s">
        <v>245</v>
      </c>
      <c r="D1" s="166"/>
      <c r="E1" s="167"/>
      <c r="F1" s="166"/>
      <c r="G1" s="327"/>
      <c r="H1" s="326" t="s">
        <v>175</v>
      </c>
      <c r="I1" s="169"/>
    </row>
    <row r="2" spans="1:9" ht="13.5" thickBot="1" x14ac:dyDescent="0.25">
      <c r="A2" s="504" t="s">
        <v>68</v>
      </c>
      <c r="B2" s="505"/>
      <c r="C2" s="170" t="s">
        <v>246</v>
      </c>
      <c r="D2" s="171"/>
      <c r="E2" s="172"/>
      <c r="F2" s="171"/>
      <c r="G2" s="328"/>
      <c r="H2" s="277" t="s">
        <v>1</v>
      </c>
      <c r="I2" s="230"/>
    </row>
    <row r="3" spans="1:9" ht="13.5" thickTop="1" x14ac:dyDescent="0.2">
      <c r="F3" s="106"/>
    </row>
    <row r="4" spans="1:9" ht="19.5" customHeight="1" x14ac:dyDescent="0.25">
      <c r="A4" s="173" t="s">
        <v>69</v>
      </c>
      <c r="B4" s="174"/>
      <c r="C4" s="174"/>
      <c r="D4" s="174"/>
      <c r="E4" s="175"/>
      <c r="F4" s="174"/>
      <c r="G4" s="174"/>
      <c r="H4" s="174"/>
      <c r="I4" s="174"/>
    </row>
    <row r="5" spans="1:9" ht="13.5" thickBot="1" x14ac:dyDescent="0.25"/>
    <row r="6" spans="1:9" s="106" customFormat="1" ht="13.5" thickBot="1" x14ac:dyDescent="0.25">
      <c r="A6" s="176"/>
      <c r="B6" s="177" t="s">
        <v>70</v>
      </c>
      <c r="C6" s="177"/>
      <c r="D6" s="178"/>
      <c r="E6" s="179" t="s">
        <v>20</v>
      </c>
      <c r="F6" s="180" t="s">
        <v>21</v>
      </c>
      <c r="G6" s="180" t="s">
        <v>22</v>
      </c>
      <c r="H6" s="180" t="s">
        <v>23</v>
      </c>
      <c r="I6" s="181" t="s">
        <v>24</v>
      </c>
    </row>
    <row r="7" spans="1:9" s="106" customFormat="1" x14ac:dyDescent="0.2">
      <c r="A7" s="217" t="s">
        <v>248</v>
      </c>
      <c r="B7" s="62" t="str">
        <f>'01  Pol'!D43</f>
        <v>Zemní práce</v>
      </c>
      <c r="D7" s="182"/>
      <c r="E7" s="218">
        <f>'01  Pol'!J43</f>
        <v>0</v>
      </c>
      <c r="F7" s="219"/>
      <c r="G7" s="219"/>
      <c r="H7" s="219"/>
      <c r="I7" s="220"/>
    </row>
    <row r="8" spans="1:9" s="151" customFormat="1" x14ac:dyDescent="0.2">
      <c r="A8" s="399" t="s">
        <v>250</v>
      </c>
      <c r="B8" s="400" t="str">
        <f>'01  Pol'!D65</f>
        <v>Komunikace</v>
      </c>
      <c r="C8" s="401"/>
      <c r="D8" s="402"/>
      <c r="E8" s="218">
        <f>'01  Pol'!J65</f>
        <v>0</v>
      </c>
      <c r="F8" s="403"/>
      <c r="G8" s="403"/>
      <c r="H8" s="403"/>
      <c r="I8" s="404"/>
    </row>
    <row r="9" spans="1:9" s="151" customFormat="1" x14ac:dyDescent="0.2">
      <c r="A9" s="399" t="s">
        <v>292</v>
      </c>
      <c r="B9" s="400" t="str">
        <f>'01  Pol'!D86</f>
        <v>Svislé a kompletní konstrukce</v>
      </c>
      <c r="C9" s="401"/>
      <c r="D9" s="402"/>
      <c r="E9" s="218">
        <f>'01  Pol'!J86</f>
        <v>0</v>
      </c>
      <c r="F9" s="403"/>
      <c r="G9" s="403"/>
      <c r="H9" s="403"/>
      <c r="I9" s="404"/>
    </row>
    <row r="10" spans="1:9" s="106" customFormat="1" x14ac:dyDescent="0.2">
      <c r="A10" s="217">
        <f>'01  Pol'!C87</f>
        <v>61</v>
      </c>
      <c r="B10" s="62" t="str">
        <f>'01  Pol'!D87</f>
        <v>Upravy povrchů vnitřní</v>
      </c>
      <c r="D10" s="182"/>
      <c r="E10" s="218">
        <f>'01  Pol'!J101</f>
        <v>0</v>
      </c>
      <c r="F10" s="219"/>
      <c r="G10" s="219"/>
      <c r="H10" s="219"/>
      <c r="I10" s="220"/>
    </row>
    <row r="11" spans="1:9" s="106" customFormat="1" x14ac:dyDescent="0.2">
      <c r="A11" s="217">
        <f>'01  Pol'!C102</f>
        <v>62</v>
      </c>
      <c r="B11" s="62" t="str">
        <f>'01  Pol'!D102</f>
        <v>Úpravy povrchů vnější</v>
      </c>
      <c r="D11" s="182"/>
      <c r="E11" s="218">
        <f>'01  Pol'!J194</f>
        <v>0</v>
      </c>
      <c r="F11" s="219"/>
      <c r="G11" s="219"/>
      <c r="H11" s="219"/>
      <c r="I11" s="220"/>
    </row>
    <row r="12" spans="1:9" s="106" customFormat="1" x14ac:dyDescent="0.2">
      <c r="A12" s="61">
        <f>'01  Pol'!C195</f>
        <v>64</v>
      </c>
      <c r="B12" s="62" t="str">
        <f>'01  Pol'!D195</f>
        <v>Osazování</v>
      </c>
      <c r="D12" s="182"/>
      <c r="E12" s="218">
        <f>'01  Pol'!J207</f>
        <v>0</v>
      </c>
      <c r="F12" s="219"/>
      <c r="G12" s="219"/>
      <c r="H12" s="219"/>
      <c r="I12" s="220"/>
    </row>
    <row r="13" spans="1:9" s="106" customFormat="1" x14ac:dyDescent="0.2">
      <c r="A13" s="217">
        <f>'01  Pol'!C208</f>
        <v>94</v>
      </c>
      <c r="B13" s="62" t="str">
        <f>'01  Pol'!D208</f>
        <v>Lešení a stavební výtahy</v>
      </c>
      <c r="D13" s="182"/>
      <c r="E13" s="218">
        <f>'01  Pol'!J234</f>
        <v>0</v>
      </c>
      <c r="F13" s="219"/>
      <c r="G13" s="219"/>
      <c r="H13" s="219"/>
      <c r="I13" s="220"/>
    </row>
    <row r="14" spans="1:9" s="106" customFormat="1" x14ac:dyDescent="0.2">
      <c r="A14" s="217">
        <f>'01  Pol'!C235</f>
        <v>95</v>
      </c>
      <c r="B14" s="62" t="str">
        <f>'01  Pol'!D235</f>
        <v>Dokončovací konstrukce na pozemních stavbách</v>
      </c>
      <c r="D14" s="182"/>
      <c r="E14" s="218">
        <f>'01  Pol'!J241</f>
        <v>0</v>
      </c>
      <c r="F14" s="219"/>
      <c r="G14" s="219"/>
      <c r="H14" s="219"/>
      <c r="I14" s="220"/>
    </row>
    <row r="15" spans="1:9" s="106" customFormat="1" x14ac:dyDescent="0.2">
      <c r="A15" s="217">
        <f>'01  Pol'!C242</f>
        <v>96</v>
      </c>
      <c r="B15" s="62" t="str">
        <f>'01  Pol'!D242</f>
        <v>Bourání konstrukcí</v>
      </c>
      <c r="D15" s="182"/>
      <c r="E15" s="218">
        <f>'01  Pol'!J310</f>
        <v>0</v>
      </c>
      <c r="F15" s="219"/>
      <c r="G15" s="219"/>
      <c r="H15" s="219"/>
      <c r="I15" s="220"/>
    </row>
    <row r="16" spans="1:9" s="106" customFormat="1" x14ac:dyDescent="0.2">
      <c r="A16" s="217">
        <f>'01  Pol'!C311</f>
        <v>99</v>
      </c>
      <c r="B16" s="62" t="str">
        <f>'01  Pol'!D311</f>
        <v>Staveništní přesun hmot</v>
      </c>
      <c r="D16" s="182"/>
      <c r="E16" s="218">
        <f>'01  Pol'!J315</f>
        <v>0</v>
      </c>
      <c r="F16" s="219"/>
      <c r="G16" s="219"/>
      <c r="H16" s="219"/>
      <c r="I16" s="220"/>
    </row>
    <row r="17" spans="1:57" s="106" customFormat="1" x14ac:dyDescent="0.2">
      <c r="A17" s="217">
        <f>'01  Pol'!C316</f>
        <v>764</v>
      </c>
      <c r="B17" s="62" t="str">
        <f>'01  Pol'!D316</f>
        <v>Konstrukce klempířské</v>
      </c>
      <c r="D17" s="182"/>
      <c r="E17" s="218"/>
      <c r="F17" s="219">
        <f>'01  Pol'!J341</f>
        <v>0</v>
      </c>
      <c r="G17" s="219"/>
      <c r="H17" s="219"/>
      <c r="I17" s="220"/>
    </row>
    <row r="18" spans="1:57" s="106" customFormat="1" x14ac:dyDescent="0.2">
      <c r="A18" s="217">
        <f>'01  Pol'!C342</f>
        <v>766</v>
      </c>
      <c r="B18" s="62" t="str">
        <f>'01  Pol'!D342</f>
        <v>Konstrukce truhlářské</v>
      </c>
      <c r="D18" s="182"/>
      <c r="E18" s="218"/>
      <c r="F18" s="219">
        <f>'01  Pol'!J386</f>
        <v>0</v>
      </c>
      <c r="G18" s="219"/>
      <c r="H18" s="219"/>
      <c r="I18" s="220"/>
    </row>
    <row r="19" spans="1:57" s="106" customFormat="1" x14ac:dyDescent="0.2">
      <c r="A19" s="217">
        <f>'01  Pol'!C387</f>
        <v>767</v>
      </c>
      <c r="B19" s="62" t="str">
        <f>'01  Pol'!D387</f>
        <v>Konstrukce zámečnické</v>
      </c>
      <c r="D19" s="182"/>
      <c r="E19" s="218"/>
      <c r="F19" s="219">
        <f>'01  Pol'!J396</f>
        <v>0</v>
      </c>
      <c r="G19" s="219"/>
      <c r="H19" s="219"/>
      <c r="I19" s="220"/>
    </row>
    <row r="20" spans="1:57" s="106" customFormat="1" x14ac:dyDescent="0.2">
      <c r="A20" s="217">
        <f>'01  Pol'!C397</f>
        <v>784</v>
      </c>
      <c r="B20" s="62" t="str">
        <f>'01  Pol'!D397</f>
        <v>Malby</v>
      </c>
      <c r="D20" s="182"/>
      <c r="E20" s="218"/>
      <c r="F20" s="219">
        <f>'01  Pol'!J406</f>
        <v>0</v>
      </c>
      <c r="G20" s="219"/>
      <c r="H20" s="219"/>
      <c r="I20" s="220"/>
    </row>
    <row r="21" spans="1:57" s="106" customFormat="1" x14ac:dyDescent="0.2">
      <c r="A21" s="217">
        <f>'01  Pol'!C407</f>
        <v>786</v>
      </c>
      <c r="B21" s="62" t="str">
        <f>'01  Pol'!D407</f>
        <v>Čalounické úpravy</v>
      </c>
      <c r="D21" s="182"/>
      <c r="E21" s="218"/>
      <c r="F21" s="219">
        <f>'01  Pol'!J413</f>
        <v>0</v>
      </c>
      <c r="G21" s="219"/>
      <c r="H21" s="219"/>
      <c r="I21" s="220"/>
    </row>
    <row r="22" spans="1:57" s="106" customFormat="1" ht="13.5" thickBot="1" x14ac:dyDescent="0.25">
      <c r="A22" s="217">
        <f>'01  Pol'!C414</f>
        <v>742</v>
      </c>
      <c r="B22" s="62" t="str">
        <f>'01  Pol'!D414</f>
        <v>Elektromontáže</v>
      </c>
      <c r="D22" s="182"/>
      <c r="E22" s="218"/>
      <c r="F22" s="219">
        <f>'01  Pol'!J420</f>
        <v>0</v>
      </c>
      <c r="G22" s="219"/>
      <c r="H22" s="219"/>
      <c r="I22" s="220"/>
    </row>
    <row r="23" spans="1:57" s="14" customFormat="1" ht="13.5" thickBot="1" x14ac:dyDescent="0.25">
      <c r="A23" s="183"/>
      <c r="B23" s="184" t="s">
        <v>71</v>
      </c>
      <c r="C23" s="184"/>
      <c r="D23" s="185"/>
      <c r="E23" s="186">
        <f>SUM(E7:E22)</f>
        <v>0</v>
      </c>
      <c r="F23" s="187">
        <f>SUM(F7:F22)</f>
        <v>0</v>
      </c>
      <c r="G23" s="187">
        <f>SUM(G10:G22)</f>
        <v>0</v>
      </c>
      <c r="H23" s="187">
        <f>SUM(H10:H22)</f>
        <v>0</v>
      </c>
      <c r="I23" s="188">
        <f>SUM(I10:I22)</f>
        <v>0</v>
      </c>
    </row>
    <row r="24" spans="1:57" x14ac:dyDescent="0.2">
      <c r="A24" s="106"/>
      <c r="B24" s="106"/>
      <c r="C24" s="106"/>
      <c r="D24" s="106"/>
      <c r="E24" s="106"/>
      <c r="F24" s="106"/>
      <c r="G24" s="106"/>
      <c r="H24" s="106"/>
      <c r="I24" s="106"/>
    </row>
    <row r="25" spans="1:57" ht="19.5" customHeight="1" x14ac:dyDescent="0.25">
      <c r="A25" s="174" t="s">
        <v>72</v>
      </c>
      <c r="B25" s="174"/>
      <c r="C25" s="174"/>
      <c r="D25" s="174"/>
      <c r="E25" s="174"/>
      <c r="F25" s="174"/>
      <c r="G25" s="189"/>
      <c r="H25" s="174"/>
      <c r="I25" s="174"/>
      <c r="BA25" s="112"/>
      <c r="BB25" s="112"/>
      <c r="BC25" s="112"/>
      <c r="BD25" s="112"/>
      <c r="BE25" s="112"/>
    </row>
    <row r="26" spans="1:57" ht="13.5" thickBot="1" x14ac:dyDescent="0.25"/>
    <row r="27" spans="1:57" ht="13.5" thickBot="1" x14ac:dyDescent="0.25">
      <c r="A27" s="405" t="s">
        <v>73</v>
      </c>
      <c r="B27" s="406"/>
      <c r="C27" s="406"/>
      <c r="D27" s="407"/>
      <c r="E27" s="408"/>
      <c r="F27" s="408"/>
      <c r="G27" s="409"/>
      <c r="H27" s="410"/>
      <c r="I27" s="411" t="s">
        <v>74</v>
      </c>
    </row>
    <row r="28" spans="1:57" ht="13.5" customHeight="1" thickBot="1" x14ac:dyDescent="0.25">
      <c r="A28" s="506" t="s">
        <v>411</v>
      </c>
      <c r="B28" s="507"/>
      <c r="C28" s="507"/>
      <c r="D28" s="507"/>
      <c r="E28" s="507"/>
      <c r="F28" s="507"/>
      <c r="G28" s="508"/>
      <c r="H28" s="483"/>
      <c r="I28" s="495"/>
      <c r="BA28" s="1">
        <v>1</v>
      </c>
    </row>
    <row r="29" spans="1:57" ht="102" customHeight="1" thickBot="1" x14ac:dyDescent="0.25">
      <c r="A29" s="485" t="s">
        <v>412</v>
      </c>
      <c r="B29" s="486"/>
      <c r="C29" s="486"/>
      <c r="D29" s="486"/>
      <c r="E29" s="486"/>
      <c r="F29" s="486"/>
      <c r="G29" s="486"/>
      <c r="H29" s="487"/>
      <c r="I29" s="496"/>
    </row>
    <row r="30" spans="1:57" ht="13.5" thickBot="1" x14ac:dyDescent="0.25">
      <c r="A30" s="480" t="s">
        <v>413</v>
      </c>
      <c r="B30" s="481"/>
      <c r="C30" s="481"/>
      <c r="D30" s="481"/>
      <c r="E30" s="481"/>
      <c r="F30" s="481"/>
      <c r="G30" s="482"/>
      <c r="H30" s="498"/>
      <c r="I30" s="499"/>
      <c r="BA30" s="1">
        <v>1</v>
      </c>
    </row>
    <row r="31" spans="1:57" ht="48" customHeight="1" thickBot="1" x14ac:dyDescent="0.25">
      <c r="A31" s="485" t="s">
        <v>414</v>
      </c>
      <c r="B31" s="486"/>
      <c r="C31" s="486"/>
      <c r="D31" s="486"/>
      <c r="E31" s="486"/>
      <c r="F31" s="486"/>
      <c r="G31" s="486"/>
      <c r="H31" s="509"/>
      <c r="I31" s="510"/>
    </row>
    <row r="32" spans="1:57" ht="13.5" thickBot="1" x14ac:dyDescent="0.25">
      <c r="A32" s="412"/>
      <c r="B32" s="413" t="s">
        <v>75</v>
      </c>
      <c r="C32" s="414"/>
      <c r="D32" s="415"/>
      <c r="E32" s="415"/>
      <c r="F32" s="415"/>
      <c r="G32" s="415"/>
      <c r="H32" s="489">
        <f>SUM(H28:I30)</f>
        <v>0</v>
      </c>
      <c r="I32" s="490"/>
    </row>
    <row r="34" spans="1:57" x14ac:dyDescent="0.2">
      <c r="B34" s="14"/>
      <c r="F34" s="190"/>
      <c r="G34" s="191"/>
      <c r="H34" s="191"/>
      <c r="I34" s="46"/>
    </row>
    <row r="35" spans="1:57" ht="19.5" customHeight="1" x14ac:dyDescent="0.25">
      <c r="A35" s="174" t="s">
        <v>397</v>
      </c>
      <c r="B35" s="174"/>
      <c r="C35" s="174"/>
      <c r="D35" s="174"/>
      <c r="E35" s="174"/>
      <c r="F35" s="174"/>
      <c r="G35" s="189"/>
      <c r="H35" s="174"/>
      <c r="I35" s="174"/>
      <c r="BA35" s="112"/>
      <c r="BB35" s="112"/>
      <c r="BC35" s="112"/>
      <c r="BD35" s="112"/>
      <c r="BE35" s="112"/>
    </row>
    <row r="36" spans="1:57" ht="13.5" thickBot="1" x14ac:dyDescent="0.25"/>
    <row r="37" spans="1:57" ht="13.5" thickBot="1" x14ac:dyDescent="0.25">
      <c r="A37" s="405" t="s">
        <v>399</v>
      </c>
      <c r="B37" s="406"/>
      <c r="C37" s="406"/>
      <c r="D37" s="407"/>
      <c r="E37" s="408"/>
      <c r="F37" s="408"/>
      <c r="G37" s="409"/>
      <c r="H37" s="410"/>
      <c r="I37" s="411" t="s">
        <v>74</v>
      </c>
    </row>
    <row r="38" spans="1:57" ht="30" customHeight="1" thickBot="1" x14ac:dyDescent="0.25">
      <c r="A38" s="511" t="s">
        <v>415</v>
      </c>
      <c r="B38" s="512"/>
      <c r="C38" s="512"/>
      <c r="D38" s="512"/>
      <c r="E38" s="512"/>
      <c r="F38" s="512"/>
      <c r="G38" s="513"/>
      <c r="H38" s="498"/>
      <c r="I38" s="501"/>
      <c r="BA38" s="1">
        <v>1</v>
      </c>
    </row>
    <row r="39" spans="1:57" ht="36" customHeight="1" thickBot="1" x14ac:dyDescent="0.25">
      <c r="A39" s="514" t="s">
        <v>400</v>
      </c>
      <c r="B39" s="515"/>
      <c r="C39" s="515"/>
      <c r="D39" s="515"/>
      <c r="E39" s="515"/>
      <c r="F39" s="515"/>
      <c r="G39" s="516"/>
      <c r="H39" s="416"/>
      <c r="I39" s="417"/>
    </row>
    <row r="40" spans="1:57" ht="30" customHeight="1" thickBot="1" x14ac:dyDescent="0.25">
      <c r="A40" s="480" t="s">
        <v>401</v>
      </c>
      <c r="B40" s="481"/>
      <c r="C40" s="481"/>
      <c r="D40" s="481"/>
      <c r="E40" s="481"/>
      <c r="F40" s="481"/>
      <c r="G40" s="497"/>
      <c r="H40" s="498"/>
      <c r="I40" s="499"/>
      <c r="BA40" s="1">
        <v>1</v>
      </c>
    </row>
    <row r="41" spans="1:57" ht="36" customHeight="1" thickBot="1" x14ac:dyDescent="0.25">
      <c r="A41" s="491" t="s">
        <v>402</v>
      </c>
      <c r="B41" s="492"/>
      <c r="C41" s="492"/>
      <c r="D41" s="492"/>
      <c r="E41" s="492"/>
      <c r="F41" s="492"/>
      <c r="G41" s="492"/>
      <c r="H41" s="500"/>
      <c r="I41" s="501"/>
    </row>
    <row r="42" spans="1:57" ht="18" customHeight="1" thickBot="1" x14ac:dyDescent="0.25">
      <c r="A42" s="480" t="s">
        <v>416</v>
      </c>
      <c r="B42" s="481"/>
      <c r="C42" s="481"/>
      <c r="D42" s="481"/>
      <c r="E42" s="481"/>
      <c r="F42" s="481"/>
      <c r="G42" s="482"/>
      <c r="H42" s="498"/>
      <c r="I42" s="501"/>
      <c r="BA42" s="1">
        <v>1</v>
      </c>
    </row>
    <row r="43" spans="1:57" ht="60" customHeight="1" thickBot="1" x14ac:dyDescent="0.25">
      <c r="A43" s="485" t="s">
        <v>403</v>
      </c>
      <c r="B43" s="486"/>
      <c r="C43" s="486"/>
      <c r="D43" s="486"/>
      <c r="E43" s="486"/>
      <c r="F43" s="486"/>
      <c r="G43" s="486"/>
      <c r="H43" s="500"/>
      <c r="I43" s="501"/>
    </row>
    <row r="44" spans="1:57" ht="18" customHeight="1" thickBot="1" x14ac:dyDescent="0.25">
      <c r="A44" s="480" t="s">
        <v>417</v>
      </c>
      <c r="B44" s="481"/>
      <c r="C44" s="481"/>
      <c r="D44" s="481"/>
      <c r="E44" s="481"/>
      <c r="F44" s="481"/>
      <c r="G44" s="482"/>
      <c r="H44" s="483"/>
      <c r="I44" s="495"/>
      <c r="BA44" s="1">
        <v>1</v>
      </c>
    </row>
    <row r="45" spans="1:57" ht="60" customHeight="1" thickBot="1" x14ac:dyDescent="0.25">
      <c r="A45" s="491" t="s">
        <v>418</v>
      </c>
      <c r="B45" s="492"/>
      <c r="C45" s="492"/>
      <c r="D45" s="492"/>
      <c r="E45" s="492"/>
      <c r="F45" s="492"/>
      <c r="G45" s="492"/>
      <c r="H45" s="487"/>
      <c r="I45" s="496"/>
    </row>
    <row r="46" spans="1:57" ht="18" customHeight="1" thickBot="1" x14ac:dyDescent="0.25">
      <c r="A46" s="480" t="s">
        <v>419</v>
      </c>
      <c r="B46" s="481"/>
      <c r="C46" s="481"/>
      <c r="D46" s="481"/>
      <c r="E46" s="481"/>
      <c r="F46" s="481"/>
      <c r="G46" s="497"/>
      <c r="H46" s="483"/>
      <c r="I46" s="495"/>
      <c r="BA46" s="1">
        <v>1</v>
      </c>
    </row>
    <row r="47" spans="1:57" ht="48" customHeight="1" thickBot="1" x14ac:dyDescent="0.25">
      <c r="A47" s="491" t="s">
        <v>404</v>
      </c>
      <c r="B47" s="492"/>
      <c r="C47" s="492"/>
      <c r="D47" s="492"/>
      <c r="E47" s="492"/>
      <c r="F47" s="492"/>
      <c r="G47" s="492"/>
      <c r="H47" s="487"/>
      <c r="I47" s="496"/>
    </row>
    <row r="48" spans="1:57" ht="18" customHeight="1" thickBot="1" x14ac:dyDescent="0.25">
      <c r="A48" s="480" t="s">
        <v>420</v>
      </c>
      <c r="B48" s="481"/>
      <c r="C48" s="481"/>
      <c r="D48" s="481"/>
      <c r="E48" s="481"/>
      <c r="F48" s="481"/>
      <c r="G48" s="482"/>
      <c r="H48" s="483"/>
      <c r="I48" s="495"/>
      <c r="BA48" s="1">
        <v>1</v>
      </c>
    </row>
    <row r="49" spans="1:53" ht="36" customHeight="1" thickBot="1" x14ac:dyDescent="0.25">
      <c r="A49" s="491" t="s">
        <v>405</v>
      </c>
      <c r="B49" s="492"/>
      <c r="C49" s="492"/>
      <c r="D49" s="492"/>
      <c r="E49" s="492"/>
      <c r="F49" s="492"/>
      <c r="G49" s="492"/>
      <c r="H49" s="487"/>
      <c r="I49" s="496"/>
    </row>
    <row r="50" spans="1:53" ht="18" customHeight="1" thickBot="1" x14ac:dyDescent="0.25">
      <c r="A50" s="480" t="s">
        <v>421</v>
      </c>
      <c r="B50" s="481"/>
      <c r="C50" s="481"/>
      <c r="D50" s="481"/>
      <c r="E50" s="481"/>
      <c r="F50" s="481"/>
      <c r="G50" s="482"/>
      <c r="H50" s="483"/>
      <c r="I50" s="495"/>
      <c r="BA50" s="1">
        <v>1</v>
      </c>
    </row>
    <row r="51" spans="1:53" ht="60" customHeight="1" thickBot="1" x14ac:dyDescent="0.25">
      <c r="A51" s="491" t="s">
        <v>406</v>
      </c>
      <c r="B51" s="492"/>
      <c r="C51" s="492"/>
      <c r="D51" s="492"/>
      <c r="E51" s="492"/>
      <c r="F51" s="492"/>
      <c r="G51" s="492"/>
      <c r="H51" s="487"/>
      <c r="I51" s="488"/>
    </row>
    <row r="52" spans="1:53" ht="18" customHeight="1" thickBot="1" x14ac:dyDescent="0.25">
      <c r="A52" s="480" t="s">
        <v>422</v>
      </c>
      <c r="B52" s="481"/>
      <c r="C52" s="481"/>
      <c r="D52" s="481"/>
      <c r="E52" s="481"/>
      <c r="F52" s="481"/>
      <c r="G52" s="482"/>
      <c r="H52" s="483"/>
      <c r="I52" s="484"/>
      <c r="BA52" s="1">
        <v>1</v>
      </c>
    </row>
    <row r="53" spans="1:53" ht="36" customHeight="1" thickBot="1" x14ac:dyDescent="0.25">
      <c r="A53" s="491" t="s">
        <v>407</v>
      </c>
      <c r="B53" s="492"/>
      <c r="C53" s="492"/>
      <c r="D53" s="492"/>
      <c r="E53" s="492"/>
      <c r="F53" s="492"/>
      <c r="G53" s="492"/>
      <c r="H53" s="493"/>
      <c r="I53" s="494"/>
    </row>
    <row r="54" spans="1:53" ht="18" customHeight="1" thickBot="1" x14ac:dyDescent="0.25">
      <c r="A54" s="480" t="s">
        <v>423</v>
      </c>
      <c r="B54" s="481"/>
      <c r="C54" s="481"/>
      <c r="D54" s="481"/>
      <c r="E54" s="481"/>
      <c r="F54" s="481"/>
      <c r="G54" s="482"/>
      <c r="H54" s="483"/>
      <c r="I54" s="484"/>
      <c r="BA54" s="1">
        <v>1</v>
      </c>
    </row>
    <row r="55" spans="1:53" ht="57" customHeight="1" thickBot="1" x14ac:dyDescent="0.25">
      <c r="A55" s="485" t="s">
        <v>408</v>
      </c>
      <c r="B55" s="486"/>
      <c r="C55" s="486"/>
      <c r="D55" s="486"/>
      <c r="E55" s="486"/>
      <c r="F55" s="486"/>
      <c r="G55" s="486"/>
      <c r="H55" s="487"/>
      <c r="I55" s="488"/>
    </row>
    <row r="56" spans="1:53" ht="18" customHeight="1" thickBot="1" x14ac:dyDescent="0.25">
      <c r="A56" s="480" t="s">
        <v>424</v>
      </c>
      <c r="B56" s="481"/>
      <c r="C56" s="481"/>
      <c r="D56" s="481"/>
      <c r="E56" s="481"/>
      <c r="F56" s="481"/>
      <c r="G56" s="482"/>
      <c r="H56" s="483"/>
      <c r="I56" s="484"/>
      <c r="BA56" s="1">
        <v>1</v>
      </c>
    </row>
    <row r="57" spans="1:53" ht="42" customHeight="1" thickBot="1" x14ac:dyDescent="0.25">
      <c r="A57" s="485" t="s">
        <v>409</v>
      </c>
      <c r="B57" s="486"/>
      <c r="C57" s="486"/>
      <c r="D57" s="486"/>
      <c r="E57" s="486"/>
      <c r="F57" s="486"/>
      <c r="G57" s="486"/>
      <c r="H57" s="487"/>
      <c r="I57" s="488"/>
    </row>
    <row r="58" spans="1:53" ht="18" customHeight="1" thickBot="1" x14ac:dyDescent="0.25">
      <c r="A58" s="480" t="s">
        <v>425</v>
      </c>
      <c r="B58" s="481"/>
      <c r="C58" s="481"/>
      <c r="D58" s="481"/>
      <c r="E58" s="481"/>
      <c r="F58" s="481"/>
      <c r="G58" s="482"/>
      <c r="H58" s="483"/>
      <c r="I58" s="484"/>
      <c r="BA58" s="1">
        <v>1</v>
      </c>
    </row>
    <row r="59" spans="1:53" ht="141" customHeight="1" thickBot="1" x14ac:dyDescent="0.25">
      <c r="A59" s="485" t="s">
        <v>426</v>
      </c>
      <c r="B59" s="486"/>
      <c r="C59" s="486"/>
      <c r="D59" s="486"/>
      <c r="E59" s="486"/>
      <c r="F59" s="486"/>
      <c r="G59" s="486"/>
      <c r="H59" s="487"/>
      <c r="I59" s="488"/>
    </row>
    <row r="60" spans="1:53" ht="13.5" thickBot="1" x14ac:dyDescent="0.25">
      <c r="A60" s="412"/>
      <c r="B60" s="413" t="s">
        <v>427</v>
      </c>
      <c r="C60" s="414"/>
      <c r="D60" s="415"/>
      <c r="E60" s="415"/>
      <c r="F60" s="415"/>
      <c r="G60" s="415"/>
      <c r="H60" s="489">
        <f>SUM(H38:I59)</f>
        <v>0</v>
      </c>
      <c r="I60" s="490"/>
    </row>
    <row r="61" spans="1:53" x14ac:dyDescent="0.2">
      <c r="F61" s="190"/>
      <c r="G61" s="191"/>
      <c r="H61" s="191"/>
      <c r="I61" s="46"/>
    </row>
    <row r="62" spans="1:53" x14ac:dyDescent="0.2">
      <c r="F62" s="190"/>
      <c r="G62" s="191"/>
      <c r="H62" s="191"/>
      <c r="I62" s="46"/>
    </row>
    <row r="63" spans="1:53" x14ac:dyDescent="0.2">
      <c r="F63" s="190"/>
      <c r="G63" s="191"/>
      <c r="H63" s="191"/>
      <c r="I63" s="46"/>
    </row>
    <row r="64" spans="1:53" x14ac:dyDescent="0.2">
      <c r="F64" s="190"/>
      <c r="G64" s="191"/>
      <c r="H64" s="191"/>
      <c r="I64" s="46"/>
    </row>
    <row r="65" spans="6:9" x14ac:dyDescent="0.2">
      <c r="F65" s="190"/>
      <c r="G65" s="191"/>
      <c r="H65" s="191"/>
      <c r="I65" s="46"/>
    </row>
    <row r="66" spans="6:9" x14ac:dyDescent="0.2">
      <c r="F66" s="190"/>
      <c r="G66" s="191"/>
      <c r="H66" s="191"/>
      <c r="I66" s="46"/>
    </row>
    <row r="67" spans="6:9" x14ac:dyDescent="0.2">
      <c r="F67" s="190"/>
      <c r="G67" s="191"/>
      <c r="H67" s="191"/>
      <c r="I67" s="46"/>
    </row>
    <row r="68" spans="6:9" x14ac:dyDescent="0.2">
      <c r="F68" s="190"/>
      <c r="G68" s="191"/>
      <c r="H68" s="191"/>
      <c r="I68" s="46"/>
    </row>
    <row r="69" spans="6:9" x14ac:dyDescent="0.2">
      <c r="F69" s="190"/>
      <c r="G69" s="191"/>
      <c r="H69" s="191"/>
      <c r="I69" s="46"/>
    </row>
    <row r="70" spans="6:9" x14ac:dyDescent="0.2">
      <c r="F70" s="190"/>
      <c r="G70" s="191"/>
      <c r="H70" s="191"/>
      <c r="I70" s="46"/>
    </row>
    <row r="71" spans="6:9" x14ac:dyDescent="0.2">
      <c r="F71" s="190"/>
      <c r="G71" s="191"/>
      <c r="H71" s="191"/>
      <c r="I71" s="46"/>
    </row>
    <row r="72" spans="6:9" x14ac:dyDescent="0.2">
      <c r="F72" s="190"/>
      <c r="G72" s="191"/>
      <c r="H72" s="191"/>
      <c r="I72" s="46"/>
    </row>
    <row r="73" spans="6:9" x14ac:dyDescent="0.2">
      <c r="F73" s="190"/>
      <c r="G73" s="191"/>
      <c r="H73" s="191"/>
      <c r="I73" s="46"/>
    </row>
    <row r="74" spans="6:9" x14ac:dyDescent="0.2">
      <c r="F74" s="190"/>
      <c r="G74" s="191"/>
      <c r="H74" s="191"/>
      <c r="I74" s="46"/>
    </row>
    <row r="75" spans="6:9" x14ac:dyDescent="0.2">
      <c r="F75" s="190"/>
      <c r="G75" s="191"/>
      <c r="H75" s="191"/>
      <c r="I75" s="46"/>
    </row>
    <row r="76" spans="6:9" x14ac:dyDescent="0.2">
      <c r="F76" s="190"/>
      <c r="G76" s="191"/>
      <c r="H76" s="191"/>
      <c r="I76" s="46"/>
    </row>
    <row r="77" spans="6:9" x14ac:dyDescent="0.2">
      <c r="F77" s="190"/>
      <c r="G77" s="191"/>
      <c r="H77" s="191"/>
      <c r="I77" s="46"/>
    </row>
    <row r="78" spans="6:9" x14ac:dyDescent="0.2">
      <c r="F78" s="190"/>
      <c r="G78" s="191"/>
      <c r="H78" s="191"/>
      <c r="I78" s="46"/>
    </row>
    <row r="79" spans="6:9" x14ac:dyDescent="0.2">
      <c r="F79" s="190"/>
      <c r="G79" s="191"/>
      <c r="H79" s="191"/>
      <c r="I79" s="46"/>
    </row>
    <row r="80" spans="6:9" x14ac:dyDescent="0.2">
      <c r="F80" s="190"/>
      <c r="G80" s="191"/>
      <c r="H80" s="191"/>
      <c r="I80" s="46"/>
    </row>
    <row r="81" spans="6:9" x14ac:dyDescent="0.2">
      <c r="F81" s="190"/>
      <c r="G81" s="191"/>
      <c r="H81" s="191"/>
      <c r="I81" s="46"/>
    </row>
    <row r="82" spans="6:9" x14ac:dyDescent="0.2">
      <c r="F82" s="190"/>
      <c r="G82" s="191"/>
      <c r="H82" s="191"/>
      <c r="I82" s="46"/>
    </row>
    <row r="83" spans="6:9" x14ac:dyDescent="0.2">
      <c r="F83" s="190"/>
      <c r="G83" s="191"/>
      <c r="H83" s="191"/>
      <c r="I83" s="46"/>
    </row>
    <row r="84" spans="6:9" x14ac:dyDescent="0.2">
      <c r="F84" s="190"/>
      <c r="G84" s="191"/>
      <c r="H84" s="191"/>
      <c r="I84" s="46"/>
    </row>
    <row r="85" spans="6:9" x14ac:dyDescent="0.2">
      <c r="F85" s="190"/>
      <c r="G85" s="191"/>
      <c r="H85" s="191"/>
      <c r="I85" s="46"/>
    </row>
    <row r="86" spans="6:9" x14ac:dyDescent="0.2">
      <c r="F86" s="190"/>
      <c r="G86" s="191"/>
      <c r="H86" s="191"/>
      <c r="I86" s="46"/>
    </row>
    <row r="87" spans="6:9" x14ac:dyDescent="0.2">
      <c r="F87" s="190"/>
      <c r="G87" s="191"/>
      <c r="H87" s="191"/>
      <c r="I87" s="46"/>
    </row>
    <row r="88" spans="6:9" x14ac:dyDescent="0.2">
      <c r="F88" s="190"/>
      <c r="G88" s="191"/>
      <c r="H88" s="191"/>
      <c r="I88" s="46"/>
    </row>
    <row r="89" spans="6:9" x14ac:dyDescent="0.2">
      <c r="F89" s="190"/>
      <c r="G89" s="191"/>
      <c r="H89" s="191"/>
      <c r="I89" s="46"/>
    </row>
    <row r="90" spans="6:9" x14ac:dyDescent="0.2">
      <c r="F90" s="190"/>
      <c r="G90" s="191"/>
      <c r="H90" s="191"/>
      <c r="I90" s="46"/>
    </row>
    <row r="91" spans="6:9" x14ac:dyDescent="0.2">
      <c r="F91" s="190"/>
      <c r="G91" s="191"/>
      <c r="H91" s="191"/>
      <c r="I91" s="46"/>
    </row>
    <row r="92" spans="6:9" x14ac:dyDescent="0.2">
      <c r="F92" s="190"/>
      <c r="G92" s="191"/>
      <c r="H92" s="191"/>
      <c r="I92" s="46"/>
    </row>
    <row r="93" spans="6:9" x14ac:dyDescent="0.2">
      <c r="F93" s="190"/>
      <c r="G93" s="191"/>
      <c r="H93" s="191"/>
      <c r="I93" s="46"/>
    </row>
  </sheetData>
  <mergeCells count="55">
    <mergeCell ref="A1:B1"/>
    <mergeCell ref="A2:B2"/>
    <mergeCell ref="H42:I42"/>
    <mergeCell ref="A28:G28"/>
    <mergeCell ref="H28:I28"/>
    <mergeCell ref="A29:G29"/>
    <mergeCell ref="H29:I29"/>
    <mergeCell ref="A42:G42"/>
    <mergeCell ref="A30:G30"/>
    <mergeCell ref="H30:I30"/>
    <mergeCell ref="A31:G31"/>
    <mergeCell ref="H31:I31"/>
    <mergeCell ref="H32:I32"/>
    <mergeCell ref="A38:G38"/>
    <mergeCell ref="H38:I38"/>
    <mergeCell ref="A39:G39"/>
    <mergeCell ref="A40:G40"/>
    <mergeCell ref="H40:I40"/>
    <mergeCell ref="A41:G41"/>
    <mergeCell ref="H41:I41"/>
    <mergeCell ref="A43:G43"/>
    <mergeCell ref="H43:I43"/>
    <mergeCell ref="A44:G44"/>
    <mergeCell ref="H44:I44"/>
    <mergeCell ref="A45:G45"/>
    <mergeCell ref="H45:I45"/>
    <mergeCell ref="A54:G54"/>
    <mergeCell ref="H54:I54"/>
    <mergeCell ref="A46:G46"/>
    <mergeCell ref="H46:I46"/>
    <mergeCell ref="H47:I47"/>
    <mergeCell ref="A48:G48"/>
    <mergeCell ref="H48:I48"/>
    <mergeCell ref="A49:G49"/>
    <mergeCell ref="H49:I49"/>
    <mergeCell ref="A47:G47"/>
    <mergeCell ref="A50:G50"/>
    <mergeCell ref="H50:I50"/>
    <mergeCell ref="A51:G51"/>
    <mergeCell ref="H51:I51"/>
    <mergeCell ref="A52:G52"/>
    <mergeCell ref="H52:I52"/>
    <mergeCell ref="A53:G53"/>
    <mergeCell ref="H53:I53"/>
    <mergeCell ref="A55:G55"/>
    <mergeCell ref="H55:I55"/>
    <mergeCell ref="A56:G56"/>
    <mergeCell ref="H56:I56"/>
    <mergeCell ref="A57:G57"/>
    <mergeCell ref="H57:I57"/>
    <mergeCell ref="A58:G58"/>
    <mergeCell ref="H58:I58"/>
    <mergeCell ref="A59:G59"/>
    <mergeCell ref="H59:I59"/>
    <mergeCell ref="H60:I60"/>
  </mergeCells>
  <phoneticPr fontId="17" type="noConversion"/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Stránka &amp;P z &amp;N</oddFooter>
  </headerFooter>
  <rowBreaks count="2" manualBreakCount="2">
    <brk id="33" max="16383" man="1"/>
    <brk id="55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BX493"/>
  <sheetViews>
    <sheetView showGridLines="0" showZeros="0" tabSelected="1" topLeftCell="A349" zoomScaleSheetLayoutView="100" workbookViewId="0">
      <selection activeCell="A380" sqref="A380:F381"/>
    </sheetView>
  </sheetViews>
  <sheetFormatPr defaultRowHeight="12.75" x14ac:dyDescent="0.2"/>
  <cols>
    <col min="1" max="1" width="4.42578125" style="192" customWidth="1"/>
    <col min="2" max="2" width="4.42578125" style="224" customWidth="1"/>
    <col min="3" max="3" width="11.5703125" style="267" customWidth="1"/>
    <col min="4" max="4" width="40.42578125" style="192" customWidth="1"/>
    <col min="5" max="5" width="5.5703125" style="192" customWidth="1"/>
    <col min="6" max="6" width="8.5703125" style="197" customWidth="1"/>
    <col min="7" max="9" width="9.85546875" style="192" customWidth="1"/>
    <col min="10" max="10" width="13.85546875" style="192" customWidth="1"/>
    <col min="11" max="12" width="9.85546875" style="192" customWidth="1"/>
    <col min="13" max="13" width="11.7109375" style="192" hidden="1" customWidth="1"/>
    <col min="14" max="14" width="11.5703125" style="192" hidden="1" customWidth="1"/>
    <col min="15" max="15" width="11" style="192" hidden="1" customWidth="1"/>
    <col min="16" max="16" width="10.42578125" style="192" hidden="1" customWidth="1"/>
    <col min="17" max="17" width="27" style="192" customWidth="1"/>
    <col min="18" max="18" width="45.28515625" style="192" customWidth="1"/>
    <col min="19" max="16384" width="9.140625" style="192"/>
  </cols>
  <sheetData>
    <row r="1" spans="1:76" ht="15.75" x14ac:dyDescent="0.25">
      <c r="A1" s="517" t="s">
        <v>76</v>
      </c>
      <c r="B1" s="517"/>
      <c r="C1" s="517"/>
      <c r="D1" s="517"/>
      <c r="E1" s="517"/>
      <c r="F1" s="517"/>
      <c r="G1" s="517"/>
      <c r="H1" s="517"/>
      <c r="I1" s="517"/>
      <c r="J1" s="517"/>
      <c r="K1" s="517"/>
      <c r="L1" s="517"/>
    </row>
    <row r="2" spans="1:76" ht="14.25" customHeight="1" thickBot="1" x14ac:dyDescent="0.25">
      <c r="C2" s="266"/>
      <c r="D2" s="193"/>
      <c r="E2" s="193"/>
      <c r="F2" s="194"/>
      <c r="G2" s="193"/>
      <c r="H2" s="193"/>
      <c r="I2" s="193"/>
      <c r="J2" s="193"/>
      <c r="K2" s="193"/>
      <c r="L2" s="193"/>
    </row>
    <row r="3" spans="1:76" ht="13.5" thickTop="1" x14ac:dyDescent="0.2">
      <c r="A3" s="502" t="s">
        <v>3</v>
      </c>
      <c r="B3" s="518"/>
      <c r="C3" s="503"/>
      <c r="D3" s="165" t="s">
        <v>247</v>
      </c>
      <c r="E3" s="166"/>
      <c r="F3" s="279"/>
      <c r="G3" s="195"/>
      <c r="H3" s="280" t="s">
        <v>77</v>
      </c>
      <c r="I3" s="195" t="s">
        <v>167</v>
      </c>
      <c r="J3" s="166"/>
      <c r="K3" s="168" t="s">
        <v>168</v>
      </c>
      <c r="L3" s="282"/>
    </row>
    <row r="4" spans="1:76" ht="13.5" thickBot="1" x14ac:dyDescent="0.25">
      <c r="A4" s="519" t="s">
        <v>68</v>
      </c>
      <c r="B4" s="520"/>
      <c r="C4" s="505"/>
      <c r="D4" s="170" t="s">
        <v>242</v>
      </c>
      <c r="E4" s="171"/>
      <c r="F4" s="278"/>
      <c r="G4" s="278"/>
      <c r="H4" s="277" t="s">
        <v>1</v>
      </c>
      <c r="I4" s="281">
        <v>41275</v>
      </c>
      <c r="J4" s="278"/>
      <c r="K4" s="231"/>
      <c r="L4" s="283">
        <v>97</v>
      </c>
    </row>
    <row r="5" spans="1:76" ht="13.5" thickTop="1" x14ac:dyDescent="0.2">
      <c r="A5" s="196"/>
      <c r="B5" s="225"/>
      <c r="J5" s="198"/>
      <c r="K5" s="198"/>
      <c r="L5" s="198"/>
    </row>
    <row r="6" spans="1:76" ht="27" customHeight="1" thickBot="1" x14ac:dyDescent="0.25">
      <c r="A6" s="284" t="s">
        <v>78</v>
      </c>
      <c r="B6" s="285" t="s">
        <v>225</v>
      </c>
      <c r="C6" s="286" t="s">
        <v>79</v>
      </c>
      <c r="D6" s="287" t="s">
        <v>80</v>
      </c>
      <c r="E6" s="287" t="s">
        <v>81</v>
      </c>
      <c r="F6" s="286" t="s">
        <v>154</v>
      </c>
      <c r="G6" s="287" t="s">
        <v>153</v>
      </c>
      <c r="H6" s="287" t="s">
        <v>22</v>
      </c>
      <c r="I6" s="287" t="s">
        <v>23</v>
      </c>
      <c r="J6" s="288" t="s">
        <v>152</v>
      </c>
      <c r="K6" s="289" t="s">
        <v>156</v>
      </c>
      <c r="L6" s="288" t="s">
        <v>155</v>
      </c>
      <c r="M6" s="199" t="s">
        <v>82</v>
      </c>
      <c r="N6" s="199" t="s">
        <v>83</v>
      </c>
      <c r="O6" s="199" t="s">
        <v>84</v>
      </c>
      <c r="P6" s="199" t="s">
        <v>85</v>
      </c>
    </row>
    <row r="7" spans="1:76" x14ac:dyDescent="0.2">
      <c r="A7" s="200" t="s">
        <v>86</v>
      </c>
      <c r="B7" s="200"/>
      <c r="C7" s="268">
        <v>1</v>
      </c>
      <c r="D7" s="377" t="s">
        <v>249</v>
      </c>
      <c r="E7" s="378"/>
      <c r="F7" s="379"/>
      <c r="G7" s="379"/>
      <c r="H7" s="379"/>
      <c r="I7" s="379"/>
      <c r="J7" s="380"/>
      <c r="K7" s="380"/>
      <c r="L7" s="380"/>
      <c r="M7" s="201"/>
      <c r="N7" s="202"/>
      <c r="O7" s="203"/>
      <c r="P7" s="204"/>
      <c r="T7" s="205">
        <v>1</v>
      </c>
    </row>
    <row r="8" spans="1:76" ht="22.5" x14ac:dyDescent="0.2">
      <c r="A8" s="232">
        <v>1</v>
      </c>
      <c r="B8" s="384" t="s">
        <v>226</v>
      </c>
      <c r="C8" s="385" t="s">
        <v>252</v>
      </c>
      <c r="D8" s="243" t="s">
        <v>253</v>
      </c>
      <c r="E8" s="233"/>
      <c r="F8" s="372"/>
      <c r="G8" s="299"/>
      <c r="H8" s="300"/>
      <c r="I8" s="300"/>
      <c r="J8" s="301">
        <f>F8*G8</f>
        <v>0</v>
      </c>
      <c r="K8" s="301"/>
      <c r="L8" s="207">
        <f>F8*K8</f>
        <v>0</v>
      </c>
      <c r="M8" s="206">
        <v>0</v>
      </c>
      <c r="N8" s="207">
        <f>F8*M8</f>
        <v>0</v>
      </c>
      <c r="O8" s="206">
        <v>0</v>
      </c>
      <c r="P8" s="207">
        <f>F8*O8</f>
        <v>0</v>
      </c>
      <c r="T8" s="205">
        <v>2</v>
      </c>
      <c r="BW8" s="205">
        <v>1</v>
      </c>
      <c r="BX8" s="205">
        <v>1</v>
      </c>
    </row>
    <row r="9" spans="1:76" x14ac:dyDescent="0.2">
      <c r="A9" s="293"/>
      <c r="B9" s="332"/>
      <c r="C9" s="295" t="s">
        <v>176</v>
      </c>
      <c r="D9" s="338" t="s">
        <v>253</v>
      </c>
      <c r="E9" s="339"/>
      <c r="F9" s="306"/>
      <c r="G9" s="302"/>
      <c r="H9" s="303"/>
      <c r="I9" s="303"/>
      <c r="J9" s="304"/>
      <c r="K9" s="311"/>
      <c r="L9" s="317"/>
      <c r="M9" s="206"/>
      <c r="N9" s="207"/>
      <c r="O9" s="206"/>
      <c r="P9" s="207"/>
    </row>
    <row r="10" spans="1:76" x14ac:dyDescent="0.2">
      <c r="A10" s="293"/>
      <c r="B10" s="332"/>
      <c r="C10" s="295" t="s">
        <v>178</v>
      </c>
      <c r="D10" s="347" t="s">
        <v>254</v>
      </c>
      <c r="E10" s="348"/>
      <c r="F10" s="389"/>
      <c r="G10" s="302"/>
      <c r="H10" s="303"/>
      <c r="I10" s="303"/>
      <c r="J10" s="304"/>
      <c r="K10" s="311"/>
      <c r="L10" s="317"/>
      <c r="M10" s="206"/>
      <c r="N10" s="207"/>
      <c r="O10" s="206"/>
      <c r="P10" s="207"/>
    </row>
    <row r="11" spans="1:76" x14ac:dyDescent="0.2">
      <c r="A11" s="290"/>
      <c r="B11" s="386"/>
      <c r="C11" s="387"/>
      <c r="D11" s="254" t="s">
        <v>255</v>
      </c>
      <c r="E11" s="373"/>
      <c r="F11" s="390">
        <f>0.5 *(8.58+18.186+5.739+2.947+6.279)</f>
        <v>20.865499999999997</v>
      </c>
      <c r="G11" s="305"/>
      <c r="H11" s="306"/>
      <c r="I11" s="306"/>
      <c r="J11" s="307">
        <f>F11*G11</f>
        <v>0</v>
      </c>
      <c r="K11" s="307"/>
      <c r="L11" s="388">
        <f>F11*K11</f>
        <v>0</v>
      </c>
      <c r="M11" s="206">
        <v>0</v>
      </c>
      <c r="N11" s="207">
        <f>F11*M11</f>
        <v>0</v>
      </c>
      <c r="O11" s="206">
        <v>0</v>
      </c>
      <c r="P11" s="207">
        <f>F11*O11</f>
        <v>0</v>
      </c>
      <c r="T11" s="205">
        <v>2</v>
      </c>
      <c r="BW11" s="205">
        <v>1</v>
      </c>
      <c r="BX11" s="205">
        <v>1</v>
      </c>
    </row>
    <row r="12" spans="1:76" x14ac:dyDescent="0.2">
      <c r="A12" s="296"/>
      <c r="B12" s="297"/>
      <c r="C12" s="298"/>
      <c r="D12" s="252" t="s">
        <v>159</v>
      </c>
      <c r="E12" s="244" t="s">
        <v>163</v>
      </c>
      <c r="F12" s="250">
        <f>SUM(F10:F11)</f>
        <v>20.865499999999997</v>
      </c>
      <c r="G12" s="337">
        <v>0</v>
      </c>
      <c r="H12" s="250"/>
      <c r="I12" s="250">
        <f>+F12*G12</f>
        <v>0</v>
      </c>
      <c r="J12" s="251">
        <f>H12+I12</f>
        <v>0</v>
      </c>
      <c r="K12" s="308">
        <v>0</v>
      </c>
      <c r="L12" s="319">
        <f>+F12*K12</f>
        <v>0</v>
      </c>
      <c r="M12" s="206"/>
      <c r="N12" s="207"/>
      <c r="O12" s="206"/>
      <c r="P12" s="207"/>
    </row>
    <row r="13" spans="1:76" ht="22.5" x14ac:dyDescent="0.2">
      <c r="A13" s="232">
        <v>2</v>
      </c>
      <c r="B13" s="384" t="s">
        <v>226</v>
      </c>
      <c r="C13" s="385" t="s">
        <v>256</v>
      </c>
      <c r="D13" s="243" t="s">
        <v>257</v>
      </c>
      <c r="E13" s="233"/>
      <c r="F13" s="372"/>
      <c r="G13" s="299"/>
      <c r="H13" s="300"/>
      <c r="I13" s="300"/>
      <c r="J13" s="301">
        <f>F13*G13</f>
        <v>0</v>
      </c>
      <c r="K13" s="301"/>
      <c r="L13" s="207">
        <f>F13*K13</f>
        <v>0</v>
      </c>
      <c r="M13" s="206">
        <v>0</v>
      </c>
      <c r="N13" s="207">
        <f>F13*M13</f>
        <v>0</v>
      </c>
      <c r="O13" s="206">
        <v>0</v>
      </c>
      <c r="P13" s="207">
        <f>F13*O13</f>
        <v>0</v>
      </c>
      <c r="T13" s="205">
        <v>2</v>
      </c>
      <c r="BW13" s="205">
        <v>1</v>
      </c>
      <c r="BX13" s="205">
        <v>1</v>
      </c>
    </row>
    <row r="14" spans="1:76" x14ac:dyDescent="0.2">
      <c r="A14" s="293"/>
      <c r="B14" s="332"/>
      <c r="C14" s="295" t="s">
        <v>176</v>
      </c>
      <c r="D14" s="338" t="s">
        <v>258</v>
      </c>
      <c r="E14" s="339"/>
      <c r="F14" s="306"/>
      <c r="G14" s="302"/>
      <c r="H14" s="303"/>
      <c r="I14" s="303"/>
      <c r="J14" s="304"/>
      <c r="K14" s="311"/>
      <c r="L14" s="317"/>
      <c r="M14" s="206"/>
      <c r="N14" s="207"/>
      <c r="O14" s="206"/>
      <c r="P14" s="207"/>
    </row>
    <row r="15" spans="1:76" x14ac:dyDescent="0.2">
      <c r="A15" s="293"/>
      <c r="B15" s="332"/>
      <c r="C15" s="295" t="s">
        <v>178</v>
      </c>
      <c r="D15" s="347" t="s">
        <v>254</v>
      </c>
      <c r="E15" s="348"/>
      <c r="F15" s="389"/>
      <c r="G15" s="302"/>
      <c r="H15" s="303"/>
      <c r="I15" s="303"/>
      <c r="J15" s="304"/>
      <c r="K15" s="311"/>
      <c r="L15" s="317"/>
      <c r="M15" s="206"/>
      <c r="N15" s="207"/>
      <c r="O15" s="206"/>
      <c r="P15" s="207"/>
    </row>
    <row r="16" spans="1:76" ht="33.75" x14ac:dyDescent="0.2">
      <c r="A16" s="290"/>
      <c r="B16" s="386"/>
      <c r="C16" s="387"/>
      <c r="D16" s="254" t="s">
        <v>259</v>
      </c>
      <c r="E16" s="373"/>
      <c r="F16" s="390">
        <f>0.5*0.5 *(6.36+2.17+5.5+8.58+18.186+5.739+2.947+6.279+3.75)</f>
        <v>14.877749999999999</v>
      </c>
      <c r="G16" s="305"/>
      <c r="H16" s="306"/>
      <c r="I16" s="306"/>
      <c r="J16" s="307">
        <f>F16*G16</f>
        <v>0</v>
      </c>
      <c r="K16" s="307"/>
      <c r="L16" s="388">
        <f>F16*K16</f>
        <v>0</v>
      </c>
      <c r="M16" s="206">
        <v>0</v>
      </c>
      <c r="N16" s="207">
        <f>F16*M16</f>
        <v>0</v>
      </c>
      <c r="O16" s="206">
        <v>0</v>
      </c>
      <c r="P16" s="207">
        <f>F16*O16</f>
        <v>0</v>
      </c>
      <c r="T16" s="205">
        <v>2</v>
      </c>
      <c r="BW16" s="205">
        <v>1</v>
      </c>
      <c r="BX16" s="205">
        <v>1</v>
      </c>
    </row>
    <row r="17" spans="1:76" x14ac:dyDescent="0.2">
      <c r="A17" s="296"/>
      <c r="B17" s="297"/>
      <c r="C17" s="298"/>
      <c r="D17" s="252" t="s">
        <v>159</v>
      </c>
      <c r="E17" s="244" t="s">
        <v>166</v>
      </c>
      <c r="F17" s="250">
        <f>SUM(F15:F16)</f>
        <v>14.877749999999999</v>
      </c>
      <c r="G17" s="337">
        <v>0</v>
      </c>
      <c r="H17" s="250"/>
      <c r="I17" s="250">
        <f>+F17*G17</f>
        <v>0</v>
      </c>
      <c r="J17" s="251">
        <f>H17+I17</f>
        <v>0</v>
      </c>
      <c r="K17" s="308">
        <v>0</v>
      </c>
      <c r="L17" s="319">
        <f>+F17*K17</f>
        <v>0</v>
      </c>
      <c r="M17" s="206"/>
      <c r="N17" s="207"/>
      <c r="O17" s="206"/>
      <c r="P17" s="207"/>
    </row>
    <row r="18" spans="1:76" ht="22.5" x14ac:dyDescent="0.2">
      <c r="A18" s="232">
        <v>3</v>
      </c>
      <c r="B18" s="384" t="s">
        <v>226</v>
      </c>
      <c r="C18" s="385" t="s">
        <v>261</v>
      </c>
      <c r="D18" s="243" t="s">
        <v>262</v>
      </c>
      <c r="E18" s="233"/>
      <c r="F18" s="372"/>
      <c r="G18" s="299"/>
      <c r="H18" s="300"/>
      <c r="I18" s="300"/>
      <c r="J18" s="301">
        <f>F18*G18</f>
        <v>0</v>
      </c>
      <c r="K18" s="301"/>
      <c r="L18" s="207">
        <f>F18*K18</f>
        <v>0</v>
      </c>
      <c r="M18" s="206">
        <v>0</v>
      </c>
      <c r="N18" s="207">
        <f>F18*M18</f>
        <v>0</v>
      </c>
      <c r="O18" s="206">
        <v>0</v>
      </c>
      <c r="P18" s="207">
        <f>F18*O18</f>
        <v>0</v>
      </c>
      <c r="T18" s="205">
        <v>2</v>
      </c>
      <c r="BW18" s="205">
        <v>1</v>
      </c>
      <c r="BX18" s="205">
        <v>1</v>
      </c>
    </row>
    <row r="19" spans="1:76" x14ac:dyDescent="0.2">
      <c r="A19" s="293"/>
      <c r="B19" s="332"/>
      <c r="C19" s="295" t="s">
        <v>176</v>
      </c>
      <c r="D19" s="338" t="s">
        <v>263</v>
      </c>
      <c r="E19" s="339"/>
      <c r="F19" s="306"/>
      <c r="G19" s="302"/>
      <c r="H19" s="303"/>
      <c r="I19" s="303"/>
      <c r="J19" s="304"/>
      <c r="K19" s="311"/>
      <c r="L19" s="317"/>
      <c r="M19" s="206"/>
      <c r="N19" s="207"/>
      <c r="O19" s="206"/>
      <c r="P19" s="207"/>
    </row>
    <row r="20" spans="1:76" x14ac:dyDescent="0.2">
      <c r="A20" s="293"/>
      <c r="B20" s="332"/>
      <c r="C20" s="295" t="s">
        <v>178</v>
      </c>
      <c r="D20" s="347" t="s">
        <v>254</v>
      </c>
      <c r="E20" s="348"/>
      <c r="F20" s="389"/>
      <c r="G20" s="302"/>
      <c r="H20" s="303"/>
      <c r="I20" s="303"/>
      <c r="J20" s="304"/>
      <c r="K20" s="311"/>
      <c r="L20" s="317"/>
      <c r="M20" s="206"/>
      <c r="N20" s="207"/>
      <c r="O20" s="206"/>
      <c r="P20" s="207"/>
    </row>
    <row r="21" spans="1:76" ht="33.75" x14ac:dyDescent="0.2">
      <c r="A21" s="290"/>
      <c r="B21" s="386"/>
      <c r="C21" s="387"/>
      <c r="D21" s="254" t="s">
        <v>260</v>
      </c>
      <c r="E21" s="373"/>
      <c r="F21" s="390">
        <f>0.5*0.5 *(6.36+2.17+5.5+8.58+18.186+5.739+2.947+6.279+3.75)/2</f>
        <v>7.4388749999999995</v>
      </c>
      <c r="G21" s="305"/>
      <c r="H21" s="306"/>
      <c r="I21" s="306"/>
      <c r="J21" s="307">
        <f>F21*G21</f>
        <v>0</v>
      </c>
      <c r="K21" s="307"/>
      <c r="L21" s="388">
        <f>F21*K21</f>
        <v>0</v>
      </c>
      <c r="M21" s="206">
        <v>0</v>
      </c>
      <c r="N21" s="207">
        <f>F21*M21</f>
        <v>0</v>
      </c>
      <c r="O21" s="206">
        <v>0</v>
      </c>
      <c r="P21" s="207">
        <f>F21*O21</f>
        <v>0</v>
      </c>
      <c r="T21" s="205">
        <v>2</v>
      </c>
      <c r="BW21" s="205">
        <v>1</v>
      </c>
      <c r="BX21" s="205">
        <v>1</v>
      </c>
    </row>
    <row r="22" spans="1:76" x14ac:dyDescent="0.2">
      <c r="A22" s="296"/>
      <c r="B22" s="297"/>
      <c r="C22" s="298"/>
      <c r="D22" s="252" t="s">
        <v>159</v>
      </c>
      <c r="E22" s="244" t="s">
        <v>166</v>
      </c>
      <c r="F22" s="250">
        <f>SUM(F20:F21)</f>
        <v>7.4388749999999995</v>
      </c>
      <c r="G22" s="337">
        <v>0</v>
      </c>
      <c r="H22" s="250"/>
      <c r="I22" s="250">
        <f>+F22*G22</f>
        <v>0</v>
      </c>
      <c r="J22" s="251">
        <f>H22+I22</f>
        <v>0</v>
      </c>
      <c r="K22" s="308">
        <v>0</v>
      </c>
      <c r="L22" s="319">
        <f>+F22*K22</f>
        <v>0</v>
      </c>
      <c r="M22" s="206"/>
      <c r="N22" s="207"/>
      <c r="O22" s="206"/>
      <c r="P22" s="207"/>
    </row>
    <row r="23" spans="1:76" ht="22.5" x14ac:dyDescent="0.2">
      <c r="A23" s="232">
        <v>4</v>
      </c>
      <c r="B23" s="384" t="s">
        <v>226</v>
      </c>
      <c r="C23" s="385" t="s">
        <v>266</v>
      </c>
      <c r="D23" s="243" t="s">
        <v>272</v>
      </c>
      <c r="E23" s="233"/>
      <c r="F23" s="372"/>
      <c r="G23" s="299"/>
      <c r="H23" s="300"/>
      <c r="I23" s="300"/>
      <c r="J23" s="301">
        <f>F23*G23</f>
        <v>0</v>
      </c>
      <c r="K23" s="301"/>
      <c r="L23" s="207">
        <f>F23*K23</f>
        <v>0</v>
      </c>
      <c r="M23" s="206">
        <v>0</v>
      </c>
      <c r="N23" s="207">
        <f>F23*M23</f>
        <v>0</v>
      </c>
      <c r="O23" s="206">
        <v>0</v>
      </c>
      <c r="P23" s="207">
        <f>F23*O23</f>
        <v>0</v>
      </c>
      <c r="T23" s="205">
        <v>2</v>
      </c>
      <c r="BW23" s="205">
        <v>1</v>
      </c>
      <c r="BX23" s="205">
        <v>1</v>
      </c>
    </row>
    <row r="24" spans="1:76" x14ac:dyDescent="0.2">
      <c r="A24" s="293"/>
      <c r="B24" s="332"/>
      <c r="C24" s="295" t="s">
        <v>176</v>
      </c>
      <c r="D24" s="338" t="s">
        <v>272</v>
      </c>
      <c r="E24" s="339"/>
      <c r="F24" s="306"/>
      <c r="G24" s="302"/>
      <c r="H24" s="303"/>
      <c r="I24" s="303"/>
      <c r="J24" s="304"/>
      <c r="K24" s="311"/>
      <c r="L24" s="317"/>
      <c r="M24" s="206"/>
      <c r="N24" s="207"/>
      <c r="O24" s="206"/>
      <c r="P24" s="207"/>
    </row>
    <row r="25" spans="1:76" x14ac:dyDescent="0.2">
      <c r="A25" s="293"/>
      <c r="B25" s="332"/>
      <c r="C25" s="295" t="s">
        <v>178</v>
      </c>
      <c r="D25" s="347" t="s">
        <v>254</v>
      </c>
      <c r="E25" s="348"/>
      <c r="F25" s="389"/>
      <c r="G25" s="302"/>
      <c r="H25" s="303"/>
      <c r="I25" s="303"/>
      <c r="J25" s="304"/>
      <c r="K25" s="311"/>
      <c r="L25" s="317"/>
      <c r="M25" s="206"/>
      <c r="N25" s="207"/>
      <c r="O25" s="206"/>
      <c r="P25" s="207"/>
    </row>
    <row r="26" spans="1:76" ht="33.75" x14ac:dyDescent="0.2">
      <c r="A26" s="290"/>
      <c r="B26" s="386"/>
      <c r="C26" s="387"/>
      <c r="D26" s="254" t="s">
        <v>265</v>
      </c>
      <c r="E26" s="373"/>
      <c r="F26" s="390">
        <f>0.5*0.5 *(6.36+2.17+5.5+8.58+18.186+5.739+2.947+6.279+3.75)/5</f>
        <v>2.9755499999999997</v>
      </c>
      <c r="G26" s="305"/>
      <c r="H26" s="306"/>
      <c r="I26" s="306"/>
      <c r="J26" s="307">
        <f>F26*G26</f>
        <v>0</v>
      </c>
      <c r="K26" s="307"/>
      <c r="L26" s="388">
        <f>F26*K26</f>
        <v>0</v>
      </c>
      <c r="M26" s="206">
        <v>0</v>
      </c>
      <c r="N26" s="207">
        <f>F26*M26</f>
        <v>0</v>
      </c>
      <c r="O26" s="206">
        <v>0</v>
      </c>
      <c r="P26" s="207">
        <f>F26*O26</f>
        <v>0</v>
      </c>
      <c r="T26" s="205">
        <v>2</v>
      </c>
      <c r="BW26" s="205">
        <v>1</v>
      </c>
      <c r="BX26" s="205">
        <v>1</v>
      </c>
    </row>
    <row r="27" spans="1:76" x14ac:dyDescent="0.2">
      <c r="A27" s="296"/>
      <c r="B27" s="297"/>
      <c r="C27" s="298"/>
      <c r="D27" s="252" t="s">
        <v>159</v>
      </c>
      <c r="E27" s="244" t="s">
        <v>166</v>
      </c>
      <c r="F27" s="250">
        <f>SUM(F25:F26)</f>
        <v>2.9755499999999997</v>
      </c>
      <c r="G27" s="337">
        <v>0</v>
      </c>
      <c r="H27" s="250"/>
      <c r="I27" s="250">
        <f>+F27*G27</f>
        <v>0</v>
      </c>
      <c r="J27" s="251">
        <f>H27+I27</f>
        <v>0</v>
      </c>
      <c r="K27" s="308">
        <v>0</v>
      </c>
      <c r="L27" s="319">
        <f>+F27*K27</f>
        <v>0</v>
      </c>
      <c r="M27" s="206"/>
      <c r="N27" s="207"/>
      <c r="O27" s="206"/>
      <c r="P27" s="207"/>
    </row>
    <row r="28" spans="1:76" x14ac:dyDescent="0.2">
      <c r="A28" s="232">
        <v>5</v>
      </c>
      <c r="B28" s="384" t="s">
        <v>226</v>
      </c>
      <c r="C28" s="385" t="s">
        <v>264</v>
      </c>
      <c r="D28" s="243" t="s">
        <v>267</v>
      </c>
      <c r="E28" s="233"/>
      <c r="F28" s="372"/>
      <c r="G28" s="299"/>
      <c r="H28" s="300"/>
      <c r="I28" s="300"/>
      <c r="J28" s="301">
        <f>F28*G28</f>
        <v>0</v>
      </c>
      <c r="K28" s="301"/>
      <c r="L28" s="207">
        <f>F28*K28</f>
        <v>0</v>
      </c>
      <c r="M28" s="206">
        <v>0</v>
      </c>
      <c r="N28" s="207">
        <f>F28*M28</f>
        <v>0</v>
      </c>
      <c r="O28" s="206">
        <v>0</v>
      </c>
      <c r="P28" s="207">
        <f>F28*O28</f>
        <v>0</v>
      </c>
      <c r="T28" s="205">
        <v>2</v>
      </c>
      <c r="BW28" s="205">
        <v>1</v>
      </c>
      <c r="BX28" s="205">
        <v>1</v>
      </c>
    </row>
    <row r="29" spans="1:76" x14ac:dyDescent="0.2">
      <c r="A29" s="293"/>
      <c r="B29" s="332"/>
      <c r="C29" s="295" t="s">
        <v>176</v>
      </c>
      <c r="D29" s="338" t="s">
        <v>268</v>
      </c>
      <c r="E29" s="339"/>
      <c r="F29" s="306"/>
      <c r="G29" s="302"/>
      <c r="H29" s="303"/>
      <c r="I29" s="303"/>
      <c r="J29" s="304"/>
      <c r="K29" s="311"/>
      <c r="L29" s="317"/>
      <c r="M29" s="206"/>
      <c r="N29" s="207"/>
      <c r="O29" s="206"/>
      <c r="P29" s="207"/>
    </row>
    <row r="30" spans="1:76" x14ac:dyDescent="0.2">
      <c r="A30" s="293"/>
      <c r="B30" s="332"/>
      <c r="C30" s="295" t="s">
        <v>178</v>
      </c>
      <c r="D30" s="347" t="s">
        <v>254</v>
      </c>
      <c r="E30" s="348"/>
      <c r="F30" s="389"/>
      <c r="G30" s="302"/>
      <c r="H30" s="303"/>
      <c r="I30" s="303"/>
      <c r="J30" s="304"/>
      <c r="K30" s="311"/>
      <c r="L30" s="317"/>
      <c r="M30" s="206"/>
      <c r="N30" s="207"/>
      <c r="O30" s="206"/>
      <c r="P30" s="207"/>
    </row>
    <row r="31" spans="1:76" x14ac:dyDescent="0.2">
      <c r="A31" s="290"/>
      <c r="B31" s="386"/>
      <c r="C31" s="387"/>
      <c r="D31" s="254" t="s">
        <v>269</v>
      </c>
      <c r="E31" s="373"/>
      <c r="F31" s="390">
        <f>7.44-2.98</f>
        <v>4.4600000000000009</v>
      </c>
      <c r="G31" s="305"/>
      <c r="H31" s="306"/>
      <c r="I31" s="306"/>
      <c r="J31" s="307">
        <f>F31*G31</f>
        <v>0</v>
      </c>
      <c r="K31" s="307"/>
      <c r="L31" s="388">
        <f>F31*K31</f>
        <v>0</v>
      </c>
      <c r="M31" s="206">
        <v>0</v>
      </c>
      <c r="N31" s="207">
        <f>F31*M31</f>
        <v>0</v>
      </c>
      <c r="O31" s="206">
        <v>0</v>
      </c>
      <c r="P31" s="207">
        <f>F31*O31</f>
        <v>0</v>
      </c>
      <c r="T31" s="205">
        <v>2</v>
      </c>
      <c r="BW31" s="205">
        <v>1</v>
      </c>
      <c r="BX31" s="205">
        <v>1</v>
      </c>
    </row>
    <row r="32" spans="1:76" x14ac:dyDescent="0.2">
      <c r="A32" s="296"/>
      <c r="B32" s="297"/>
      <c r="C32" s="298"/>
      <c r="D32" s="252" t="s">
        <v>159</v>
      </c>
      <c r="E32" s="244" t="s">
        <v>166</v>
      </c>
      <c r="F32" s="250">
        <f>SUM(F30:F31)</f>
        <v>4.4600000000000009</v>
      </c>
      <c r="G32" s="337">
        <v>0</v>
      </c>
      <c r="H32" s="250"/>
      <c r="I32" s="250">
        <f>+F32*G32</f>
        <v>0</v>
      </c>
      <c r="J32" s="251">
        <f>H32+I32</f>
        <v>0</v>
      </c>
      <c r="K32" s="308">
        <v>0</v>
      </c>
      <c r="L32" s="319">
        <f>+F32*K32</f>
        <v>0</v>
      </c>
      <c r="M32" s="206"/>
      <c r="N32" s="207"/>
      <c r="O32" s="206"/>
      <c r="P32" s="207"/>
    </row>
    <row r="33" spans="1:76" x14ac:dyDescent="0.2">
      <c r="A33" s="232">
        <v>6</v>
      </c>
      <c r="B33" s="384" t="s">
        <v>226</v>
      </c>
      <c r="C33" s="385" t="s">
        <v>270</v>
      </c>
      <c r="D33" s="243" t="s">
        <v>271</v>
      </c>
      <c r="E33" s="233"/>
      <c r="F33" s="372"/>
      <c r="G33" s="299"/>
      <c r="H33" s="300"/>
      <c r="I33" s="300"/>
      <c r="J33" s="301">
        <f>F33*G33</f>
        <v>0</v>
      </c>
      <c r="K33" s="301"/>
      <c r="L33" s="207">
        <f>F33*K33</f>
        <v>0</v>
      </c>
      <c r="M33" s="206">
        <v>0</v>
      </c>
      <c r="N33" s="207">
        <f>F33*M33</f>
        <v>0</v>
      </c>
      <c r="O33" s="206">
        <v>0</v>
      </c>
      <c r="P33" s="207">
        <f>F33*O33</f>
        <v>0</v>
      </c>
      <c r="T33" s="205">
        <v>2</v>
      </c>
      <c r="BW33" s="205">
        <v>1</v>
      </c>
      <c r="BX33" s="205">
        <v>1</v>
      </c>
    </row>
    <row r="34" spans="1:76" x14ac:dyDescent="0.2">
      <c r="A34" s="293"/>
      <c r="B34" s="332"/>
      <c r="C34" s="295" t="s">
        <v>176</v>
      </c>
      <c r="D34" s="338" t="s">
        <v>273</v>
      </c>
      <c r="E34" s="339"/>
      <c r="F34" s="306"/>
      <c r="G34" s="302"/>
      <c r="H34" s="303"/>
      <c r="I34" s="303"/>
      <c r="J34" s="304"/>
      <c r="K34" s="311"/>
      <c r="L34" s="317"/>
      <c r="M34" s="206"/>
      <c r="N34" s="207"/>
      <c r="O34" s="206"/>
      <c r="P34" s="207"/>
    </row>
    <row r="35" spans="1:76" x14ac:dyDescent="0.2">
      <c r="A35" s="293"/>
      <c r="B35" s="332"/>
      <c r="C35" s="295" t="s">
        <v>178</v>
      </c>
      <c r="D35" s="347" t="s">
        <v>254</v>
      </c>
      <c r="E35" s="348"/>
      <c r="F35" s="389"/>
      <c r="G35" s="302"/>
      <c r="H35" s="303"/>
      <c r="I35" s="303"/>
      <c r="J35" s="304"/>
      <c r="K35" s="311"/>
      <c r="L35" s="317"/>
      <c r="M35" s="206"/>
      <c r="N35" s="207"/>
      <c r="O35" s="206"/>
      <c r="P35" s="207"/>
    </row>
    <row r="36" spans="1:76" x14ac:dyDescent="0.2">
      <c r="A36" s="290"/>
      <c r="B36" s="386"/>
      <c r="C36" s="387"/>
      <c r="D36" s="254" t="s">
        <v>274</v>
      </c>
      <c r="E36" s="373"/>
      <c r="F36" s="390">
        <f>2.98*1.8</f>
        <v>5.3639999999999999</v>
      </c>
      <c r="G36" s="305"/>
      <c r="H36" s="306"/>
      <c r="I36" s="306"/>
      <c r="J36" s="307">
        <f>F36*G36</f>
        <v>0</v>
      </c>
      <c r="K36" s="307"/>
      <c r="L36" s="388">
        <f>F36*K36</f>
        <v>0</v>
      </c>
      <c r="M36" s="206">
        <v>0</v>
      </c>
      <c r="N36" s="207">
        <f>F36*M36</f>
        <v>0</v>
      </c>
      <c r="O36" s="206">
        <v>0</v>
      </c>
      <c r="P36" s="207">
        <f>F36*O36</f>
        <v>0</v>
      </c>
      <c r="T36" s="205">
        <v>2</v>
      </c>
      <c r="BW36" s="205">
        <v>1</v>
      </c>
      <c r="BX36" s="205">
        <v>1</v>
      </c>
    </row>
    <row r="37" spans="1:76" x14ac:dyDescent="0.2">
      <c r="A37" s="296"/>
      <c r="B37" s="297"/>
      <c r="C37" s="298"/>
      <c r="D37" s="252" t="s">
        <v>159</v>
      </c>
      <c r="E37" s="244" t="s">
        <v>120</v>
      </c>
      <c r="F37" s="250">
        <f>SUM(F35:F36)</f>
        <v>5.3639999999999999</v>
      </c>
      <c r="G37" s="337">
        <v>0</v>
      </c>
      <c r="H37" s="250"/>
      <c r="I37" s="250">
        <f>+F37*G37</f>
        <v>0</v>
      </c>
      <c r="J37" s="251">
        <f>H37+I37</f>
        <v>0</v>
      </c>
      <c r="K37" s="308">
        <v>0</v>
      </c>
      <c r="L37" s="319">
        <f>+F37*K37</f>
        <v>0</v>
      </c>
      <c r="M37" s="206"/>
      <c r="N37" s="207"/>
      <c r="O37" s="206"/>
      <c r="P37" s="207"/>
    </row>
    <row r="38" spans="1:76" x14ac:dyDescent="0.2">
      <c r="A38" s="232">
        <v>7</v>
      </c>
      <c r="B38" s="384" t="s">
        <v>226</v>
      </c>
      <c r="C38" s="385" t="s">
        <v>275</v>
      </c>
      <c r="D38" s="243" t="s">
        <v>276</v>
      </c>
      <c r="E38" s="233"/>
      <c r="F38" s="372"/>
      <c r="G38" s="299"/>
      <c r="H38" s="300"/>
      <c r="I38" s="300"/>
      <c r="J38" s="301">
        <f>F38*G38</f>
        <v>0</v>
      </c>
      <c r="K38" s="301"/>
      <c r="L38" s="207">
        <f>F38*K38</f>
        <v>0</v>
      </c>
      <c r="M38" s="206">
        <v>0</v>
      </c>
      <c r="N38" s="207">
        <f>F38*M38</f>
        <v>0</v>
      </c>
      <c r="O38" s="206">
        <v>0</v>
      </c>
      <c r="P38" s="207">
        <f>F38*O38</f>
        <v>0</v>
      </c>
      <c r="T38" s="205">
        <v>2</v>
      </c>
      <c r="BW38" s="205">
        <v>1</v>
      </c>
      <c r="BX38" s="205">
        <v>1</v>
      </c>
    </row>
    <row r="39" spans="1:76" x14ac:dyDescent="0.2">
      <c r="A39" s="293"/>
      <c r="B39" s="332"/>
      <c r="C39" s="295" t="s">
        <v>176</v>
      </c>
      <c r="D39" s="338" t="s">
        <v>277</v>
      </c>
      <c r="E39" s="339"/>
      <c r="F39" s="306"/>
      <c r="G39" s="302"/>
      <c r="H39" s="303"/>
      <c r="I39" s="303"/>
      <c r="J39" s="304"/>
      <c r="K39" s="311"/>
      <c r="L39" s="317"/>
      <c r="M39" s="206"/>
      <c r="N39" s="207"/>
      <c r="O39" s="206"/>
      <c r="P39" s="207"/>
    </row>
    <row r="40" spans="1:76" x14ac:dyDescent="0.2">
      <c r="A40" s="293"/>
      <c r="B40" s="332"/>
      <c r="C40" s="295" t="s">
        <v>178</v>
      </c>
      <c r="D40" s="347" t="s">
        <v>254</v>
      </c>
      <c r="E40" s="348"/>
      <c r="F40" s="389"/>
      <c r="G40" s="302"/>
      <c r="H40" s="303"/>
      <c r="I40" s="303"/>
      <c r="J40" s="304"/>
      <c r="K40" s="311"/>
      <c r="L40" s="317"/>
      <c r="M40" s="206"/>
      <c r="N40" s="207"/>
      <c r="O40" s="206"/>
      <c r="P40" s="207"/>
    </row>
    <row r="41" spans="1:76" x14ac:dyDescent="0.2">
      <c r="A41" s="290"/>
      <c r="B41" s="386"/>
      <c r="C41" s="387"/>
      <c r="D41" s="254" t="s">
        <v>278</v>
      </c>
      <c r="E41" s="373"/>
      <c r="F41" s="390">
        <v>4.46</v>
      </c>
      <c r="G41" s="305"/>
      <c r="H41" s="306"/>
      <c r="I41" s="306"/>
      <c r="J41" s="307">
        <f>F41*G41</f>
        <v>0</v>
      </c>
      <c r="K41" s="307"/>
      <c r="L41" s="388">
        <f>F41*K41</f>
        <v>0</v>
      </c>
      <c r="M41" s="206">
        <v>0</v>
      </c>
      <c r="N41" s="207">
        <f>F41*M41</f>
        <v>0</v>
      </c>
      <c r="O41" s="206">
        <v>0</v>
      </c>
      <c r="P41" s="207">
        <f>F41*O41</f>
        <v>0</v>
      </c>
      <c r="T41" s="205">
        <v>2</v>
      </c>
      <c r="BW41" s="205">
        <v>1</v>
      </c>
      <c r="BX41" s="205">
        <v>1</v>
      </c>
    </row>
    <row r="42" spans="1:76" x14ac:dyDescent="0.2">
      <c r="A42" s="296"/>
      <c r="B42" s="297"/>
      <c r="C42" s="298"/>
      <c r="D42" s="252" t="s">
        <v>159</v>
      </c>
      <c r="E42" s="244" t="s">
        <v>166</v>
      </c>
      <c r="F42" s="250">
        <f>SUM(F40:F41)</f>
        <v>4.46</v>
      </c>
      <c r="G42" s="337">
        <v>0</v>
      </c>
      <c r="H42" s="250"/>
      <c r="I42" s="250">
        <f>+F42*G42</f>
        <v>0</v>
      </c>
      <c r="J42" s="251">
        <f>H42+I42</f>
        <v>0</v>
      </c>
      <c r="K42" s="308">
        <v>0</v>
      </c>
      <c r="L42" s="319">
        <f>+F42*K42</f>
        <v>0</v>
      </c>
      <c r="M42" s="206"/>
      <c r="N42" s="207"/>
      <c r="O42" s="206"/>
      <c r="P42" s="207"/>
    </row>
    <row r="43" spans="1:76" ht="13.5" thickBot="1" x14ac:dyDescent="0.25">
      <c r="A43" s="256"/>
      <c r="B43" s="259"/>
      <c r="C43" s="419" t="s">
        <v>87</v>
      </c>
      <c r="D43" s="258" t="s">
        <v>249</v>
      </c>
      <c r="E43" s="259"/>
      <c r="F43" s="260"/>
      <c r="G43" s="260"/>
      <c r="H43" s="325">
        <f>SUM(H7:H42)</f>
        <v>0</v>
      </c>
      <c r="I43" s="325">
        <f>SUM(I7:I42)</f>
        <v>0</v>
      </c>
      <c r="J43" s="261">
        <f>SUM(J7:J42)</f>
        <v>0</v>
      </c>
      <c r="K43" s="261"/>
      <c r="L43" s="420">
        <f>SUM(L7:L42)</f>
        <v>0</v>
      </c>
      <c r="M43" s="209"/>
      <c r="N43" s="210">
        <f>SUM(N7:N42)</f>
        <v>0</v>
      </c>
      <c r="O43" s="209"/>
      <c r="P43" s="210">
        <f>SUM(P7:P42)</f>
        <v>0</v>
      </c>
      <c r="T43" s="205">
        <v>4</v>
      </c>
    </row>
    <row r="44" spans="1:76" x14ac:dyDescent="0.2">
      <c r="A44" s="200" t="s">
        <v>86</v>
      </c>
      <c r="B44" s="200"/>
      <c r="C44" s="376" t="s">
        <v>250</v>
      </c>
      <c r="D44" s="262" t="s">
        <v>251</v>
      </c>
      <c r="E44" s="263"/>
      <c r="F44" s="264"/>
      <c r="G44" s="264"/>
      <c r="H44" s="264"/>
      <c r="I44" s="264"/>
      <c r="J44" s="265"/>
      <c r="K44" s="265"/>
      <c r="L44" s="265"/>
      <c r="M44" s="201"/>
      <c r="N44" s="202"/>
      <c r="O44" s="203"/>
      <c r="P44" s="204"/>
      <c r="T44" s="205">
        <v>1</v>
      </c>
    </row>
    <row r="45" spans="1:76" x14ac:dyDescent="0.2">
      <c r="A45" s="232">
        <v>8</v>
      </c>
      <c r="B45" s="384" t="s">
        <v>226</v>
      </c>
      <c r="C45" s="385" t="s">
        <v>279</v>
      </c>
      <c r="D45" s="243" t="s">
        <v>280</v>
      </c>
      <c r="E45" s="233"/>
      <c r="F45" s="372"/>
      <c r="G45" s="299"/>
      <c r="H45" s="300"/>
      <c r="I45" s="300"/>
      <c r="J45" s="301">
        <f>F45*G45</f>
        <v>0</v>
      </c>
      <c r="K45" s="301"/>
      <c r="L45" s="207">
        <f>F45*K45</f>
        <v>0</v>
      </c>
      <c r="M45" s="206">
        <v>0</v>
      </c>
      <c r="N45" s="207">
        <f>F45*M45</f>
        <v>0</v>
      </c>
      <c r="O45" s="206">
        <v>0</v>
      </c>
      <c r="P45" s="207">
        <f>F45*O45</f>
        <v>0</v>
      </c>
      <c r="T45" s="205">
        <v>2</v>
      </c>
      <c r="BW45" s="205">
        <v>1</v>
      </c>
      <c r="BX45" s="205">
        <v>1</v>
      </c>
    </row>
    <row r="46" spans="1:76" x14ac:dyDescent="0.2">
      <c r="A46" s="293"/>
      <c r="B46" s="332"/>
      <c r="C46" s="295" t="s">
        <v>176</v>
      </c>
      <c r="D46" s="338" t="s">
        <v>280</v>
      </c>
      <c r="E46" s="339"/>
      <c r="F46" s="306"/>
      <c r="G46" s="302"/>
      <c r="H46" s="303"/>
      <c r="I46" s="303"/>
      <c r="J46" s="304"/>
      <c r="K46" s="311"/>
      <c r="L46" s="317"/>
      <c r="M46" s="206"/>
      <c r="N46" s="207"/>
      <c r="O46" s="206"/>
      <c r="P46" s="207"/>
    </row>
    <row r="47" spans="1:76" x14ac:dyDescent="0.2">
      <c r="A47" s="293"/>
      <c r="B47" s="332"/>
      <c r="C47" s="295" t="s">
        <v>178</v>
      </c>
      <c r="D47" s="347" t="s">
        <v>254</v>
      </c>
      <c r="E47" s="348"/>
      <c r="F47" s="389"/>
      <c r="G47" s="302"/>
      <c r="H47" s="303"/>
      <c r="I47" s="303"/>
      <c r="J47" s="304"/>
      <c r="K47" s="311"/>
      <c r="L47" s="317"/>
      <c r="M47" s="206"/>
      <c r="N47" s="207"/>
      <c r="O47" s="206"/>
      <c r="P47" s="207"/>
    </row>
    <row r="48" spans="1:76" ht="33.75" x14ac:dyDescent="0.2">
      <c r="A48" s="290"/>
      <c r="B48" s="386"/>
      <c r="C48" s="387"/>
      <c r="D48" s="254" t="s">
        <v>281</v>
      </c>
      <c r="E48" s="373"/>
      <c r="F48" s="390">
        <f>0.5*(6.36+2.17+5.5+8.58+18.186+5.739+2.947+6.279+3.75)</f>
        <v>29.755499999999998</v>
      </c>
      <c r="G48" s="305"/>
      <c r="H48" s="306"/>
      <c r="I48" s="306"/>
      <c r="J48" s="307">
        <f>F48*G48</f>
        <v>0</v>
      </c>
      <c r="K48" s="307"/>
      <c r="L48" s="388">
        <f>F48*K48</f>
        <v>0</v>
      </c>
      <c r="M48" s="206">
        <v>0</v>
      </c>
      <c r="N48" s="207">
        <f>F48*M48</f>
        <v>0</v>
      </c>
      <c r="O48" s="206">
        <v>0</v>
      </c>
      <c r="P48" s="207">
        <f>F48*O48</f>
        <v>0</v>
      </c>
      <c r="T48" s="205">
        <v>2</v>
      </c>
      <c r="BW48" s="205">
        <v>1</v>
      </c>
      <c r="BX48" s="205">
        <v>1</v>
      </c>
    </row>
    <row r="49" spans="1:76" x14ac:dyDescent="0.2">
      <c r="A49" s="296"/>
      <c r="B49" s="297"/>
      <c r="C49" s="298"/>
      <c r="D49" s="252" t="s">
        <v>159</v>
      </c>
      <c r="E49" s="244" t="s">
        <v>163</v>
      </c>
      <c r="F49" s="250">
        <f>SUM(F47:F48)</f>
        <v>29.755499999999998</v>
      </c>
      <c r="G49" s="337">
        <v>0</v>
      </c>
      <c r="H49" s="250"/>
      <c r="I49" s="250">
        <f>+F49*G49</f>
        <v>0</v>
      </c>
      <c r="J49" s="251">
        <f>H49+I49</f>
        <v>0</v>
      </c>
      <c r="K49" s="308">
        <v>0</v>
      </c>
      <c r="L49" s="319">
        <f>+F49*K49</f>
        <v>0</v>
      </c>
      <c r="M49" s="206"/>
      <c r="N49" s="207"/>
      <c r="O49" s="206"/>
      <c r="P49" s="207"/>
    </row>
    <row r="50" spans="1:76" x14ac:dyDescent="0.2">
      <c r="A50" s="232">
        <v>9</v>
      </c>
      <c r="B50" s="384" t="s">
        <v>228</v>
      </c>
      <c r="C50" s="385" t="s">
        <v>282</v>
      </c>
      <c r="D50" s="243" t="s">
        <v>283</v>
      </c>
      <c r="E50" s="233"/>
      <c r="F50" s="372"/>
      <c r="G50" s="299"/>
      <c r="H50" s="300"/>
      <c r="I50" s="300"/>
      <c r="J50" s="301">
        <f>F50*G50</f>
        <v>0</v>
      </c>
      <c r="K50" s="301"/>
      <c r="L50" s="207">
        <f>F50*K50</f>
        <v>0</v>
      </c>
      <c r="M50" s="206">
        <v>0</v>
      </c>
      <c r="N50" s="207">
        <f>F50*M50</f>
        <v>0</v>
      </c>
      <c r="O50" s="206">
        <v>0</v>
      </c>
      <c r="P50" s="207">
        <f>F50*O50</f>
        <v>0</v>
      </c>
      <c r="T50" s="205">
        <v>2</v>
      </c>
      <c r="BW50" s="205">
        <v>1</v>
      </c>
      <c r="BX50" s="205">
        <v>1</v>
      </c>
    </row>
    <row r="51" spans="1:76" x14ac:dyDescent="0.2">
      <c r="A51" s="293"/>
      <c r="B51" s="332"/>
      <c r="C51" s="295" t="s">
        <v>176</v>
      </c>
      <c r="D51" s="338" t="s">
        <v>283</v>
      </c>
      <c r="E51" s="339"/>
      <c r="F51" s="306"/>
      <c r="G51" s="302"/>
      <c r="H51" s="303"/>
      <c r="I51" s="303"/>
      <c r="J51" s="304"/>
      <c r="K51" s="311"/>
      <c r="L51" s="317"/>
      <c r="M51" s="206"/>
      <c r="N51" s="207"/>
      <c r="O51" s="206"/>
      <c r="P51" s="207"/>
    </row>
    <row r="52" spans="1:76" x14ac:dyDescent="0.2">
      <c r="A52" s="293"/>
      <c r="B52" s="332"/>
      <c r="C52" s="295" t="s">
        <v>178</v>
      </c>
      <c r="D52" s="347" t="s">
        <v>254</v>
      </c>
      <c r="E52" s="348"/>
      <c r="F52" s="389"/>
      <c r="G52" s="302"/>
      <c r="H52" s="303"/>
      <c r="I52" s="303"/>
      <c r="J52" s="304"/>
      <c r="K52" s="311"/>
      <c r="L52" s="317"/>
      <c r="M52" s="206"/>
      <c r="N52" s="207"/>
      <c r="O52" s="206"/>
      <c r="P52" s="207"/>
    </row>
    <row r="53" spans="1:76" x14ac:dyDescent="0.2">
      <c r="A53" s="290"/>
      <c r="B53" s="386"/>
      <c r="C53" s="387"/>
      <c r="D53" s="254" t="s">
        <v>284</v>
      </c>
      <c r="E53" s="373"/>
      <c r="F53" s="390">
        <f>0.5*(6.36+2.17+5.5+8.58+18.186+5.739+2.947+6.279+3.75)*1.5</f>
        <v>44.633249999999997</v>
      </c>
      <c r="G53" s="305"/>
      <c r="H53" s="306"/>
      <c r="I53" s="306"/>
      <c r="J53" s="307">
        <f>F53*G53</f>
        <v>0</v>
      </c>
      <c r="K53" s="307"/>
      <c r="L53" s="388">
        <f>F53*K53</f>
        <v>0</v>
      </c>
      <c r="M53" s="206">
        <v>0</v>
      </c>
      <c r="N53" s="207">
        <f>F53*M53</f>
        <v>0</v>
      </c>
      <c r="O53" s="206">
        <v>0</v>
      </c>
      <c r="P53" s="207">
        <f>F53*O53</f>
        <v>0</v>
      </c>
      <c r="T53" s="205">
        <v>2</v>
      </c>
      <c r="BW53" s="205">
        <v>1</v>
      </c>
      <c r="BX53" s="205">
        <v>1</v>
      </c>
    </row>
    <row r="54" spans="1:76" x14ac:dyDescent="0.2">
      <c r="A54" s="296"/>
      <c r="B54" s="297"/>
      <c r="C54" s="298"/>
      <c r="D54" s="252" t="s">
        <v>159</v>
      </c>
      <c r="E54" s="244" t="s">
        <v>163</v>
      </c>
      <c r="F54" s="250">
        <f>SUM(F52:F53)</f>
        <v>44.633249999999997</v>
      </c>
      <c r="G54" s="337">
        <v>0</v>
      </c>
      <c r="H54" s="250"/>
      <c r="I54" s="250">
        <f>+F54*G54</f>
        <v>0</v>
      </c>
      <c r="J54" s="251">
        <f>H54+I54</f>
        <v>0</v>
      </c>
      <c r="K54" s="308">
        <v>2.3000000000000001E-4</v>
      </c>
      <c r="L54" s="319">
        <f>+F54*K54</f>
        <v>1.0265647499999999E-2</v>
      </c>
      <c r="M54" s="206"/>
      <c r="N54" s="207"/>
      <c r="O54" s="206"/>
      <c r="P54" s="207"/>
    </row>
    <row r="55" spans="1:76" x14ac:dyDescent="0.2">
      <c r="A55" s="232">
        <v>10</v>
      </c>
      <c r="B55" s="384" t="s">
        <v>226</v>
      </c>
      <c r="C55" s="385" t="s">
        <v>285</v>
      </c>
      <c r="D55" s="243" t="s">
        <v>286</v>
      </c>
      <c r="E55" s="233"/>
      <c r="F55" s="372"/>
      <c r="G55" s="299"/>
      <c r="H55" s="300"/>
      <c r="I55" s="300"/>
      <c r="J55" s="301">
        <f>F55*G55</f>
        <v>0</v>
      </c>
      <c r="K55" s="301"/>
      <c r="L55" s="207">
        <f>F55*K55</f>
        <v>0</v>
      </c>
      <c r="M55" s="206">
        <v>0</v>
      </c>
      <c r="N55" s="207">
        <f>F55*M55</f>
        <v>0</v>
      </c>
      <c r="O55" s="206">
        <v>0</v>
      </c>
      <c r="P55" s="207">
        <f>F55*O55</f>
        <v>0</v>
      </c>
      <c r="T55" s="205">
        <v>2</v>
      </c>
      <c r="BW55" s="205">
        <v>1</v>
      </c>
      <c r="BX55" s="205">
        <v>1</v>
      </c>
    </row>
    <row r="56" spans="1:76" x14ac:dyDescent="0.2">
      <c r="A56" s="293"/>
      <c r="B56" s="332"/>
      <c r="C56" s="295" t="s">
        <v>176</v>
      </c>
      <c r="D56" s="338" t="s">
        <v>287</v>
      </c>
      <c r="E56" s="339"/>
      <c r="F56" s="306"/>
      <c r="G56" s="302"/>
      <c r="H56" s="303"/>
      <c r="I56" s="303"/>
      <c r="J56" s="304"/>
      <c r="K56" s="311"/>
      <c r="L56" s="317"/>
      <c r="M56" s="206"/>
      <c r="N56" s="207"/>
      <c r="O56" s="206"/>
      <c r="P56" s="207"/>
    </row>
    <row r="57" spans="1:76" x14ac:dyDescent="0.2">
      <c r="A57" s="293"/>
      <c r="B57" s="332"/>
      <c r="C57" s="295" t="s">
        <v>178</v>
      </c>
      <c r="D57" s="347" t="s">
        <v>254</v>
      </c>
      <c r="E57" s="348"/>
      <c r="F57" s="389"/>
      <c r="G57" s="302"/>
      <c r="H57" s="303"/>
      <c r="I57" s="303"/>
      <c r="J57" s="304"/>
      <c r="K57" s="311"/>
      <c r="L57" s="317"/>
      <c r="M57" s="206"/>
      <c r="N57" s="207"/>
      <c r="O57" s="206"/>
      <c r="P57" s="207"/>
    </row>
    <row r="58" spans="1:76" x14ac:dyDescent="0.2">
      <c r="A58" s="290"/>
      <c r="B58" s="386"/>
      <c r="C58" s="387"/>
      <c r="D58" s="254" t="s">
        <v>288</v>
      </c>
      <c r="E58" s="373"/>
      <c r="F58" s="390">
        <v>20.88</v>
      </c>
      <c r="G58" s="305"/>
      <c r="H58" s="306"/>
      <c r="I58" s="306"/>
      <c r="J58" s="307">
        <f>F58*G58</f>
        <v>0</v>
      </c>
      <c r="K58" s="307"/>
      <c r="L58" s="388">
        <f>F58*K58</f>
        <v>0</v>
      </c>
      <c r="M58" s="206">
        <v>0</v>
      </c>
      <c r="N58" s="207">
        <f>F58*M58</f>
        <v>0</v>
      </c>
      <c r="O58" s="206">
        <v>0</v>
      </c>
      <c r="P58" s="207">
        <f>F58*O58</f>
        <v>0</v>
      </c>
      <c r="T58" s="205">
        <v>2</v>
      </c>
      <c r="BW58" s="205">
        <v>1</v>
      </c>
      <c r="BX58" s="205">
        <v>1</v>
      </c>
    </row>
    <row r="59" spans="1:76" x14ac:dyDescent="0.2">
      <c r="A59" s="296"/>
      <c r="B59" s="297"/>
      <c r="C59" s="298"/>
      <c r="D59" s="252" t="s">
        <v>159</v>
      </c>
      <c r="E59" s="244" t="s">
        <v>163</v>
      </c>
      <c r="F59" s="250">
        <f>SUM(F57:F58)</f>
        <v>20.88</v>
      </c>
      <c r="G59" s="337">
        <v>0</v>
      </c>
      <c r="H59" s="250"/>
      <c r="I59" s="250">
        <f>+F59*G59</f>
        <v>0</v>
      </c>
      <c r="J59" s="251">
        <f>H59+I59</f>
        <v>0</v>
      </c>
      <c r="K59" s="308">
        <v>0.17499999999999999</v>
      </c>
      <c r="L59" s="319">
        <f>+F59*K59</f>
        <v>3.6539999999999995</v>
      </c>
      <c r="M59" s="206"/>
      <c r="N59" s="207"/>
      <c r="O59" s="206"/>
      <c r="P59" s="207"/>
    </row>
    <row r="60" spans="1:76" x14ac:dyDescent="0.2">
      <c r="A60" s="232">
        <v>10</v>
      </c>
      <c r="B60" s="384" t="s">
        <v>226</v>
      </c>
      <c r="C60" s="385" t="s">
        <v>289</v>
      </c>
      <c r="D60" s="243" t="s">
        <v>291</v>
      </c>
      <c r="E60" s="233"/>
      <c r="F60" s="372"/>
      <c r="G60" s="299"/>
      <c r="H60" s="300"/>
      <c r="I60" s="300"/>
      <c r="J60" s="301">
        <f>F60*G60</f>
        <v>0</v>
      </c>
      <c r="K60" s="301"/>
      <c r="L60" s="207">
        <f>F60*K60</f>
        <v>0</v>
      </c>
      <c r="M60" s="206">
        <v>0</v>
      </c>
      <c r="N60" s="207">
        <f>F60*M60</f>
        <v>0</v>
      </c>
      <c r="O60" s="206">
        <v>0</v>
      </c>
      <c r="P60" s="207">
        <f>F60*O60</f>
        <v>0</v>
      </c>
      <c r="T60" s="205">
        <v>2</v>
      </c>
      <c r="BW60" s="205">
        <v>1</v>
      </c>
      <c r="BX60" s="205">
        <v>1</v>
      </c>
    </row>
    <row r="61" spans="1:76" x14ac:dyDescent="0.2">
      <c r="A61" s="293"/>
      <c r="B61" s="332"/>
      <c r="C61" s="295" t="s">
        <v>176</v>
      </c>
      <c r="D61" s="338" t="s">
        <v>290</v>
      </c>
      <c r="E61" s="339"/>
      <c r="F61" s="306"/>
      <c r="G61" s="302"/>
      <c r="H61" s="303"/>
      <c r="I61" s="303"/>
      <c r="J61" s="304"/>
      <c r="K61" s="311"/>
      <c r="L61" s="317"/>
      <c r="M61" s="206"/>
      <c r="N61" s="207"/>
      <c r="O61" s="206"/>
      <c r="P61" s="207"/>
    </row>
    <row r="62" spans="1:76" x14ac:dyDescent="0.2">
      <c r="A62" s="293"/>
      <c r="B62" s="332"/>
      <c r="C62" s="295" t="s">
        <v>178</v>
      </c>
      <c r="D62" s="347" t="s">
        <v>254</v>
      </c>
      <c r="E62" s="348"/>
      <c r="F62" s="389"/>
      <c r="G62" s="302"/>
      <c r="H62" s="303"/>
      <c r="I62" s="303"/>
      <c r="J62" s="304"/>
      <c r="K62" s="311"/>
      <c r="L62" s="317"/>
      <c r="M62" s="206"/>
      <c r="N62" s="207"/>
      <c r="O62" s="206"/>
      <c r="P62" s="207"/>
    </row>
    <row r="63" spans="1:76" x14ac:dyDescent="0.2">
      <c r="A63" s="290"/>
      <c r="B63" s="386"/>
      <c r="C63" s="387"/>
      <c r="D63" s="254" t="s">
        <v>288</v>
      </c>
      <c r="E63" s="373"/>
      <c r="F63" s="390">
        <v>20.88</v>
      </c>
      <c r="G63" s="305"/>
      <c r="H63" s="306"/>
      <c r="I63" s="306"/>
      <c r="J63" s="307">
        <f>F63*G63</f>
        <v>0</v>
      </c>
      <c r="K63" s="307"/>
      <c r="L63" s="388">
        <f>F63*K63</f>
        <v>0</v>
      </c>
      <c r="M63" s="206">
        <v>0</v>
      </c>
      <c r="N63" s="207">
        <f>F63*M63</f>
        <v>0</v>
      </c>
      <c r="O63" s="206">
        <v>0</v>
      </c>
      <c r="P63" s="207">
        <f>F63*O63</f>
        <v>0</v>
      </c>
      <c r="T63" s="205">
        <v>2</v>
      </c>
      <c r="BW63" s="205">
        <v>1</v>
      </c>
      <c r="BX63" s="205">
        <v>1</v>
      </c>
    </row>
    <row r="64" spans="1:76" x14ac:dyDescent="0.2">
      <c r="A64" s="296"/>
      <c r="B64" s="297"/>
      <c r="C64" s="298"/>
      <c r="D64" s="252" t="s">
        <v>159</v>
      </c>
      <c r="E64" s="244" t="s">
        <v>163</v>
      </c>
      <c r="F64" s="250">
        <f>SUM(F62:F63)</f>
        <v>20.88</v>
      </c>
      <c r="G64" s="337">
        <v>0</v>
      </c>
      <c r="H64" s="250"/>
      <c r="I64" s="250">
        <f>+F64*G64</f>
        <v>0</v>
      </c>
      <c r="J64" s="251">
        <f>H64+I64</f>
        <v>0</v>
      </c>
      <c r="K64" s="308">
        <v>0.126</v>
      </c>
      <c r="L64" s="319">
        <f>+F64*K64</f>
        <v>2.6308799999999999</v>
      </c>
      <c r="M64" s="206"/>
      <c r="N64" s="207"/>
      <c r="O64" s="206"/>
      <c r="P64" s="207"/>
    </row>
    <row r="65" spans="1:76" x14ac:dyDescent="0.2">
      <c r="A65" s="391"/>
      <c r="B65" s="381"/>
      <c r="C65" s="392" t="s">
        <v>87</v>
      </c>
      <c r="D65" s="393" t="s">
        <v>251</v>
      </c>
      <c r="E65" s="381"/>
      <c r="F65" s="382"/>
      <c r="G65" s="382"/>
      <c r="H65" s="395">
        <f>SUM(H44:H64)</f>
        <v>0</v>
      </c>
      <c r="I65" s="395">
        <f>SUM(I44:I64)</f>
        <v>0</v>
      </c>
      <c r="J65" s="394">
        <f>SUM(J44:J64)</f>
        <v>0</v>
      </c>
      <c r="K65" s="394"/>
      <c r="L65" s="210">
        <f>SUM(L44:L64)</f>
        <v>6.2951456474999992</v>
      </c>
      <c r="M65" s="209"/>
      <c r="N65" s="210">
        <f>SUM(N44:N64)</f>
        <v>0</v>
      </c>
      <c r="O65" s="209"/>
      <c r="P65" s="210">
        <f>SUM(P44:P64)</f>
        <v>0</v>
      </c>
      <c r="T65" s="205">
        <v>4</v>
      </c>
    </row>
    <row r="66" spans="1:76" x14ac:dyDescent="0.2">
      <c r="A66" s="200" t="s">
        <v>86</v>
      </c>
      <c r="B66" s="200"/>
      <c r="C66" s="376" t="s">
        <v>292</v>
      </c>
      <c r="D66" s="377" t="s">
        <v>293</v>
      </c>
      <c r="E66" s="378"/>
      <c r="F66" s="379"/>
      <c r="G66" s="379"/>
      <c r="H66" s="379"/>
      <c r="I66" s="379"/>
      <c r="J66" s="380"/>
      <c r="K66" s="380"/>
      <c r="L66" s="380"/>
      <c r="M66" s="201"/>
      <c r="N66" s="202"/>
      <c r="O66" s="203"/>
      <c r="P66" s="204"/>
      <c r="T66" s="205">
        <v>1</v>
      </c>
    </row>
    <row r="67" spans="1:76" ht="22.5" x14ac:dyDescent="0.2">
      <c r="A67" s="232">
        <v>11</v>
      </c>
      <c r="B67" s="384" t="s">
        <v>226</v>
      </c>
      <c r="C67" s="385" t="s">
        <v>294</v>
      </c>
      <c r="D67" s="243" t="s">
        <v>295</v>
      </c>
      <c r="E67" s="233"/>
      <c r="F67" s="372"/>
      <c r="G67" s="299"/>
      <c r="H67" s="300"/>
      <c r="I67" s="300"/>
      <c r="J67" s="301">
        <f>F67*G67</f>
        <v>0</v>
      </c>
      <c r="K67" s="301"/>
      <c r="L67" s="207">
        <f>F67*K67</f>
        <v>0</v>
      </c>
      <c r="M67" s="206">
        <v>0</v>
      </c>
      <c r="N67" s="207">
        <f>F67*M67</f>
        <v>0</v>
      </c>
      <c r="O67" s="206">
        <v>0</v>
      </c>
      <c r="P67" s="207">
        <f>F67*O67</f>
        <v>0</v>
      </c>
      <c r="T67" s="205">
        <v>2</v>
      </c>
      <c r="BW67" s="205">
        <v>1</v>
      </c>
      <c r="BX67" s="205">
        <v>1</v>
      </c>
    </row>
    <row r="68" spans="1:76" x14ac:dyDescent="0.2">
      <c r="A68" s="293"/>
      <c r="B68" s="332"/>
      <c r="C68" s="295" t="s">
        <v>176</v>
      </c>
      <c r="D68" s="338" t="s">
        <v>296</v>
      </c>
      <c r="E68" s="339"/>
      <c r="F68" s="306"/>
      <c r="G68" s="302"/>
      <c r="H68" s="303"/>
      <c r="I68" s="303"/>
      <c r="J68" s="304"/>
      <c r="K68" s="311"/>
      <c r="L68" s="317"/>
      <c r="M68" s="206"/>
      <c r="N68" s="207"/>
      <c r="O68" s="206"/>
      <c r="P68" s="207"/>
    </row>
    <row r="69" spans="1:76" x14ac:dyDescent="0.2">
      <c r="A69" s="293"/>
      <c r="B69" s="332"/>
      <c r="C69" s="295" t="s">
        <v>178</v>
      </c>
      <c r="D69" s="347" t="s">
        <v>297</v>
      </c>
      <c r="E69" s="348"/>
      <c r="F69" s="389"/>
      <c r="G69" s="302"/>
      <c r="H69" s="303"/>
      <c r="I69" s="303"/>
      <c r="J69" s="304"/>
      <c r="K69" s="311"/>
      <c r="L69" s="317"/>
      <c r="M69" s="206"/>
      <c r="N69" s="207"/>
      <c r="O69" s="206"/>
      <c r="P69" s="207"/>
    </row>
    <row r="70" spans="1:76" ht="22.5" x14ac:dyDescent="0.2">
      <c r="A70" s="290"/>
      <c r="B70" s="386"/>
      <c r="C70" s="387"/>
      <c r="D70" s="254" t="s">
        <v>298</v>
      </c>
      <c r="E70" s="373"/>
      <c r="F70" s="390">
        <v>0.315</v>
      </c>
      <c r="G70" s="305"/>
      <c r="H70" s="306"/>
      <c r="I70" s="306"/>
      <c r="J70" s="307">
        <f>F70*G70</f>
        <v>0</v>
      </c>
      <c r="K70" s="307"/>
      <c r="L70" s="388">
        <f>F70*K70</f>
        <v>0</v>
      </c>
      <c r="M70" s="206">
        <v>0</v>
      </c>
      <c r="N70" s="207">
        <f>F70*M70</f>
        <v>0</v>
      </c>
      <c r="O70" s="206">
        <v>0</v>
      </c>
      <c r="P70" s="207">
        <f>F70*O70</f>
        <v>0</v>
      </c>
      <c r="T70" s="205">
        <v>2</v>
      </c>
      <c r="BW70" s="205">
        <v>1</v>
      </c>
      <c r="BX70" s="205">
        <v>1</v>
      </c>
    </row>
    <row r="71" spans="1:76" x14ac:dyDescent="0.2">
      <c r="A71" s="296"/>
      <c r="B71" s="297"/>
      <c r="C71" s="298"/>
      <c r="D71" s="252" t="s">
        <v>159</v>
      </c>
      <c r="E71" s="244" t="s">
        <v>120</v>
      </c>
      <c r="F71" s="250">
        <f>SUM(F69:F70)</f>
        <v>0.315</v>
      </c>
      <c r="G71" s="337">
        <v>0</v>
      </c>
      <c r="H71" s="250"/>
      <c r="I71" s="250">
        <f>+F71*G71</f>
        <v>0</v>
      </c>
      <c r="J71" s="251">
        <f>H71+I71</f>
        <v>0</v>
      </c>
      <c r="K71" s="308">
        <v>0.32</v>
      </c>
      <c r="L71" s="319">
        <f>+F71*K71</f>
        <v>0.1008</v>
      </c>
      <c r="M71" s="206"/>
      <c r="N71" s="207"/>
      <c r="O71" s="206"/>
      <c r="P71" s="207"/>
    </row>
    <row r="72" spans="1:76" x14ac:dyDescent="0.2">
      <c r="A72" s="232">
        <v>12</v>
      </c>
      <c r="B72" s="276" t="s">
        <v>226</v>
      </c>
      <c r="C72" s="269">
        <v>349234831</v>
      </c>
      <c r="D72" s="243" t="s">
        <v>158</v>
      </c>
      <c r="E72" s="233"/>
      <c r="F72" s="234"/>
      <c r="G72" s="299"/>
      <c r="H72" s="300"/>
      <c r="I72" s="300"/>
      <c r="J72" s="301"/>
      <c r="K72" s="310"/>
      <c r="L72" s="316"/>
      <c r="M72" s="206"/>
      <c r="N72" s="207"/>
      <c r="O72" s="206"/>
      <c r="P72" s="207"/>
    </row>
    <row r="73" spans="1:76" x14ac:dyDescent="0.2">
      <c r="A73" s="293"/>
      <c r="B73" s="332"/>
      <c r="C73" s="295" t="s">
        <v>176</v>
      </c>
      <c r="D73" s="333" t="s">
        <v>177</v>
      </c>
      <c r="E73" s="334"/>
      <c r="F73" s="335"/>
      <c r="G73" s="302"/>
      <c r="H73" s="303"/>
      <c r="I73" s="303"/>
      <c r="J73" s="304"/>
      <c r="K73" s="311"/>
      <c r="L73" s="317"/>
      <c r="M73" s="206"/>
      <c r="N73" s="207"/>
      <c r="O73" s="206"/>
      <c r="P73" s="207"/>
    </row>
    <row r="74" spans="1:76" x14ac:dyDescent="0.2">
      <c r="A74" s="293"/>
      <c r="B74" s="332"/>
      <c r="C74" s="295" t="s">
        <v>178</v>
      </c>
      <c r="D74" s="336" t="s">
        <v>179</v>
      </c>
      <c r="E74" s="334"/>
      <c r="F74" s="335"/>
      <c r="G74" s="302"/>
      <c r="H74" s="303"/>
      <c r="I74" s="303"/>
      <c r="J74" s="304"/>
      <c r="K74" s="311"/>
      <c r="L74" s="317"/>
      <c r="M74" s="206"/>
      <c r="N74" s="207"/>
      <c r="O74" s="206"/>
      <c r="P74" s="207"/>
    </row>
    <row r="75" spans="1:76" ht="33.75" x14ac:dyDescent="0.2">
      <c r="A75" s="290"/>
      <c r="B75" s="291"/>
      <c r="C75" s="292"/>
      <c r="D75" s="246" t="s">
        <v>300</v>
      </c>
      <c r="E75" s="244" t="s">
        <v>90</v>
      </c>
      <c r="F75" s="245">
        <f>+((2.1*32+2.1*3+1.1*4+1.4*4+1.4*7+(2.1+1.4)*2+1.85*2+1.4*4)*2)</f>
        <v>219.2</v>
      </c>
      <c r="G75" s="302"/>
      <c r="H75" s="303"/>
      <c r="I75" s="303"/>
      <c r="J75" s="304"/>
      <c r="K75" s="311"/>
      <c r="L75" s="317"/>
      <c r="M75" s="206"/>
      <c r="N75" s="207"/>
      <c r="O75" s="206"/>
      <c r="P75" s="207"/>
    </row>
    <row r="76" spans="1:76" x14ac:dyDescent="0.2">
      <c r="A76" s="293"/>
      <c r="B76" s="294"/>
      <c r="C76" s="295"/>
      <c r="D76" s="246" t="s">
        <v>301</v>
      </c>
      <c r="E76" s="244" t="s">
        <v>90</v>
      </c>
      <c r="F76" s="245">
        <f>+(3+3+3)*2</f>
        <v>18</v>
      </c>
      <c r="G76" s="302"/>
      <c r="H76" s="303"/>
      <c r="I76" s="303"/>
      <c r="J76" s="304"/>
      <c r="K76" s="311"/>
      <c r="L76" s="317"/>
      <c r="M76" s="206"/>
      <c r="N76" s="207"/>
      <c r="O76" s="206"/>
      <c r="P76" s="207"/>
    </row>
    <row r="77" spans="1:76" x14ac:dyDescent="0.2">
      <c r="A77" s="293"/>
      <c r="B77" s="294"/>
      <c r="C77" s="295"/>
      <c r="D77" s="246" t="s">
        <v>303</v>
      </c>
      <c r="E77" s="244" t="s">
        <v>90</v>
      </c>
      <c r="F77" s="245">
        <f>+(3.1*2)*4</f>
        <v>24.8</v>
      </c>
      <c r="G77" s="302"/>
      <c r="H77" s="303"/>
      <c r="I77" s="303"/>
      <c r="J77" s="304"/>
      <c r="K77" s="311"/>
      <c r="L77" s="317"/>
      <c r="M77" s="206"/>
      <c r="N77" s="207"/>
      <c r="O77" s="206"/>
      <c r="P77" s="207"/>
    </row>
    <row r="78" spans="1:76" x14ac:dyDescent="0.2">
      <c r="A78" s="296"/>
      <c r="B78" s="297"/>
      <c r="C78" s="298"/>
      <c r="D78" s="252" t="s">
        <v>159</v>
      </c>
      <c r="E78" s="249" t="s">
        <v>90</v>
      </c>
      <c r="F78" s="250">
        <f>SUM(F75:F77)</f>
        <v>262</v>
      </c>
      <c r="G78" s="337">
        <v>0</v>
      </c>
      <c r="H78" s="250"/>
      <c r="I78" s="250">
        <f>+F78*G78</f>
        <v>0</v>
      </c>
      <c r="J78" s="251">
        <f>H78+I78</f>
        <v>0</v>
      </c>
      <c r="K78" s="308">
        <v>5.7389999999999997E-2</v>
      </c>
      <c r="L78" s="319">
        <f>+F78*K78</f>
        <v>15.03618</v>
      </c>
      <c r="M78" s="206"/>
      <c r="N78" s="207"/>
      <c r="O78" s="206"/>
      <c r="P78" s="207"/>
    </row>
    <row r="79" spans="1:76" x14ac:dyDescent="0.2">
      <c r="A79" s="232">
        <v>13</v>
      </c>
      <c r="B79" s="276" t="s">
        <v>226</v>
      </c>
      <c r="C79" s="269">
        <v>349234941</v>
      </c>
      <c r="D79" s="243" t="s">
        <v>160</v>
      </c>
      <c r="E79" s="233"/>
      <c r="F79" s="234"/>
      <c r="G79" s="299"/>
      <c r="H79" s="300"/>
      <c r="I79" s="300"/>
      <c r="J79" s="301"/>
      <c r="K79" s="310"/>
      <c r="L79" s="316"/>
      <c r="M79" s="206"/>
      <c r="N79" s="207"/>
      <c r="O79" s="206"/>
      <c r="P79" s="207"/>
    </row>
    <row r="80" spans="1:76" x14ac:dyDescent="0.2">
      <c r="A80" s="293"/>
      <c r="B80" s="332"/>
      <c r="C80" s="295" t="s">
        <v>176</v>
      </c>
      <c r="D80" s="336" t="s">
        <v>180</v>
      </c>
      <c r="E80" s="334"/>
      <c r="F80" s="335"/>
      <c r="G80" s="302"/>
      <c r="H80" s="303"/>
      <c r="I80" s="303"/>
      <c r="J80" s="304"/>
      <c r="K80" s="311"/>
      <c r="L80" s="317"/>
      <c r="M80" s="206"/>
      <c r="N80" s="207"/>
      <c r="O80" s="206"/>
      <c r="P80" s="207"/>
    </row>
    <row r="81" spans="1:67" x14ac:dyDescent="0.2">
      <c r="A81" s="293"/>
      <c r="B81" s="332"/>
      <c r="C81" s="295" t="s">
        <v>178</v>
      </c>
      <c r="D81" s="336" t="s">
        <v>179</v>
      </c>
      <c r="E81" s="334"/>
      <c r="F81" s="335"/>
      <c r="G81" s="302"/>
      <c r="H81" s="303"/>
      <c r="I81" s="303"/>
      <c r="J81" s="304"/>
      <c r="K81" s="311"/>
      <c r="L81" s="317"/>
      <c r="M81" s="206"/>
      <c r="N81" s="207"/>
      <c r="O81" s="206"/>
      <c r="P81" s="207"/>
    </row>
    <row r="82" spans="1:67" ht="33.75" x14ac:dyDescent="0.2">
      <c r="A82" s="290"/>
      <c r="B82" s="291"/>
      <c r="C82" s="292"/>
      <c r="D82" s="246" t="s">
        <v>305</v>
      </c>
      <c r="E82" s="244" t="s">
        <v>90</v>
      </c>
      <c r="F82" s="245">
        <f>+((1.6*32+1.4*3+0.6*4+0.6*4+1.6*7+1.6*2+3.2*2+0.6*2)*2)</f>
        <v>164.40000000000003</v>
      </c>
      <c r="G82" s="302"/>
      <c r="H82" s="303"/>
      <c r="I82" s="303"/>
      <c r="J82" s="304"/>
      <c r="K82" s="311"/>
      <c r="L82" s="317"/>
      <c r="M82" s="206"/>
      <c r="N82" s="207"/>
      <c r="O82" s="206"/>
      <c r="P82" s="207"/>
    </row>
    <row r="83" spans="1:67" x14ac:dyDescent="0.2">
      <c r="A83" s="293"/>
      <c r="B83" s="294"/>
      <c r="C83" s="295"/>
      <c r="D83" s="246" t="s">
        <v>299</v>
      </c>
      <c r="E83" s="244" t="s">
        <v>90</v>
      </c>
      <c r="F83" s="245">
        <f>+(2.1*2+2.9)</f>
        <v>7.1</v>
      </c>
      <c r="G83" s="302"/>
      <c r="H83" s="303"/>
      <c r="I83" s="303"/>
      <c r="J83" s="304"/>
      <c r="K83" s="311"/>
      <c r="L83" s="317"/>
      <c r="M83" s="206"/>
      <c r="N83" s="207"/>
      <c r="O83" s="206"/>
      <c r="P83" s="207"/>
    </row>
    <row r="84" spans="1:67" x14ac:dyDescent="0.2">
      <c r="A84" s="293"/>
      <c r="B84" s="294"/>
      <c r="C84" s="295"/>
      <c r="D84" s="246" t="s">
        <v>304</v>
      </c>
      <c r="E84" s="244" t="s">
        <v>90</v>
      </c>
      <c r="F84" s="245">
        <f>+(5.25+5.1+2.34+3.02)</f>
        <v>15.709999999999999</v>
      </c>
      <c r="G84" s="302"/>
      <c r="H84" s="303"/>
      <c r="I84" s="303"/>
      <c r="J84" s="304"/>
      <c r="K84" s="311"/>
      <c r="L84" s="317"/>
      <c r="M84" s="206"/>
      <c r="N84" s="207"/>
      <c r="O84" s="206"/>
      <c r="P84" s="207"/>
    </row>
    <row r="85" spans="1:67" x14ac:dyDescent="0.2">
      <c r="A85" s="296"/>
      <c r="B85" s="297"/>
      <c r="C85" s="298"/>
      <c r="D85" s="252" t="s">
        <v>159</v>
      </c>
      <c r="E85" s="249" t="s">
        <v>90</v>
      </c>
      <c r="F85" s="250">
        <f>SUM(F82:F84)</f>
        <v>187.21000000000004</v>
      </c>
      <c r="G85" s="337">
        <v>0</v>
      </c>
      <c r="H85" s="250"/>
      <c r="I85" s="250">
        <f>+F85*G85</f>
        <v>0</v>
      </c>
      <c r="J85" s="251">
        <f>H85+I85</f>
        <v>0</v>
      </c>
      <c r="K85" s="308">
        <v>8.1850000000000006E-2</v>
      </c>
      <c r="L85" s="319">
        <f>+F85*K85</f>
        <v>15.323138500000004</v>
      </c>
      <c r="M85" s="206"/>
      <c r="N85" s="207"/>
      <c r="O85" s="206"/>
      <c r="P85" s="207"/>
    </row>
    <row r="86" spans="1:67" ht="13.5" thickBot="1" x14ac:dyDescent="0.25">
      <c r="A86" s="256"/>
      <c r="B86" s="259"/>
      <c r="C86" s="419" t="s">
        <v>87</v>
      </c>
      <c r="D86" s="258" t="s">
        <v>293</v>
      </c>
      <c r="E86" s="259"/>
      <c r="F86" s="260"/>
      <c r="G86" s="260"/>
      <c r="H86" s="421">
        <f>+SUM(H67:H85)</f>
        <v>0</v>
      </c>
      <c r="I86" s="421">
        <f>+SUM(I67:I85)</f>
        <v>0</v>
      </c>
      <c r="J86" s="261">
        <f>SUM(J66:J85)</f>
        <v>0</v>
      </c>
      <c r="K86" s="261"/>
      <c r="L86" s="420">
        <f>SUM(L66:L78)</f>
        <v>15.136979999999999</v>
      </c>
      <c r="M86" s="209"/>
      <c r="N86" s="210">
        <f>SUM(N66:N78)</f>
        <v>0</v>
      </c>
      <c r="O86" s="209"/>
      <c r="P86" s="210">
        <f>SUM(P66:P78)</f>
        <v>0</v>
      </c>
      <c r="T86" s="205">
        <v>4</v>
      </c>
      <c r="BF86" s="383">
        <f>SUM(BF66:BF78)</f>
        <v>0</v>
      </c>
      <c r="BG86" s="383">
        <f>SUM(BG66:BG78)</f>
        <v>0</v>
      </c>
      <c r="BH86" s="383">
        <f>SUM(BH66:BH78)</f>
        <v>0</v>
      </c>
      <c r="BI86" s="383">
        <f>SUM(BI66:BI78)</f>
        <v>0</v>
      </c>
      <c r="BJ86" s="383">
        <f>SUM(BJ66:BJ78)</f>
        <v>0</v>
      </c>
    </row>
    <row r="87" spans="1:67" x14ac:dyDescent="0.2">
      <c r="A87" s="200" t="s">
        <v>86</v>
      </c>
      <c r="B87" s="226"/>
      <c r="C87" s="268">
        <v>61</v>
      </c>
      <c r="D87" s="262" t="s">
        <v>92</v>
      </c>
      <c r="E87" s="263"/>
      <c r="F87" s="264"/>
      <c r="G87" s="264"/>
      <c r="H87" s="264"/>
      <c r="I87" s="264"/>
      <c r="J87" s="265"/>
      <c r="K87" s="309"/>
      <c r="L87" s="309"/>
      <c r="M87" s="201"/>
      <c r="N87" s="202"/>
      <c r="O87" s="203"/>
      <c r="P87" s="204"/>
      <c r="T87" s="205">
        <v>1</v>
      </c>
    </row>
    <row r="88" spans="1:67" x14ac:dyDescent="0.2">
      <c r="A88" s="232">
        <v>14</v>
      </c>
      <c r="B88" s="242" t="s">
        <v>226</v>
      </c>
      <c r="C88" s="269">
        <v>612409991</v>
      </c>
      <c r="D88" s="243" t="s">
        <v>94</v>
      </c>
      <c r="E88" s="315"/>
      <c r="F88" s="315"/>
      <c r="G88" s="341"/>
      <c r="H88" s="310"/>
      <c r="I88" s="310"/>
      <c r="J88" s="310"/>
      <c r="K88" s="310"/>
      <c r="L88" s="316">
        <f>+F88*K88</f>
        <v>0</v>
      </c>
      <c r="M88" s="206">
        <v>3.7200000000000002E-3</v>
      </c>
      <c r="N88" s="207">
        <f>F88*M88</f>
        <v>0</v>
      </c>
      <c r="O88" s="206">
        <v>0</v>
      </c>
      <c r="P88" s="207">
        <f>F88*O88</f>
        <v>0</v>
      </c>
      <c r="T88" s="192">
        <v>2</v>
      </c>
      <c r="BN88" s="192">
        <v>1</v>
      </c>
      <c r="BO88" s="192">
        <v>1</v>
      </c>
    </row>
    <row r="89" spans="1:67" x14ac:dyDescent="0.2">
      <c r="A89" s="290"/>
      <c r="B89" s="350"/>
      <c r="C89" s="292" t="s">
        <v>176</v>
      </c>
      <c r="D89" s="338" t="s">
        <v>181</v>
      </c>
      <c r="E89" s="339"/>
      <c r="F89" s="340"/>
      <c r="G89" s="302"/>
      <c r="H89" s="303"/>
      <c r="I89" s="303"/>
      <c r="J89" s="304"/>
      <c r="K89" s="311"/>
      <c r="L89" s="317"/>
      <c r="M89" s="206"/>
      <c r="N89" s="207"/>
      <c r="O89" s="206"/>
      <c r="P89" s="207"/>
    </row>
    <row r="90" spans="1:67" x14ac:dyDescent="0.2">
      <c r="A90" s="351"/>
      <c r="B90" s="352"/>
      <c r="C90" s="353" t="s">
        <v>178</v>
      </c>
      <c r="D90" s="336" t="s">
        <v>179</v>
      </c>
      <c r="E90" s="334"/>
      <c r="F90" s="335"/>
      <c r="G90" s="302"/>
      <c r="H90" s="303"/>
      <c r="I90" s="303"/>
      <c r="J90" s="304"/>
      <c r="K90" s="311"/>
      <c r="L90" s="317"/>
      <c r="M90" s="206"/>
      <c r="N90" s="207"/>
      <c r="O90" s="206"/>
      <c r="P90" s="207"/>
    </row>
    <row r="91" spans="1:67" x14ac:dyDescent="0.2">
      <c r="A91" s="293"/>
      <c r="B91" s="294"/>
      <c r="C91" s="295"/>
      <c r="D91" s="246" t="s">
        <v>302</v>
      </c>
      <c r="E91" s="244" t="s">
        <v>163</v>
      </c>
      <c r="F91" s="245">
        <f>+(262+187.21)</f>
        <v>449.21000000000004</v>
      </c>
      <c r="G91" s="305"/>
      <c r="H91" s="306"/>
      <c r="I91" s="306"/>
      <c r="J91" s="307"/>
      <c r="K91" s="312"/>
      <c r="L91" s="318"/>
      <c r="M91" s="206"/>
      <c r="N91" s="207"/>
      <c r="O91" s="206"/>
      <c r="P91" s="207"/>
    </row>
    <row r="92" spans="1:67" x14ac:dyDescent="0.2">
      <c r="A92" s="296"/>
      <c r="B92" s="297"/>
      <c r="C92" s="298"/>
      <c r="D92" s="252" t="s">
        <v>159</v>
      </c>
      <c r="E92" s="249" t="s">
        <v>163</v>
      </c>
      <c r="F92" s="250">
        <f>SUM(F91)</f>
        <v>449.21000000000004</v>
      </c>
      <c r="G92" s="337">
        <v>0</v>
      </c>
      <c r="H92" s="250"/>
      <c r="I92" s="250">
        <f>+F92*G92</f>
        <v>0</v>
      </c>
      <c r="J92" s="251">
        <f>H92+I92</f>
        <v>0</v>
      </c>
      <c r="K92" s="308">
        <v>4.3200000000000001E-3</v>
      </c>
      <c r="L92" s="319">
        <f>+F92*K92</f>
        <v>1.9405872000000002</v>
      </c>
      <c r="M92" s="206"/>
      <c r="N92" s="207"/>
      <c r="O92" s="206"/>
      <c r="P92" s="207"/>
    </row>
    <row r="93" spans="1:67" x14ac:dyDescent="0.2">
      <c r="A93" s="232">
        <v>15</v>
      </c>
      <c r="B93" s="276" t="s">
        <v>226</v>
      </c>
      <c r="C93" s="269">
        <v>612473182</v>
      </c>
      <c r="D93" s="243" t="s">
        <v>161</v>
      </c>
      <c r="E93" s="234"/>
      <c r="F93" s="234"/>
      <c r="G93" s="299"/>
      <c r="H93" s="300"/>
      <c r="I93" s="300"/>
      <c r="J93" s="301"/>
      <c r="K93" s="310"/>
      <c r="L93" s="316"/>
      <c r="M93" s="206"/>
      <c r="N93" s="207"/>
      <c r="O93" s="206"/>
      <c r="P93" s="207"/>
    </row>
    <row r="94" spans="1:67" x14ac:dyDescent="0.2">
      <c r="A94" s="293"/>
      <c r="B94" s="332"/>
      <c r="C94" s="295" t="s">
        <v>176</v>
      </c>
      <c r="D94" s="338" t="s">
        <v>182</v>
      </c>
      <c r="E94" s="339"/>
      <c r="F94" s="340"/>
      <c r="G94" s="302"/>
      <c r="H94" s="303"/>
      <c r="I94" s="303"/>
      <c r="J94" s="304"/>
      <c r="K94" s="311"/>
      <c r="L94" s="317"/>
      <c r="M94" s="206"/>
      <c r="N94" s="207"/>
      <c r="O94" s="206"/>
      <c r="P94" s="207"/>
    </row>
    <row r="95" spans="1:67" x14ac:dyDescent="0.2">
      <c r="A95" s="293"/>
      <c r="B95" s="332"/>
      <c r="C95" s="295" t="s">
        <v>178</v>
      </c>
      <c r="D95" s="336" t="s">
        <v>179</v>
      </c>
      <c r="E95" s="334"/>
      <c r="F95" s="335"/>
      <c r="G95" s="302"/>
      <c r="H95" s="303"/>
      <c r="I95" s="303"/>
      <c r="J95" s="304"/>
      <c r="K95" s="311"/>
      <c r="L95" s="317"/>
      <c r="M95" s="206"/>
      <c r="N95" s="207"/>
      <c r="O95" s="206"/>
      <c r="P95" s="207"/>
    </row>
    <row r="96" spans="1:67" ht="33.75" x14ac:dyDescent="0.2">
      <c r="A96" s="290"/>
      <c r="B96" s="291"/>
      <c r="C96" s="292"/>
      <c r="D96" s="246" t="s">
        <v>306</v>
      </c>
      <c r="E96" s="244" t="s">
        <v>163</v>
      </c>
      <c r="F96" s="245">
        <f>+((2.1*32+2.1*3+1.1*4+1.4*4+1.4*7+(2.1+1.4)*2+1.85*2+1.4*4)*2)*0.2</f>
        <v>43.84</v>
      </c>
      <c r="G96" s="302"/>
      <c r="H96" s="303"/>
      <c r="I96" s="303"/>
      <c r="J96" s="304"/>
      <c r="K96" s="311"/>
      <c r="L96" s="317"/>
      <c r="M96" s="206"/>
      <c r="N96" s="207"/>
      <c r="O96" s="206"/>
      <c r="P96" s="207"/>
    </row>
    <row r="97" spans="1:67" x14ac:dyDescent="0.2">
      <c r="A97" s="293"/>
      <c r="B97" s="294"/>
      <c r="C97" s="295"/>
      <c r="D97" s="246" t="s">
        <v>307</v>
      </c>
      <c r="E97" s="244" t="s">
        <v>163</v>
      </c>
      <c r="F97" s="245">
        <f>+(3+3+3)*2*0.2</f>
        <v>3.6</v>
      </c>
      <c r="G97" s="302"/>
      <c r="H97" s="303"/>
      <c r="I97" s="303"/>
      <c r="J97" s="304"/>
      <c r="K97" s="311"/>
      <c r="L97" s="317"/>
      <c r="M97" s="206"/>
      <c r="N97" s="207"/>
      <c r="O97" s="206"/>
      <c r="P97" s="207"/>
    </row>
    <row r="98" spans="1:67" ht="33.75" x14ac:dyDescent="0.2">
      <c r="A98" s="293"/>
      <c r="B98" s="294"/>
      <c r="C98" s="295"/>
      <c r="D98" s="246" t="s">
        <v>308</v>
      </c>
      <c r="E98" s="244" t="s">
        <v>163</v>
      </c>
      <c r="F98" s="245">
        <f>+((1.6*32+1.4*3+0.6*4+0.6*4+1.6*7+1.6*2+3.2*2+0.6*2))*0.2</f>
        <v>16.440000000000005</v>
      </c>
      <c r="G98" s="302"/>
      <c r="H98" s="303"/>
      <c r="I98" s="303"/>
      <c r="J98" s="304"/>
      <c r="K98" s="311"/>
      <c r="L98" s="317"/>
      <c r="M98" s="206"/>
      <c r="N98" s="207"/>
      <c r="O98" s="206"/>
      <c r="P98" s="207"/>
    </row>
    <row r="99" spans="1:67" x14ac:dyDescent="0.2">
      <c r="A99" s="293"/>
      <c r="B99" s="294"/>
      <c r="C99" s="295"/>
      <c r="D99" s="246" t="s">
        <v>309</v>
      </c>
      <c r="E99" s="244" t="s">
        <v>163</v>
      </c>
      <c r="F99" s="245">
        <f>+(2.1*2+2.9)*0.2</f>
        <v>1.42</v>
      </c>
      <c r="G99" s="302"/>
      <c r="H99" s="303"/>
      <c r="I99" s="303"/>
      <c r="J99" s="304"/>
      <c r="K99" s="311"/>
      <c r="L99" s="317"/>
      <c r="M99" s="206"/>
      <c r="N99" s="207"/>
      <c r="O99" s="206"/>
      <c r="P99" s="207"/>
    </row>
    <row r="100" spans="1:67" x14ac:dyDescent="0.2">
      <c r="A100" s="296"/>
      <c r="B100" s="297"/>
      <c r="C100" s="298"/>
      <c r="D100" s="252" t="s">
        <v>159</v>
      </c>
      <c r="E100" s="249" t="s">
        <v>163</v>
      </c>
      <c r="F100" s="250">
        <f>SUM(F96:F99)</f>
        <v>65.300000000000011</v>
      </c>
      <c r="G100" s="250">
        <v>0</v>
      </c>
      <c r="H100" s="250"/>
      <c r="I100" s="250">
        <f>+F100*G100</f>
        <v>0</v>
      </c>
      <c r="J100" s="251">
        <f>H100+I100</f>
        <v>0</v>
      </c>
      <c r="K100" s="308">
        <v>4.1000000000000003E-3</v>
      </c>
      <c r="L100" s="319">
        <f>+F100*K100</f>
        <v>0.26773000000000008</v>
      </c>
      <c r="M100" s="206"/>
      <c r="N100" s="207"/>
      <c r="O100" s="206"/>
      <c r="P100" s="207"/>
    </row>
    <row r="101" spans="1:67" ht="13.5" thickBot="1" x14ac:dyDescent="0.25">
      <c r="A101" s="256"/>
      <c r="B101" s="257"/>
      <c r="C101" s="272" t="s">
        <v>87</v>
      </c>
      <c r="D101" s="258" t="s">
        <v>93</v>
      </c>
      <c r="E101" s="259"/>
      <c r="F101" s="260"/>
      <c r="G101" s="260"/>
      <c r="H101" s="261">
        <f>SUM(H88:H100)</f>
        <v>0</v>
      </c>
      <c r="I101" s="325">
        <f>SUM(I88:I100)</f>
        <v>0</v>
      </c>
      <c r="J101" s="261">
        <f>SUM(J88:J100)</f>
        <v>0</v>
      </c>
      <c r="K101" s="314"/>
      <c r="L101" s="331">
        <f>SUM(L87:L93)</f>
        <v>1.9405872000000002</v>
      </c>
      <c r="M101" s="209"/>
      <c r="N101" s="210">
        <f>SUM(N87:N93)</f>
        <v>0</v>
      </c>
      <c r="O101" s="209"/>
      <c r="P101" s="210">
        <f>SUM(P87:P93)</f>
        <v>0</v>
      </c>
      <c r="T101" s="205">
        <v>4</v>
      </c>
    </row>
    <row r="102" spans="1:67" x14ac:dyDescent="0.2">
      <c r="A102" s="200" t="s">
        <v>86</v>
      </c>
      <c r="B102" s="226"/>
      <c r="C102" s="268">
        <v>62</v>
      </c>
      <c r="D102" s="262" t="s">
        <v>95</v>
      </c>
      <c r="E102" s="263"/>
      <c r="F102" s="264"/>
      <c r="G102" s="264"/>
      <c r="H102" s="264"/>
      <c r="I102" s="264"/>
      <c r="J102" s="265"/>
      <c r="K102" s="309"/>
      <c r="L102" s="309"/>
      <c r="M102" s="201"/>
      <c r="N102" s="202"/>
      <c r="O102" s="203"/>
      <c r="P102" s="204"/>
      <c r="T102" s="205">
        <v>1</v>
      </c>
    </row>
    <row r="103" spans="1:67" x14ac:dyDescent="0.2">
      <c r="A103" s="232">
        <v>16</v>
      </c>
      <c r="B103" s="242" t="s">
        <v>226</v>
      </c>
      <c r="C103" s="269">
        <v>216904112</v>
      </c>
      <c r="D103" s="243" t="s">
        <v>97</v>
      </c>
      <c r="E103" s="235"/>
      <c r="F103" s="235"/>
      <c r="G103" s="323"/>
      <c r="H103" s="301"/>
      <c r="I103" s="301"/>
      <c r="J103" s="301"/>
      <c r="K103" s="310"/>
      <c r="L103" s="316">
        <f>F103*K103</f>
        <v>0</v>
      </c>
      <c r="M103" s="206">
        <v>1E-3</v>
      </c>
      <c r="N103" s="207">
        <f>F103*M103</f>
        <v>0</v>
      </c>
      <c r="O103" s="206">
        <v>0</v>
      </c>
      <c r="P103" s="207">
        <f>F103*O103</f>
        <v>0</v>
      </c>
      <c r="T103" s="205">
        <v>2</v>
      </c>
      <c r="BN103" s="205">
        <v>1</v>
      </c>
      <c r="BO103" s="205">
        <v>1</v>
      </c>
    </row>
    <row r="104" spans="1:67" x14ac:dyDescent="0.2">
      <c r="A104" s="293"/>
      <c r="B104" s="332"/>
      <c r="C104" s="295"/>
      <c r="D104" s="338" t="s">
        <v>184</v>
      </c>
      <c r="E104" s="339"/>
      <c r="F104" s="340"/>
      <c r="G104" s="302"/>
      <c r="H104" s="303"/>
      <c r="I104" s="303"/>
      <c r="J104" s="304"/>
      <c r="K104" s="311"/>
      <c r="L104" s="317"/>
      <c r="M104" s="206"/>
      <c r="N104" s="207"/>
      <c r="O104" s="206"/>
      <c r="P104" s="207"/>
    </row>
    <row r="105" spans="1:67" x14ac:dyDescent="0.2">
      <c r="A105" s="293"/>
      <c r="B105" s="332"/>
      <c r="C105" s="295" t="s">
        <v>178</v>
      </c>
      <c r="D105" s="336" t="s">
        <v>183</v>
      </c>
      <c r="E105" s="334"/>
      <c r="F105" s="335"/>
      <c r="G105" s="302"/>
      <c r="H105" s="303"/>
      <c r="I105" s="303"/>
      <c r="J105" s="304"/>
      <c r="K105" s="311"/>
      <c r="L105" s="317"/>
      <c r="M105" s="206"/>
      <c r="N105" s="207"/>
      <c r="O105" s="206"/>
      <c r="P105" s="207"/>
    </row>
    <row r="106" spans="1:67" ht="22.5" x14ac:dyDescent="0.2">
      <c r="A106" s="290"/>
      <c r="B106" s="291"/>
      <c r="C106" s="292"/>
      <c r="D106" s="246" t="s">
        <v>310</v>
      </c>
      <c r="E106" s="244" t="s">
        <v>163</v>
      </c>
      <c r="F106" s="245">
        <f>+(15.63*8.1+3.83*5.8+15.63*3.5)-(1.6*2.1*11+5.3*3+5.25*3)</f>
        <v>134.91200000000003</v>
      </c>
      <c r="G106" s="302"/>
      <c r="H106" s="303"/>
      <c r="I106" s="303"/>
      <c r="J106" s="304"/>
      <c r="K106" s="311"/>
      <c r="L106" s="317"/>
      <c r="M106" s="206"/>
      <c r="N106" s="207"/>
      <c r="O106" s="206"/>
      <c r="P106" s="207"/>
    </row>
    <row r="107" spans="1:67" ht="22.5" x14ac:dyDescent="0.2">
      <c r="A107" s="293"/>
      <c r="B107" s="294"/>
      <c r="C107" s="295"/>
      <c r="D107" s="246" t="s">
        <v>311</v>
      </c>
      <c r="E107" s="244" t="s">
        <v>163</v>
      </c>
      <c r="F107" s="245">
        <f>+(6.77*8.1+2.68*1.4/2+6.77*3.5)-(1.6*2.1*4+3.52*3)+(8.53*8.1+5.5*3.6)</f>
        <v>145.30099999999999</v>
      </c>
      <c r="G107" s="302"/>
      <c r="H107" s="303"/>
      <c r="I107" s="303"/>
      <c r="J107" s="304"/>
      <c r="K107" s="311"/>
      <c r="L107" s="317"/>
      <c r="M107" s="206"/>
      <c r="N107" s="207"/>
      <c r="O107" s="206"/>
      <c r="P107" s="207"/>
    </row>
    <row r="108" spans="1:67" ht="33.75" x14ac:dyDescent="0.2">
      <c r="A108" s="293"/>
      <c r="B108" s="294"/>
      <c r="C108" s="295"/>
      <c r="D108" s="246" t="s">
        <v>312</v>
      </c>
      <c r="E108" s="244" t="s">
        <v>163</v>
      </c>
      <c r="F108" s="245">
        <f>+((8.58*8.1+8.58*3.6)+(2.15*6.71+2.15*3.6)+(6.33*9.69+6.33*2.25)-(1.4*2.1*3+2.15*3.1*2+1.6*2.1*6+1.6*1.4*4))</f>
        <v>146.86269999999999</v>
      </c>
      <c r="G108" s="302"/>
      <c r="H108" s="303"/>
      <c r="I108" s="303"/>
      <c r="J108" s="304"/>
      <c r="K108" s="311"/>
      <c r="L108" s="317"/>
      <c r="M108" s="206"/>
      <c r="N108" s="207"/>
      <c r="O108" s="206"/>
      <c r="P108" s="207"/>
    </row>
    <row r="109" spans="1:67" ht="22.5" x14ac:dyDescent="0.2">
      <c r="A109" s="293"/>
      <c r="B109" s="294"/>
      <c r="C109" s="295"/>
      <c r="D109" s="246" t="s">
        <v>313</v>
      </c>
      <c r="E109" s="244" t="s">
        <v>163</v>
      </c>
      <c r="F109" s="245">
        <f>+(23.28*8.1+23.28*3.6+3.83*5.8)-(1.6*2.1*12+1.6*1.4*3+0.6*1.4*8+0.6*1.1*4)</f>
        <v>238.19000000000003</v>
      </c>
      <c r="G109" s="302"/>
      <c r="H109" s="303"/>
      <c r="I109" s="303"/>
      <c r="J109" s="304"/>
      <c r="K109" s="311"/>
      <c r="L109" s="317"/>
      <c r="M109" s="206"/>
      <c r="N109" s="207"/>
      <c r="O109" s="206"/>
      <c r="P109" s="207"/>
    </row>
    <row r="110" spans="1:67" x14ac:dyDescent="0.2">
      <c r="A110" s="293"/>
      <c r="B110" s="294"/>
      <c r="C110" s="295"/>
      <c r="D110" s="246" t="s">
        <v>314</v>
      </c>
      <c r="E110" s="244" t="s">
        <v>163</v>
      </c>
      <c r="F110" s="245">
        <f>+(17.46*3.25)-(3.2*1.85*2+2.9*3)</f>
        <v>36.205000000000005</v>
      </c>
      <c r="G110" s="302"/>
      <c r="H110" s="303"/>
      <c r="I110" s="303"/>
      <c r="J110" s="304"/>
      <c r="K110" s="311"/>
      <c r="L110" s="317"/>
      <c r="M110" s="206"/>
      <c r="N110" s="207"/>
      <c r="O110" s="206"/>
      <c r="P110" s="207"/>
    </row>
    <row r="111" spans="1:67" ht="33.75" x14ac:dyDescent="0.2">
      <c r="A111" s="293"/>
      <c r="B111" s="294"/>
      <c r="C111" s="295"/>
      <c r="D111" s="246" t="s">
        <v>315</v>
      </c>
      <c r="E111" s="244" t="s">
        <v>163</v>
      </c>
      <c r="F111" s="245">
        <f>+((2.1*32+2.1*3+1.1*4+1.4*4+1.4*7+(2.1+1.4)*2+1.85*2+1.4*4)*2)*0.15</f>
        <v>32.879999999999995</v>
      </c>
      <c r="G111" s="302"/>
      <c r="H111" s="303"/>
      <c r="I111" s="303"/>
      <c r="J111" s="304"/>
      <c r="K111" s="311"/>
      <c r="L111" s="317"/>
      <c r="M111" s="206"/>
      <c r="N111" s="207"/>
      <c r="O111" s="206"/>
      <c r="P111" s="207"/>
    </row>
    <row r="112" spans="1:67" ht="33.75" x14ac:dyDescent="0.2">
      <c r="A112" s="293"/>
      <c r="B112" s="294"/>
      <c r="C112" s="295"/>
      <c r="D112" s="246" t="s">
        <v>316</v>
      </c>
      <c r="E112" s="244" t="s">
        <v>163</v>
      </c>
      <c r="F112" s="245">
        <f>+((1.6*32+1.4*3+0.6*4+0.6*4+1.6*7+1.6*2+3.2*2+0.6*2))*0.15</f>
        <v>12.330000000000002</v>
      </c>
      <c r="G112" s="302"/>
      <c r="H112" s="303"/>
      <c r="I112" s="303"/>
      <c r="J112" s="304"/>
      <c r="K112" s="311"/>
      <c r="L112" s="317"/>
      <c r="M112" s="206"/>
      <c r="N112" s="207"/>
      <c r="O112" s="206"/>
      <c r="P112" s="207"/>
    </row>
    <row r="113" spans="1:67" x14ac:dyDescent="0.2">
      <c r="A113" s="293"/>
      <c r="B113" s="294"/>
      <c r="C113" s="295"/>
      <c r="D113" s="246" t="s">
        <v>317</v>
      </c>
      <c r="E113" s="244" t="s">
        <v>163</v>
      </c>
      <c r="F113" s="245">
        <f>+(60.84+6.54*2)</f>
        <v>73.92</v>
      </c>
      <c r="G113" s="302"/>
      <c r="H113" s="303"/>
      <c r="I113" s="303"/>
      <c r="J113" s="304"/>
      <c r="K113" s="311"/>
      <c r="L113" s="317"/>
      <c r="M113" s="206"/>
      <c r="N113" s="207"/>
      <c r="O113" s="206"/>
      <c r="P113" s="207"/>
    </row>
    <row r="114" spans="1:67" x14ac:dyDescent="0.2">
      <c r="A114" s="296"/>
      <c r="B114" s="297"/>
      <c r="C114" s="298"/>
      <c r="D114" s="252" t="s">
        <v>159</v>
      </c>
      <c r="E114" s="249" t="s">
        <v>163</v>
      </c>
      <c r="F114" s="250">
        <f>SUM(F106:F113)</f>
        <v>820.60070000000007</v>
      </c>
      <c r="G114" s="337">
        <v>0</v>
      </c>
      <c r="H114" s="250"/>
      <c r="I114" s="250">
        <f>+F114*G114</f>
        <v>0</v>
      </c>
      <c r="J114" s="251">
        <f>H114+I114</f>
        <v>0</v>
      </c>
      <c r="K114" s="308">
        <v>1E-4</v>
      </c>
      <c r="L114" s="319">
        <f>+F114*K114</f>
        <v>8.2060070000000013E-2</v>
      </c>
      <c r="M114" s="206"/>
      <c r="N114" s="207"/>
      <c r="O114" s="206"/>
      <c r="P114" s="207"/>
    </row>
    <row r="115" spans="1:67" x14ac:dyDescent="0.2">
      <c r="A115" s="232">
        <v>17</v>
      </c>
      <c r="B115" s="242" t="s">
        <v>226</v>
      </c>
      <c r="C115" s="269">
        <v>620471112</v>
      </c>
      <c r="D115" s="243" t="s">
        <v>318</v>
      </c>
      <c r="E115" s="235"/>
      <c r="F115" s="235"/>
      <c r="G115" s="323"/>
      <c r="H115" s="301"/>
      <c r="I115" s="301"/>
      <c r="J115" s="301"/>
      <c r="K115" s="310"/>
      <c r="L115" s="316">
        <f>F115*K115</f>
        <v>0</v>
      </c>
      <c r="M115" s="206">
        <v>3.0699999999999998E-3</v>
      </c>
      <c r="N115" s="207">
        <f>F115*M115</f>
        <v>0</v>
      </c>
      <c r="O115" s="206">
        <v>0</v>
      </c>
      <c r="P115" s="207">
        <f>F115*O115</f>
        <v>0</v>
      </c>
      <c r="T115" s="192">
        <v>2</v>
      </c>
      <c r="BN115" s="192">
        <v>1</v>
      </c>
      <c r="BO115" s="192">
        <v>1</v>
      </c>
    </row>
    <row r="116" spans="1:67" x14ac:dyDescent="0.2">
      <c r="A116" s="293"/>
      <c r="B116" s="332"/>
      <c r="C116" s="295" t="s">
        <v>176</v>
      </c>
      <c r="D116" s="338" t="s">
        <v>320</v>
      </c>
      <c r="E116" s="339"/>
      <c r="F116" s="340"/>
      <c r="G116" s="302"/>
      <c r="H116" s="303"/>
      <c r="I116" s="303"/>
      <c r="J116" s="304"/>
      <c r="K116" s="311"/>
      <c r="L116" s="317"/>
      <c r="M116" s="206"/>
      <c r="N116" s="207"/>
      <c r="O116" s="206"/>
      <c r="P116" s="207"/>
    </row>
    <row r="117" spans="1:67" x14ac:dyDescent="0.2">
      <c r="A117" s="293"/>
      <c r="B117" s="332"/>
      <c r="C117" s="295" t="s">
        <v>178</v>
      </c>
      <c r="D117" s="336" t="s">
        <v>183</v>
      </c>
      <c r="E117" s="334"/>
      <c r="F117" s="335"/>
      <c r="G117" s="302"/>
      <c r="H117" s="303"/>
      <c r="I117" s="303"/>
      <c r="J117" s="304"/>
      <c r="K117" s="311"/>
      <c r="L117" s="317"/>
      <c r="M117" s="206"/>
      <c r="N117" s="207"/>
      <c r="O117" s="206"/>
      <c r="P117" s="207"/>
    </row>
    <row r="118" spans="1:67" ht="33.75" x14ac:dyDescent="0.2">
      <c r="A118" s="293"/>
      <c r="B118" s="294"/>
      <c r="C118" s="295"/>
      <c r="D118" s="246" t="s">
        <v>316</v>
      </c>
      <c r="E118" s="244" t="s">
        <v>163</v>
      </c>
      <c r="F118" s="245">
        <f>+((1.6*32+1.4*3+0.6*4+0.6*4+1.6*7+1.6*2+3.2*2+0.6*2))*0.15</f>
        <v>12.330000000000002</v>
      </c>
      <c r="G118" s="302"/>
      <c r="H118" s="303"/>
      <c r="I118" s="303"/>
      <c r="J118" s="304"/>
      <c r="K118" s="311"/>
      <c r="L118" s="317"/>
      <c r="M118" s="206"/>
      <c r="N118" s="207"/>
      <c r="O118" s="206"/>
      <c r="P118" s="207"/>
    </row>
    <row r="119" spans="1:67" ht="22.5" x14ac:dyDescent="0.2">
      <c r="A119" s="293"/>
      <c r="B119" s="294"/>
      <c r="C119" s="295"/>
      <c r="D119" s="246" t="s">
        <v>341</v>
      </c>
      <c r="E119" s="244" t="s">
        <v>163</v>
      </c>
      <c r="F119" s="245">
        <f>+(60.84+6.54+(3.75*2.15))</f>
        <v>75.44250000000001</v>
      </c>
      <c r="G119" s="302"/>
      <c r="H119" s="303"/>
      <c r="I119" s="303"/>
      <c r="J119" s="304"/>
      <c r="K119" s="311"/>
      <c r="L119" s="317"/>
      <c r="M119" s="206"/>
      <c r="N119" s="207"/>
      <c r="O119" s="206"/>
      <c r="P119" s="207"/>
    </row>
    <row r="120" spans="1:67" x14ac:dyDescent="0.2">
      <c r="A120" s="296"/>
      <c r="B120" s="297"/>
      <c r="C120" s="298"/>
      <c r="D120" s="252" t="s">
        <v>159</v>
      </c>
      <c r="E120" s="249" t="s">
        <v>163</v>
      </c>
      <c r="F120" s="250">
        <f>SUM(F118:F119)</f>
        <v>87.772500000000008</v>
      </c>
      <c r="G120" s="337">
        <v>0</v>
      </c>
      <c r="H120" s="250"/>
      <c r="I120" s="250">
        <f>+F120*G120</f>
        <v>0</v>
      </c>
      <c r="J120" s="251">
        <f>H120+I120</f>
        <v>0</v>
      </c>
      <c r="K120" s="308">
        <v>4.1000000000000002E-2</v>
      </c>
      <c r="L120" s="319">
        <f>+F120*K120</f>
        <v>3.5986725000000006</v>
      </c>
      <c r="M120" s="206"/>
      <c r="N120" s="207"/>
      <c r="O120" s="206"/>
      <c r="P120" s="207"/>
    </row>
    <row r="121" spans="1:67" x14ac:dyDescent="0.2">
      <c r="A121" s="232">
        <v>18</v>
      </c>
      <c r="B121" s="242" t="s">
        <v>226</v>
      </c>
      <c r="C121" s="269">
        <v>620471112</v>
      </c>
      <c r="D121" s="243" t="s">
        <v>319</v>
      </c>
      <c r="E121" s="235"/>
      <c r="F121" s="235"/>
      <c r="G121" s="323"/>
      <c r="H121" s="301"/>
      <c r="I121" s="301"/>
      <c r="J121" s="301"/>
      <c r="K121" s="310"/>
      <c r="L121" s="316">
        <f>F121*K121</f>
        <v>0</v>
      </c>
      <c r="M121" s="206">
        <v>2.63E-3</v>
      </c>
      <c r="N121" s="207">
        <f>F121*M121</f>
        <v>0</v>
      </c>
      <c r="O121" s="206">
        <v>0</v>
      </c>
      <c r="P121" s="207">
        <f>F121*O121</f>
        <v>0</v>
      </c>
      <c r="T121" s="192">
        <v>2</v>
      </c>
      <c r="BN121" s="192">
        <v>1</v>
      </c>
      <c r="BO121" s="192">
        <v>1</v>
      </c>
    </row>
    <row r="122" spans="1:67" x14ac:dyDescent="0.2">
      <c r="A122" s="293"/>
      <c r="B122" s="332"/>
      <c r="C122" s="295" t="s">
        <v>176</v>
      </c>
      <c r="D122" s="338" t="s">
        <v>321</v>
      </c>
      <c r="E122" s="339"/>
      <c r="F122" s="340"/>
      <c r="G122" s="302"/>
      <c r="H122" s="303"/>
      <c r="I122" s="303"/>
      <c r="J122" s="304"/>
      <c r="K122" s="311"/>
      <c r="L122" s="317"/>
      <c r="M122" s="206"/>
      <c r="N122" s="207"/>
      <c r="O122" s="206"/>
      <c r="P122" s="207"/>
    </row>
    <row r="123" spans="1:67" x14ac:dyDescent="0.2">
      <c r="A123" s="293"/>
      <c r="B123" s="332"/>
      <c r="C123" s="295" t="s">
        <v>178</v>
      </c>
      <c r="D123" s="336" t="s">
        <v>183</v>
      </c>
      <c r="E123" s="334"/>
      <c r="F123" s="335"/>
      <c r="G123" s="302"/>
      <c r="H123" s="303"/>
      <c r="I123" s="303"/>
      <c r="J123" s="304"/>
      <c r="K123" s="311"/>
      <c r="L123" s="317"/>
      <c r="M123" s="206"/>
      <c r="N123" s="207"/>
      <c r="O123" s="206"/>
      <c r="P123" s="207"/>
    </row>
    <row r="124" spans="1:67" ht="22.5" x14ac:dyDescent="0.2">
      <c r="A124" s="290"/>
      <c r="B124" s="291"/>
      <c r="C124" s="292"/>
      <c r="D124" s="246" t="s">
        <v>310</v>
      </c>
      <c r="E124" s="244" t="s">
        <v>163</v>
      </c>
      <c r="F124" s="245">
        <f>+(15.63*8.1+3.83*5.8+15.63*3.5)-(1.6*2.1*11+5.3*3+5.25*3)</f>
        <v>134.91200000000003</v>
      </c>
      <c r="G124" s="302"/>
      <c r="H124" s="303"/>
      <c r="I124" s="303"/>
      <c r="J124" s="304"/>
      <c r="K124" s="311"/>
      <c r="L124" s="317"/>
      <c r="M124" s="206"/>
      <c r="N124" s="207"/>
      <c r="O124" s="206"/>
      <c r="P124" s="207"/>
    </row>
    <row r="125" spans="1:67" ht="22.5" x14ac:dyDescent="0.2">
      <c r="A125" s="293"/>
      <c r="B125" s="294"/>
      <c r="C125" s="295"/>
      <c r="D125" s="246" t="s">
        <v>311</v>
      </c>
      <c r="E125" s="244" t="s">
        <v>163</v>
      </c>
      <c r="F125" s="245">
        <f>+(6.77*8.1+2.68*1.4/2+6.77*3.5)-(1.6*2.1*4+3.52*3)+(8.53*8.1+5.5*3.6)</f>
        <v>145.30099999999999</v>
      </c>
      <c r="G125" s="302"/>
      <c r="H125" s="303"/>
      <c r="I125" s="303"/>
      <c r="J125" s="304"/>
      <c r="K125" s="311"/>
      <c r="L125" s="317"/>
      <c r="M125" s="206"/>
      <c r="N125" s="207"/>
      <c r="O125" s="206"/>
      <c r="P125" s="207"/>
    </row>
    <row r="126" spans="1:67" ht="33.75" x14ac:dyDescent="0.2">
      <c r="A126" s="293"/>
      <c r="B126" s="294"/>
      <c r="C126" s="295"/>
      <c r="D126" s="246" t="s">
        <v>312</v>
      </c>
      <c r="E126" s="244" t="s">
        <v>163</v>
      </c>
      <c r="F126" s="245">
        <f>+((8.58*8.1+8.58*3.6)+(2.15*6.71+2.15*3.6)+(6.33*9.69+6.33*2.25)-(1.4*2.1*3+2.15*3.1*2+1.6*2.1*6+1.6*1.4*4))</f>
        <v>146.86269999999999</v>
      </c>
      <c r="G126" s="302"/>
      <c r="H126" s="303"/>
      <c r="I126" s="303"/>
      <c r="J126" s="304"/>
      <c r="K126" s="311"/>
      <c r="L126" s="317"/>
      <c r="M126" s="206"/>
      <c r="N126" s="207"/>
      <c r="O126" s="206"/>
      <c r="P126" s="207"/>
    </row>
    <row r="127" spans="1:67" ht="22.5" x14ac:dyDescent="0.2">
      <c r="A127" s="293"/>
      <c r="B127" s="294"/>
      <c r="C127" s="295"/>
      <c r="D127" s="246" t="s">
        <v>313</v>
      </c>
      <c r="E127" s="244" t="s">
        <v>163</v>
      </c>
      <c r="F127" s="245">
        <f>+(23.28*8.1+23.28*3.6+3.83*5.8)-(1.6*2.1*12+1.6*1.4*3+0.6*1.4*8+0.6*1.1*4)</f>
        <v>238.19000000000003</v>
      </c>
      <c r="G127" s="302"/>
      <c r="H127" s="303"/>
      <c r="I127" s="303"/>
      <c r="J127" s="304"/>
      <c r="K127" s="311"/>
      <c r="L127" s="317"/>
      <c r="M127" s="206"/>
      <c r="N127" s="207"/>
      <c r="O127" s="206"/>
      <c r="P127" s="207"/>
    </row>
    <row r="128" spans="1:67" ht="33.75" x14ac:dyDescent="0.2">
      <c r="A128" s="293"/>
      <c r="B128" s="294"/>
      <c r="C128" s="295"/>
      <c r="D128" s="246" t="s">
        <v>315</v>
      </c>
      <c r="E128" s="244" t="s">
        <v>163</v>
      </c>
      <c r="F128" s="245">
        <f>+((2.1*32+2.1*3+1.1*4+1.4*4+1.4*7+(2.1+1.4)*2+1.85*2+1.4*4)*2)*0.15</f>
        <v>32.879999999999995</v>
      </c>
      <c r="G128" s="302"/>
      <c r="H128" s="303"/>
      <c r="I128" s="303"/>
      <c r="J128" s="304"/>
      <c r="K128" s="311"/>
      <c r="L128" s="317"/>
      <c r="M128" s="206"/>
      <c r="N128" s="207"/>
      <c r="O128" s="206"/>
      <c r="P128" s="207"/>
    </row>
    <row r="129" spans="1:67" x14ac:dyDescent="0.2">
      <c r="A129" s="293"/>
      <c r="B129" s="294"/>
      <c r="C129" s="295"/>
      <c r="D129" s="246" t="s">
        <v>314</v>
      </c>
      <c r="E129" s="244" t="s">
        <v>163</v>
      </c>
      <c r="F129" s="245">
        <f>+(17.46*3.25)-(3.2*1.85*2+2.9*3)</f>
        <v>36.205000000000005</v>
      </c>
      <c r="G129" s="302"/>
      <c r="H129" s="303"/>
      <c r="I129" s="303"/>
      <c r="J129" s="304"/>
      <c r="K129" s="311"/>
      <c r="L129" s="317"/>
      <c r="M129" s="206"/>
      <c r="N129" s="207"/>
      <c r="O129" s="206"/>
      <c r="P129" s="207"/>
    </row>
    <row r="130" spans="1:67" x14ac:dyDescent="0.2">
      <c r="A130" s="296"/>
      <c r="B130" s="297"/>
      <c r="C130" s="298"/>
      <c r="D130" s="252" t="s">
        <v>159</v>
      </c>
      <c r="E130" s="249" t="s">
        <v>163</v>
      </c>
      <c r="F130" s="250">
        <f>SUM(F124:F129)</f>
        <v>734.35070000000007</v>
      </c>
      <c r="G130" s="337">
        <v>0</v>
      </c>
      <c r="H130" s="250"/>
      <c r="I130" s="250">
        <f>+F130*G130</f>
        <v>0</v>
      </c>
      <c r="J130" s="251">
        <f>H130+I130</f>
        <v>0</v>
      </c>
      <c r="K130" s="308">
        <v>3.2000000000000002E-3</v>
      </c>
      <c r="L130" s="319">
        <f>+F130*K130</f>
        <v>2.3499222400000002</v>
      </c>
      <c r="M130" s="206"/>
      <c r="N130" s="207"/>
      <c r="O130" s="206"/>
      <c r="P130" s="207"/>
    </row>
    <row r="131" spans="1:67" ht="22.5" x14ac:dyDescent="0.2">
      <c r="A131" s="396">
        <v>19</v>
      </c>
      <c r="B131" s="242" t="s">
        <v>226</v>
      </c>
      <c r="C131" s="269">
        <v>620471401</v>
      </c>
      <c r="D131" s="243" t="s">
        <v>322</v>
      </c>
      <c r="E131" s="235"/>
      <c r="F131" s="235"/>
      <c r="G131" s="323"/>
      <c r="H131" s="301"/>
      <c r="I131" s="301"/>
      <c r="J131" s="301"/>
      <c r="K131" s="310"/>
      <c r="L131" s="316">
        <f>F131*K131</f>
        <v>0</v>
      </c>
      <c r="M131" s="206">
        <v>3.0699999999999998E-3</v>
      </c>
      <c r="N131" s="207">
        <f>F131*M131</f>
        <v>0</v>
      </c>
      <c r="O131" s="206">
        <v>0</v>
      </c>
      <c r="P131" s="207">
        <f>F131*O131</f>
        <v>0</v>
      </c>
      <c r="T131" s="192">
        <v>2</v>
      </c>
      <c r="BN131" s="192">
        <v>1</v>
      </c>
      <c r="BO131" s="192">
        <v>1</v>
      </c>
    </row>
    <row r="132" spans="1:67" x14ac:dyDescent="0.2">
      <c r="A132" s="293"/>
      <c r="B132" s="332"/>
      <c r="C132" s="295" t="s">
        <v>176</v>
      </c>
      <c r="D132" s="338" t="s">
        <v>323</v>
      </c>
      <c r="E132" s="339"/>
      <c r="F132" s="340"/>
      <c r="G132" s="302"/>
      <c r="H132" s="303"/>
      <c r="I132" s="303"/>
      <c r="J132" s="304"/>
      <c r="K132" s="311"/>
      <c r="L132" s="317"/>
      <c r="M132" s="206"/>
      <c r="N132" s="207"/>
      <c r="O132" s="206"/>
      <c r="P132" s="207"/>
    </row>
    <row r="133" spans="1:67" x14ac:dyDescent="0.2">
      <c r="A133" s="293"/>
      <c r="B133" s="332"/>
      <c r="C133" s="295" t="s">
        <v>178</v>
      </c>
      <c r="D133" s="336" t="s">
        <v>183</v>
      </c>
      <c r="E133" s="334"/>
      <c r="F133" s="335"/>
      <c r="G133" s="302"/>
      <c r="H133" s="303"/>
      <c r="I133" s="303"/>
      <c r="J133" s="304"/>
      <c r="K133" s="311"/>
      <c r="L133" s="317"/>
      <c r="M133" s="206"/>
      <c r="N133" s="207"/>
      <c r="O133" s="206"/>
      <c r="P133" s="207"/>
    </row>
    <row r="134" spans="1:67" ht="33.75" x14ac:dyDescent="0.2">
      <c r="A134" s="293"/>
      <c r="B134" s="294"/>
      <c r="C134" s="295"/>
      <c r="D134" s="246" t="s">
        <v>324</v>
      </c>
      <c r="E134" s="244" t="s">
        <v>163</v>
      </c>
      <c r="F134" s="245">
        <f>0.5*(6.36+2.17+5.5+8.58+18.186+5.739+2.947+6.279+3.75)</f>
        <v>29.755499999999998</v>
      </c>
      <c r="G134" s="302"/>
      <c r="H134" s="303"/>
      <c r="I134" s="303"/>
      <c r="J134" s="304"/>
      <c r="K134" s="311"/>
      <c r="L134" s="317"/>
      <c r="M134" s="206"/>
      <c r="N134" s="207"/>
      <c r="O134" s="206"/>
      <c r="P134" s="207"/>
    </row>
    <row r="135" spans="1:67" x14ac:dyDescent="0.2">
      <c r="A135" s="296"/>
      <c r="B135" s="297"/>
      <c r="C135" s="298"/>
      <c r="D135" s="252" t="s">
        <v>159</v>
      </c>
      <c r="E135" s="249" t="s">
        <v>163</v>
      </c>
      <c r="F135" s="250">
        <f>SUM(F134:F134)</f>
        <v>29.755499999999998</v>
      </c>
      <c r="G135" s="337">
        <v>0</v>
      </c>
      <c r="H135" s="250"/>
      <c r="I135" s="250">
        <f>+F135*G135</f>
        <v>0</v>
      </c>
      <c r="J135" s="251">
        <f>H135+I135</f>
        <v>0</v>
      </c>
      <c r="K135" s="308">
        <v>6.2500000000000003E-3</v>
      </c>
      <c r="L135" s="319">
        <f>+F135*K135</f>
        <v>0.18597187500000001</v>
      </c>
      <c r="M135" s="206"/>
      <c r="N135" s="207"/>
      <c r="O135" s="206"/>
      <c r="P135" s="207"/>
    </row>
    <row r="136" spans="1:67" x14ac:dyDescent="0.2">
      <c r="A136" s="232">
        <v>20</v>
      </c>
      <c r="B136" s="242" t="s">
        <v>226</v>
      </c>
      <c r="C136" s="269">
        <v>620991121</v>
      </c>
      <c r="D136" s="243" t="s">
        <v>185</v>
      </c>
      <c r="E136" s="235"/>
      <c r="F136" s="235"/>
      <c r="G136" s="323"/>
      <c r="H136" s="301"/>
      <c r="I136" s="301"/>
      <c r="J136" s="301"/>
      <c r="K136" s="310"/>
      <c r="L136" s="316">
        <f>F136*K136</f>
        <v>0</v>
      </c>
      <c r="M136" s="206">
        <v>1E-4</v>
      </c>
      <c r="N136" s="207">
        <f>F136*M136</f>
        <v>0</v>
      </c>
      <c r="O136" s="206">
        <v>0</v>
      </c>
      <c r="P136" s="207">
        <f>F136*O136</f>
        <v>0</v>
      </c>
      <c r="T136" s="205">
        <v>2</v>
      </c>
      <c r="BN136" s="205">
        <v>1</v>
      </c>
      <c r="BO136" s="205">
        <v>1</v>
      </c>
    </row>
    <row r="137" spans="1:67" x14ac:dyDescent="0.2">
      <c r="A137" s="293"/>
      <c r="B137" s="332"/>
      <c r="C137" s="295" t="s">
        <v>176</v>
      </c>
      <c r="D137" s="338" t="s">
        <v>186</v>
      </c>
      <c r="E137" s="339"/>
      <c r="F137" s="340"/>
      <c r="G137" s="302"/>
      <c r="H137" s="303"/>
      <c r="I137" s="303"/>
      <c r="J137" s="304"/>
      <c r="K137" s="311"/>
      <c r="L137" s="317"/>
      <c r="M137" s="206"/>
      <c r="N137" s="207"/>
      <c r="O137" s="206"/>
      <c r="P137" s="207"/>
    </row>
    <row r="138" spans="1:67" x14ac:dyDescent="0.2">
      <c r="A138" s="293"/>
      <c r="B138" s="332"/>
      <c r="C138" s="295" t="s">
        <v>178</v>
      </c>
      <c r="D138" s="336" t="s">
        <v>179</v>
      </c>
      <c r="E138" s="334"/>
      <c r="F138" s="335"/>
      <c r="G138" s="302"/>
      <c r="H138" s="303"/>
      <c r="I138" s="303"/>
      <c r="J138" s="304"/>
      <c r="K138" s="311"/>
      <c r="L138" s="317"/>
      <c r="M138" s="206"/>
      <c r="N138" s="207"/>
      <c r="O138" s="206"/>
      <c r="P138" s="207"/>
    </row>
    <row r="139" spans="1:67" ht="33.75" x14ac:dyDescent="0.2">
      <c r="A139" s="290"/>
      <c r="B139" s="291"/>
      <c r="C139" s="292"/>
      <c r="D139" s="246" t="s">
        <v>325</v>
      </c>
      <c r="E139" s="244" t="s">
        <v>163</v>
      </c>
      <c r="F139" s="245">
        <f>+(1.6*2.1*32+1.4*2.1*3+0.6*1.1*4+0.6*1.4*4+1.6*1.4*7+1.6*2.1+1.6*2.1+3.2*1.85*2+1.4*0.7/2*15+0.6*1.4*4)</f>
        <v>167.29000000000005</v>
      </c>
      <c r="G139" s="302"/>
      <c r="H139" s="303"/>
      <c r="I139" s="303"/>
      <c r="J139" s="304"/>
      <c r="K139" s="311"/>
      <c r="L139" s="317"/>
      <c r="M139" s="206"/>
      <c r="N139" s="207"/>
      <c r="O139" s="206"/>
      <c r="P139" s="207"/>
    </row>
    <row r="140" spans="1:67" x14ac:dyDescent="0.2">
      <c r="A140" s="293"/>
      <c r="B140" s="294"/>
      <c r="C140" s="295"/>
      <c r="D140" s="254" t="s">
        <v>326</v>
      </c>
      <c r="E140" s="244" t="s">
        <v>163</v>
      </c>
      <c r="F140" s="255">
        <f>+(2.15*3*2+2.9*3)</f>
        <v>21.599999999999998</v>
      </c>
      <c r="G140" s="305"/>
      <c r="H140" s="306"/>
      <c r="I140" s="306"/>
      <c r="J140" s="307"/>
      <c r="K140" s="312"/>
      <c r="L140" s="318"/>
      <c r="M140" s="206"/>
      <c r="N140" s="207"/>
      <c r="O140" s="206"/>
      <c r="P140" s="207"/>
    </row>
    <row r="141" spans="1:67" x14ac:dyDescent="0.2">
      <c r="A141" s="296"/>
      <c r="B141" s="297"/>
      <c r="C141" s="298"/>
      <c r="D141" s="252" t="s">
        <v>159</v>
      </c>
      <c r="E141" s="249" t="s">
        <v>163</v>
      </c>
      <c r="F141" s="250">
        <f>SUM(F139:F140)</f>
        <v>188.89000000000004</v>
      </c>
      <c r="G141" s="337">
        <v>0</v>
      </c>
      <c r="H141" s="250"/>
      <c r="I141" s="250">
        <f>+F141*G141</f>
        <v>0</v>
      </c>
      <c r="J141" s="251">
        <f>H141+I141</f>
        <v>0</v>
      </c>
      <c r="K141" s="308">
        <v>1E-4</v>
      </c>
      <c r="L141" s="319">
        <f>+F141*K141</f>
        <v>1.8889000000000006E-2</v>
      </c>
      <c r="M141" s="206"/>
      <c r="N141" s="207"/>
      <c r="O141" s="206"/>
      <c r="P141" s="207"/>
    </row>
    <row r="142" spans="1:67" ht="22.5" x14ac:dyDescent="0.2">
      <c r="A142" s="232">
        <v>21</v>
      </c>
      <c r="B142" s="242" t="s">
        <v>226</v>
      </c>
      <c r="C142" s="269">
        <v>622211051</v>
      </c>
      <c r="D142" s="243" t="s">
        <v>335</v>
      </c>
      <c r="E142" s="234"/>
      <c r="F142" s="234"/>
      <c r="G142" s="299"/>
      <c r="H142" s="300"/>
      <c r="I142" s="300"/>
      <c r="J142" s="301"/>
      <c r="K142" s="310"/>
      <c r="L142" s="316">
        <f>F142*K142</f>
        <v>0</v>
      </c>
      <c r="M142" s="206">
        <v>1.004E-2</v>
      </c>
      <c r="N142" s="207">
        <f>F142*M142</f>
        <v>0</v>
      </c>
      <c r="O142" s="206">
        <v>0</v>
      </c>
      <c r="P142" s="207">
        <f>F142*O142</f>
        <v>0</v>
      </c>
      <c r="Q142" s="221"/>
      <c r="T142" s="192">
        <v>2</v>
      </c>
      <c r="BN142" s="192">
        <v>1</v>
      </c>
      <c r="BO142" s="192">
        <v>1</v>
      </c>
    </row>
    <row r="143" spans="1:67" ht="12.75" customHeight="1" x14ac:dyDescent="0.2">
      <c r="A143" s="293"/>
      <c r="B143" s="332"/>
      <c r="C143" s="295" t="s">
        <v>176</v>
      </c>
      <c r="D143" s="342" t="s">
        <v>337</v>
      </c>
      <c r="E143" s="343"/>
      <c r="F143" s="344"/>
      <c r="G143" s="302"/>
      <c r="H143" s="303"/>
      <c r="I143" s="303"/>
      <c r="J143" s="304"/>
      <c r="K143" s="311"/>
      <c r="L143" s="317"/>
      <c r="M143" s="206"/>
      <c r="N143" s="207"/>
      <c r="O143" s="206"/>
      <c r="P143" s="207"/>
    </row>
    <row r="144" spans="1:67" ht="12.75" customHeight="1" x14ac:dyDescent="0.2">
      <c r="A144" s="293"/>
      <c r="B144" s="332"/>
      <c r="C144" s="295"/>
      <c r="D144" s="342" t="s">
        <v>336</v>
      </c>
      <c r="E144" s="343"/>
      <c r="F144" s="344"/>
      <c r="G144" s="302"/>
      <c r="H144" s="303"/>
      <c r="I144" s="303"/>
      <c r="J144" s="304"/>
      <c r="K144" s="311"/>
      <c r="L144" s="317"/>
      <c r="M144" s="206"/>
      <c r="N144" s="207"/>
      <c r="O144" s="206"/>
      <c r="P144" s="207"/>
    </row>
    <row r="145" spans="1:67" x14ac:dyDescent="0.2">
      <c r="A145" s="293"/>
      <c r="B145" s="332"/>
      <c r="C145" s="295" t="s">
        <v>178</v>
      </c>
      <c r="D145" s="336" t="s">
        <v>183</v>
      </c>
      <c r="E145" s="334"/>
      <c r="F145" s="335"/>
      <c r="G145" s="302"/>
      <c r="H145" s="303"/>
      <c r="I145" s="303"/>
      <c r="J145" s="304"/>
      <c r="K145" s="311"/>
      <c r="L145" s="317"/>
      <c r="M145" s="206"/>
      <c r="N145" s="207"/>
      <c r="O145" s="206"/>
      <c r="P145" s="207"/>
    </row>
    <row r="146" spans="1:67" x14ac:dyDescent="0.2">
      <c r="A146" s="293"/>
      <c r="B146" s="294"/>
      <c r="C146" s="295"/>
      <c r="D146" s="246" t="s">
        <v>340</v>
      </c>
      <c r="E146" s="244" t="s">
        <v>163</v>
      </c>
      <c r="F146" s="245">
        <f>+(60.84+(3.75*2.15))</f>
        <v>68.902500000000003</v>
      </c>
      <c r="G146" s="302"/>
      <c r="H146" s="303"/>
      <c r="I146" s="303"/>
      <c r="J146" s="304"/>
      <c r="K146" s="311"/>
      <c r="L146" s="317"/>
      <c r="M146" s="206"/>
      <c r="N146" s="207"/>
      <c r="O146" s="206"/>
      <c r="P146" s="207"/>
    </row>
    <row r="147" spans="1:67" x14ac:dyDescent="0.2">
      <c r="A147" s="296"/>
      <c r="B147" s="297"/>
      <c r="C147" s="298"/>
      <c r="D147" s="252" t="s">
        <v>159</v>
      </c>
      <c r="E147" s="249" t="s">
        <v>163</v>
      </c>
      <c r="F147" s="250">
        <f>SUM(F146:F146)</f>
        <v>68.902500000000003</v>
      </c>
      <c r="G147" s="337">
        <v>0</v>
      </c>
      <c r="H147" s="250"/>
      <c r="I147" s="250">
        <f>+F147*G147</f>
        <v>0</v>
      </c>
      <c r="J147" s="251">
        <f>H147+I147</f>
        <v>0</v>
      </c>
      <c r="K147" s="308">
        <v>9.0600000000000003E-3</v>
      </c>
      <c r="L147" s="319">
        <f>+F147*K147</f>
        <v>0.62425665000000008</v>
      </c>
      <c r="M147" s="206"/>
      <c r="N147" s="207"/>
      <c r="O147" s="206"/>
      <c r="P147" s="207"/>
    </row>
    <row r="148" spans="1:67" ht="22.5" x14ac:dyDescent="0.2">
      <c r="A148" s="232">
        <v>22</v>
      </c>
      <c r="B148" s="242" t="s">
        <v>228</v>
      </c>
      <c r="C148" s="269">
        <v>283764275</v>
      </c>
      <c r="D148" s="243" t="s">
        <v>338</v>
      </c>
      <c r="E148" s="234"/>
      <c r="F148" s="234"/>
      <c r="G148" s="299"/>
      <c r="H148" s="300"/>
      <c r="I148" s="300"/>
      <c r="J148" s="301"/>
      <c r="K148" s="310"/>
      <c r="L148" s="316">
        <f>F148*K148</f>
        <v>0</v>
      </c>
      <c r="M148" s="206">
        <v>1.004E-2</v>
      </c>
      <c r="N148" s="207">
        <f>F148*M148</f>
        <v>0</v>
      </c>
      <c r="O148" s="206">
        <v>0</v>
      </c>
      <c r="P148" s="207">
        <f>F148*O148</f>
        <v>0</v>
      </c>
      <c r="Q148" s="221"/>
      <c r="T148" s="192">
        <v>2</v>
      </c>
      <c r="BN148" s="192">
        <v>1</v>
      </c>
      <c r="BO148" s="192">
        <v>1</v>
      </c>
    </row>
    <row r="149" spans="1:67" ht="12.75" customHeight="1" x14ac:dyDescent="0.2">
      <c r="A149" s="293"/>
      <c r="B149" s="332"/>
      <c r="C149" s="295" t="s">
        <v>176</v>
      </c>
      <c r="D149" s="342" t="s">
        <v>339</v>
      </c>
      <c r="E149" s="343"/>
      <c r="F149" s="344"/>
      <c r="G149" s="302"/>
      <c r="H149" s="303"/>
      <c r="I149" s="303"/>
      <c r="J149" s="304"/>
      <c r="K149" s="311"/>
      <c r="L149" s="317"/>
      <c r="M149" s="206"/>
      <c r="N149" s="207"/>
      <c r="O149" s="206"/>
      <c r="P149" s="207"/>
    </row>
    <row r="150" spans="1:67" x14ac:dyDescent="0.2">
      <c r="A150" s="293"/>
      <c r="B150" s="332"/>
      <c r="C150" s="295" t="s">
        <v>178</v>
      </c>
      <c r="D150" s="336" t="s">
        <v>183</v>
      </c>
      <c r="E150" s="334"/>
      <c r="F150" s="335"/>
      <c r="G150" s="302"/>
      <c r="H150" s="303"/>
      <c r="I150" s="303"/>
      <c r="J150" s="304"/>
      <c r="K150" s="311"/>
      <c r="L150" s="317"/>
      <c r="M150" s="206"/>
      <c r="N150" s="207"/>
      <c r="O150" s="206"/>
      <c r="P150" s="207"/>
    </row>
    <row r="151" spans="1:67" x14ac:dyDescent="0.2">
      <c r="A151" s="293"/>
      <c r="B151" s="294"/>
      <c r="C151" s="295"/>
      <c r="D151" s="246" t="s">
        <v>342</v>
      </c>
      <c r="E151" s="244" t="s">
        <v>163</v>
      </c>
      <c r="F151" s="245">
        <f>+(60.84+(3.75*2.15))*1.02</f>
        <v>70.280550000000005</v>
      </c>
      <c r="G151" s="302"/>
      <c r="H151" s="303"/>
      <c r="I151" s="303"/>
      <c r="J151" s="304"/>
      <c r="K151" s="311"/>
      <c r="L151" s="317"/>
      <c r="M151" s="206"/>
      <c r="N151" s="207"/>
      <c r="O151" s="206"/>
      <c r="P151" s="207"/>
    </row>
    <row r="152" spans="1:67" x14ac:dyDescent="0.2">
      <c r="A152" s="296"/>
      <c r="B152" s="297"/>
      <c r="C152" s="298"/>
      <c r="D152" s="252" t="s">
        <v>159</v>
      </c>
      <c r="E152" s="249" t="s">
        <v>163</v>
      </c>
      <c r="F152" s="250">
        <f>SUM(F151:F151)</f>
        <v>70.280550000000005</v>
      </c>
      <c r="G152" s="337">
        <v>0</v>
      </c>
      <c r="H152" s="250"/>
      <c r="I152" s="250">
        <f>+F152*G152</f>
        <v>0</v>
      </c>
      <c r="J152" s="251">
        <f>H152+I152</f>
        <v>0</v>
      </c>
      <c r="K152" s="308">
        <v>9.0600000000000003E-3</v>
      </c>
      <c r="L152" s="319">
        <f>+F152*K152</f>
        <v>0.63674178300000006</v>
      </c>
      <c r="M152" s="206"/>
      <c r="N152" s="207"/>
      <c r="O152" s="206"/>
      <c r="P152" s="207"/>
    </row>
    <row r="153" spans="1:67" ht="22.5" x14ac:dyDescent="0.2">
      <c r="A153" s="232">
        <v>23</v>
      </c>
      <c r="B153" s="242" t="s">
        <v>226</v>
      </c>
      <c r="C153" s="269">
        <v>622405298</v>
      </c>
      <c r="D153" s="243" t="s">
        <v>162</v>
      </c>
      <c r="E153" s="234"/>
      <c r="F153" s="234"/>
      <c r="G153" s="299"/>
      <c r="H153" s="300"/>
      <c r="I153" s="300"/>
      <c r="J153" s="301"/>
      <c r="K153" s="310"/>
      <c r="L153" s="316">
        <f>F153*K153</f>
        <v>0</v>
      </c>
      <c r="M153" s="206">
        <v>1.004E-2</v>
      </c>
      <c r="N153" s="207">
        <f>F153*M153</f>
        <v>0</v>
      </c>
      <c r="O153" s="206">
        <v>0</v>
      </c>
      <c r="P153" s="207">
        <f>F153*O153</f>
        <v>0</v>
      </c>
      <c r="Q153" s="221"/>
      <c r="T153" s="192">
        <v>2</v>
      </c>
      <c r="BN153" s="192">
        <v>1</v>
      </c>
      <c r="BO153" s="192">
        <v>1</v>
      </c>
    </row>
    <row r="154" spans="1:67" ht="12.75" customHeight="1" x14ac:dyDescent="0.2">
      <c r="A154" s="293"/>
      <c r="B154" s="332"/>
      <c r="C154" s="295" t="s">
        <v>176</v>
      </c>
      <c r="D154" s="342" t="s">
        <v>327</v>
      </c>
      <c r="E154" s="343"/>
      <c r="F154" s="344"/>
      <c r="G154" s="302"/>
      <c r="H154" s="303"/>
      <c r="I154" s="303"/>
      <c r="J154" s="304"/>
      <c r="K154" s="311"/>
      <c r="L154" s="317"/>
      <c r="M154" s="206"/>
      <c r="N154" s="207"/>
      <c r="O154" s="206"/>
      <c r="P154" s="207"/>
    </row>
    <row r="155" spans="1:67" x14ac:dyDescent="0.2">
      <c r="A155" s="293"/>
      <c r="B155" s="332"/>
      <c r="C155" s="295" t="s">
        <v>178</v>
      </c>
      <c r="D155" s="336" t="s">
        <v>183</v>
      </c>
      <c r="E155" s="334"/>
      <c r="F155" s="335"/>
      <c r="G155" s="302"/>
      <c r="H155" s="303"/>
      <c r="I155" s="303"/>
      <c r="J155" s="304"/>
      <c r="K155" s="311"/>
      <c r="L155" s="317"/>
      <c r="M155" s="206"/>
      <c r="N155" s="207"/>
      <c r="O155" s="206"/>
      <c r="P155" s="207"/>
    </row>
    <row r="156" spans="1:67" ht="22.5" x14ac:dyDescent="0.2">
      <c r="A156" s="290"/>
      <c r="B156" s="291"/>
      <c r="C156" s="292"/>
      <c r="D156" s="246" t="s">
        <v>310</v>
      </c>
      <c r="E156" s="244" t="s">
        <v>163</v>
      </c>
      <c r="F156" s="245">
        <f>+(15.63*8.1+3.83*5.8+15.63*3.5)-(1.6*2.1*11+5.3*3+5.25*3)</f>
        <v>134.91200000000003</v>
      </c>
      <c r="G156" s="302"/>
      <c r="H156" s="303"/>
      <c r="I156" s="303"/>
      <c r="J156" s="304"/>
      <c r="K156" s="311"/>
      <c r="L156" s="317"/>
      <c r="M156" s="206"/>
      <c r="N156" s="207"/>
      <c r="O156" s="206"/>
      <c r="P156" s="207"/>
    </row>
    <row r="157" spans="1:67" ht="22.5" x14ac:dyDescent="0.2">
      <c r="A157" s="293"/>
      <c r="B157" s="294"/>
      <c r="C157" s="295"/>
      <c r="D157" s="246" t="s">
        <v>328</v>
      </c>
      <c r="E157" s="244" t="s">
        <v>163</v>
      </c>
      <c r="F157" s="245">
        <f>+(6.77*8.1+2.68*1.4/2+6.77*3)-(1.6*2.1*4+3.52*3)+(8.53*8.1+5.5*3.6)</f>
        <v>141.916</v>
      </c>
      <c r="G157" s="302"/>
      <c r="H157" s="303"/>
      <c r="I157" s="303"/>
      <c r="J157" s="304"/>
      <c r="K157" s="311"/>
      <c r="L157" s="317"/>
      <c r="M157" s="206"/>
      <c r="N157" s="207"/>
      <c r="O157" s="206"/>
      <c r="P157" s="207"/>
    </row>
    <row r="158" spans="1:67" ht="33.75" x14ac:dyDescent="0.2">
      <c r="A158" s="293"/>
      <c r="B158" s="294"/>
      <c r="C158" s="295"/>
      <c r="D158" s="246" t="s">
        <v>329</v>
      </c>
      <c r="E158" s="244" t="s">
        <v>163</v>
      </c>
      <c r="F158" s="245">
        <f>+((8.58*8.1+8.58*3.1)+(2.15*6.71+2.15*3.1)+(6.33*9.69+6.33*2.25)-(1.4*2.1*3+2.15*3.1*2+1.6*2.1*6+1.6*1.4*4))</f>
        <v>141.49769999999998</v>
      </c>
      <c r="G158" s="302"/>
      <c r="H158" s="303"/>
      <c r="I158" s="303"/>
      <c r="J158" s="304"/>
      <c r="K158" s="311"/>
      <c r="L158" s="317"/>
      <c r="M158" s="206"/>
      <c r="N158" s="207"/>
      <c r="O158" s="206"/>
      <c r="P158" s="207"/>
    </row>
    <row r="159" spans="1:67" ht="22.5" x14ac:dyDescent="0.2">
      <c r="A159" s="293"/>
      <c r="B159" s="294"/>
      <c r="C159" s="295"/>
      <c r="D159" s="246" t="s">
        <v>330</v>
      </c>
      <c r="E159" s="244" t="s">
        <v>163</v>
      </c>
      <c r="F159" s="245">
        <f>+(23.28*8.1+23.28*3.1+3.83*5.8)-(1.6*2.1*12+1.6*1.4*3+0.6*1.4*8+0.6*1.1*4)</f>
        <v>226.54999999999998</v>
      </c>
      <c r="G159" s="302"/>
      <c r="H159" s="303"/>
      <c r="I159" s="303"/>
      <c r="J159" s="304"/>
      <c r="K159" s="311"/>
      <c r="L159" s="317"/>
      <c r="M159" s="206"/>
      <c r="N159" s="207"/>
      <c r="O159" s="206"/>
      <c r="P159" s="207"/>
    </row>
    <row r="160" spans="1:67" x14ac:dyDescent="0.2">
      <c r="A160" s="293"/>
      <c r="B160" s="294"/>
      <c r="C160" s="295"/>
      <c r="D160" s="246" t="s">
        <v>331</v>
      </c>
      <c r="E160" s="244" t="s">
        <v>163</v>
      </c>
      <c r="F160" s="245">
        <f>+(17.46*2.75)-(3.2*1.85*2+2.9*3)</f>
        <v>27.475000000000001</v>
      </c>
      <c r="G160" s="302"/>
      <c r="H160" s="303"/>
      <c r="I160" s="303"/>
      <c r="J160" s="304"/>
      <c r="K160" s="311"/>
      <c r="L160" s="317"/>
      <c r="M160" s="206"/>
      <c r="N160" s="207"/>
      <c r="O160" s="206"/>
      <c r="P160" s="207"/>
    </row>
    <row r="161" spans="1:67" x14ac:dyDescent="0.2">
      <c r="A161" s="296"/>
      <c r="B161" s="297"/>
      <c r="C161" s="298"/>
      <c r="D161" s="252" t="s">
        <v>159</v>
      </c>
      <c r="E161" s="249" t="s">
        <v>163</v>
      </c>
      <c r="F161" s="250">
        <f>SUM(F156:F160)</f>
        <v>672.35069999999996</v>
      </c>
      <c r="G161" s="337">
        <v>0</v>
      </c>
      <c r="H161" s="250"/>
      <c r="I161" s="250">
        <f>+F161*G161</f>
        <v>0</v>
      </c>
      <c r="J161" s="251">
        <f>H161+I161</f>
        <v>0</v>
      </c>
      <c r="K161" s="308">
        <v>9.0600000000000003E-3</v>
      </c>
      <c r="L161" s="319">
        <f>+F161*K161</f>
        <v>6.0914973420000003</v>
      </c>
      <c r="M161" s="206"/>
      <c r="N161" s="207"/>
      <c r="O161" s="206"/>
      <c r="P161" s="207"/>
    </row>
    <row r="162" spans="1:67" ht="33.75" x14ac:dyDescent="0.2">
      <c r="A162" s="232">
        <v>24</v>
      </c>
      <c r="B162" s="242" t="s">
        <v>226</v>
      </c>
      <c r="C162" s="269">
        <v>622405792</v>
      </c>
      <c r="D162" s="243" t="s">
        <v>332</v>
      </c>
      <c r="E162" s="234"/>
      <c r="F162" s="234"/>
      <c r="G162" s="299"/>
      <c r="H162" s="300"/>
      <c r="I162" s="300"/>
      <c r="J162" s="301"/>
      <c r="K162" s="310"/>
      <c r="L162" s="316">
        <f>F162*K162</f>
        <v>0</v>
      </c>
      <c r="M162" s="206">
        <v>1.004E-2</v>
      </c>
      <c r="N162" s="207">
        <f>F162*M162</f>
        <v>0</v>
      </c>
      <c r="O162" s="206">
        <v>0</v>
      </c>
      <c r="P162" s="207">
        <f>F162*O162</f>
        <v>0</v>
      </c>
      <c r="Q162" s="221"/>
      <c r="T162" s="192">
        <v>2</v>
      </c>
      <c r="BN162" s="192">
        <v>1</v>
      </c>
      <c r="BO162" s="192">
        <v>1</v>
      </c>
    </row>
    <row r="163" spans="1:67" ht="12.75" customHeight="1" x14ac:dyDescent="0.2">
      <c r="A163" s="293"/>
      <c r="B163" s="332"/>
      <c r="C163" s="295" t="s">
        <v>176</v>
      </c>
      <c r="D163" s="342" t="s">
        <v>333</v>
      </c>
      <c r="E163" s="343"/>
      <c r="F163" s="344"/>
      <c r="G163" s="302"/>
      <c r="H163" s="303"/>
      <c r="I163" s="303"/>
      <c r="J163" s="304"/>
      <c r="K163" s="311"/>
      <c r="L163" s="317"/>
      <c r="M163" s="206"/>
      <c r="N163" s="207"/>
      <c r="O163" s="206"/>
      <c r="P163" s="207"/>
    </row>
    <row r="164" spans="1:67" x14ac:dyDescent="0.2">
      <c r="A164" s="293"/>
      <c r="B164" s="332"/>
      <c r="C164" s="295" t="s">
        <v>178</v>
      </c>
      <c r="D164" s="336" t="s">
        <v>183</v>
      </c>
      <c r="E164" s="334"/>
      <c r="F164" s="335"/>
      <c r="G164" s="302"/>
      <c r="H164" s="303"/>
      <c r="I164" s="303"/>
      <c r="J164" s="304"/>
      <c r="K164" s="311"/>
      <c r="L164" s="317"/>
      <c r="M164" s="206"/>
      <c r="N164" s="207"/>
      <c r="O164" s="206"/>
      <c r="P164" s="207"/>
    </row>
    <row r="165" spans="1:67" ht="33.75" x14ac:dyDescent="0.2">
      <c r="A165" s="293"/>
      <c r="B165" s="294"/>
      <c r="C165" s="295"/>
      <c r="D165" s="246" t="s">
        <v>334</v>
      </c>
      <c r="E165" s="244" t="s">
        <v>163</v>
      </c>
      <c r="F165" s="245">
        <f>1.05*(6.36+2.17+5.5+8.58+18.186+5.739+2.947+6.279+3.75)</f>
        <v>62.486550000000001</v>
      </c>
      <c r="G165" s="302"/>
      <c r="H165" s="303"/>
      <c r="I165" s="303"/>
      <c r="J165" s="304"/>
      <c r="K165" s="311"/>
      <c r="L165" s="317"/>
      <c r="M165" s="206"/>
      <c r="N165" s="207"/>
      <c r="O165" s="206"/>
      <c r="P165" s="207"/>
    </row>
    <row r="166" spans="1:67" x14ac:dyDescent="0.2">
      <c r="A166" s="296"/>
      <c r="B166" s="297"/>
      <c r="C166" s="298"/>
      <c r="D166" s="252" t="s">
        <v>159</v>
      </c>
      <c r="E166" s="249" t="s">
        <v>163</v>
      </c>
      <c r="F166" s="250">
        <f>SUM(F165:F165)</f>
        <v>62.486550000000001</v>
      </c>
      <c r="G166" s="337">
        <v>0</v>
      </c>
      <c r="H166" s="250"/>
      <c r="I166" s="250">
        <f>+F166*G166</f>
        <v>0</v>
      </c>
      <c r="J166" s="251">
        <f>H166+I166</f>
        <v>0</v>
      </c>
      <c r="K166" s="308">
        <v>9.0600000000000003E-3</v>
      </c>
      <c r="L166" s="319">
        <f>+F166*K166</f>
        <v>0.56612814300000003</v>
      </c>
      <c r="M166" s="206"/>
      <c r="N166" s="207"/>
      <c r="O166" s="206"/>
      <c r="P166" s="207"/>
    </row>
    <row r="167" spans="1:67" x14ac:dyDescent="0.2">
      <c r="A167" s="232">
        <v>25</v>
      </c>
      <c r="B167" s="242" t="s">
        <v>226</v>
      </c>
      <c r="C167" s="269">
        <v>622405931</v>
      </c>
      <c r="D167" s="243" t="s">
        <v>187</v>
      </c>
      <c r="E167" s="235"/>
      <c r="F167" s="235"/>
      <c r="G167" s="323"/>
      <c r="H167" s="301"/>
      <c r="I167" s="301"/>
      <c r="J167" s="301"/>
      <c r="K167" s="310"/>
      <c r="L167" s="316">
        <f>F167*K167</f>
        <v>0</v>
      </c>
      <c r="M167" s="206">
        <v>1.1E-4</v>
      </c>
      <c r="N167" s="207">
        <f>F167*M167</f>
        <v>0</v>
      </c>
      <c r="O167" s="206">
        <v>0</v>
      </c>
      <c r="P167" s="207">
        <f>F167*O167</f>
        <v>0</v>
      </c>
      <c r="T167" s="192">
        <v>2</v>
      </c>
      <c r="BN167" s="192">
        <v>1</v>
      </c>
      <c r="BO167" s="192">
        <v>0</v>
      </c>
    </row>
    <row r="168" spans="1:67" ht="12.75" customHeight="1" x14ac:dyDescent="0.2">
      <c r="A168" s="293"/>
      <c r="B168" s="332"/>
      <c r="C168" s="295" t="s">
        <v>176</v>
      </c>
      <c r="D168" s="342" t="s">
        <v>188</v>
      </c>
      <c r="E168" s="343"/>
      <c r="F168" s="344"/>
      <c r="G168" s="302"/>
      <c r="H168" s="303"/>
      <c r="I168" s="303"/>
      <c r="J168" s="304"/>
      <c r="K168" s="311"/>
      <c r="L168" s="317"/>
      <c r="M168" s="206"/>
      <c r="N168" s="207"/>
      <c r="O168" s="206"/>
      <c r="P168" s="207"/>
    </row>
    <row r="169" spans="1:67" x14ac:dyDescent="0.2">
      <c r="A169" s="293"/>
      <c r="B169" s="332"/>
      <c r="C169" s="295" t="s">
        <v>178</v>
      </c>
      <c r="D169" s="336" t="s">
        <v>183</v>
      </c>
      <c r="E169" s="334"/>
      <c r="F169" s="335"/>
      <c r="G169" s="302"/>
      <c r="H169" s="303"/>
      <c r="I169" s="303"/>
      <c r="J169" s="304"/>
      <c r="K169" s="311"/>
      <c r="L169" s="317"/>
      <c r="M169" s="206"/>
      <c r="N169" s="207"/>
      <c r="O169" s="206"/>
      <c r="P169" s="207"/>
    </row>
    <row r="170" spans="1:67" x14ac:dyDescent="0.2">
      <c r="A170" s="290"/>
      <c r="B170" s="291"/>
      <c r="C170" s="292"/>
      <c r="D170" s="253" t="s">
        <v>343</v>
      </c>
      <c r="E170" s="244" t="s">
        <v>90</v>
      </c>
      <c r="F170" s="245">
        <f>+(219.2+18+164.4/2+7.1)</f>
        <v>326.5</v>
      </c>
      <c r="G170" s="324"/>
      <c r="H170" s="311"/>
      <c r="I170" s="311"/>
      <c r="J170" s="311"/>
      <c r="K170" s="311"/>
      <c r="L170" s="317"/>
      <c r="M170" s="206"/>
      <c r="N170" s="207"/>
      <c r="O170" s="206"/>
      <c r="P170" s="207"/>
    </row>
    <row r="171" spans="1:67" x14ac:dyDescent="0.2">
      <c r="A171" s="293"/>
      <c r="B171" s="294"/>
      <c r="C171" s="295"/>
      <c r="D171" s="253" t="s">
        <v>393</v>
      </c>
      <c r="E171" s="244" t="s">
        <v>90</v>
      </c>
      <c r="F171" s="245">
        <f>+(8.1*5)</f>
        <v>40.5</v>
      </c>
      <c r="G171" s="305"/>
      <c r="H171" s="306"/>
      <c r="I171" s="306"/>
      <c r="J171" s="307"/>
      <c r="K171" s="312"/>
      <c r="L171" s="318"/>
      <c r="M171" s="206"/>
      <c r="N171" s="207"/>
      <c r="O171" s="206"/>
      <c r="P171" s="207"/>
    </row>
    <row r="172" spans="1:67" x14ac:dyDescent="0.2">
      <c r="A172" s="296"/>
      <c r="B172" s="297"/>
      <c r="C172" s="298"/>
      <c r="D172" s="252" t="s">
        <v>159</v>
      </c>
      <c r="E172" s="244" t="s">
        <v>90</v>
      </c>
      <c r="F172" s="250">
        <f>SUM(F170:F171)</f>
        <v>367</v>
      </c>
      <c r="G172" s="337">
        <v>0</v>
      </c>
      <c r="H172" s="250"/>
      <c r="I172" s="250">
        <f>+F172*G172</f>
        <v>0</v>
      </c>
      <c r="J172" s="251">
        <f>H172+I172</f>
        <v>0</v>
      </c>
      <c r="K172" s="308">
        <v>5.0000000000000002E-5</v>
      </c>
      <c r="L172" s="319">
        <f>+F172*K172</f>
        <v>1.8350000000000002E-2</v>
      </c>
      <c r="M172" s="206"/>
      <c r="N172" s="207"/>
      <c r="O172" s="206"/>
      <c r="P172" s="207"/>
    </row>
    <row r="173" spans="1:67" x14ac:dyDescent="0.2">
      <c r="A173" s="232">
        <v>26</v>
      </c>
      <c r="B173" s="242" t="s">
        <v>226</v>
      </c>
      <c r="C173" s="269">
        <v>622405941</v>
      </c>
      <c r="D173" s="243" t="s">
        <v>191</v>
      </c>
      <c r="E173" s="235"/>
      <c r="F173" s="235"/>
      <c r="G173" s="323"/>
      <c r="H173" s="301"/>
      <c r="I173" s="301"/>
      <c r="J173" s="301"/>
      <c r="K173" s="310"/>
      <c r="L173" s="316">
        <f>F173*K173</f>
        <v>0</v>
      </c>
      <c r="M173" s="206">
        <v>0</v>
      </c>
      <c r="N173" s="207">
        <f>F173*M173</f>
        <v>0</v>
      </c>
      <c r="O173" s="206">
        <v>0</v>
      </c>
      <c r="P173" s="207">
        <f>F173*O173</f>
        <v>0</v>
      </c>
      <c r="T173" s="205">
        <v>2</v>
      </c>
      <c r="BN173" s="205">
        <v>1</v>
      </c>
      <c r="BO173" s="205">
        <v>1</v>
      </c>
    </row>
    <row r="174" spans="1:67" ht="12.75" customHeight="1" x14ac:dyDescent="0.2">
      <c r="A174" s="293"/>
      <c r="B174" s="332"/>
      <c r="C174" s="295" t="s">
        <v>176</v>
      </c>
      <c r="D174" s="342" t="s">
        <v>192</v>
      </c>
      <c r="E174" s="343"/>
      <c r="F174" s="344"/>
      <c r="G174" s="302"/>
      <c r="H174" s="303"/>
      <c r="I174" s="303"/>
      <c r="J174" s="304"/>
      <c r="K174" s="311"/>
      <c r="L174" s="317"/>
      <c r="M174" s="206"/>
      <c r="N174" s="207"/>
      <c r="O174" s="206"/>
      <c r="P174" s="207"/>
    </row>
    <row r="175" spans="1:67" x14ac:dyDescent="0.2">
      <c r="A175" s="293"/>
      <c r="B175" s="332"/>
      <c r="C175" s="295" t="s">
        <v>178</v>
      </c>
      <c r="D175" s="336" t="s">
        <v>183</v>
      </c>
      <c r="E175" s="334"/>
      <c r="F175" s="335"/>
      <c r="G175" s="305"/>
      <c r="H175" s="306"/>
      <c r="I175" s="306"/>
      <c r="J175" s="307"/>
      <c r="K175" s="312"/>
      <c r="L175" s="318"/>
      <c r="M175" s="206"/>
      <c r="N175" s="207"/>
      <c r="O175" s="206"/>
      <c r="P175" s="207"/>
    </row>
    <row r="176" spans="1:67" x14ac:dyDescent="0.2">
      <c r="A176" s="247"/>
      <c r="B176" s="248"/>
      <c r="C176" s="270"/>
      <c r="D176" s="252" t="s">
        <v>343</v>
      </c>
      <c r="E176" s="249" t="s">
        <v>90</v>
      </c>
      <c r="F176" s="250">
        <f>+(219.2+18+164.4/2+7.1)</f>
        <v>326.5</v>
      </c>
      <c r="G176" s="337">
        <v>0</v>
      </c>
      <c r="H176" s="250"/>
      <c r="I176" s="250">
        <f>+F176*G176</f>
        <v>0</v>
      </c>
      <c r="J176" s="251">
        <f>H176+I176</f>
        <v>0</v>
      </c>
      <c r="K176" s="308">
        <v>5.0000000000000002E-5</v>
      </c>
      <c r="L176" s="319">
        <f>+F176*K176</f>
        <v>1.6324999999999999E-2</v>
      </c>
      <c r="M176" s="206"/>
      <c r="N176" s="207"/>
      <c r="O176" s="206"/>
      <c r="P176" s="207"/>
      <c r="T176" s="205"/>
      <c r="BN176" s="205"/>
      <c r="BO176" s="205"/>
    </row>
    <row r="177" spans="1:67" x14ac:dyDescent="0.2">
      <c r="A177" s="232">
        <v>27</v>
      </c>
      <c r="B177" s="242" t="s">
        <v>226</v>
      </c>
      <c r="C177" s="269">
        <v>622405911</v>
      </c>
      <c r="D177" s="243" t="s">
        <v>344</v>
      </c>
      <c r="E177" s="315"/>
      <c r="F177" s="315"/>
      <c r="G177" s="341"/>
      <c r="H177" s="310"/>
      <c r="I177" s="310"/>
      <c r="J177" s="310"/>
      <c r="K177" s="310"/>
      <c r="L177" s="316">
        <f>F177*K177</f>
        <v>0</v>
      </c>
      <c r="M177" s="206">
        <v>2.1000000000000001E-4</v>
      </c>
      <c r="N177" s="207">
        <f>F177*M177</f>
        <v>0</v>
      </c>
      <c r="O177" s="206">
        <v>0</v>
      </c>
      <c r="P177" s="207">
        <f>F177*O177</f>
        <v>0</v>
      </c>
      <c r="T177" s="205">
        <v>2</v>
      </c>
      <c r="BN177" s="205">
        <v>1</v>
      </c>
      <c r="BO177" s="205">
        <v>1</v>
      </c>
    </row>
    <row r="178" spans="1:67" ht="12.75" customHeight="1" x14ac:dyDescent="0.2">
      <c r="A178" s="290"/>
      <c r="B178" s="350"/>
      <c r="C178" s="292" t="s">
        <v>176</v>
      </c>
      <c r="D178" s="342" t="s">
        <v>190</v>
      </c>
      <c r="E178" s="343"/>
      <c r="F178" s="344"/>
      <c r="G178" s="302"/>
      <c r="H178" s="303"/>
      <c r="I178" s="303"/>
      <c r="J178" s="304"/>
      <c r="K178" s="311"/>
      <c r="L178" s="317"/>
      <c r="M178" s="206"/>
      <c r="N178" s="207"/>
      <c r="O178" s="206"/>
      <c r="P178" s="207"/>
    </row>
    <row r="179" spans="1:67" x14ac:dyDescent="0.2">
      <c r="A179" s="351"/>
      <c r="B179" s="352"/>
      <c r="C179" s="353" t="s">
        <v>178</v>
      </c>
      <c r="D179" s="336" t="s">
        <v>183</v>
      </c>
      <c r="E179" s="334"/>
      <c r="F179" s="335"/>
      <c r="G179" s="302"/>
      <c r="H179" s="303"/>
      <c r="I179" s="303"/>
      <c r="J179" s="304"/>
      <c r="K179" s="311"/>
      <c r="L179" s="317"/>
      <c r="M179" s="206"/>
      <c r="N179" s="207"/>
      <c r="O179" s="206"/>
      <c r="P179" s="207"/>
    </row>
    <row r="180" spans="1:67" ht="33.75" x14ac:dyDescent="0.2">
      <c r="A180" s="290"/>
      <c r="B180" s="350"/>
      <c r="C180" s="292"/>
      <c r="D180" s="246" t="s">
        <v>345</v>
      </c>
      <c r="E180" s="348"/>
      <c r="F180" s="349"/>
      <c r="G180" s="302"/>
      <c r="H180" s="303"/>
      <c r="I180" s="303"/>
      <c r="J180" s="304"/>
      <c r="K180" s="311"/>
      <c r="L180" s="317"/>
      <c r="M180" s="206"/>
      <c r="N180" s="207"/>
      <c r="O180" s="206"/>
      <c r="P180" s="207"/>
    </row>
    <row r="181" spans="1:67" x14ac:dyDescent="0.2">
      <c r="A181" s="296"/>
      <c r="B181" s="297"/>
      <c r="C181" s="298"/>
      <c r="D181" s="252" t="s">
        <v>159</v>
      </c>
      <c r="E181" s="249" t="s">
        <v>90</v>
      </c>
      <c r="F181" s="250">
        <f>+(6.36+2.17+5.5+8.58+18.186+5.739+2.947+6.279+3.75)</f>
        <v>59.510999999999996</v>
      </c>
      <c r="G181" s="337">
        <v>0</v>
      </c>
      <c r="H181" s="250"/>
      <c r="I181" s="250">
        <f>+F181*G181</f>
        <v>0</v>
      </c>
      <c r="J181" s="251">
        <f>H181+I181</f>
        <v>0</v>
      </c>
      <c r="K181" s="308">
        <v>5.0000000000000002E-5</v>
      </c>
      <c r="L181" s="319">
        <f>+F181*K181</f>
        <v>2.97555E-3</v>
      </c>
      <c r="M181" s="206"/>
      <c r="N181" s="207"/>
      <c r="O181" s="206"/>
      <c r="P181" s="207"/>
      <c r="T181" s="205"/>
      <c r="BN181" s="205"/>
      <c r="BO181" s="205"/>
    </row>
    <row r="182" spans="1:67" x14ac:dyDescent="0.2">
      <c r="A182" s="232">
        <v>28</v>
      </c>
      <c r="B182" s="242" t="s">
        <v>226</v>
      </c>
      <c r="C182" s="269">
        <v>622405942</v>
      </c>
      <c r="D182" s="243" t="s">
        <v>191</v>
      </c>
      <c r="E182" s="235"/>
      <c r="F182" s="235"/>
      <c r="G182" s="323"/>
      <c r="H182" s="301"/>
      <c r="I182" s="301"/>
      <c r="J182" s="301"/>
      <c r="K182" s="310"/>
      <c r="L182" s="316">
        <f>F182*K182</f>
        <v>0</v>
      </c>
      <c r="M182" s="206">
        <v>0</v>
      </c>
      <c r="N182" s="207">
        <f>F182*M182</f>
        <v>0</v>
      </c>
      <c r="O182" s="206">
        <v>0</v>
      </c>
      <c r="P182" s="207">
        <f>F182*O182</f>
        <v>0</v>
      </c>
      <c r="T182" s="205">
        <v>2</v>
      </c>
      <c r="BN182" s="205">
        <v>1</v>
      </c>
      <c r="BO182" s="205">
        <v>1</v>
      </c>
    </row>
    <row r="183" spans="1:67" ht="12.75" customHeight="1" x14ac:dyDescent="0.2">
      <c r="A183" s="290"/>
      <c r="B183" s="350"/>
      <c r="C183" s="292" t="s">
        <v>176</v>
      </c>
      <c r="D183" s="342" t="s">
        <v>189</v>
      </c>
      <c r="E183" s="343"/>
      <c r="F183" s="344"/>
      <c r="G183" s="302"/>
      <c r="H183" s="303"/>
      <c r="I183" s="303"/>
      <c r="J183" s="304"/>
      <c r="K183" s="311"/>
      <c r="L183" s="317"/>
      <c r="M183" s="206"/>
      <c r="N183" s="207"/>
      <c r="O183" s="206"/>
      <c r="P183" s="207"/>
    </row>
    <row r="184" spans="1:67" x14ac:dyDescent="0.2">
      <c r="A184" s="351"/>
      <c r="B184" s="352"/>
      <c r="C184" s="353" t="s">
        <v>178</v>
      </c>
      <c r="D184" s="336" t="s">
        <v>183</v>
      </c>
      <c r="E184" s="334"/>
      <c r="F184" s="335"/>
      <c r="G184" s="302"/>
      <c r="H184" s="303"/>
      <c r="I184" s="303"/>
      <c r="J184" s="304"/>
      <c r="K184" s="311"/>
      <c r="L184" s="317"/>
      <c r="M184" s="206"/>
      <c r="N184" s="207"/>
      <c r="O184" s="206"/>
      <c r="P184" s="207"/>
    </row>
    <row r="185" spans="1:67" x14ac:dyDescent="0.2">
      <c r="A185" s="247"/>
      <c r="B185" s="248"/>
      <c r="C185" s="270"/>
      <c r="D185" s="252" t="s">
        <v>346</v>
      </c>
      <c r="E185" s="249" t="s">
        <v>90</v>
      </c>
      <c r="F185" s="250">
        <f>+(164.4/2)</f>
        <v>82.2</v>
      </c>
      <c r="G185" s="337">
        <v>0</v>
      </c>
      <c r="H185" s="250"/>
      <c r="I185" s="250">
        <f>+F185*G185</f>
        <v>0</v>
      </c>
      <c r="J185" s="251">
        <f>H185+I185</f>
        <v>0</v>
      </c>
      <c r="K185" s="308">
        <v>5.0000000000000002E-5</v>
      </c>
      <c r="L185" s="319">
        <f>+F185*K185</f>
        <v>4.1099999999999999E-3</v>
      </c>
      <c r="M185" s="206"/>
      <c r="N185" s="207"/>
      <c r="O185" s="206"/>
      <c r="P185" s="207"/>
      <c r="T185" s="205"/>
      <c r="BN185" s="205"/>
      <c r="BO185" s="205"/>
    </row>
    <row r="186" spans="1:67" x14ac:dyDescent="0.2">
      <c r="A186" s="232">
        <v>29</v>
      </c>
      <c r="B186" s="242" t="s">
        <v>226</v>
      </c>
      <c r="C186" s="269">
        <v>622423121</v>
      </c>
      <c r="D186" s="243" t="s">
        <v>194</v>
      </c>
      <c r="E186" s="359"/>
      <c r="F186" s="359"/>
      <c r="G186" s="360"/>
      <c r="H186" s="361"/>
      <c r="I186" s="361"/>
      <c r="J186" s="361"/>
      <c r="K186" s="361"/>
      <c r="L186" s="316">
        <f>+F186*K186</f>
        <v>0</v>
      </c>
      <c r="M186" s="206">
        <v>2.001E-2</v>
      </c>
      <c r="N186" s="207">
        <f>F186*M186</f>
        <v>0</v>
      </c>
      <c r="O186" s="206">
        <v>0</v>
      </c>
      <c r="P186" s="207">
        <f>F186*O186</f>
        <v>0</v>
      </c>
      <c r="T186" s="205">
        <v>2</v>
      </c>
      <c r="BN186" s="205">
        <v>1</v>
      </c>
      <c r="BO186" s="205">
        <v>1</v>
      </c>
    </row>
    <row r="187" spans="1:67" ht="12.75" customHeight="1" x14ac:dyDescent="0.2">
      <c r="A187" s="293"/>
      <c r="B187" s="332"/>
      <c r="C187" s="295" t="s">
        <v>176</v>
      </c>
      <c r="D187" s="356" t="s">
        <v>193</v>
      </c>
      <c r="E187" s="357"/>
      <c r="F187" s="358"/>
      <c r="G187" s="302"/>
      <c r="H187" s="303"/>
      <c r="I187" s="303"/>
      <c r="J187" s="304"/>
      <c r="K187" s="311"/>
      <c r="L187" s="317"/>
      <c r="M187" s="206"/>
      <c r="N187" s="207"/>
      <c r="O187" s="206"/>
      <c r="P187" s="207"/>
    </row>
    <row r="188" spans="1:67" x14ac:dyDescent="0.2">
      <c r="A188" s="351"/>
      <c r="B188" s="352"/>
      <c r="C188" s="353" t="s">
        <v>178</v>
      </c>
      <c r="D188" s="336" t="s">
        <v>183</v>
      </c>
      <c r="E188" s="334"/>
      <c r="F188" s="335"/>
      <c r="G188" s="302"/>
      <c r="H188" s="303"/>
      <c r="I188" s="303"/>
      <c r="J188" s="304"/>
      <c r="K188" s="311"/>
      <c r="L188" s="317"/>
      <c r="M188" s="206"/>
      <c r="N188" s="207"/>
      <c r="O188" s="206"/>
      <c r="P188" s="207"/>
    </row>
    <row r="189" spans="1:67" x14ac:dyDescent="0.2">
      <c r="A189" s="296"/>
      <c r="B189" s="297"/>
      <c r="C189" s="298"/>
      <c r="D189" s="252" t="s">
        <v>347</v>
      </c>
      <c r="E189" s="249" t="s">
        <v>163</v>
      </c>
      <c r="F189" s="250">
        <f>+F114</f>
        <v>820.60070000000007</v>
      </c>
      <c r="G189" s="337">
        <v>0</v>
      </c>
      <c r="H189" s="250"/>
      <c r="I189" s="250">
        <f>+F189*G189</f>
        <v>0</v>
      </c>
      <c r="J189" s="251">
        <f>H189+I189</f>
        <v>0</v>
      </c>
      <c r="K189" s="308">
        <v>2.1649999999999999E-2</v>
      </c>
      <c r="L189" s="319">
        <f>+F189*K189</f>
        <v>17.766005155000002</v>
      </c>
      <c r="M189" s="206"/>
      <c r="N189" s="207"/>
      <c r="O189" s="206"/>
      <c r="P189" s="207"/>
      <c r="T189" s="205"/>
      <c r="BN189" s="205"/>
      <c r="BO189" s="205"/>
    </row>
    <row r="190" spans="1:67" x14ac:dyDescent="0.2">
      <c r="A190" s="232">
        <v>30</v>
      </c>
      <c r="B190" s="242" t="s">
        <v>226</v>
      </c>
      <c r="C190" s="269">
        <v>632450123</v>
      </c>
      <c r="D190" s="243" t="s">
        <v>195</v>
      </c>
      <c r="E190" s="233" t="s">
        <v>163</v>
      </c>
      <c r="F190" s="235"/>
      <c r="G190" s="323"/>
      <c r="H190" s="301"/>
      <c r="I190" s="301"/>
      <c r="J190" s="301"/>
      <c r="K190" s="310"/>
      <c r="L190" s="316">
        <f>F190*K190</f>
        <v>0</v>
      </c>
      <c r="M190" s="206">
        <v>2.001E-2</v>
      </c>
      <c r="N190" s="207">
        <f>F190*M190</f>
        <v>0</v>
      </c>
      <c r="O190" s="206">
        <v>0</v>
      </c>
      <c r="P190" s="207">
        <f>F190*O190</f>
        <v>0</v>
      </c>
      <c r="T190" s="205">
        <v>2</v>
      </c>
      <c r="BN190" s="205">
        <v>1</v>
      </c>
      <c r="BO190" s="205">
        <v>1</v>
      </c>
    </row>
    <row r="191" spans="1:67" ht="12.75" customHeight="1" x14ac:dyDescent="0.2">
      <c r="A191" s="293"/>
      <c r="B191" s="332"/>
      <c r="C191" s="295" t="s">
        <v>176</v>
      </c>
      <c r="D191" s="356" t="s">
        <v>196</v>
      </c>
      <c r="E191" s="357"/>
      <c r="F191" s="358"/>
      <c r="G191" s="302"/>
      <c r="H191" s="303"/>
      <c r="I191" s="303"/>
      <c r="J191" s="304"/>
      <c r="K191" s="311"/>
      <c r="L191" s="317"/>
      <c r="M191" s="206"/>
      <c r="N191" s="207"/>
      <c r="O191" s="206"/>
      <c r="P191" s="207"/>
    </row>
    <row r="192" spans="1:67" x14ac:dyDescent="0.2">
      <c r="A192" s="351"/>
      <c r="B192" s="352"/>
      <c r="C192" s="353" t="s">
        <v>178</v>
      </c>
      <c r="D192" s="336" t="s">
        <v>183</v>
      </c>
      <c r="E192" s="334"/>
      <c r="F192" s="335"/>
      <c r="G192" s="302"/>
      <c r="H192" s="303"/>
      <c r="I192" s="303"/>
      <c r="J192" s="304"/>
      <c r="K192" s="311"/>
      <c r="L192" s="317"/>
      <c r="M192" s="206"/>
      <c r="N192" s="207"/>
      <c r="O192" s="206"/>
      <c r="P192" s="207"/>
    </row>
    <row r="193" spans="1:67" x14ac:dyDescent="0.2">
      <c r="A193" s="247"/>
      <c r="B193" s="248"/>
      <c r="C193" s="270"/>
      <c r="D193" s="252" t="s">
        <v>348</v>
      </c>
      <c r="E193" s="249" t="s">
        <v>163</v>
      </c>
      <c r="F193" s="250">
        <f>+(104.4*0.45)</f>
        <v>46.980000000000004</v>
      </c>
      <c r="G193" s="337">
        <v>0</v>
      </c>
      <c r="H193" s="250"/>
      <c r="I193" s="250">
        <f>+F193*G193</f>
        <v>0</v>
      </c>
      <c r="J193" s="251">
        <f>H193+I193</f>
        <v>0</v>
      </c>
      <c r="K193" s="308">
        <v>0.1221</v>
      </c>
      <c r="L193" s="319">
        <f>+F193*K193</f>
        <v>5.7362580000000003</v>
      </c>
      <c r="M193" s="206"/>
      <c r="N193" s="207"/>
      <c r="O193" s="206"/>
      <c r="P193" s="207"/>
      <c r="T193" s="205"/>
      <c r="BN193" s="205"/>
      <c r="BO193" s="205"/>
    </row>
    <row r="194" spans="1:67" ht="13.5" thickBot="1" x14ac:dyDescent="0.25">
      <c r="A194" s="256"/>
      <c r="B194" s="257"/>
      <c r="C194" s="272" t="s">
        <v>87</v>
      </c>
      <c r="D194" s="258" t="s">
        <v>96</v>
      </c>
      <c r="E194" s="259"/>
      <c r="F194" s="260"/>
      <c r="G194" s="260"/>
      <c r="H194" s="325">
        <f>SUM(H103:H193)</f>
        <v>0</v>
      </c>
      <c r="I194" s="325">
        <f>SUM(I103:I193)</f>
        <v>0</v>
      </c>
      <c r="J194" s="261">
        <f>SUM(J103:J193)</f>
        <v>0</v>
      </c>
      <c r="K194" s="314"/>
      <c r="L194" s="331">
        <f>SUM(L103:L193)</f>
        <v>37.698163308000005</v>
      </c>
      <c r="M194" s="209"/>
      <c r="N194" s="210">
        <f>SUM(N102:N190)</f>
        <v>0</v>
      </c>
      <c r="O194" s="209"/>
      <c r="P194" s="210">
        <f>SUM(P102:P190)</f>
        <v>0</v>
      </c>
      <c r="T194" s="205">
        <v>4</v>
      </c>
    </row>
    <row r="195" spans="1:67" x14ac:dyDescent="0.2">
      <c r="A195" s="200" t="s">
        <v>86</v>
      </c>
      <c r="B195" s="226"/>
      <c r="C195" s="268">
        <v>64</v>
      </c>
      <c r="D195" s="262" t="s">
        <v>164</v>
      </c>
      <c r="E195" s="263"/>
      <c r="F195" s="264"/>
      <c r="G195" s="264"/>
      <c r="H195" s="264"/>
      <c r="I195" s="264"/>
      <c r="J195" s="265"/>
      <c r="K195" s="309"/>
      <c r="L195" s="309"/>
      <c r="M195" s="201"/>
      <c r="N195" s="202"/>
      <c r="O195" s="203"/>
      <c r="P195" s="204"/>
      <c r="T195" s="205">
        <v>1</v>
      </c>
    </row>
    <row r="196" spans="1:67" x14ac:dyDescent="0.2">
      <c r="A196" s="232">
        <v>31</v>
      </c>
      <c r="B196" s="242" t="s">
        <v>226</v>
      </c>
      <c r="C196" s="269">
        <v>642942721</v>
      </c>
      <c r="D196" s="243" t="s">
        <v>197</v>
      </c>
      <c r="E196" s="235"/>
      <c r="F196" s="235"/>
      <c r="G196" s="323"/>
      <c r="H196" s="301"/>
      <c r="I196" s="301"/>
      <c r="J196" s="301"/>
      <c r="K196" s="310"/>
      <c r="L196" s="316">
        <f>F196*K196</f>
        <v>0</v>
      </c>
      <c r="M196" s="206">
        <v>4.4060000000000002E-2</v>
      </c>
      <c r="N196" s="207">
        <f>F196*M196</f>
        <v>0</v>
      </c>
      <c r="O196" s="206">
        <v>0</v>
      </c>
      <c r="P196" s="207">
        <f>F196*O196</f>
        <v>0</v>
      </c>
      <c r="T196" s="205">
        <v>2</v>
      </c>
      <c r="BN196" s="205">
        <v>1</v>
      </c>
      <c r="BO196" s="205">
        <v>1</v>
      </c>
    </row>
    <row r="197" spans="1:67" ht="12.75" customHeight="1" x14ac:dyDescent="0.2">
      <c r="A197" s="293"/>
      <c r="B197" s="332"/>
      <c r="C197" s="295" t="s">
        <v>176</v>
      </c>
      <c r="D197" s="356" t="s">
        <v>198</v>
      </c>
      <c r="E197" s="357"/>
      <c r="F197" s="358"/>
      <c r="G197" s="302"/>
      <c r="H197" s="303"/>
      <c r="I197" s="303"/>
      <c r="J197" s="304"/>
      <c r="K197" s="311"/>
      <c r="L197" s="317"/>
      <c r="M197" s="206"/>
      <c r="N197" s="207"/>
      <c r="O197" s="206"/>
      <c r="P197" s="207"/>
    </row>
    <row r="198" spans="1:67" x14ac:dyDescent="0.2">
      <c r="A198" s="351"/>
      <c r="B198" s="352"/>
      <c r="C198" s="353" t="s">
        <v>178</v>
      </c>
      <c r="D198" s="336" t="s">
        <v>179</v>
      </c>
      <c r="E198" s="334"/>
      <c r="F198" s="335"/>
      <c r="G198" s="302"/>
      <c r="H198" s="303"/>
      <c r="I198" s="303"/>
      <c r="J198" s="304"/>
      <c r="K198" s="311"/>
      <c r="L198" s="317"/>
      <c r="M198" s="206"/>
      <c r="N198" s="207"/>
      <c r="O198" s="206"/>
      <c r="P198" s="207"/>
    </row>
    <row r="199" spans="1:67" x14ac:dyDescent="0.2">
      <c r="A199" s="290"/>
      <c r="B199" s="350"/>
      <c r="C199" s="292"/>
      <c r="D199" s="254" t="s">
        <v>349</v>
      </c>
      <c r="E199" s="348"/>
      <c r="F199" s="349"/>
      <c r="G199" s="305"/>
      <c r="H199" s="306"/>
      <c r="I199" s="306"/>
      <c r="J199" s="307"/>
      <c r="K199" s="312"/>
      <c r="L199" s="318"/>
      <c r="M199" s="206"/>
      <c r="N199" s="207"/>
      <c r="O199" s="206"/>
      <c r="P199" s="207"/>
    </row>
    <row r="200" spans="1:67" x14ac:dyDescent="0.2">
      <c r="A200" s="296"/>
      <c r="B200" s="297"/>
      <c r="C200" s="298"/>
      <c r="D200" s="252" t="s">
        <v>159</v>
      </c>
      <c r="E200" s="249" t="s">
        <v>90</v>
      </c>
      <c r="F200" s="250">
        <f>+(2.15+3)*4+(2.9+3)*2</f>
        <v>32.400000000000006</v>
      </c>
      <c r="G200" s="337">
        <v>0</v>
      </c>
      <c r="H200" s="250"/>
      <c r="I200" s="250">
        <f>+F200*G200</f>
        <v>0</v>
      </c>
      <c r="J200" s="251">
        <f>H200+I200</f>
        <v>0</v>
      </c>
      <c r="K200" s="308">
        <v>9.0699999999999999E-3</v>
      </c>
      <c r="L200" s="319">
        <f>+F200*K200</f>
        <v>0.29386800000000007</v>
      </c>
      <c r="M200" s="206"/>
      <c r="N200" s="207"/>
      <c r="O200" s="206"/>
      <c r="P200" s="207"/>
      <c r="T200" s="205"/>
      <c r="BN200" s="205"/>
      <c r="BO200" s="205"/>
    </row>
    <row r="201" spans="1:67" x14ac:dyDescent="0.2">
      <c r="A201" s="232">
        <v>32</v>
      </c>
      <c r="B201" s="242" t="s">
        <v>226</v>
      </c>
      <c r="C201" s="269">
        <v>641941712</v>
      </c>
      <c r="D201" s="243" t="s">
        <v>199</v>
      </c>
      <c r="E201" s="235"/>
      <c r="F201" s="235"/>
      <c r="G201" s="323"/>
      <c r="H201" s="301"/>
      <c r="I201" s="301"/>
      <c r="J201" s="301"/>
      <c r="K201" s="310"/>
      <c r="L201" s="316">
        <f>F201*K201</f>
        <v>0</v>
      </c>
      <c r="M201" s="206">
        <v>1.09E-3</v>
      </c>
      <c r="N201" s="207">
        <f>F201*M201</f>
        <v>0</v>
      </c>
      <c r="O201" s="206">
        <v>0</v>
      </c>
      <c r="P201" s="207">
        <f>F201*O201</f>
        <v>0</v>
      </c>
      <c r="T201" s="205">
        <v>2</v>
      </c>
      <c r="BN201" s="205">
        <v>1</v>
      </c>
      <c r="BO201" s="205">
        <v>1</v>
      </c>
    </row>
    <row r="202" spans="1:67" ht="12.75" customHeight="1" x14ac:dyDescent="0.2">
      <c r="A202" s="293"/>
      <c r="B202" s="332"/>
      <c r="C202" s="295" t="s">
        <v>176</v>
      </c>
      <c r="D202" s="356" t="s">
        <v>200</v>
      </c>
      <c r="E202" s="357"/>
      <c r="F202" s="358"/>
      <c r="G202" s="302"/>
      <c r="H202" s="303"/>
      <c r="I202" s="303"/>
      <c r="J202" s="304"/>
      <c r="K202" s="311"/>
      <c r="L202" s="317"/>
      <c r="M202" s="206"/>
      <c r="N202" s="207"/>
      <c r="O202" s="206"/>
      <c r="P202" s="207"/>
    </row>
    <row r="203" spans="1:67" x14ac:dyDescent="0.2">
      <c r="A203" s="351"/>
      <c r="B203" s="352"/>
      <c r="C203" s="353" t="s">
        <v>178</v>
      </c>
      <c r="D203" s="336" t="s">
        <v>179</v>
      </c>
      <c r="E203" s="334"/>
      <c r="F203" s="335"/>
      <c r="G203" s="302"/>
      <c r="H203" s="303"/>
      <c r="I203" s="303"/>
      <c r="J203" s="304"/>
      <c r="K203" s="311"/>
      <c r="L203" s="317"/>
      <c r="M203" s="206"/>
      <c r="N203" s="207"/>
      <c r="O203" s="206"/>
      <c r="P203" s="207"/>
    </row>
    <row r="204" spans="1:67" ht="33.75" x14ac:dyDescent="0.2">
      <c r="A204" s="290"/>
      <c r="B204" s="291"/>
      <c r="C204" s="292"/>
      <c r="D204" s="246" t="s">
        <v>300</v>
      </c>
      <c r="E204" s="244" t="s">
        <v>90</v>
      </c>
      <c r="F204" s="245">
        <f>+((2.1*32+2.1*3+1.1*4+1.4*4+1.4*7+(2.1+1.4)*2+1.85*2+1.4*4)*2)</f>
        <v>219.2</v>
      </c>
      <c r="G204" s="302"/>
      <c r="H204" s="303"/>
      <c r="I204" s="303"/>
      <c r="J204" s="304"/>
      <c r="K204" s="311"/>
      <c r="L204" s="317"/>
      <c r="M204" s="206"/>
      <c r="N204" s="207"/>
      <c r="O204" s="206"/>
      <c r="P204" s="207"/>
    </row>
    <row r="205" spans="1:67" ht="33.75" x14ac:dyDescent="0.2">
      <c r="A205" s="293"/>
      <c r="B205" s="294"/>
      <c r="C205" s="295"/>
      <c r="D205" s="246" t="s">
        <v>305</v>
      </c>
      <c r="E205" s="244" t="s">
        <v>90</v>
      </c>
      <c r="F205" s="245">
        <f>+((1.6*32+1.4*3+0.6*4+0.6*4+1.6*7+1.6*2+3.2*2+0.6*2)*2)</f>
        <v>164.40000000000003</v>
      </c>
      <c r="G205" s="302"/>
      <c r="H205" s="303"/>
      <c r="I205" s="303"/>
      <c r="J205" s="304"/>
      <c r="K205" s="311"/>
      <c r="L205" s="317"/>
      <c r="M205" s="206"/>
      <c r="N205" s="207"/>
      <c r="O205" s="206"/>
      <c r="P205" s="207"/>
    </row>
    <row r="206" spans="1:67" x14ac:dyDescent="0.2">
      <c r="A206" s="296"/>
      <c r="B206" s="297"/>
      <c r="C206" s="298"/>
      <c r="D206" s="252" t="s">
        <v>210</v>
      </c>
      <c r="E206" s="249" t="s">
        <v>90</v>
      </c>
      <c r="F206" s="250">
        <f>+SUM(F204:F205)</f>
        <v>383.6</v>
      </c>
      <c r="G206" s="337">
        <v>0</v>
      </c>
      <c r="H206" s="250"/>
      <c r="I206" s="250">
        <f>+F206*G206</f>
        <v>0</v>
      </c>
      <c r="J206" s="251">
        <f>H206+I206</f>
        <v>0</v>
      </c>
      <c r="K206" s="308">
        <v>6.1399999999999996E-3</v>
      </c>
      <c r="L206" s="319">
        <f>+F206*K206</f>
        <v>2.3553039999999998</v>
      </c>
      <c r="M206" s="206"/>
      <c r="N206" s="207"/>
      <c r="O206" s="206"/>
      <c r="P206" s="207"/>
    </row>
    <row r="207" spans="1:67" ht="13.5" thickBot="1" x14ac:dyDescent="0.25">
      <c r="A207" s="256"/>
      <c r="B207" s="257"/>
      <c r="C207" s="272" t="s">
        <v>87</v>
      </c>
      <c r="D207" s="258" t="s">
        <v>165</v>
      </c>
      <c r="E207" s="259"/>
      <c r="F207" s="260"/>
      <c r="G207" s="260"/>
      <c r="H207" s="325">
        <f>SUM(H196:H206)</f>
        <v>0</v>
      </c>
      <c r="I207" s="325">
        <f>SUM(I196:I206)</f>
        <v>0</v>
      </c>
      <c r="J207" s="261">
        <f>SUM(J196:J206)</f>
        <v>0</v>
      </c>
      <c r="K207" s="314"/>
      <c r="L207" s="321">
        <f>SUM(L196:L206)</f>
        <v>2.6491720000000001</v>
      </c>
      <c r="M207" s="209"/>
      <c r="N207" s="210">
        <f>SUM(N194:N206)</f>
        <v>0</v>
      </c>
      <c r="O207" s="209"/>
      <c r="P207" s="210">
        <f>SUM(P194:P206)</f>
        <v>0</v>
      </c>
      <c r="T207" s="205">
        <v>4</v>
      </c>
    </row>
    <row r="208" spans="1:67" x14ac:dyDescent="0.2">
      <c r="A208" s="200" t="s">
        <v>86</v>
      </c>
      <c r="B208" s="226"/>
      <c r="C208" s="268">
        <v>94</v>
      </c>
      <c r="D208" s="262" t="s">
        <v>98</v>
      </c>
      <c r="E208" s="263"/>
      <c r="F208" s="264"/>
      <c r="G208" s="264"/>
      <c r="H208" s="264"/>
      <c r="I208" s="264"/>
      <c r="J208" s="265"/>
      <c r="K208" s="309"/>
      <c r="L208" s="309"/>
      <c r="M208" s="201"/>
      <c r="N208" s="202"/>
      <c r="O208" s="203"/>
      <c r="P208" s="204"/>
      <c r="T208" s="205">
        <v>1</v>
      </c>
    </row>
    <row r="209" spans="1:67" x14ac:dyDescent="0.2">
      <c r="A209" s="396">
        <v>33</v>
      </c>
      <c r="B209" s="242" t="s">
        <v>226</v>
      </c>
      <c r="C209" s="269">
        <v>941941051</v>
      </c>
      <c r="D209" s="243" t="s">
        <v>100</v>
      </c>
      <c r="E209" s="235"/>
      <c r="F209" s="235"/>
      <c r="G209" s="323"/>
      <c r="H209" s="301"/>
      <c r="I209" s="301"/>
      <c r="J209" s="301"/>
      <c r="K209" s="310"/>
      <c r="L209" s="316">
        <f>F209*K209</f>
        <v>0</v>
      </c>
      <c r="M209" s="206">
        <v>4.4060000000000002E-2</v>
      </c>
      <c r="N209" s="207">
        <f>F209*M209</f>
        <v>0</v>
      </c>
      <c r="O209" s="206">
        <v>0</v>
      </c>
      <c r="P209" s="207">
        <f>F209*O209</f>
        <v>0</v>
      </c>
      <c r="T209" s="205">
        <v>2</v>
      </c>
      <c r="BN209" s="205">
        <v>1</v>
      </c>
      <c r="BO209" s="205">
        <v>1</v>
      </c>
    </row>
    <row r="210" spans="1:67" ht="12.75" customHeight="1" x14ac:dyDescent="0.2">
      <c r="A210" s="293"/>
      <c r="B210" s="332"/>
      <c r="C210" s="295" t="s">
        <v>176</v>
      </c>
      <c r="D210" s="356" t="s">
        <v>201</v>
      </c>
      <c r="E210" s="357"/>
      <c r="F210" s="358"/>
      <c r="G210" s="302"/>
      <c r="H210" s="303"/>
      <c r="I210" s="303"/>
      <c r="J210" s="304"/>
      <c r="K210" s="311"/>
      <c r="L210" s="317"/>
      <c r="M210" s="206"/>
      <c r="N210" s="207"/>
      <c r="O210" s="206"/>
      <c r="P210" s="207"/>
    </row>
    <row r="211" spans="1:67" x14ac:dyDescent="0.2">
      <c r="A211" s="351"/>
      <c r="B211" s="352"/>
      <c r="C211" s="353" t="s">
        <v>178</v>
      </c>
      <c r="D211" s="336" t="s">
        <v>183</v>
      </c>
      <c r="E211" s="334"/>
      <c r="F211" s="335"/>
      <c r="G211" s="302"/>
      <c r="H211" s="303"/>
      <c r="I211" s="303"/>
      <c r="J211" s="304"/>
      <c r="K211" s="311"/>
      <c r="L211" s="317"/>
      <c r="M211" s="206"/>
      <c r="N211" s="207"/>
      <c r="O211" s="206"/>
      <c r="P211" s="207"/>
    </row>
    <row r="212" spans="1:67" ht="45" x14ac:dyDescent="0.2">
      <c r="A212" s="290"/>
      <c r="B212" s="350"/>
      <c r="C212" s="292"/>
      <c r="D212" s="254" t="s">
        <v>350</v>
      </c>
      <c r="E212" s="348"/>
      <c r="F212" s="349"/>
      <c r="G212" s="302"/>
      <c r="H212" s="303"/>
      <c r="I212" s="303"/>
      <c r="J212" s="304"/>
      <c r="K212" s="311"/>
      <c r="L212" s="317"/>
      <c r="M212" s="206"/>
      <c r="N212" s="207"/>
      <c r="O212" s="206"/>
      <c r="P212" s="207"/>
    </row>
    <row r="213" spans="1:67" x14ac:dyDescent="0.2">
      <c r="A213" s="296"/>
      <c r="B213" s="297"/>
      <c r="C213" s="298"/>
      <c r="D213" s="252" t="s">
        <v>159</v>
      </c>
      <c r="E213" s="249" t="s">
        <v>163</v>
      </c>
      <c r="F213" s="250">
        <f>+(15.06+1.2*2)*13.16+(8.94+1.2)*13.16+(5.5+1.2)*13.16+(6.34+1.2)*13.16+(8.58+1.2*2)*13.16+(23.28+1.2*2)*13.16</f>
        <v>1033.06</v>
      </c>
      <c r="G213" s="337">
        <v>0</v>
      </c>
      <c r="H213" s="250"/>
      <c r="I213" s="250">
        <f>+F213*G213</f>
        <v>0</v>
      </c>
      <c r="J213" s="251">
        <f>H213+I213</f>
        <v>0</v>
      </c>
      <c r="K213" s="308"/>
      <c r="L213" s="319"/>
      <c r="M213" s="206"/>
      <c r="N213" s="207"/>
      <c r="O213" s="206"/>
      <c r="P213" s="207"/>
      <c r="T213" s="205"/>
      <c r="BN213" s="205"/>
      <c r="BO213" s="205"/>
    </row>
    <row r="214" spans="1:67" x14ac:dyDescent="0.2">
      <c r="A214" s="232">
        <v>34</v>
      </c>
      <c r="B214" s="242" t="s">
        <v>226</v>
      </c>
      <c r="C214" s="269">
        <v>941941391</v>
      </c>
      <c r="D214" s="243" t="s">
        <v>101</v>
      </c>
      <c r="E214" s="234"/>
      <c r="F214" s="234"/>
      <c r="G214" s="299"/>
      <c r="H214" s="300"/>
      <c r="I214" s="300"/>
      <c r="J214" s="300"/>
      <c r="K214" s="300"/>
      <c r="L214" s="364"/>
      <c r="M214" s="206">
        <v>1.09E-3</v>
      </c>
      <c r="N214" s="207">
        <f>F214*M214</f>
        <v>0</v>
      </c>
      <c r="O214" s="206">
        <v>0</v>
      </c>
      <c r="P214" s="207">
        <f>F214*O214</f>
        <v>0</v>
      </c>
      <c r="T214" s="205">
        <v>2</v>
      </c>
      <c r="BN214" s="205">
        <v>1</v>
      </c>
      <c r="BO214" s="205">
        <v>1</v>
      </c>
    </row>
    <row r="215" spans="1:67" ht="12.75" customHeight="1" x14ac:dyDescent="0.2">
      <c r="A215" s="293"/>
      <c r="B215" s="332"/>
      <c r="C215" s="295" t="s">
        <v>176</v>
      </c>
      <c r="D215" s="356" t="s">
        <v>101</v>
      </c>
      <c r="E215" s="357"/>
      <c r="F215" s="358"/>
      <c r="G215" s="302"/>
      <c r="H215" s="303"/>
      <c r="I215" s="303"/>
      <c r="J215" s="304"/>
      <c r="K215" s="311"/>
      <c r="L215" s="317"/>
      <c r="M215" s="206"/>
      <c r="N215" s="207"/>
      <c r="O215" s="206"/>
      <c r="P215" s="207"/>
    </row>
    <row r="216" spans="1:67" x14ac:dyDescent="0.2">
      <c r="A216" s="351"/>
      <c r="B216" s="352"/>
      <c r="C216" s="353" t="s">
        <v>178</v>
      </c>
      <c r="D216" s="336" t="s">
        <v>183</v>
      </c>
      <c r="E216" s="348"/>
      <c r="F216" s="349"/>
      <c r="G216" s="302"/>
      <c r="H216" s="303"/>
      <c r="I216" s="303"/>
      <c r="J216" s="304"/>
      <c r="K216" s="311"/>
      <c r="L216" s="317"/>
      <c r="M216" s="206"/>
      <c r="N216" s="207"/>
      <c r="O216" s="206"/>
      <c r="P216" s="207"/>
    </row>
    <row r="217" spans="1:67" x14ac:dyDescent="0.2">
      <c r="A217" s="293"/>
      <c r="B217" s="332"/>
      <c r="C217" s="295"/>
      <c r="D217" s="362" t="s">
        <v>351</v>
      </c>
      <c r="E217" s="249" t="s">
        <v>163</v>
      </c>
      <c r="F217" s="250">
        <f>1033.06*3</f>
        <v>3099.18</v>
      </c>
      <c r="G217" s="337">
        <v>0</v>
      </c>
      <c r="H217" s="250"/>
      <c r="I217" s="250">
        <f>+F217*G217</f>
        <v>0</v>
      </c>
      <c r="J217" s="251">
        <f>H217+I217</f>
        <v>0</v>
      </c>
      <c r="K217" s="308"/>
      <c r="L217" s="319">
        <f>F217*K217</f>
        <v>0</v>
      </c>
      <c r="M217" s="206"/>
      <c r="N217" s="207"/>
      <c r="O217" s="206"/>
      <c r="P217" s="207"/>
    </row>
    <row r="218" spans="1:67" x14ac:dyDescent="0.2">
      <c r="A218" s="232">
        <v>35</v>
      </c>
      <c r="B218" s="242" t="s">
        <v>226</v>
      </c>
      <c r="C218" s="269">
        <v>941941851</v>
      </c>
      <c r="D218" s="243" t="s">
        <v>102</v>
      </c>
      <c r="E218" s="233"/>
      <c r="F218" s="234"/>
      <c r="G218" s="299">
        <v>0</v>
      </c>
      <c r="H218" s="300"/>
      <c r="I218" s="300">
        <f>+F218*G218</f>
        <v>0</v>
      </c>
      <c r="J218" s="301">
        <f>H218+I218</f>
        <v>0</v>
      </c>
      <c r="K218" s="310"/>
      <c r="L218" s="316">
        <f>F218*K218</f>
        <v>0</v>
      </c>
      <c r="M218" s="206">
        <v>0</v>
      </c>
      <c r="N218" s="207">
        <f>F218*M218</f>
        <v>0</v>
      </c>
      <c r="O218" s="206">
        <v>0</v>
      </c>
      <c r="P218" s="207">
        <f>F218*O218</f>
        <v>0</v>
      </c>
      <c r="T218" s="205">
        <v>2</v>
      </c>
      <c r="BN218" s="205">
        <v>1</v>
      </c>
      <c r="BO218" s="205">
        <v>1</v>
      </c>
    </row>
    <row r="219" spans="1:67" ht="12.75" customHeight="1" x14ac:dyDescent="0.2">
      <c r="A219" s="293"/>
      <c r="B219" s="332"/>
      <c r="C219" s="295" t="s">
        <v>176</v>
      </c>
      <c r="D219" s="356" t="s">
        <v>202</v>
      </c>
      <c r="E219" s="357"/>
      <c r="F219" s="358"/>
      <c r="G219" s="302"/>
      <c r="H219" s="303"/>
      <c r="I219" s="303"/>
      <c r="J219" s="304"/>
      <c r="K219" s="311"/>
      <c r="L219" s="317"/>
      <c r="M219" s="206"/>
      <c r="N219" s="207"/>
      <c r="O219" s="206"/>
      <c r="P219" s="207"/>
    </row>
    <row r="220" spans="1:67" x14ac:dyDescent="0.2">
      <c r="A220" s="351"/>
      <c r="B220" s="352"/>
      <c r="C220" s="353" t="s">
        <v>178</v>
      </c>
      <c r="D220" s="336" t="s">
        <v>183</v>
      </c>
      <c r="E220" s="348"/>
      <c r="F220" s="349"/>
      <c r="G220" s="302"/>
      <c r="H220" s="303"/>
      <c r="I220" s="303"/>
      <c r="J220" s="304"/>
      <c r="K220" s="311"/>
      <c r="L220" s="317"/>
      <c r="M220" s="206"/>
      <c r="N220" s="207"/>
      <c r="O220" s="206"/>
      <c r="P220" s="207"/>
    </row>
    <row r="221" spans="1:67" x14ac:dyDescent="0.2">
      <c r="A221" s="293"/>
      <c r="B221" s="332"/>
      <c r="C221" s="295"/>
      <c r="D221" s="362" t="s">
        <v>352</v>
      </c>
      <c r="E221" s="249" t="s">
        <v>163</v>
      </c>
      <c r="F221" s="250">
        <v>1033.06</v>
      </c>
      <c r="G221" s="337">
        <v>0</v>
      </c>
      <c r="H221" s="250"/>
      <c r="I221" s="250">
        <f>+F221*G221</f>
        <v>0</v>
      </c>
      <c r="J221" s="251">
        <f>H221+I221</f>
        <v>0</v>
      </c>
      <c r="K221" s="308"/>
      <c r="L221" s="319">
        <f>F221*K221</f>
        <v>0</v>
      </c>
      <c r="M221" s="206"/>
      <c r="N221" s="207"/>
      <c r="O221" s="206"/>
      <c r="P221" s="207"/>
    </row>
    <row r="222" spans="1:67" x14ac:dyDescent="0.2">
      <c r="A222" s="232">
        <v>36</v>
      </c>
      <c r="B222" s="242" t="s">
        <v>226</v>
      </c>
      <c r="C222" s="269">
        <v>944944011</v>
      </c>
      <c r="D222" s="243" t="s">
        <v>103</v>
      </c>
      <c r="E222" s="233"/>
      <c r="F222" s="234"/>
      <c r="G222" s="299">
        <v>0</v>
      </c>
      <c r="H222" s="300"/>
      <c r="I222" s="300">
        <f>+F222*G222</f>
        <v>0</v>
      </c>
      <c r="J222" s="301">
        <f>H222+I222</f>
        <v>0</v>
      </c>
      <c r="K222" s="310"/>
      <c r="L222" s="316">
        <f>F222*K222</f>
        <v>0</v>
      </c>
      <c r="M222" s="206">
        <v>0</v>
      </c>
      <c r="N222" s="207">
        <f>F222*M222</f>
        <v>0</v>
      </c>
      <c r="O222" s="206">
        <v>0</v>
      </c>
      <c r="P222" s="207">
        <f>F222*O222</f>
        <v>0</v>
      </c>
      <c r="T222" s="205">
        <v>2</v>
      </c>
      <c r="BN222" s="205">
        <v>1</v>
      </c>
      <c r="BO222" s="205">
        <v>1</v>
      </c>
    </row>
    <row r="223" spans="1:67" ht="12.75" customHeight="1" x14ac:dyDescent="0.2">
      <c r="A223" s="293"/>
      <c r="B223" s="332"/>
      <c r="C223" s="295" t="s">
        <v>176</v>
      </c>
      <c r="D223" s="356" t="s">
        <v>203</v>
      </c>
      <c r="E223" s="357"/>
      <c r="F223" s="358"/>
      <c r="G223" s="302"/>
      <c r="H223" s="303"/>
      <c r="I223" s="303"/>
      <c r="J223" s="304"/>
      <c r="K223" s="311"/>
      <c r="L223" s="317"/>
      <c r="M223" s="206"/>
      <c r="N223" s="207"/>
      <c r="O223" s="206"/>
      <c r="P223" s="207"/>
    </row>
    <row r="224" spans="1:67" x14ac:dyDescent="0.2">
      <c r="A224" s="351"/>
      <c r="B224" s="352"/>
      <c r="C224" s="353" t="s">
        <v>178</v>
      </c>
      <c r="D224" s="336" t="s">
        <v>183</v>
      </c>
      <c r="E224" s="348"/>
      <c r="F224" s="349"/>
      <c r="G224" s="302"/>
      <c r="H224" s="303"/>
      <c r="I224" s="303"/>
      <c r="J224" s="304"/>
      <c r="K224" s="311"/>
      <c r="L224" s="317"/>
      <c r="M224" s="206"/>
      <c r="N224" s="207"/>
      <c r="O224" s="206"/>
      <c r="P224" s="207"/>
    </row>
    <row r="225" spans="1:67" x14ac:dyDescent="0.2">
      <c r="A225" s="293"/>
      <c r="B225" s="332"/>
      <c r="C225" s="295"/>
      <c r="D225" s="362" t="s">
        <v>352</v>
      </c>
      <c r="E225" s="249" t="s">
        <v>163</v>
      </c>
      <c r="F225" s="250">
        <f>1033.06</f>
        <v>1033.06</v>
      </c>
      <c r="G225" s="337">
        <v>0</v>
      </c>
      <c r="H225" s="250"/>
      <c r="I225" s="250">
        <f>+F225*G225</f>
        <v>0</v>
      </c>
      <c r="J225" s="251">
        <f>H225+I225</f>
        <v>0</v>
      </c>
      <c r="K225" s="308"/>
      <c r="L225" s="319">
        <f>F225*K225</f>
        <v>0</v>
      </c>
      <c r="M225" s="206"/>
      <c r="N225" s="207"/>
      <c r="O225" s="206"/>
      <c r="P225" s="207"/>
    </row>
    <row r="226" spans="1:67" x14ac:dyDescent="0.2">
      <c r="A226" s="232">
        <v>37</v>
      </c>
      <c r="B226" s="242" t="s">
        <v>226</v>
      </c>
      <c r="C226" s="269">
        <v>944944031</v>
      </c>
      <c r="D226" s="243" t="s">
        <v>104</v>
      </c>
      <c r="E226" s="233"/>
      <c r="F226" s="234"/>
      <c r="G226" s="299">
        <v>0</v>
      </c>
      <c r="H226" s="300"/>
      <c r="I226" s="300">
        <f>+F226*G226</f>
        <v>0</v>
      </c>
      <c r="J226" s="301">
        <f>H226+I226</f>
        <v>0</v>
      </c>
      <c r="K226" s="310"/>
      <c r="L226" s="316">
        <f>F226*K226</f>
        <v>0</v>
      </c>
      <c r="M226" s="206">
        <v>0</v>
      </c>
      <c r="N226" s="207">
        <f>F226*M226</f>
        <v>0</v>
      </c>
      <c r="O226" s="206">
        <v>0</v>
      </c>
      <c r="P226" s="207">
        <f>F226*O226</f>
        <v>0</v>
      </c>
      <c r="T226" s="205">
        <v>2</v>
      </c>
      <c r="BN226" s="205">
        <v>1</v>
      </c>
      <c r="BO226" s="205">
        <v>1</v>
      </c>
    </row>
    <row r="227" spans="1:67" ht="12.75" customHeight="1" x14ac:dyDescent="0.2">
      <c r="A227" s="293"/>
      <c r="B227" s="332"/>
      <c r="C227" s="295" t="s">
        <v>176</v>
      </c>
      <c r="D227" s="356" t="s">
        <v>104</v>
      </c>
      <c r="E227" s="357"/>
      <c r="F227" s="358"/>
      <c r="G227" s="302"/>
      <c r="H227" s="303"/>
      <c r="I227" s="303"/>
      <c r="J227" s="304"/>
      <c r="K227" s="311"/>
      <c r="L227" s="317"/>
      <c r="M227" s="206"/>
      <c r="N227" s="207"/>
      <c r="O227" s="206"/>
      <c r="P227" s="207"/>
    </row>
    <row r="228" spans="1:67" x14ac:dyDescent="0.2">
      <c r="A228" s="351"/>
      <c r="B228" s="352"/>
      <c r="C228" s="353" t="s">
        <v>178</v>
      </c>
      <c r="D228" s="336" t="s">
        <v>183</v>
      </c>
      <c r="E228" s="348"/>
      <c r="F228" s="349"/>
      <c r="G228" s="302"/>
      <c r="H228" s="303"/>
      <c r="I228" s="303"/>
      <c r="J228" s="304"/>
      <c r="K228" s="311"/>
      <c r="L228" s="317"/>
      <c r="M228" s="206"/>
      <c r="N228" s="207"/>
      <c r="O228" s="206"/>
      <c r="P228" s="207"/>
    </row>
    <row r="229" spans="1:67" x14ac:dyDescent="0.2">
      <c r="A229" s="293"/>
      <c r="B229" s="332"/>
      <c r="C229" s="295"/>
      <c r="D229" s="362" t="s">
        <v>351</v>
      </c>
      <c r="E229" s="249" t="s">
        <v>163</v>
      </c>
      <c r="F229" s="250">
        <f>1033.06*3</f>
        <v>3099.18</v>
      </c>
      <c r="G229" s="337">
        <v>0</v>
      </c>
      <c r="H229" s="250"/>
      <c r="I229" s="250">
        <f>+F229*G229</f>
        <v>0</v>
      </c>
      <c r="J229" s="251">
        <f>H229+I229</f>
        <v>0</v>
      </c>
      <c r="K229" s="308"/>
      <c r="L229" s="319">
        <f>F229*K229</f>
        <v>0</v>
      </c>
      <c r="M229" s="206"/>
      <c r="N229" s="207"/>
      <c r="O229" s="206"/>
      <c r="P229" s="207"/>
    </row>
    <row r="230" spans="1:67" x14ac:dyDescent="0.2">
      <c r="A230" s="232">
        <v>38</v>
      </c>
      <c r="B230" s="242" t="s">
        <v>226</v>
      </c>
      <c r="C230" s="269">
        <v>944944081</v>
      </c>
      <c r="D230" s="243" t="s">
        <v>105</v>
      </c>
      <c r="E230" s="233"/>
      <c r="F230" s="234"/>
      <c r="G230" s="299">
        <v>0</v>
      </c>
      <c r="H230" s="300"/>
      <c r="I230" s="300">
        <f>+F230*G230</f>
        <v>0</v>
      </c>
      <c r="J230" s="301">
        <f>H230+I230</f>
        <v>0</v>
      </c>
      <c r="K230" s="310"/>
      <c r="L230" s="316">
        <f>F230*K230</f>
        <v>0</v>
      </c>
      <c r="M230" s="206">
        <v>0</v>
      </c>
      <c r="N230" s="207">
        <f>F230*M230</f>
        <v>0</v>
      </c>
      <c r="O230" s="206">
        <v>0</v>
      </c>
      <c r="P230" s="207">
        <f>F230*O230</f>
        <v>0</v>
      </c>
      <c r="T230" s="205">
        <v>2</v>
      </c>
      <c r="BN230" s="205">
        <v>1</v>
      </c>
      <c r="BO230" s="205">
        <v>1</v>
      </c>
    </row>
    <row r="231" spans="1:67" ht="12.75" customHeight="1" x14ac:dyDescent="0.2">
      <c r="A231" s="293"/>
      <c r="B231" s="332"/>
      <c r="C231" s="295" t="s">
        <v>176</v>
      </c>
      <c r="D231" s="356" t="s">
        <v>204</v>
      </c>
      <c r="E231" s="357"/>
      <c r="F231" s="358"/>
      <c r="G231" s="302"/>
      <c r="H231" s="303"/>
      <c r="I231" s="303"/>
      <c r="J231" s="304"/>
      <c r="K231" s="311"/>
      <c r="L231" s="317"/>
      <c r="M231" s="206"/>
      <c r="N231" s="207"/>
      <c r="O231" s="206"/>
      <c r="P231" s="207"/>
    </row>
    <row r="232" spans="1:67" x14ac:dyDescent="0.2">
      <c r="A232" s="351"/>
      <c r="B232" s="352"/>
      <c r="C232" s="353" t="s">
        <v>178</v>
      </c>
      <c r="D232" s="336" t="s">
        <v>183</v>
      </c>
      <c r="E232" s="348"/>
      <c r="F232" s="349"/>
      <c r="G232" s="302"/>
      <c r="H232" s="303"/>
      <c r="I232" s="303"/>
      <c r="J232" s="304"/>
      <c r="K232" s="311"/>
      <c r="L232" s="317"/>
      <c r="M232" s="206"/>
      <c r="N232" s="207"/>
      <c r="O232" s="206"/>
      <c r="P232" s="207"/>
    </row>
    <row r="233" spans="1:67" x14ac:dyDescent="0.2">
      <c r="A233" s="293"/>
      <c r="B233" s="332"/>
      <c r="C233" s="295"/>
      <c r="D233" s="362" t="s">
        <v>352</v>
      </c>
      <c r="E233" s="249" t="s">
        <v>163</v>
      </c>
      <c r="F233" s="250">
        <v>1033.06</v>
      </c>
      <c r="G233" s="337">
        <v>0</v>
      </c>
      <c r="H233" s="250"/>
      <c r="I233" s="250">
        <f>+F233*G233</f>
        <v>0</v>
      </c>
      <c r="J233" s="251">
        <f>H233+I233</f>
        <v>0</v>
      </c>
      <c r="K233" s="308"/>
      <c r="L233" s="319">
        <f>F233*K233</f>
        <v>0</v>
      </c>
      <c r="M233" s="206"/>
      <c r="N233" s="207"/>
      <c r="O233" s="206"/>
      <c r="P233" s="207"/>
    </row>
    <row r="234" spans="1:67" ht="13.5" thickBot="1" x14ac:dyDescent="0.25">
      <c r="A234" s="256"/>
      <c r="B234" s="257"/>
      <c r="C234" s="272" t="s">
        <v>87</v>
      </c>
      <c r="D234" s="258" t="s">
        <v>99</v>
      </c>
      <c r="E234" s="259"/>
      <c r="F234" s="260"/>
      <c r="G234" s="260"/>
      <c r="H234" s="325">
        <f>SUM(H209:H233)</f>
        <v>0</v>
      </c>
      <c r="I234" s="325">
        <f>SUM(I209:I233)</f>
        <v>0</v>
      </c>
      <c r="J234" s="261">
        <f>SUM(J209:J233)</f>
        <v>0</v>
      </c>
      <c r="K234" s="314"/>
      <c r="L234" s="321">
        <f>SUM(L208:P233)</f>
        <v>4.5150000000000003E-2</v>
      </c>
      <c r="M234" s="209"/>
      <c r="N234" s="210">
        <f>SUM(N208:N230)</f>
        <v>0</v>
      </c>
      <c r="O234" s="209"/>
      <c r="P234" s="210">
        <f>SUM(P208:P230)</f>
        <v>0</v>
      </c>
      <c r="T234" s="205">
        <v>4</v>
      </c>
    </row>
    <row r="235" spans="1:67" x14ac:dyDescent="0.2">
      <c r="A235" s="200" t="s">
        <v>86</v>
      </c>
      <c r="B235" s="226"/>
      <c r="C235" s="268">
        <v>95</v>
      </c>
      <c r="D235" s="262" t="s">
        <v>106</v>
      </c>
      <c r="E235" s="263"/>
      <c r="F235" s="264"/>
      <c r="G235" s="264"/>
      <c r="H235" s="264"/>
      <c r="I235" s="264"/>
      <c r="J235" s="265"/>
      <c r="K235" s="309"/>
      <c r="L235" s="309"/>
      <c r="M235" s="201"/>
      <c r="N235" s="202"/>
      <c r="O235" s="203"/>
      <c r="P235" s="204"/>
      <c r="T235" s="205">
        <v>1</v>
      </c>
    </row>
    <row r="236" spans="1:67" x14ac:dyDescent="0.2">
      <c r="A236" s="232">
        <v>39</v>
      </c>
      <c r="B236" s="242" t="s">
        <v>226</v>
      </c>
      <c r="C236" s="269">
        <v>952901111</v>
      </c>
      <c r="D236" s="243" t="s">
        <v>108</v>
      </c>
      <c r="E236" s="234"/>
      <c r="F236" s="234"/>
      <c r="G236" s="299"/>
      <c r="H236" s="300"/>
      <c r="I236" s="300"/>
      <c r="J236" s="301">
        <f>F236*G236</f>
        <v>0</v>
      </c>
      <c r="K236" s="310"/>
      <c r="L236" s="316">
        <f>F236*K236</f>
        <v>0</v>
      </c>
      <c r="M236" s="206">
        <v>4.0000000000000003E-5</v>
      </c>
      <c r="N236" s="207">
        <f>F236*M236</f>
        <v>0</v>
      </c>
      <c r="O236" s="206">
        <v>0</v>
      </c>
      <c r="P236" s="207">
        <f>F236*O236</f>
        <v>0</v>
      </c>
      <c r="T236" s="205">
        <v>2</v>
      </c>
      <c r="BN236" s="205">
        <v>1</v>
      </c>
      <c r="BO236" s="205">
        <v>1</v>
      </c>
    </row>
    <row r="237" spans="1:67" ht="12.75" customHeight="1" x14ac:dyDescent="0.2">
      <c r="A237" s="293"/>
      <c r="B237" s="332"/>
      <c r="C237" s="295" t="s">
        <v>176</v>
      </c>
      <c r="D237" s="356" t="s">
        <v>205</v>
      </c>
      <c r="E237" s="357"/>
      <c r="F237" s="358"/>
      <c r="G237" s="302"/>
      <c r="H237" s="303"/>
      <c r="I237" s="303"/>
      <c r="J237" s="304"/>
      <c r="K237" s="311"/>
      <c r="L237" s="317"/>
      <c r="M237" s="206"/>
      <c r="N237" s="207"/>
      <c r="O237" s="206"/>
      <c r="P237" s="207"/>
    </row>
    <row r="238" spans="1:67" x14ac:dyDescent="0.2">
      <c r="A238" s="351"/>
      <c r="B238" s="352"/>
      <c r="C238" s="353" t="s">
        <v>178</v>
      </c>
      <c r="D238" s="336" t="s">
        <v>206</v>
      </c>
      <c r="E238" s="348"/>
      <c r="F238" s="349"/>
      <c r="G238" s="302"/>
      <c r="H238" s="303"/>
      <c r="I238" s="303"/>
      <c r="J238" s="304"/>
      <c r="K238" s="311"/>
      <c r="L238" s="317"/>
      <c r="M238" s="206"/>
      <c r="N238" s="207"/>
      <c r="O238" s="206"/>
      <c r="P238" s="207"/>
    </row>
    <row r="239" spans="1:67" ht="56.25" x14ac:dyDescent="0.2">
      <c r="A239" s="290"/>
      <c r="B239" s="350"/>
      <c r="C239" s="292"/>
      <c r="D239" s="254" t="s">
        <v>353</v>
      </c>
      <c r="E239" s="348"/>
      <c r="F239" s="349"/>
      <c r="G239" s="302"/>
      <c r="H239" s="303"/>
      <c r="I239" s="303"/>
      <c r="J239" s="304"/>
      <c r="K239" s="311"/>
      <c r="L239" s="317"/>
      <c r="M239" s="206"/>
      <c r="N239" s="207"/>
      <c r="O239" s="206"/>
      <c r="P239" s="207"/>
    </row>
    <row r="240" spans="1:67" x14ac:dyDescent="0.2">
      <c r="A240" s="296"/>
      <c r="B240" s="297"/>
      <c r="C240" s="298"/>
      <c r="D240" s="252" t="s">
        <v>159</v>
      </c>
      <c r="E240" s="249" t="s">
        <v>163</v>
      </c>
      <c r="F240" s="250">
        <f>+(12.33+7.64+3.94+63.06+3.7+4.69+3.51+4.67+25.47)+(45.63+54.62+3.78+4.67+3.7+4.69+56.57+6.54+13.65+17.42)*2+(45.63+18.97+35.67+3.78+4.67+0.7+4.69+56.57+13.38+17.43)</f>
        <v>753.04</v>
      </c>
      <c r="G240" s="337">
        <v>0</v>
      </c>
      <c r="H240" s="250"/>
      <c r="I240" s="250">
        <f>+F240*G240</f>
        <v>0</v>
      </c>
      <c r="J240" s="251">
        <f>H240+I240</f>
        <v>0</v>
      </c>
      <c r="K240" s="308"/>
      <c r="L240" s="319"/>
      <c r="M240" s="206"/>
      <c r="N240" s="207"/>
      <c r="O240" s="206"/>
      <c r="P240" s="207"/>
      <c r="T240" s="205"/>
      <c r="BN240" s="205"/>
      <c r="BO240" s="205"/>
    </row>
    <row r="241" spans="1:67" ht="13.5" thickBot="1" x14ac:dyDescent="0.25">
      <c r="A241" s="256"/>
      <c r="B241" s="257"/>
      <c r="C241" s="272" t="s">
        <v>87</v>
      </c>
      <c r="D241" s="258" t="s">
        <v>107</v>
      </c>
      <c r="E241" s="259"/>
      <c r="F241" s="260"/>
      <c r="G241" s="260"/>
      <c r="H241" s="325">
        <f>SUM(H236:H240)</f>
        <v>0</v>
      </c>
      <c r="I241" s="325">
        <f>SUM(I236:I240)</f>
        <v>0</v>
      </c>
      <c r="J241" s="261">
        <f>SUM(J236:J240)</f>
        <v>0</v>
      </c>
      <c r="K241" s="314"/>
      <c r="L241" s="321">
        <f>SUM(L235:L240)</f>
        <v>0</v>
      </c>
      <c r="M241" s="209"/>
      <c r="N241" s="210">
        <f>SUM(N235:N240)</f>
        <v>0</v>
      </c>
      <c r="O241" s="209"/>
      <c r="P241" s="210">
        <f>SUM(P235:P240)</f>
        <v>0</v>
      </c>
      <c r="T241" s="205">
        <v>4</v>
      </c>
    </row>
    <row r="242" spans="1:67" x14ac:dyDescent="0.2">
      <c r="A242" s="200" t="s">
        <v>86</v>
      </c>
      <c r="B242" s="226"/>
      <c r="C242" s="268">
        <v>96</v>
      </c>
      <c r="D242" s="262" t="s">
        <v>109</v>
      </c>
      <c r="E242" s="263"/>
      <c r="F242" s="264"/>
      <c r="G242" s="264"/>
      <c r="H242" s="264"/>
      <c r="I242" s="264"/>
      <c r="J242" s="265"/>
      <c r="K242" s="309"/>
      <c r="L242" s="309"/>
      <c r="M242" s="201"/>
      <c r="N242" s="202"/>
      <c r="O242" s="203"/>
      <c r="P242" s="204"/>
      <c r="T242" s="205">
        <v>1</v>
      </c>
    </row>
    <row r="243" spans="1:67" x14ac:dyDescent="0.2">
      <c r="A243" s="232">
        <v>40</v>
      </c>
      <c r="B243" s="242" t="s">
        <v>226</v>
      </c>
      <c r="C243" s="269">
        <v>764352811</v>
      </c>
      <c r="D243" s="243" t="s">
        <v>111</v>
      </c>
      <c r="E243" s="365"/>
      <c r="F243" s="366"/>
      <c r="G243" s="299"/>
      <c r="H243" s="300"/>
      <c r="I243" s="300">
        <f>+F244*G243</f>
        <v>0</v>
      </c>
      <c r="J243" s="301">
        <f>H243+I243</f>
        <v>0</v>
      </c>
      <c r="K243" s="310"/>
      <c r="L243" s="316">
        <f>F244*K243</f>
        <v>0</v>
      </c>
      <c r="M243" s="206">
        <v>0</v>
      </c>
      <c r="N243" s="207">
        <f>F244*M243</f>
        <v>0</v>
      </c>
      <c r="O243" s="206">
        <v>-3.3600000000000001E-3</v>
      </c>
      <c r="P243" s="207">
        <f>F244*O243</f>
        <v>0</v>
      </c>
      <c r="T243" s="205">
        <v>2</v>
      </c>
      <c r="BN243" s="205">
        <v>1</v>
      </c>
      <c r="BO243" s="205">
        <v>7</v>
      </c>
    </row>
    <row r="244" spans="1:67" ht="12.75" customHeight="1" x14ac:dyDescent="0.2">
      <c r="A244" s="293"/>
      <c r="B244" s="332"/>
      <c r="C244" s="295" t="s">
        <v>176</v>
      </c>
      <c r="D244" s="356" t="s">
        <v>111</v>
      </c>
      <c r="E244" s="346"/>
      <c r="F244" s="346"/>
      <c r="G244" s="302"/>
      <c r="H244" s="303"/>
      <c r="I244" s="303"/>
      <c r="J244" s="304"/>
      <c r="K244" s="311"/>
      <c r="L244" s="317"/>
      <c r="M244" s="206"/>
      <c r="N244" s="207"/>
      <c r="O244" s="206"/>
      <c r="P244" s="207"/>
    </row>
    <row r="245" spans="1:67" x14ac:dyDescent="0.2">
      <c r="A245" s="351"/>
      <c r="B245" s="352"/>
      <c r="C245" s="353" t="s">
        <v>178</v>
      </c>
      <c r="D245" s="347" t="s">
        <v>207</v>
      </c>
      <c r="E245" s="334"/>
      <c r="F245" s="335"/>
      <c r="G245" s="305"/>
      <c r="H245" s="306"/>
      <c r="I245" s="306"/>
      <c r="J245" s="307"/>
      <c r="K245" s="312"/>
      <c r="L245" s="318"/>
      <c r="M245" s="206"/>
      <c r="N245" s="207"/>
      <c r="O245" s="206"/>
      <c r="P245" s="207"/>
    </row>
    <row r="246" spans="1:67" x14ac:dyDescent="0.2">
      <c r="A246" s="296"/>
      <c r="B246" s="297"/>
      <c r="C246" s="298"/>
      <c r="D246" s="252" t="s">
        <v>159</v>
      </c>
      <c r="E246" s="249" t="s">
        <v>90</v>
      </c>
      <c r="F246" s="330">
        <v>64.5</v>
      </c>
      <c r="G246" s="337">
        <v>0</v>
      </c>
      <c r="H246" s="250"/>
      <c r="I246" s="250">
        <f>+F246*G246</f>
        <v>0</v>
      </c>
      <c r="J246" s="251">
        <f>H246+I246</f>
        <v>0</v>
      </c>
      <c r="K246" s="308"/>
      <c r="L246" s="319"/>
      <c r="M246" s="206"/>
      <c r="N246" s="207"/>
      <c r="O246" s="206"/>
      <c r="P246" s="207"/>
      <c r="T246" s="205"/>
      <c r="BN246" s="205"/>
      <c r="BO246" s="205"/>
    </row>
    <row r="247" spans="1:67" x14ac:dyDescent="0.2">
      <c r="A247" s="232">
        <v>41</v>
      </c>
      <c r="B247" s="242" t="s">
        <v>226</v>
      </c>
      <c r="C247" s="269">
        <v>764359811</v>
      </c>
      <c r="D247" s="243" t="s">
        <v>112</v>
      </c>
      <c r="E247" s="233"/>
      <c r="F247" s="359"/>
      <c r="G247" s="299">
        <v>0</v>
      </c>
      <c r="H247" s="300"/>
      <c r="I247" s="300">
        <f>+F247*G247</f>
        <v>0</v>
      </c>
      <c r="J247" s="301">
        <f>H247+I247</f>
        <v>0</v>
      </c>
      <c r="K247" s="310"/>
      <c r="L247" s="316">
        <f>F247*K247</f>
        <v>0</v>
      </c>
      <c r="M247" s="206">
        <v>0</v>
      </c>
      <c r="N247" s="207">
        <f>F247*M247</f>
        <v>0</v>
      </c>
      <c r="O247" s="206">
        <v>-1.15E-3</v>
      </c>
      <c r="P247" s="207">
        <f>F247*O247</f>
        <v>0</v>
      </c>
      <c r="T247" s="205">
        <v>2</v>
      </c>
      <c r="BN247" s="205">
        <v>1</v>
      </c>
      <c r="BO247" s="205">
        <v>7</v>
      </c>
    </row>
    <row r="248" spans="1:67" ht="12.75" customHeight="1" x14ac:dyDescent="0.2">
      <c r="A248" s="293"/>
      <c r="B248" s="332"/>
      <c r="C248" s="295" t="s">
        <v>176</v>
      </c>
      <c r="D248" s="356" t="s">
        <v>112</v>
      </c>
      <c r="E248" s="346"/>
      <c r="F248" s="346"/>
      <c r="G248" s="302"/>
      <c r="H248" s="303"/>
      <c r="I248" s="303"/>
      <c r="J248" s="304"/>
      <c r="K248" s="311"/>
      <c r="L248" s="317"/>
      <c r="M248" s="206"/>
      <c r="N248" s="207"/>
      <c r="O248" s="206"/>
      <c r="P248" s="207"/>
    </row>
    <row r="249" spans="1:67" x14ac:dyDescent="0.2">
      <c r="A249" s="351"/>
      <c r="B249" s="352"/>
      <c r="C249" s="353" t="s">
        <v>178</v>
      </c>
      <c r="D249" s="347" t="s">
        <v>207</v>
      </c>
      <c r="E249" s="348"/>
      <c r="F249" s="349"/>
      <c r="G249" s="305"/>
      <c r="H249" s="306"/>
      <c r="I249" s="306"/>
      <c r="J249" s="307"/>
      <c r="K249" s="312"/>
      <c r="L249" s="318"/>
      <c r="M249" s="206"/>
      <c r="N249" s="207"/>
      <c r="O249" s="206"/>
      <c r="P249" s="207"/>
    </row>
    <row r="250" spans="1:67" x14ac:dyDescent="0.2">
      <c r="A250" s="296"/>
      <c r="B250" s="297"/>
      <c r="C250" s="298"/>
      <c r="D250" s="252" t="s">
        <v>159</v>
      </c>
      <c r="E250" s="249" t="s">
        <v>91</v>
      </c>
      <c r="F250" s="330">
        <v>5</v>
      </c>
      <c r="G250" s="337">
        <v>0</v>
      </c>
      <c r="H250" s="250"/>
      <c r="I250" s="250">
        <f>+F250*G250</f>
        <v>0</v>
      </c>
      <c r="J250" s="251">
        <f>H250+I250</f>
        <v>0</v>
      </c>
      <c r="K250" s="308"/>
      <c r="L250" s="319"/>
      <c r="M250" s="206"/>
      <c r="N250" s="207"/>
      <c r="O250" s="206"/>
      <c r="P250" s="207"/>
      <c r="T250" s="205"/>
      <c r="BN250" s="205"/>
      <c r="BO250" s="205"/>
    </row>
    <row r="251" spans="1:67" x14ac:dyDescent="0.2">
      <c r="A251" s="232">
        <v>42</v>
      </c>
      <c r="B251" s="242" t="s">
        <v>226</v>
      </c>
      <c r="C251" s="269">
        <v>764410850</v>
      </c>
      <c r="D251" s="243" t="s">
        <v>113</v>
      </c>
      <c r="E251" s="233"/>
      <c r="F251" s="359"/>
      <c r="G251" s="299">
        <v>0</v>
      </c>
      <c r="H251" s="300"/>
      <c r="I251" s="300">
        <f>+F251*G251</f>
        <v>0</v>
      </c>
      <c r="J251" s="301">
        <f>H251+I251</f>
        <v>0</v>
      </c>
      <c r="K251" s="310"/>
      <c r="L251" s="316">
        <f>F251*K251</f>
        <v>0</v>
      </c>
      <c r="M251" s="206">
        <v>0</v>
      </c>
      <c r="N251" s="207">
        <f>F251*M251</f>
        <v>0</v>
      </c>
      <c r="O251" s="206">
        <v>-1.3500000000000001E-3</v>
      </c>
      <c r="P251" s="207">
        <f>F251*O251</f>
        <v>0</v>
      </c>
      <c r="T251" s="205">
        <v>2</v>
      </c>
      <c r="BN251" s="205">
        <v>1</v>
      </c>
      <c r="BO251" s="205">
        <v>7</v>
      </c>
    </row>
    <row r="252" spans="1:67" ht="12.75" customHeight="1" x14ac:dyDescent="0.2">
      <c r="A252" s="293"/>
      <c r="B252" s="332"/>
      <c r="C252" s="295" t="s">
        <v>176</v>
      </c>
      <c r="D252" s="356" t="s">
        <v>113</v>
      </c>
      <c r="E252" s="346"/>
      <c r="F252" s="346"/>
      <c r="G252" s="302"/>
      <c r="H252" s="303"/>
      <c r="I252" s="303"/>
      <c r="J252" s="304"/>
      <c r="K252" s="311"/>
      <c r="L252" s="317"/>
      <c r="M252" s="206"/>
      <c r="N252" s="207"/>
      <c r="O252" s="206"/>
      <c r="P252" s="207"/>
    </row>
    <row r="253" spans="1:67" x14ac:dyDescent="0.2">
      <c r="A253" s="351"/>
      <c r="B253" s="352"/>
      <c r="C253" s="353" t="s">
        <v>178</v>
      </c>
      <c r="D253" s="347" t="s">
        <v>207</v>
      </c>
      <c r="E253" s="348"/>
      <c r="F253" s="349"/>
      <c r="G253" s="305"/>
      <c r="H253" s="306"/>
      <c r="I253" s="306"/>
      <c r="J253" s="307"/>
      <c r="K253" s="312"/>
      <c r="L253" s="318"/>
      <c r="M253" s="206"/>
      <c r="N253" s="207"/>
      <c r="O253" s="206"/>
      <c r="P253" s="207"/>
    </row>
    <row r="254" spans="1:67" x14ac:dyDescent="0.2">
      <c r="A254" s="296"/>
      <c r="B254" s="297"/>
      <c r="C254" s="298"/>
      <c r="D254" s="252" t="s">
        <v>159</v>
      </c>
      <c r="E254" s="249" t="s">
        <v>90</v>
      </c>
      <c r="F254" s="330">
        <v>107.4</v>
      </c>
      <c r="G254" s="337">
        <v>0</v>
      </c>
      <c r="H254" s="250"/>
      <c r="I254" s="250">
        <f>+F254*G254</f>
        <v>0</v>
      </c>
      <c r="J254" s="251">
        <f>H254+I254</f>
        <v>0</v>
      </c>
      <c r="K254" s="308"/>
      <c r="L254" s="319"/>
      <c r="M254" s="206"/>
      <c r="N254" s="207"/>
      <c r="O254" s="206"/>
      <c r="P254" s="207"/>
      <c r="T254" s="205"/>
      <c r="BN254" s="205"/>
      <c r="BO254" s="205"/>
    </row>
    <row r="255" spans="1:67" x14ac:dyDescent="0.2">
      <c r="A255" s="232">
        <v>43</v>
      </c>
      <c r="B255" s="242" t="s">
        <v>226</v>
      </c>
      <c r="C255" s="269">
        <v>764454802</v>
      </c>
      <c r="D255" s="243" t="s">
        <v>114</v>
      </c>
      <c r="E255" s="233"/>
      <c r="F255" s="359"/>
      <c r="G255" s="299">
        <v>0</v>
      </c>
      <c r="H255" s="300"/>
      <c r="I255" s="300">
        <f>+F255*G255</f>
        <v>0</v>
      </c>
      <c r="J255" s="301">
        <f>H255+I255</f>
        <v>0</v>
      </c>
      <c r="K255" s="310"/>
      <c r="L255" s="316">
        <f>F255*K255</f>
        <v>0</v>
      </c>
      <c r="M255" s="206">
        <v>0</v>
      </c>
      <c r="N255" s="207">
        <f>F255*M255</f>
        <v>0</v>
      </c>
      <c r="O255" s="206">
        <v>-2.8500000000000001E-3</v>
      </c>
      <c r="P255" s="207">
        <f>F255*O255</f>
        <v>0</v>
      </c>
      <c r="T255" s="205">
        <v>2</v>
      </c>
      <c r="BN255" s="205">
        <v>1</v>
      </c>
      <c r="BO255" s="205">
        <v>7</v>
      </c>
    </row>
    <row r="256" spans="1:67" ht="12.75" customHeight="1" x14ac:dyDescent="0.2">
      <c r="A256" s="293"/>
      <c r="B256" s="332"/>
      <c r="C256" s="295" t="s">
        <v>176</v>
      </c>
      <c r="D256" s="356" t="s">
        <v>114</v>
      </c>
      <c r="E256" s="346"/>
      <c r="F256" s="346"/>
      <c r="G256" s="302"/>
      <c r="H256" s="303"/>
      <c r="I256" s="303"/>
      <c r="J256" s="304"/>
      <c r="K256" s="311"/>
      <c r="L256" s="317"/>
      <c r="M256" s="206"/>
      <c r="N256" s="207"/>
      <c r="O256" s="206"/>
      <c r="P256" s="207"/>
    </row>
    <row r="257" spans="1:67" x14ac:dyDescent="0.2">
      <c r="A257" s="351"/>
      <c r="B257" s="352"/>
      <c r="C257" s="353" t="s">
        <v>178</v>
      </c>
      <c r="D257" s="347" t="s">
        <v>207</v>
      </c>
      <c r="E257" s="334"/>
      <c r="F257" s="335"/>
      <c r="G257" s="305"/>
      <c r="H257" s="306"/>
      <c r="I257" s="306"/>
      <c r="J257" s="307"/>
      <c r="K257" s="312"/>
      <c r="L257" s="318"/>
      <c r="M257" s="206"/>
      <c r="N257" s="207"/>
      <c r="O257" s="206"/>
      <c r="P257" s="207"/>
    </row>
    <row r="258" spans="1:67" x14ac:dyDescent="0.2">
      <c r="A258" s="296"/>
      <c r="B258" s="297"/>
      <c r="C258" s="298"/>
      <c r="D258" s="252" t="s">
        <v>159</v>
      </c>
      <c r="E258" s="249" t="s">
        <v>90</v>
      </c>
      <c r="F258" s="330">
        <v>65</v>
      </c>
      <c r="G258" s="337">
        <v>0</v>
      </c>
      <c r="H258" s="250"/>
      <c r="I258" s="250">
        <f>+F258*G258</f>
        <v>0</v>
      </c>
      <c r="J258" s="251">
        <f>H258+I258</f>
        <v>0</v>
      </c>
      <c r="K258" s="308"/>
      <c r="L258" s="319"/>
      <c r="M258" s="206"/>
      <c r="N258" s="207"/>
      <c r="O258" s="206"/>
      <c r="P258" s="207"/>
      <c r="T258" s="205"/>
      <c r="BN258" s="205"/>
      <c r="BO258" s="205"/>
    </row>
    <row r="259" spans="1:67" x14ac:dyDescent="0.2">
      <c r="A259" s="232">
        <v>44</v>
      </c>
      <c r="B259" s="367" t="s">
        <v>226</v>
      </c>
      <c r="C259" s="368">
        <v>967031132</v>
      </c>
      <c r="D259" s="369" t="s">
        <v>115</v>
      </c>
      <c r="E259" s="359"/>
      <c r="F259" s="359"/>
      <c r="G259" s="360"/>
      <c r="H259" s="361"/>
      <c r="I259" s="361"/>
      <c r="J259" s="361"/>
      <c r="K259" s="361"/>
      <c r="L259" s="370">
        <f>F259*K259</f>
        <v>0</v>
      </c>
      <c r="M259" s="206">
        <v>0</v>
      </c>
      <c r="N259" s="207">
        <f>F259*M259</f>
        <v>0</v>
      </c>
      <c r="O259" s="206">
        <v>-5.5E-2</v>
      </c>
      <c r="P259" s="207">
        <f>F259*O259</f>
        <v>0</v>
      </c>
      <c r="T259" s="205">
        <v>2</v>
      </c>
      <c r="BN259" s="205">
        <v>1</v>
      </c>
      <c r="BO259" s="205">
        <v>1</v>
      </c>
    </row>
    <row r="260" spans="1:67" ht="12.75" customHeight="1" x14ac:dyDescent="0.2">
      <c r="A260" s="293"/>
      <c r="B260" s="332"/>
      <c r="C260" s="295" t="s">
        <v>176</v>
      </c>
      <c r="D260" s="356" t="s">
        <v>208</v>
      </c>
      <c r="E260" s="357"/>
      <c r="F260" s="358"/>
      <c r="G260" s="302"/>
      <c r="H260" s="303"/>
      <c r="I260" s="303"/>
      <c r="J260" s="304"/>
      <c r="K260" s="311"/>
      <c r="L260" s="317"/>
      <c r="M260" s="206"/>
      <c r="N260" s="207"/>
      <c r="O260" s="206"/>
      <c r="P260" s="207"/>
    </row>
    <row r="261" spans="1:67" x14ac:dyDescent="0.2">
      <c r="A261" s="351"/>
      <c r="B261" s="352"/>
      <c r="C261" s="353" t="s">
        <v>178</v>
      </c>
      <c r="D261" s="336" t="s">
        <v>179</v>
      </c>
      <c r="E261" s="334"/>
      <c r="F261" s="335"/>
      <c r="G261" s="302"/>
      <c r="H261" s="303"/>
      <c r="I261" s="303"/>
      <c r="J261" s="304"/>
      <c r="K261" s="311"/>
      <c r="L261" s="317"/>
      <c r="M261" s="206"/>
      <c r="N261" s="207"/>
      <c r="O261" s="206"/>
      <c r="P261" s="207"/>
    </row>
    <row r="262" spans="1:67" ht="33.75" x14ac:dyDescent="0.2">
      <c r="A262" s="290"/>
      <c r="B262" s="291"/>
      <c r="C262" s="292"/>
      <c r="D262" s="246" t="s">
        <v>354</v>
      </c>
      <c r="E262" s="373" t="s">
        <v>163</v>
      </c>
      <c r="F262" s="245">
        <f>+((2.1*32+2.1*3+1.1*4+1.4*4+1.4*7+(2.1+1.4)*2+1.85*2+1.4*4)*2)*0.15</f>
        <v>32.879999999999995</v>
      </c>
      <c r="G262" s="302"/>
      <c r="H262" s="303"/>
      <c r="I262" s="303"/>
      <c r="J262" s="304"/>
      <c r="K262" s="311"/>
      <c r="L262" s="317"/>
      <c r="M262" s="206"/>
      <c r="N262" s="207"/>
      <c r="O262" s="206"/>
      <c r="P262" s="207"/>
    </row>
    <row r="263" spans="1:67" ht="33.75" x14ac:dyDescent="0.2">
      <c r="A263" s="290"/>
      <c r="B263" s="291"/>
      <c r="C263" s="292"/>
      <c r="D263" s="246" t="s">
        <v>355</v>
      </c>
      <c r="E263" s="244" t="s">
        <v>163</v>
      </c>
      <c r="F263" s="245">
        <f>+((1.6*32+1.4*3+0.6*4+0.6*4+1.6*7+1.6*2+3.2*2+0.6*2))*0.15</f>
        <v>12.330000000000002</v>
      </c>
      <c r="G263" s="302"/>
      <c r="H263" s="303"/>
      <c r="I263" s="303"/>
      <c r="J263" s="304"/>
      <c r="K263" s="311"/>
      <c r="L263" s="317"/>
      <c r="M263" s="206"/>
      <c r="N263" s="207"/>
      <c r="O263" s="206"/>
      <c r="P263" s="207"/>
    </row>
    <row r="264" spans="1:67" x14ac:dyDescent="0.2">
      <c r="A264" s="296"/>
      <c r="B264" s="297"/>
      <c r="C264" s="298"/>
      <c r="D264" s="252" t="s">
        <v>159</v>
      </c>
      <c r="E264" s="398" t="s">
        <v>163</v>
      </c>
      <c r="F264" s="330">
        <f>+SUM(F262:F263)</f>
        <v>45.209999999999994</v>
      </c>
      <c r="G264" s="337">
        <v>0</v>
      </c>
      <c r="H264" s="250"/>
      <c r="I264" s="250">
        <f>+F264*G264</f>
        <v>0</v>
      </c>
      <c r="J264" s="251">
        <f>H264+I264</f>
        <v>0</v>
      </c>
      <c r="K264" s="308">
        <v>5.5E-2</v>
      </c>
      <c r="L264" s="319">
        <f>F264*K264</f>
        <v>2.4865499999999998</v>
      </c>
      <c r="M264" s="206"/>
      <c r="N264" s="207"/>
      <c r="O264" s="206"/>
      <c r="P264" s="207"/>
      <c r="T264" s="205"/>
      <c r="BN264" s="205"/>
      <c r="BO264" s="205"/>
    </row>
    <row r="265" spans="1:67" x14ac:dyDescent="0.2">
      <c r="A265" s="232">
        <v>45</v>
      </c>
      <c r="B265" s="242" t="s">
        <v>226</v>
      </c>
      <c r="C265" s="269">
        <v>968061112</v>
      </c>
      <c r="D265" s="243" t="s">
        <v>116</v>
      </c>
      <c r="E265" s="235"/>
      <c r="F265" s="235"/>
      <c r="G265" s="323"/>
      <c r="H265" s="301"/>
      <c r="I265" s="301"/>
      <c r="J265" s="301"/>
      <c r="K265" s="310"/>
      <c r="L265" s="316">
        <f>F265*K265</f>
        <v>0</v>
      </c>
      <c r="M265" s="206">
        <v>0</v>
      </c>
      <c r="N265" s="207">
        <f>F265*M265</f>
        <v>0</v>
      </c>
      <c r="O265" s="206">
        <v>0</v>
      </c>
      <c r="P265" s="207">
        <f>F265*O265</f>
        <v>0</v>
      </c>
      <c r="T265" s="205">
        <v>2</v>
      </c>
      <c r="BN265" s="205">
        <v>1</v>
      </c>
      <c r="BO265" s="205">
        <v>1</v>
      </c>
    </row>
    <row r="266" spans="1:67" ht="12.75" customHeight="1" x14ac:dyDescent="0.2">
      <c r="A266" s="293"/>
      <c r="B266" s="332"/>
      <c r="C266" s="295" t="s">
        <v>176</v>
      </c>
      <c r="D266" s="356" t="s">
        <v>116</v>
      </c>
      <c r="E266" s="357"/>
      <c r="F266" s="358"/>
      <c r="G266" s="302"/>
      <c r="H266" s="303"/>
      <c r="I266" s="303"/>
      <c r="J266" s="304"/>
      <c r="K266" s="311"/>
      <c r="L266" s="317"/>
      <c r="M266" s="206"/>
      <c r="N266" s="207"/>
      <c r="O266" s="206"/>
      <c r="P266" s="207"/>
    </row>
    <row r="267" spans="1:67" x14ac:dyDescent="0.2">
      <c r="A267" s="351"/>
      <c r="B267" s="352"/>
      <c r="C267" s="353" t="s">
        <v>178</v>
      </c>
      <c r="D267" s="336" t="s">
        <v>179</v>
      </c>
      <c r="E267" s="334"/>
      <c r="F267" s="335"/>
      <c r="G267" s="302"/>
      <c r="H267" s="303"/>
      <c r="I267" s="303"/>
      <c r="J267" s="304"/>
      <c r="K267" s="311"/>
      <c r="L267" s="317"/>
      <c r="M267" s="206"/>
      <c r="N267" s="207"/>
      <c r="O267" s="206"/>
      <c r="P267" s="207"/>
    </row>
    <row r="268" spans="1:67" x14ac:dyDescent="0.2">
      <c r="A268" s="290"/>
      <c r="B268" s="350"/>
      <c r="C268" s="292"/>
      <c r="D268" s="254" t="s">
        <v>357</v>
      </c>
      <c r="E268" s="348"/>
      <c r="F268" s="349"/>
      <c r="G268" s="302"/>
      <c r="H268" s="303"/>
      <c r="I268" s="303"/>
      <c r="J268" s="304"/>
      <c r="K268" s="311"/>
      <c r="L268" s="317"/>
      <c r="M268" s="206"/>
      <c r="N268" s="207"/>
      <c r="O268" s="206"/>
      <c r="P268" s="207"/>
    </row>
    <row r="269" spans="1:67" x14ac:dyDescent="0.2">
      <c r="A269" s="296"/>
      <c r="B269" s="297"/>
      <c r="C269" s="298"/>
      <c r="D269" s="252" t="s">
        <v>209</v>
      </c>
      <c r="E269" s="249" t="s">
        <v>91</v>
      </c>
      <c r="F269" s="250">
        <f>+(32*2+3*2+4+4+7*2+2*2+2*4+15+4)</f>
        <v>123</v>
      </c>
      <c r="G269" s="337">
        <v>0</v>
      </c>
      <c r="H269" s="250"/>
      <c r="I269" s="250">
        <f>+F269*G269</f>
        <v>0</v>
      </c>
      <c r="J269" s="251">
        <f>H269+I269</f>
        <v>0</v>
      </c>
      <c r="K269" s="308"/>
      <c r="L269" s="319"/>
      <c r="M269" s="206"/>
      <c r="N269" s="207"/>
      <c r="O269" s="206"/>
      <c r="P269" s="207"/>
      <c r="T269" s="205"/>
      <c r="BN269" s="205"/>
      <c r="BO269" s="205"/>
    </row>
    <row r="270" spans="1:67" x14ac:dyDescent="0.2">
      <c r="A270" s="232">
        <v>46</v>
      </c>
      <c r="B270" s="242" t="s">
        <v>226</v>
      </c>
      <c r="C270" s="269">
        <v>968061125</v>
      </c>
      <c r="D270" s="243" t="s">
        <v>117</v>
      </c>
      <c r="E270" s="235"/>
      <c r="F270" s="235"/>
      <c r="G270" s="323"/>
      <c r="H270" s="301"/>
      <c r="I270" s="301">
        <f>+F270*G270</f>
        <v>0</v>
      </c>
      <c r="J270" s="301">
        <f>H270+I270</f>
        <v>0</v>
      </c>
      <c r="K270" s="310"/>
      <c r="L270" s="316">
        <f>F270*K270</f>
        <v>0</v>
      </c>
      <c r="M270" s="206">
        <v>0</v>
      </c>
      <c r="N270" s="207">
        <f>F270*M270</f>
        <v>0</v>
      </c>
      <c r="O270" s="206">
        <v>0</v>
      </c>
      <c r="P270" s="207">
        <f>F270*O270</f>
        <v>0</v>
      </c>
      <c r="T270" s="205">
        <v>2</v>
      </c>
      <c r="BN270" s="205">
        <v>1</v>
      </c>
      <c r="BO270" s="205">
        <v>1</v>
      </c>
    </row>
    <row r="271" spans="1:67" ht="12.75" customHeight="1" x14ac:dyDescent="0.2">
      <c r="A271" s="293"/>
      <c r="B271" s="332"/>
      <c r="C271" s="295" t="s">
        <v>176</v>
      </c>
      <c r="D271" s="356" t="s">
        <v>117</v>
      </c>
      <c r="E271" s="357"/>
      <c r="F271" s="358"/>
      <c r="G271" s="302"/>
      <c r="H271" s="303"/>
      <c r="I271" s="303"/>
      <c r="J271" s="304"/>
      <c r="K271" s="311"/>
      <c r="L271" s="317"/>
      <c r="M271" s="206"/>
      <c r="N271" s="207"/>
      <c r="O271" s="206"/>
      <c r="P271" s="207"/>
    </row>
    <row r="272" spans="1:67" x14ac:dyDescent="0.2">
      <c r="A272" s="351"/>
      <c r="B272" s="352"/>
      <c r="C272" s="353" t="s">
        <v>178</v>
      </c>
      <c r="D272" s="336" t="s">
        <v>179</v>
      </c>
      <c r="E272" s="334"/>
      <c r="F272" s="335"/>
      <c r="G272" s="302"/>
      <c r="H272" s="303"/>
      <c r="I272" s="303"/>
      <c r="J272" s="304"/>
      <c r="K272" s="311"/>
      <c r="L272" s="317"/>
      <c r="M272" s="206"/>
      <c r="N272" s="207"/>
      <c r="O272" s="206"/>
      <c r="P272" s="207"/>
    </row>
    <row r="273" spans="1:67" x14ac:dyDescent="0.2">
      <c r="A273" s="293"/>
      <c r="B273" s="332"/>
      <c r="C273" s="295"/>
      <c r="D273" s="254" t="s">
        <v>356</v>
      </c>
      <c r="E273" s="348"/>
      <c r="F273" s="349"/>
      <c r="G273" s="302"/>
      <c r="H273" s="303"/>
      <c r="I273" s="303"/>
      <c r="J273" s="304"/>
      <c r="K273" s="311"/>
      <c r="L273" s="317"/>
      <c r="M273" s="206"/>
      <c r="N273" s="207"/>
      <c r="O273" s="206"/>
      <c r="P273" s="207"/>
    </row>
    <row r="274" spans="1:67" x14ac:dyDescent="0.2">
      <c r="A274" s="247"/>
      <c r="B274" s="248"/>
      <c r="C274" s="270"/>
      <c r="D274" s="252" t="s">
        <v>210</v>
      </c>
      <c r="E274" s="249" t="s">
        <v>91</v>
      </c>
      <c r="F274" s="250">
        <v>5</v>
      </c>
      <c r="G274" s="337">
        <v>0</v>
      </c>
      <c r="H274" s="250"/>
      <c r="I274" s="250">
        <f>+F274*G274</f>
        <v>0</v>
      </c>
      <c r="J274" s="251">
        <f>H274+I274</f>
        <v>0</v>
      </c>
      <c r="K274" s="308"/>
      <c r="L274" s="319"/>
      <c r="M274" s="206"/>
      <c r="N274" s="207"/>
      <c r="O274" s="206"/>
      <c r="P274" s="207"/>
      <c r="T274" s="205"/>
      <c r="BN274" s="205"/>
      <c r="BO274" s="205"/>
    </row>
    <row r="275" spans="1:67" ht="22.5" x14ac:dyDescent="0.2">
      <c r="A275" s="232">
        <v>47</v>
      </c>
      <c r="B275" s="242" t="s">
        <v>226</v>
      </c>
      <c r="C275" s="269">
        <v>968062355</v>
      </c>
      <c r="D275" s="243" t="s">
        <v>118</v>
      </c>
      <c r="E275" s="234"/>
      <c r="F275" s="234"/>
      <c r="G275" s="299"/>
      <c r="H275" s="300"/>
      <c r="I275" s="300"/>
      <c r="J275" s="300"/>
      <c r="K275" s="300"/>
      <c r="L275" s="316">
        <f>F275*K275</f>
        <v>0</v>
      </c>
      <c r="M275" s="206">
        <v>1E-3</v>
      </c>
      <c r="N275" s="207">
        <f>F275*M275</f>
        <v>0</v>
      </c>
      <c r="O275" s="206">
        <v>-6.2E-2</v>
      </c>
      <c r="P275" s="207">
        <f>F275*O275</f>
        <v>0</v>
      </c>
      <c r="T275" s="205">
        <v>2</v>
      </c>
      <c r="BN275" s="205">
        <v>1</v>
      </c>
      <c r="BO275" s="205">
        <v>1</v>
      </c>
    </row>
    <row r="276" spans="1:67" ht="12.75" customHeight="1" x14ac:dyDescent="0.2">
      <c r="A276" s="293"/>
      <c r="B276" s="332"/>
      <c r="C276" s="295" t="s">
        <v>176</v>
      </c>
      <c r="D276" s="356" t="s">
        <v>118</v>
      </c>
      <c r="E276" s="357"/>
      <c r="F276" s="358"/>
      <c r="G276" s="302"/>
      <c r="H276" s="303"/>
      <c r="I276" s="303"/>
      <c r="J276" s="304"/>
      <c r="K276" s="311"/>
      <c r="L276" s="317"/>
      <c r="M276" s="206"/>
      <c r="N276" s="207"/>
      <c r="O276" s="206"/>
      <c r="P276" s="207"/>
    </row>
    <row r="277" spans="1:67" x14ac:dyDescent="0.2">
      <c r="A277" s="351"/>
      <c r="B277" s="352"/>
      <c r="C277" s="353" t="s">
        <v>178</v>
      </c>
      <c r="D277" s="336" t="s">
        <v>179</v>
      </c>
      <c r="E277" s="334"/>
      <c r="F277" s="335"/>
      <c r="G277" s="302"/>
      <c r="H277" s="303"/>
      <c r="I277" s="303"/>
      <c r="J277" s="304"/>
      <c r="K277" s="311"/>
      <c r="L277" s="317"/>
      <c r="M277" s="206"/>
      <c r="N277" s="207"/>
      <c r="O277" s="206"/>
      <c r="P277" s="207"/>
    </row>
    <row r="278" spans="1:67" ht="33.75" x14ac:dyDescent="0.2">
      <c r="A278" s="290"/>
      <c r="B278" s="291"/>
      <c r="C278" s="292"/>
      <c r="D278" s="246" t="s">
        <v>325</v>
      </c>
      <c r="E278" s="244" t="s">
        <v>163</v>
      </c>
      <c r="F278" s="245">
        <f>+(1.6*2.1*32+1.4*2.1*3+0.6*1.1*4+0.6*1.4*4+1.6*1.4*7+1.6*2.1+1.6*2.1+3.2*1.85*2+1.4*0.7/2*15+0.6*1.4*4)</f>
        <v>167.29000000000005</v>
      </c>
      <c r="G278" s="302"/>
      <c r="H278" s="303"/>
      <c r="I278" s="303"/>
      <c r="J278" s="304"/>
      <c r="K278" s="311"/>
      <c r="L278" s="317"/>
      <c r="M278" s="206"/>
      <c r="N278" s="207"/>
      <c r="O278" s="206"/>
      <c r="P278" s="207"/>
    </row>
    <row r="279" spans="1:67" x14ac:dyDescent="0.2">
      <c r="A279" s="296"/>
      <c r="B279" s="297"/>
      <c r="C279" s="298"/>
      <c r="D279" s="252" t="s">
        <v>159</v>
      </c>
      <c r="E279" s="249" t="s">
        <v>163</v>
      </c>
      <c r="F279" s="330">
        <f>+F278</f>
        <v>167.29000000000005</v>
      </c>
      <c r="G279" s="337">
        <v>0</v>
      </c>
      <c r="H279" s="250"/>
      <c r="I279" s="250">
        <f>+F279*G279</f>
        <v>0</v>
      </c>
      <c r="J279" s="251">
        <f>H279+I279</f>
        <v>0</v>
      </c>
      <c r="K279" s="308">
        <v>6.2E-2</v>
      </c>
      <c r="L279" s="319">
        <f>F279*K279</f>
        <v>10.371980000000002</v>
      </c>
      <c r="M279" s="206"/>
      <c r="N279" s="207"/>
      <c r="O279" s="206"/>
      <c r="P279" s="207"/>
      <c r="T279" s="205"/>
      <c r="BN279" s="205"/>
      <c r="BO279" s="205"/>
    </row>
    <row r="280" spans="1:67" x14ac:dyDescent="0.2">
      <c r="A280" s="232">
        <v>48</v>
      </c>
      <c r="B280" s="242" t="s">
        <v>226</v>
      </c>
      <c r="C280" s="269">
        <v>968062455</v>
      </c>
      <c r="D280" s="243" t="s">
        <v>119</v>
      </c>
      <c r="E280" s="234">
        <v>0</v>
      </c>
      <c r="F280" s="234">
        <v>0</v>
      </c>
      <c r="G280" s="299">
        <v>0</v>
      </c>
      <c r="H280" s="300"/>
      <c r="I280" s="300"/>
      <c r="J280" s="300"/>
      <c r="K280" s="300"/>
      <c r="L280" s="316">
        <f>F280*K280</f>
        <v>0</v>
      </c>
      <c r="M280" s="206">
        <v>0</v>
      </c>
      <c r="N280" s="207">
        <f>F280*M280</f>
        <v>0</v>
      </c>
      <c r="O280" s="206">
        <v>-8.7999999999999995E-2</v>
      </c>
      <c r="P280" s="207">
        <f>F280*O280</f>
        <v>0</v>
      </c>
      <c r="T280" s="205">
        <v>2</v>
      </c>
      <c r="BN280" s="205">
        <v>1</v>
      </c>
      <c r="BO280" s="205">
        <v>1</v>
      </c>
    </row>
    <row r="281" spans="1:67" ht="12.75" customHeight="1" x14ac:dyDescent="0.2">
      <c r="A281" s="293"/>
      <c r="B281" s="332"/>
      <c r="C281" s="295" t="s">
        <v>176</v>
      </c>
      <c r="D281" s="356" t="s">
        <v>118</v>
      </c>
      <c r="E281" s="357"/>
      <c r="F281" s="358"/>
      <c r="G281" s="302"/>
      <c r="H281" s="303"/>
      <c r="I281" s="303"/>
      <c r="J281" s="304"/>
      <c r="K281" s="311"/>
      <c r="L281" s="317"/>
      <c r="M281" s="206"/>
      <c r="N281" s="207"/>
      <c r="O281" s="206"/>
      <c r="P281" s="207"/>
    </row>
    <row r="282" spans="1:67" x14ac:dyDescent="0.2">
      <c r="A282" s="351"/>
      <c r="B282" s="352"/>
      <c r="C282" s="353" t="s">
        <v>178</v>
      </c>
      <c r="D282" s="336" t="s">
        <v>179</v>
      </c>
      <c r="E282" s="334"/>
      <c r="F282" s="335"/>
      <c r="G282" s="302"/>
      <c r="H282" s="303"/>
      <c r="I282" s="303"/>
      <c r="J282" s="304"/>
      <c r="K282" s="311"/>
      <c r="L282" s="317"/>
      <c r="M282" s="206"/>
      <c r="N282" s="207"/>
      <c r="O282" s="206"/>
      <c r="P282" s="207"/>
    </row>
    <row r="283" spans="1:67" x14ac:dyDescent="0.2">
      <c r="A283" s="293"/>
      <c r="B283" s="294"/>
      <c r="C283" s="295"/>
      <c r="D283" s="254" t="s">
        <v>326</v>
      </c>
      <c r="E283" s="244" t="s">
        <v>163</v>
      </c>
      <c r="F283" s="255">
        <f>+(2.15*3*2+2.9*3)</f>
        <v>21.599999999999998</v>
      </c>
      <c r="G283" s="305"/>
      <c r="H283" s="306"/>
      <c r="I283" s="306"/>
      <c r="J283" s="307"/>
      <c r="K283" s="312"/>
      <c r="L283" s="318"/>
      <c r="M283" s="206"/>
      <c r="N283" s="207"/>
      <c r="O283" s="206"/>
      <c r="P283" s="207"/>
    </row>
    <row r="284" spans="1:67" x14ac:dyDescent="0.2">
      <c r="A284" s="296"/>
      <c r="B284" s="297"/>
      <c r="C284" s="298"/>
      <c r="D284" s="252" t="s">
        <v>159</v>
      </c>
      <c r="E284" s="249" t="s">
        <v>163</v>
      </c>
      <c r="F284" s="330">
        <f>+F283</f>
        <v>21.599999999999998</v>
      </c>
      <c r="G284" s="337">
        <v>0</v>
      </c>
      <c r="H284" s="250"/>
      <c r="I284" s="250">
        <f>+F284*G284</f>
        <v>0</v>
      </c>
      <c r="J284" s="251">
        <f>H284+I284</f>
        <v>0</v>
      </c>
      <c r="K284" s="308">
        <v>8.7999999999999995E-2</v>
      </c>
      <c r="L284" s="319">
        <f>F284*K284</f>
        <v>1.9007999999999996</v>
      </c>
      <c r="M284" s="206"/>
      <c r="N284" s="207"/>
      <c r="O284" s="206"/>
      <c r="P284" s="207"/>
      <c r="T284" s="205"/>
      <c r="BN284" s="205"/>
      <c r="BO284" s="205"/>
    </row>
    <row r="285" spans="1:67" x14ac:dyDescent="0.2">
      <c r="A285" s="232">
        <v>49</v>
      </c>
      <c r="B285" s="242" t="s">
        <v>226</v>
      </c>
      <c r="C285" s="269">
        <v>978036121</v>
      </c>
      <c r="D285" s="243" t="s">
        <v>212</v>
      </c>
      <c r="E285" s="234"/>
      <c r="F285" s="234"/>
      <c r="G285" s="299"/>
      <c r="H285" s="300"/>
      <c r="I285" s="300"/>
      <c r="J285" s="300"/>
      <c r="K285" s="300"/>
      <c r="L285" s="316">
        <f>F285*K285</f>
        <v>0</v>
      </c>
      <c r="M285" s="206">
        <v>0</v>
      </c>
      <c r="N285" s="207">
        <f>F285*M285</f>
        <v>0</v>
      </c>
      <c r="O285" s="206">
        <v>-5.0000000000000001E-3</v>
      </c>
      <c r="P285" s="207">
        <f>F285*O285</f>
        <v>0</v>
      </c>
      <c r="T285" s="205">
        <v>2</v>
      </c>
      <c r="BN285" s="205">
        <v>1</v>
      </c>
      <c r="BO285" s="205">
        <v>1</v>
      </c>
    </row>
    <row r="286" spans="1:67" ht="12.75" customHeight="1" x14ac:dyDescent="0.2">
      <c r="A286" s="293"/>
      <c r="B286" s="332"/>
      <c r="C286" s="295" t="s">
        <v>176</v>
      </c>
      <c r="D286" s="356" t="s">
        <v>213</v>
      </c>
      <c r="E286" s="357"/>
      <c r="F286" s="358"/>
      <c r="G286" s="302"/>
      <c r="H286" s="303"/>
      <c r="I286" s="303"/>
      <c r="J286" s="304"/>
      <c r="K286" s="311"/>
      <c r="L286" s="317"/>
      <c r="M286" s="206"/>
      <c r="N286" s="207"/>
      <c r="O286" s="206"/>
      <c r="P286" s="207"/>
    </row>
    <row r="287" spans="1:67" x14ac:dyDescent="0.2">
      <c r="A287" s="351"/>
      <c r="B287" s="352"/>
      <c r="C287" s="353" t="s">
        <v>178</v>
      </c>
      <c r="D287" s="336" t="s">
        <v>211</v>
      </c>
      <c r="E287" s="334"/>
      <c r="F287" s="335"/>
      <c r="G287" s="302"/>
      <c r="H287" s="303"/>
      <c r="I287" s="303"/>
      <c r="J287" s="304"/>
      <c r="K287" s="311"/>
      <c r="L287" s="317"/>
      <c r="M287" s="206"/>
      <c r="N287" s="207"/>
      <c r="O287" s="206"/>
      <c r="P287" s="207"/>
    </row>
    <row r="288" spans="1:67" x14ac:dyDescent="0.2">
      <c r="A288" s="296"/>
      <c r="B288" s="297"/>
      <c r="C288" s="298"/>
      <c r="D288" s="252" t="s">
        <v>347</v>
      </c>
      <c r="E288" s="249" t="s">
        <v>163</v>
      </c>
      <c r="F288" s="250">
        <v>820.6</v>
      </c>
      <c r="G288" s="337">
        <v>0</v>
      </c>
      <c r="H288" s="250"/>
      <c r="I288" s="250">
        <f>+F288*G288</f>
        <v>0</v>
      </c>
      <c r="J288" s="251">
        <f>H288+I288</f>
        <v>0</v>
      </c>
      <c r="K288" s="308">
        <v>5.0000000000000001E-3</v>
      </c>
      <c r="L288" s="319">
        <f>+F288*K288</f>
        <v>4.1029999999999998</v>
      </c>
      <c r="M288" s="206"/>
      <c r="N288" s="207"/>
      <c r="O288" s="206"/>
      <c r="P288" s="207"/>
      <c r="T288" s="205"/>
      <c r="BN288" s="205"/>
      <c r="BO288" s="205"/>
    </row>
    <row r="289" spans="1:67" x14ac:dyDescent="0.2">
      <c r="A289" s="232">
        <v>50</v>
      </c>
      <c r="B289" s="242" t="s">
        <v>226</v>
      </c>
      <c r="C289" s="269">
        <v>979011111</v>
      </c>
      <c r="D289" s="243" t="s">
        <v>215</v>
      </c>
      <c r="E289" s="234"/>
      <c r="F289" s="234"/>
      <c r="G289" s="299"/>
      <c r="H289" s="300"/>
      <c r="I289" s="300">
        <f>+F289*G289</f>
        <v>0</v>
      </c>
      <c r="J289" s="301">
        <f>H289+I289</f>
        <v>0</v>
      </c>
      <c r="K289" s="310"/>
      <c r="L289" s="316">
        <f>F289*K289</f>
        <v>0</v>
      </c>
      <c r="M289" s="206">
        <v>0</v>
      </c>
      <c r="N289" s="207">
        <f>F289*M289</f>
        <v>0</v>
      </c>
      <c r="O289" s="206"/>
      <c r="P289" s="207">
        <f>F289*O289</f>
        <v>0</v>
      </c>
      <c r="T289" s="205">
        <v>2</v>
      </c>
      <c r="BN289" s="205">
        <v>8</v>
      </c>
      <c r="BO289" s="205">
        <v>1</v>
      </c>
    </row>
    <row r="290" spans="1:67" ht="12.75" customHeight="1" x14ac:dyDescent="0.2">
      <c r="A290" s="293"/>
      <c r="B290" s="332"/>
      <c r="C290" s="295" t="s">
        <v>176</v>
      </c>
      <c r="D290" s="356" t="s">
        <v>216</v>
      </c>
      <c r="E290" s="357"/>
      <c r="F290" s="371"/>
      <c r="G290" s="305"/>
      <c r="H290" s="306"/>
      <c r="I290" s="306"/>
      <c r="J290" s="307"/>
      <c r="K290" s="312"/>
      <c r="L290" s="318"/>
      <c r="M290" s="206"/>
      <c r="N290" s="207"/>
      <c r="O290" s="206"/>
      <c r="P290" s="207"/>
    </row>
    <row r="291" spans="1:67" x14ac:dyDescent="0.2">
      <c r="A291" s="296"/>
      <c r="B291" s="297"/>
      <c r="C291" s="298"/>
      <c r="D291" s="252" t="s">
        <v>358</v>
      </c>
      <c r="E291" s="249" t="s">
        <v>120</v>
      </c>
      <c r="F291" s="330">
        <f>+SUM(L246:L288)*4</f>
        <v>75.44932</v>
      </c>
      <c r="G291" s="337">
        <v>0</v>
      </c>
      <c r="H291" s="250"/>
      <c r="I291" s="250">
        <f>+F291*G291</f>
        <v>0</v>
      </c>
      <c r="J291" s="251">
        <f>H291+I291</f>
        <v>0</v>
      </c>
      <c r="K291" s="308">
        <v>0</v>
      </c>
      <c r="L291" s="319">
        <f>+F291*K291</f>
        <v>0</v>
      </c>
      <c r="M291" s="206"/>
      <c r="N291" s="207"/>
      <c r="O291" s="206"/>
      <c r="P291" s="207"/>
      <c r="T291" s="205"/>
      <c r="BN291" s="205"/>
      <c r="BO291" s="205"/>
    </row>
    <row r="292" spans="1:67" x14ac:dyDescent="0.2">
      <c r="A292" s="232">
        <v>51</v>
      </c>
      <c r="B292" s="242" t="s">
        <v>226</v>
      </c>
      <c r="C292" s="269">
        <v>979081111</v>
      </c>
      <c r="D292" s="243" t="s">
        <v>121</v>
      </c>
      <c r="E292" s="359">
        <f>+E289</f>
        <v>0</v>
      </c>
      <c r="F292" s="359">
        <f>+F289</f>
        <v>0</v>
      </c>
      <c r="G292" s="299">
        <v>0</v>
      </c>
      <c r="H292" s="300"/>
      <c r="I292" s="300">
        <f>+F292*G292</f>
        <v>0</v>
      </c>
      <c r="J292" s="301">
        <f>H292+I292</f>
        <v>0</v>
      </c>
      <c r="K292" s="310"/>
      <c r="L292" s="316">
        <f>F292*K292</f>
        <v>0</v>
      </c>
      <c r="M292" s="206">
        <v>0</v>
      </c>
      <c r="N292" s="207">
        <f>F292*M292</f>
        <v>0</v>
      </c>
      <c r="O292" s="206"/>
      <c r="P292" s="207">
        <f>F292*O292</f>
        <v>0</v>
      </c>
      <c r="T292" s="205">
        <v>2</v>
      </c>
      <c r="BN292" s="205">
        <v>8</v>
      </c>
      <c r="BO292" s="205">
        <v>1</v>
      </c>
    </row>
    <row r="293" spans="1:67" ht="12.75" customHeight="1" x14ac:dyDescent="0.2">
      <c r="A293" s="293"/>
      <c r="B293" s="332"/>
      <c r="C293" s="295" t="s">
        <v>176</v>
      </c>
      <c r="D293" s="356" t="s">
        <v>121</v>
      </c>
      <c r="E293" s="357"/>
      <c r="F293" s="371"/>
      <c r="G293" s="305"/>
      <c r="H293" s="306"/>
      <c r="I293" s="306"/>
      <c r="J293" s="307"/>
      <c r="K293" s="312"/>
      <c r="L293" s="318"/>
      <c r="M293" s="206"/>
      <c r="N293" s="207"/>
      <c r="O293" s="206"/>
      <c r="P293" s="207"/>
    </row>
    <row r="294" spans="1:67" x14ac:dyDescent="0.2">
      <c r="A294" s="296"/>
      <c r="B294" s="297"/>
      <c r="C294" s="298"/>
      <c r="D294" s="252" t="s">
        <v>214</v>
      </c>
      <c r="E294" s="249" t="s">
        <v>120</v>
      </c>
      <c r="F294" s="330">
        <f>+SUM(L246:L288)</f>
        <v>18.86233</v>
      </c>
      <c r="G294" s="337">
        <v>0</v>
      </c>
      <c r="H294" s="250"/>
      <c r="I294" s="250">
        <f>+F294*G294</f>
        <v>0</v>
      </c>
      <c r="J294" s="251">
        <f>H294+I294</f>
        <v>0</v>
      </c>
      <c r="K294" s="308">
        <v>0</v>
      </c>
      <c r="L294" s="319">
        <f>+F294*K294</f>
        <v>0</v>
      </c>
      <c r="M294" s="206"/>
      <c r="N294" s="207"/>
      <c r="O294" s="206"/>
      <c r="P294" s="207"/>
      <c r="T294" s="205"/>
      <c r="BN294" s="205"/>
      <c r="BO294" s="205"/>
    </row>
    <row r="295" spans="1:67" x14ac:dyDescent="0.2">
      <c r="A295" s="232">
        <v>52</v>
      </c>
      <c r="B295" s="242" t="s">
        <v>226</v>
      </c>
      <c r="C295" s="269">
        <v>979081121</v>
      </c>
      <c r="D295" s="243" t="s">
        <v>122</v>
      </c>
      <c r="E295" s="359">
        <f>+E289*11</f>
        <v>0</v>
      </c>
      <c r="F295" s="359">
        <f>+F289*11</f>
        <v>0</v>
      </c>
      <c r="G295" s="299">
        <v>0</v>
      </c>
      <c r="H295" s="300"/>
      <c r="I295" s="300">
        <f>+F295*G295</f>
        <v>0</v>
      </c>
      <c r="J295" s="301">
        <f>H295+I295</f>
        <v>0</v>
      </c>
      <c r="K295" s="310"/>
      <c r="L295" s="316">
        <f>F295*K295</f>
        <v>0</v>
      </c>
      <c r="M295" s="206">
        <v>0</v>
      </c>
      <c r="N295" s="207">
        <f>F295*M295</f>
        <v>0</v>
      </c>
      <c r="O295" s="206"/>
      <c r="P295" s="207">
        <f>F295*O295</f>
        <v>0</v>
      </c>
      <c r="T295" s="205">
        <v>2</v>
      </c>
      <c r="BN295" s="205">
        <v>8</v>
      </c>
      <c r="BO295" s="205">
        <v>1</v>
      </c>
    </row>
    <row r="296" spans="1:67" ht="12.75" customHeight="1" x14ac:dyDescent="0.2">
      <c r="A296" s="293"/>
      <c r="B296" s="332"/>
      <c r="C296" s="295" t="s">
        <v>176</v>
      </c>
      <c r="D296" s="397" t="s">
        <v>122</v>
      </c>
      <c r="E296" s="357"/>
      <c r="F296" s="371"/>
      <c r="G296" s="305"/>
      <c r="H296" s="306"/>
      <c r="I296" s="306"/>
      <c r="J296" s="307"/>
      <c r="K296" s="312"/>
      <c r="L296" s="318"/>
      <c r="M296" s="206"/>
      <c r="N296" s="207"/>
      <c r="O296" s="206"/>
      <c r="P296" s="207"/>
    </row>
    <row r="297" spans="1:67" x14ac:dyDescent="0.2">
      <c r="A297" s="296"/>
      <c r="B297" s="297"/>
      <c r="C297" s="298"/>
      <c r="D297" s="252" t="s">
        <v>359</v>
      </c>
      <c r="E297" s="249" t="s">
        <v>120</v>
      </c>
      <c r="F297" s="330">
        <f>+F294*11</f>
        <v>207.48563000000001</v>
      </c>
      <c r="G297" s="337">
        <v>0</v>
      </c>
      <c r="H297" s="250"/>
      <c r="I297" s="250">
        <f>+F297*G297</f>
        <v>0</v>
      </c>
      <c r="J297" s="251">
        <f>H297+I297</f>
        <v>0</v>
      </c>
      <c r="K297" s="308">
        <v>0</v>
      </c>
      <c r="L297" s="319">
        <f>+F297*K297</f>
        <v>0</v>
      </c>
      <c r="M297" s="206"/>
      <c r="N297" s="207"/>
      <c r="O297" s="206"/>
      <c r="P297" s="207"/>
      <c r="T297" s="205"/>
      <c r="BN297" s="205"/>
      <c r="BO297" s="205"/>
    </row>
    <row r="298" spans="1:67" x14ac:dyDescent="0.2">
      <c r="A298" s="232">
        <v>53</v>
      </c>
      <c r="B298" s="242" t="s">
        <v>226</v>
      </c>
      <c r="C298" s="269">
        <v>979082111</v>
      </c>
      <c r="D298" s="243" t="s">
        <v>123</v>
      </c>
      <c r="E298" s="359">
        <f>+E289</f>
        <v>0</v>
      </c>
      <c r="F298" s="359">
        <f>+F289</f>
        <v>0</v>
      </c>
      <c r="G298" s="299">
        <v>0</v>
      </c>
      <c r="H298" s="300"/>
      <c r="I298" s="300">
        <f>+F298*G298</f>
        <v>0</v>
      </c>
      <c r="J298" s="301">
        <f>H298+I298</f>
        <v>0</v>
      </c>
      <c r="K298" s="310"/>
      <c r="L298" s="316">
        <f>F298*K298</f>
        <v>0</v>
      </c>
      <c r="M298" s="206">
        <v>0</v>
      </c>
      <c r="N298" s="207">
        <f>F298*M298</f>
        <v>0</v>
      </c>
      <c r="O298" s="206"/>
      <c r="P298" s="207">
        <f>F298*O298</f>
        <v>0</v>
      </c>
      <c r="T298" s="205">
        <v>2</v>
      </c>
      <c r="BN298" s="205">
        <v>8</v>
      </c>
      <c r="BO298" s="205">
        <v>1</v>
      </c>
    </row>
    <row r="299" spans="1:67" ht="12.75" customHeight="1" x14ac:dyDescent="0.2">
      <c r="A299" s="293"/>
      <c r="B299" s="332"/>
      <c r="C299" s="295" t="s">
        <v>176</v>
      </c>
      <c r="D299" s="356" t="s">
        <v>123</v>
      </c>
      <c r="E299" s="357"/>
      <c r="F299" s="371"/>
      <c r="G299" s="305"/>
      <c r="H299" s="306"/>
      <c r="I299" s="306"/>
      <c r="J299" s="307"/>
      <c r="K299" s="312"/>
      <c r="L299" s="318"/>
      <c r="M299" s="206"/>
      <c r="N299" s="207"/>
      <c r="O299" s="206"/>
      <c r="P299" s="207"/>
    </row>
    <row r="300" spans="1:67" x14ac:dyDescent="0.2">
      <c r="A300" s="296"/>
      <c r="B300" s="297"/>
      <c r="C300" s="298"/>
      <c r="D300" s="252" t="s">
        <v>214</v>
      </c>
      <c r="E300" s="249" t="s">
        <v>120</v>
      </c>
      <c r="F300" s="330">
        <f>+SUM(L246:L288)</f>
        <v>18.86233</v>
      </c>
      <c r="G300" s="337">
        <v>0</v>
      </c>
      <c r="H300" s="250"/>
      <c r="I300" s="250">
        <f>+F300*G300</f>
        <v>0</v>
      </c>
      <c r="J300" s="251">
        <f>H300+I300</f>
        <v>0</v>
      </c>
      <c r="K300" s="308">
        <v>0</v>
      </c>
      <c r="L300" s="319">
        <f>+F300*K300</f>
        <v>0</v>
      </c>
      <c r="M300" s="206"/>
      <c r="N300" s="207"/>
      <c r="O300" s="206"/>
      <c r="P300" s="207"/>
      <c r="T300" s="205"/>
      <c r="BN300" s="205"/>
      <c r="BO300" s="205"/>
    </row>
    <row r="301" spans="1:67" x14ac:dyDescent="0.2">
      <c r="A301" s="232">
        <v>54</v>
      </c>
      <c r="B301" s="242" t="s">
        <v>226</v>
      </c>
      <c r="C301" s="269">
        <v>979082121</v>
      </c>
      <c r="D301" s="243" t="s">
        <v>124</v>
      </c>
      <c r="E301" s="359">
        <f>+E289*5</f>
        <v>0</v>
      </c>
      <c r="F301" s="359">
        <f>+F289*5</f>
        <v>0</v>
      </c>
      <c r="G301" s="299">
        <v>0</v>
      </c>
      <c r="H301" s="300"/>
      <c r="I301" s="300">
        <f>+F301*G301</f>
        <v>0</v>
      </c>
      <c r="J301" s="301">
        <f>H301+I301</f>
        <v>0</v>
      </c>
      <c r="K301" s="310"/>
      <c r="L301" s="316">
        <f>F301*K301</f>
        <v>0</v>
      </c>
      <c r="M301" s="206">
        <v>0</v>
      </c>
      <c r="N301" s="207">
        <f>F301*M301</f>
        <v>0</v>
      </c>
      <c r="O301" s="206"/>
      <c r="P301" s="207">
        <f>F301*O301</f>
        <v>0</v>
      </c>
      <c r="T301" s="205">
        <v>2</v>
      </c>
      <c r="BN301" s="205">
        <v>8</v>
      </c>
      <c r="BO301" s="205">
        <v>1</v>
      </c>
    </row>
    <row r="302" spans="1:67" ht="12.75" customHeight="1" x14ac:dyDescent="0.2">
      <c r="A302" s="293"/>
      <c r="B302" s="332"/>
      <c r="C302" s="295" t="s">
        <v>176</v>
      </c>
      <c r="D302" s="397" t="s">
        <v>124</v>
      </c>
      <c r="E302" s="357"/>
      <c r="F302" s="371"/>
      <c r="G302" s="305"/>
      <c r="H302" s="306"/>
      <c r="I302" s="306"/>
      <c r="J302" s="307"/>
      <c r="K302" s="312"/>
      <c r="L302" s="318"/>
      <c r="M302" s="206"/>
      <c r="N302" s="207"/>
      <c r="O302" s="206"/>
      <c r="P302" s="207"/>
    </row>
    <row r="303" spans="1:67" x14ac:dyDescent="0.2">
      <c r="A303" s="296"/>
      <c r="B303" s="297"/>
      <c r="C303" s="298"/>
      <c r="D303" s="252" t="s">
        <v>217</v>
      </c>
      <c r="E303" s="249" t="s">
        <v>120</v>
      </c>
      <c r="F303" s="330">
        <f>+F300*4</f>
        <v>75.44932</v>
      </c>
      <c r="G303" s="337">
        <v>0</v>
      </c>
      <c r="H303" s="250"/>
      <c r="I303" s="250">
        <f>+F303*G303</f>
        <v>0</v>
      </c>
      <c r="J303" s="251">
        <f>H303+I303</f>
        <v>0</v>
      </c>
      <c r="K303" s="308">
        <v>0</v>
      </c>
      <c r="L303" s="319">
        <f>+F303*K303</f>
        <v>0</v>
      </c>
      <c r="M303" s="206"/>
      <c r="N303" s="207"/>
      <c r="O303" s="206"/>
      <c r="P303" s="207"/>
      <c r="T303" s="205"/>
      <c r="BN303" s="205"/>
      <c r="BO303" s="205"/>
    </row>
    <row r="304" spans="1:67" x14ac:dyDescent="0.2">
      <c r="A304" s="232">
        <v>55</v>
      </c>
      <c r="B304" s="242" t="s">
        <v>226</v>
      </c>
      <c r="C304" s="269">
        <v>979098131</v>
      </c>
      <c r="D304" s="243" t="s">
        <v>218</v>
      </c>
      <c r="E304" s="359">
        <f>+E289</f>
        <v>0</v>
      </c>
      <c r="F304" s="359">
        <f>+F289</f>
        <v>0</v>
      </c>
      <c r="G304" s="299">
        <v>0</v>
      </c>
      <c r="H304" s="300"/>
      <c r="I304" s="300">
        <f>+F304*G304</f>
        <v>0</v>
      </c>
      <c r="J304" s="301">
        <f>H304+I304</f>
        <v>0</v>
      </c>
      <c r="K304" s="310"/>
      <c r="L304" s="316">
        <f>F304*K304</f>
        <v>0</v>
      </c>
      <c r="M304" s="206">
        <v>0</v>
      </c>
      <c r="N304" s="207">
        <f>F304*M304</f>
        <v>0</v>
      </c>
      <c r="O304" s="206"/>
      <c r="P304" s="207">
        <f>F304*O304</f>
        <v>0</v>
      </c>
      <c r="T304" s="205">
        <v>2</v>
      </c>
      <c r="BN304" s="205">
        <v>8</v>
      </c>
      <c r="BO304" s="205">
        <v>1</v>
      </c>
    </row>
    <row r="305" spans="1:67" ht="12.75" customHeight="1" x14ac:dyDescent="0.2">
      <c r="A305" s="293"/>
      <c r="B305" s="332"/>
      <c r="C305" s="295" t="s">
        <v>176</v>
      </c>
      <c r="D305" s="356" t="s">
        <v>219</v>
      </c>
      <c r="E305" s="357"/>
      <c r="F305" s="371"/>
      <c r="G305" s="305"/>
      <c r="H305" s="306"/>
      <c r="I305" s="306"/>
      <c r="J305" s="307"/>
      <c r="K305" s="312"/>
      <c r="L305" s="318"/>
      <c r="M305" s="206"/>
      <c r="N305" s="207"/>
      <c r="O305" s="206"/>
      <c r="P305" s="207"/>
    </row>
    <row r="306" spans="1:67" x14ac:dyDescent="0.2">
      <c r="A306" s="296"/>
      <c r="B306" s="297"/>
      <c r="C306" s="298"/>
      <c r="D306" s="252" t="s">
        <v>220</v>
      </c>
      <c r="E306" s="249" t="s">
        <v>120</v>
      </c>
      <c r="F306" s="330">
        <f>+L288+L264</f>
        <v>6.5895499999999991</v>
      </c>
      <c r="G306" s="337">
        <v>0</v>
      </c>
      <c r="H306" s="250"/>
      <c r="I306" s="250">
        <f>+F306*G306</f>
        <v>0</v>
      </c>
      <c r="J306" s="251">
        <f>H306+I306</f>
        <v>0</v>
      </c>
      <c r="K306" s="308">
        <v>0</v>
      </c>
      <c r="L306" s="319">
        <f>+F306*K306</f>
        <v>0</v>
      </c>
      <c r="M306" s="206"/>
      <c r="N306" s="207"/>
      <c r="O306" s="206"/>
      <c r="P306" s="207"/>
      <c r="T306" s="205"/>
      <c r="BN306" s="205"/>
      <c r="BO306" s="205"/>
    </row>
    <row r="307" spans="1:67" x14ac:dyDescent="0.2">
      <c r="A307" s="232">
        <v>56</v>
      </c>
      <c r="B307" s="242" t="s">
        <v>226</v>
      </c>
      <c r="C307" s="269">
        <v>979098141</v>
      </c>
      <c r="D307" s="243" t="s">
        <v>221</v>
      </c>
      <c r="E307" s="359">
        <f>+E289</f>
        <v>0</v>
      </c>
      <c r="F307" s="359">
        <f>+F289</f>
        <v>0</v>
      </c>
      <c r="G307" s="299">
        <v>0</v>
      </c>
      <c r="H307" s="300"/>
      <c r="I307" s="300">
        <f>+F307*G307</f>
        <v>0</v>
      </c>
      <c r="J307" s="301">
        <f>H307+I307</f>
        <v>0</v>
      </c>
      <c r="K307" s="310"/>
      <c r="L307" s="316">
        <f>F307*K307</f>
        <v>0</v>
      </c>
      <c r="M307" s="206">
        <v>0</v>
      </c>
      <c r="N307" s="207">
        <f>F307*M307</f>
        <v>0</v>
      </c>
      <c r="O307" s="206"/>
      <c r="P307" s="207">
        <f>F307*O307</f>
        <v>0</v>
      </c>
      <c r="T307" s="205">
        <v>2</v>
      </c>
      <c r="BN307" s="205">
        <v>8</v>
      </c>
      <c r="BO307" s="205">
        <v>1</v>
      </c>
    </row>
    <row r="308" spans="1:67" ht="12.75" customHeight="1" x14ac:dyDescent="0.2">
      <c r="A308" s="293"/>
      <c r="B308" s="332"/>
      <c r="C308" s="295" t="s">
        <v>176</v>
      </c>
      <c r="D308" s="356" t="s">
        <v>221</v>
      </c>
      <c r="E308" s="357"/>
      <c r="F308" s="371"/>
      <c r="G308" s="305"/>
      <c r="H308" s="306"/>
      <c r="I308" s="306"/>
      <c r="J308" s="307"/>
      <c r="K308" s="312"/>
      <c r="L308" s="318"/>
      <c r="M308" s="206"/>
      <c r="N308" s="207"/>
      <c r="O308" s="206"/>
      <c r="P308" s="207"/>
    </row>
    <row r="309" spans="1:67" x14ac:dyDescent="0.2">
      <c r="A309" s="296"/>
      <c r="B309" s="297"/>
      <c r="C309" s="298"/>
      <c r="D309" s="252" t="s">
        <v>222</v>
      </c>
      <c r="E309" s="249" t="s">
        <v>120</v>
      </c>
      <c r="F309" s="330">
        <f>+L279+L284</f>
        <v>12.272780000000003</v>
      </c>
      <c r="G309" s="337">
        <v>0</v>
      </c>
      <c r="H309" s="250"/>
      <c r="I309" s="250">
        <f>+F309*G309</f>
        <v>0</v>
      </c>
      <c r="J309" s="251">
        <f>H309+I309</f>
        <v>0</v>
      </c>
      <c r="K309" s="308">
        <v>0</v>
      </c>
      <c r="L309" s="319">
        <f>+F309*K309</f>
        <v>0</v>
      </c>
      <c r="M309" s="206"/>
      <c r="N309" s="207"/>
      <c r="O309" s="206"/>
      <c r="P309" s="207"/>
      <c r="T309" s="205"/>
      <c r="BN309" s="205"/>
      <c r="BO309" s="205"/>
    </row>
    <row r="310" spans="1:67" ht="13.5" thickBot="1" x14ac:dyDescent="0.25">
      <c r="A310" s="256"/>
      <c r="B310" s="257"/>
      <c r="C310" s="272" t="s">
        <v>87</v>
      </c>
      <c r="D310" s="258" t="s">
        <v>110</v>
      </c>
      <c r="E310" s="259"/>
      <c r="F310" s="260"/>
      <c r="G310" s="260"/>
      <c r="H310" s="325">
        <f>SUM(H243:H309)</f>
        <v>0</v>
      </c>
      <c r="I310" s="325">
        <f>SUM(I243:I309)</f>
        <v>0</v>
      </c>
      <c r="J310" s="261">
        <f>SUM(J243:J309)</f>
        <v>0</v>
      </c>
      <c r="K310" s="314"/>
      <c r="L310" s="331">
        <f>SUM(L242:L309)</f>
        <v>18.86233</v>
      </c>
      <c r="M310" s="209"/>
      <c r="N310" s="210">
        <f>SUM(N242:N307)</f>
        <v>0</v>
      </c>
      <c r="O310" s="209"/>
      <c r="P310" s="210">
        <f>SUM(P242:P307)</f>
        <v>0</v>
      </c>
      <c r="T310" s="205">
        <v>4</v>
      </c>
    </row>
    <row r="311" spans="1:67" x14ac:dyDescent="0.2">
      <c r="A311" s="200" t="s">
        <v>86</v>
      </c>
      <c r="B311" s="226"/>
      <c r="C311" s="268">
        <v>99</v>
      </c>
      <c r="D311" s="262" t="s">
        <v>125</v>
      </c>
      <c r="E311" s="263"/>
      <c r="F311" s="264"/>
      <c r="G311" s="264"/>
      <c r="H311" s="264"/>
      <c r="I311" s="264"/>
      <c r="J311" s="265"/>
      <c r="K311" s="309"/>
      <c r="L311" s="309"/>
      <c r="M311" s="201"/>
      <c r="N311" s="202"/>
      <c r="O311" s="203"/>
      <c r="P311" s="204"/>
      <c r="T311" s="205">
        <v>1</v>
      </c>
    </row>
    <row r="312" spans="1:67" x14ac:dyDescent="0.2">
      <c r="A312" s="232">
        <v>57</v>
      </c>
      <c r="B312" s="242" t="s">
        <v>226</v>
      </c>
      <c r="C312" s="269">
        <v>999281111</v>
      </c>
      <c r="D312" s="243" t="s">
        <v>127</v>
      </c>
      <c r="E312" s="234">
        <v>0</v>
      </c>
      <c r="F312" s="372">
        <v>0</v>
      </c>
      <c r="G312" s="299">
        <v>0</v>
      </c>
      <c r="H312" s="300"/>
      <c r="I312" s="300">
        <f>+F312*G312</f>
        <v>0</v>
      </c>
      <c r="K312" s="310"/>
      <c r="L312" s="316">
        <f>F312*K312</f>
        <v>0</v>
      </c>
      <c r="M312" s="206">
        <v>0</v>
      </c>
      <c r="N312" s="207">
        <f>F312*M312</f>
        <v>0</v>
      </c>
      <c r="O312" s="206"/>
      <c r="P312" s="207">
        <f>F312*O312</f>
        <v>0</v>
      </c>
      <c r="T312" s="205">
        <v>2</v>
      </c>
      <c r="BN312" s="205">
        <v>7</v>
      </c>
      <c r="BO312" s="205">
        <v>1</v>
      </c>
    </row>
    <row r="313" spans="1:67" ht="12.75" customHeight="1" x14ac:dyDescent="0.2">
      <c r="A313" s="293"/>
      <c r="B313" s="332"/>
      <c r="C313" s="295" t="s">
        <v>176</v>
      </c>
      <c r="D313" s="356" t="s">
        <v>224</v>
      </c>
      <c r="E313" s="357"/>
      <c r="F313" s="371"/>
      <c r="G313" s="305"/>
      <c r="H313" s="306"/>
      <c r="I313" s="306"/>
      <c r="J313" s="304"/>
      <c r="K313" s="312"/>
      <c r="L313" s="318"/>
      <c r="M313" s="206"/>
      <c r="N313" s="207"/>
      <c r="O313" s="206"/>
      <c r="P313" s="207"/>
    </row>
    <row r="314" spans="1:67" x14ac:dyDescent="0.2">
      <c r="A314" s="296"/>
      <c r="B314" s="297"/>
      <c r="C314" s="298"/>
      <c r="D314" s="252" t="s">
        <v>223</v>
      </c>
      <c r="E314" s="249" t="s">
        <v>120</v>
      </c>
      <c r="F314" s="330">
        <f>+L65+L86+L101+L194+L207</f>
        <v>63.720048155500002</v>
      </c>
      <c r="G314" s="337">
        <v>0</v>
      </c>
      <c r="H314" s="250"/>
      <c r="I314" s="250">
        <f>+F314*G314</f>
        <v>0</v>
      </c>
      <c r="J314" s="251">
        <f>H312+I312</f>
        <v>0</v>
      </c>
      <c r="K314" s="308">
        <v>0</v>
      </c>
      <c r="L314" s="319">
        <f>+F314*K314</f>
        <v>0</v>
      </c>
      <c r="M314" s="206"/>
      <c r="N314" s="207"/>
      <c r="O314" s="206"/>
      <c r="P314" s="207"/>
      <c r="T314" s="205"/>
      <c r="BN314" s="205"/>
      <c r="BO314" s="205"/>
    </row>
    <row r="315" spans="1:67" ht="13.5" thickBot="1" x14ac:dyDescent="0.25">
      <c r="A315" s="256"/>
      <c r="B315" s="257"/>
      <c r="C315" s="272" t="s">
        <v>87</v>
      </c>
      <c r="D315" s="258" t="s">
        <v>126</v>
      </c>
      <c r="E315" s="259"/>
      <c r="F315" s="260"/>
      <c r="G315" s="260"/>
      <c r="H315" s="260"/>
      <c r="I315" s="325">
        <f>SUM(I314)</f>
        <v>0</v>
      </c>
      <c r="J315" s="261">
        <f>SUM(J314)</f>
        <v>0</v>
      </c>
      <c r="K315" s="314"/>
      <c r="L315" s="321">
        <f>SUM(L311:L312)</f>
        <v>0</v>
      </c>
      <c r="M315" s="209"/>
      <c r="N315" s="210">
        <f>SUM(N311:N312)</f>
        <v>0</v>
      </c>
      <c r="O315" s="209"/>
      <c r="P315" s="210">
        <f>SUM(P311:P312)</f>
        <v>0</v>
      </c>
      <c r="T315" s="205">
        <v>4</v>
      </c>
    </row>
    <row r="316" spans="1:67" x14ac:dyDescent="0.2">
      <c r="A316" s="200" t="s">
        <v>86</v>
      </c>
      <c r="B316" s="226"/>
      <c r="C316" s="268">
        <v>764</v>
      </c>
      <c r="D316" s="262" t="s">
        <v>128</v>
      </c>
      <c r="E316" s="263"/>
      <c r="F316" s="264"/>
      <c r="G316" s="264"/>
      <c r="H316" s="264"/>
      <c r="I316" s="264"/>
      <c r="J316" s="265"/>
      <c r="K316" s="309"/>
      <c r="L316" s="309"/>
      <c r="M316" s="201"/>
      <c r="N316" s="202"/>
      <c r="O316" s="203"/>
      <c r="P316" s="204"/>
      <c r="T316" s="205">
        <v>1</v>
      </c>
    </row>
    <row r="317" spans="1:67" x14ac:dyDescent="0.2">
      <c r="A317" s="232">
        <v>58</v>
      </c>
      <c r="B317" s="242" t="s">
        <v>226</v>
      </c>
      <c r="C317" s="269">
        <v>764352203</v>
      </c>
      <c r="D317" s="243" t="s">
        <v>130</v>
      </c>
      <c r="E317" s="234">
        <v>0</v>
      </c>
      <c r="F317" s="234">
        <v>0</v>
      </c>
      <c r="G317" s="299">
        <v>0</v>
      </c>
      <c r="H317" s="300">
        <v>0</v>
      </c>
      <c r="I317" s="300">
        <v>0</v>
      </c>
      <c r="J317" s="300">
        <v>0</v>
      </c>
      <c r="K317" s="300">
        <v>0</v>
      </c>
      <c r="L317" s="316">
        <f>F317*K317</f>
        <v>0</v>
      </c>
      <c r="M317" s="206">
        <v>3.0799999999999998E-3</v>
      </c>
      <c r="N317" s="207">
        <f>F317*M317</f>
        <v>0</v>
      </c>
      <c r="O317" s="206">
        <v>0</v>
      </c>
      <c r="P317" s="207">
        <f>F317*O317</f>
        <v>0</v>
      </c>
      <c r="T317" s="205">
        <v>2</v>
      </c>
      <c r="BN317" s="205">
        <v>1</v>
      </c>
      <c r="BO317" s="205">
        <v>7</v>
      </c>
    </row>
    <row r="318" spans="1:67" ht="12.75" customHeight="1" x14ac:dyDescent="0.2">
      <c r="A318" s="293"/>
      <c r="B318" s="332"/>
      <c r="C318" s="295" t="s">
        <v>176</v>
      </c>
      <c r="D318" s="356" t="s">
        <v>130</v>
      </c>
      <c r="E318" s="346"/>
      <c r="F318" s="346"/>
      <c r="G318" s="302"/>
      <c r="H318" s="303"/>
      <c r="I318" s="303"/>
      <c r="J318" s="304"/>
      <c r="K318" s="311"/>
      <c r="L318" s="317"/>
      <c r="M318" s="206"/>
      <c r="N318" s="207"/>
      <c r="O318" s="206"/>
      <c r="P318" s="207"/>
    </row>
    <row r="319" spans="1:67" x14ac:dyDescent="0.2">
      <c r="A319" s="351"/>
      <c r="B319" s="352"/>
      <c r="C319" s="353" t="s">
        <v>178</v>
      </c>
      <c r="D319" s="347" t="s">
        <v>207</v>
      </c>
      <c r="E319" s="334"/>
      <c r="F319" s="335"/>
      <c r="G319" s="305"/>
      <c r="H319" s="306"/>
      <c r="I319" s="306"/>
      <c r="J319" s="307"/>
      <c r="K319" s="312"/>
      <c r="L319" s="318"/>
      <c r="M319" s="206"/>
      <c r="N319" s="207"/>
      <c r="O319" s="206"/>
      <c r="P319" s="207"/>
    </row>
    <row r="320" spans="1:67" x14ac:dyDescent="0.2">
      <c r="A320" s="296"/>
      <c r="B320" s="297"/>
      <c r="C320" s="298"/>
      <c r="D320" s="252" t="s">
        <v>159</v>
      </c>
      <c r="E320" s="249" t="s">
        <v>90</v>
      </c>
      <c r="F320" s="330">
        <v>64.5</v>
      </c>
      <c r="G320" s="337">
        <v>0</v>
      </c>
      <c r="H320" s="250"/>
      <c r="I320" s="250">
        <f>+F320*G320</f>
        <v>0</v>
      </c>
      <c r="J320" s="251">
        <f>H320+I320</f>
        <v>0</v>
      </c>
      <c r="K320" s="308">
        <v>4.2700000000000004E-3</v>
      </c>
      <c r="L320" s="319">
        <f>F320*K320</f>
        <v>0.27541500000000002</v>
      </c>
      <c r="M320" s="206"/>
      <c r="N320" s="207"/>
      <c r="O320" s="206"/>
      <c r="P320" s="207"/>
      <c r="T320" s="205"/>
      <c r="BN320" s="205"/>
      <c r="BO320" s="205"/>
    </row>
    <row r="321" spans="1:67" x14ac:dyDescent="0.2">
      <c r="A321" s="236">
        <v>59</v>
      </c>
      <c r="B321" s="237" t="s">
        <v>226</v>
      </c>
      <c r="C321" s="271">
        <v>764359212</v>
      </c>
      <c r="D321" s="238" t="s">
        <v>131</v>
      </c>
      <c r="E321" s="240">
        <v>0</v>
      </c>
      <c r="F321" s="240">
        <v>0</v>
      </c>
      <c r="G321" s="299">
        <v>0</v>
      </c>
      <c r="H321" s="300">
        <v>0</v>
      </c>
      <c r="I321" s="300">
        <v>0</v>
      </c>
      <c r="J321" s="300">
        <v>0</v>
      </c>
      <c r="K321" s="300">
        <v>0</v>
      </c>
      <c r="L321" s="316">
        <f>F321*K321</f>
        <v>0</v>
      </c>
      <c r="M321" s="206">
        <v>1.65E-3</v>
      </c>
      <c r="N321" s="207">
        <f>F321*M321</f>
        <v>0</v>
      </c>
      <c r="O321" s="206">
        <v>0</v>
      </c>
      <c r="P321" s="207">
        <f>F321*O321</f>
        <v>0</v>
      </c>
      <c r="T321" s="205">
        <v>2</v>
      </c>
      <c r="BN321" s="205">
        <v>1</v>
      </c>
      <c r="BO321" s="205">
        <v>7</v>
      </c>
    </row>
    <row r="322" spans="1:67" ht="12.75" customHeight="1" x14ac:dyDescent="0.2">
      <c r="A322" s="293"/>
      <c r="B322" s="332"/>
      <c r="C322" s="295" t="s">
        <v>176</v>
      </c>
      <c r="D322" s="356" t="s">
        <v>131</v>
      </c>
      <c r="E322" s="346"/>
      <c r="F322" s="346"/>
      <c r="G322" s="302"/>
      <c r="H322" s="303"/>
      <c r="I322" s="303"/>
      <c r="J322" s="304"/>
      <c r="K322" s="311"/>
      <c r="L322" s="317"/>
      <c r="M322" s="206"/>
      <c r="N322" s="207"/>
      <c r="O322" s="206"/>
      <c r="P322" s="207"/>
    </row>
    <row r="323" spans="1:67" x14ac:dyDescent="0.2">
      <c r="A323" s="351"/>
      <c r="B323" s="352"/>
      <c r="C323" s="353" t="s">
        <v>178</v>
      </c>
      <c r="D323" s="347" t="s">
        <v>207</v>
      </c>
      <c r="E323" s="334"/>
      <c r="F323" s="335"/>
      <c r="G323" s="305"/>
      <c r="H323" s="306"/>
      <c r="I323" s="306"/>
      <c r="J323" s="307"/>
      <c r="K323" s="312"/>
      <c r="L323" s="318"/>
      <c r="M323" s="206"/>
      <c r="N323" s="207"/>
      <c r="O323" s="206"/>
      <c r="P323" s="207"/>
    </row>
    <row r="324" spans="1:67" x14ac:dyDescent="0.2">
      <c r="A324" s="296"/>
      <c r="B324" s="297"/>
      <c r="C324" s="298"/>
      <c r="D324" s="252" t="s">
        <v>159</v>
      </c>
      <c r="E324" s="249" t="s">
        <v>91</v>
      </c>
      <c r="F324" s="330">
        <v>5</v>
      </c>
      <c r="G324" s="337">
        <v>0</v>
      </c>
      <c r="H324" s="250"/>
      <c r="I324" s="250">
        <f>+F324*G324</f>
        <v>0</v>
      </c>
      <c r="J324" s="251">
        <f>H324+I324</f>
        <v>0</v>
      </c>
      <c r="K324" s="308">
        <v>2.7E-4</v>
      </c>
      <c r="L324" s="319">
        <f>F324*K324</f>
        <v>1.3500000000000001E-3</v>
      </c>
      <c r="M324" s="206"/>
      <c r="N324" s="207"/>
      <c r="O324" s="206"/>
      <c r="P324" s="207"/>
      <c r="T324" s="205"/>
      <c r="BN324" s="205"/>
      <c r="BO324" s="205"/>
    </row>
    <row r="325" spans="1:67" x14ac:dyDescent="0.2">
      <c r="A325" s="232">
        <v>60</v>
      </c>
      <c r="B325" s="242" t="s">
        <v>226</v>
      </c>
      <c r="C325" s="269">
        <v>764421340</v>
      </c>
      <c r="D325" s="243" t="s">
        <v>132</v>
      </c>
      <c r="E325" s="315"/>
      <c r="F325" s="315"/>
      <c r="G325" s="341"/>
      <c r="H325" s="310"/>
      <c r="I325" s="310"/>
      <c r="J325" s="310"/>
      <c r="K325" s="310"/>
      <c r="L325" s="316">
        <f>F325*K325</f>
        <v>0</v>
      </c>
      <c r="M325" s="206">
        <v>2.0300000000000001E-3</v>
      </c>
      <c r="N325" s="207">
        <f>F325*M325</f>
        <v>0</v>
      </c>
      <c r="O325" s="206">
        <v>0</v>
      </c>
      <c r="P325" s="207">
        <f>F325*O325</f>
        <v>0</v>
      </c>
      <c r="T325" s="205">
        <v>2</v>
      </c>
      <c r="BN325" s="205">
        <v>1</v>
      </c>
      <c r="BO325" s="205">
        <v>7</v>
      </c>
    </row>
    <row r="326" spans="1:67" ht="12.75" customHeight="1" x14ac:dyDescent="0.2">
      <c r="A326" s="293"/>
      <c r="B326" s="332"/>
      <c r="C326" s="295" t="s">
        <v>176</v>
      </c>
      <c r="D326" s="356" t="s">
        <v>132</v>
      </c>
      <c r="E326" s="346"/>
      <c r="F326" s="346"/>
      <c r="G326" s="302"/>
      <c r="H326" s="303"/>
      <c r="I326" s="303"/>
      <c r="J326" s="304"/>
      <c r="K326" s="311"/>
      <c r="L326" s="317"/>
      <c r="M326" s="206"/>
      <c r="N326" s="207"/>
      <c r="O326" s="206"/>
      <c r="P326" s="207"/>
    </row>
    <row r="327" spans="1:67" x14ac:dyDescent="0.2">
      <c r="A327" s="351"/>
      <c r="B327" s="352"/>
      <c r="C327" s="353" t="s">
        <v>178</v>
      </c>
      <c r="D327" s="347" t="s">
        <v>207</v>
      </c>
      <c r="E327" s="334"/>
      <c r="F327" s="335"/>
      <c r="G327" s="302"/>
      <c r="H327" s="303"/>
      <c r="I327" s="303"/>
      <c r="J327" s="304"/>
      <c r="K327" s="311"/>
      <c r="L327" s="317"/>
      <c r="M327" s="206"/>
      <c r="N327" s="207"/>
      <c r="O327" s="206"/>
      <c r="P327" s="207"/>
    </row>
    <row r="328" spans="1:67" x14ac:dyDescent="0.2">
      <c r="A328" s="290"/>
      <c r="B328" s="291"/>
      <c r="C328" s="292"/>
      <c r="D328" s="254" t="s">
        <v>360</v>
      </c>
      <c r="E328" s="373" t="s">
        <v>90</v>
      </c>
      <c r="F328" s="374">
        <f>0.64*2</f>
        <v>1.28</v>
      </c>
      <c r="G328" s="302">
        <v>0</v>
      </c>
      <c r="H328" s="303"/>
      <c r="I328" s="303">
        <f>+F328*G328</f>
        <v>0</v>
      </c>
      <c r="J328" s="304">
        <f>H328+I328</f>
        <v>0</v>
      </c>
      <c r="K328" s="311"/>
      <c r="L328" s="317"/>
      <c r="M328" s="206"/>
      <c r="N328" s="207"/>
      <c r="O328" s="206"/>
      <c r="P328" s="207"/>
      <c r="T328" s="205"/>
      <c r="BN328" s="205"/>
      <c r="BO328" s="205"/>
    </row>
    <row r="329" spans="1:67" x14ac:dyDescent="0.2">
      <c r="A329" s="296"/>
      <c r="B329" s="297"/>
      <c r="C329" s="298"/>
      <c r="D329" s="252" t="s">
        <v>159</v>
      </c>
      <c r="E329" s="249" t="s">
        <v>90</v>
      </c>
      <c r="F329" s="330">
        <f>+F328</f>
        <v>1.28</v>
      </c>
      <c r="G329" s="337">
        <v>0</v>
      </c>
      <c r="H329" s="250"/>
      <c r="I329" s="250">
        <f>+F329*G329</f>
        <v>0</v>
      </c>
      <c r="J329" s="251">
        <f>H329+I329</f>
        <v>0</v>
      </c>
      <c r="K329" s="308">
        <v>4.2999999999999999E-4</v>
      </c>
      <c r="L329" s="319">
        <f>F329*K329</f>
        <v>5.5040000000000004E-4</v>
      </c>
      <c r="M329" s="206"/>
      <c r="N329" s="207"/>
      <c r="O329" s="206"/>
      <c r="P329" s="207"/>
      <c r="T329" s="205"/>
      <c r="BN329" s="205"/>
      <c r="BO329" s="205"/>
    </row>
    <row r="330" spans="1:67" x14ac:dyDescent="0.2">
      <c r="A330" s="232">
        <v>61</v>
      </c>
      <c r="B330" s="242" t="s">
        <v>226</v>
      </c>
      <c r="C330" s="269">
        <v>764454203</v>
      </c>
      <c r="D330" s="243" t="s">
        <v>133</v>
      </c>
      <c r="E330" s="234">
        <v>0</v>
      </c>
      <c r="F330" s="234">
        <v>0</v>
      </c>
      <c r="G330" s="299">
        <v>0</v>
      </c>
      <c r="H330" s="300"/>
      <c r="I330" s="300">
        <f>+F330*G330</f>
        <v>0</v>
      </c>
      <c r="J330" s="301">
        <f>H330+I330</f>
        <v>0</v>
      </c>
      <c r="K330" s="310"/>
      <c r="L330" s="316">
        <f>F330*K330</f>
        <v>0</v>
      </c>
      <c r="M330" s="206">
        <v>3.0999999999999999E-3</v>
      </c>
      <c r="N330" s="207">
        <f>F330*M330</f>
        <v>0</v>
      </c>
      <c r="O330" s="206">
        <v>0</v>
      </c>
      <c r="P330" s="207">
        <f>F330*O330</f>
        <v>0</v>
      </c>
      <c r="T330" s="205">
        <v>2</v>
      </c>
      <c r="BN330" s="205">
        <v>1</v>
      </c>
      <c r="BO330" s="205">
        <v>7</v>
      </c>
    </row>
    <row r="331" spans="1:67" ht="12.75" customHeight="1" x14ac:dyDescent="0.2">
      <c r="A331" s="293"/>
      <c r="B331" s="332"/>
      <c r="C331" s="295" t="s">
        <v>176</v>
      </c>
      <c r="D331" s="356" t="s">
        <v>229</v>
      </c>
      <c r="E331" s="346"/>
      <c r="F331" s="346"/>
      <c r="G331" s="302"/>
      <c r="H331" s="303"/>
      <c r="I331" s="303"/>
      <c r="J331" s="304"/>
      <c r="K331" s="311"/>
      <c r="L331" s="317"/>
      <c r="M331" s="206"/>
      <c r="N331" s="207"/>
      <c r="O331" s="206"/>
      <c r="P331" s="207"/>
    </row>
    <row r="332" spans="1:67" x14ac:dyDescent="0.2">
      <c r="A332" s="351"/>
      <c r="B332" s="352"/>
      <c r="C332" s="353" t="s">
        <v>178</v>
      </c>
      <c r="D332" s="347" t="s">
        <v>207</v>
      </c>
      <c r="E332" s="334"/>
      <c r="F332" s="335"/>
      <c r="G332" s="305"/>
      <c r="H332" s="306"/>
      <c r="I332" s="306"/>
      <c r="J332" s="307"/>
      <c r="K332" s="312"/>
      <c r="L332" s="318"/>
      <c r="M332" s="206"/>
      <c r="N332" s="207"/>
      <c r="O332" s="206"/>
      <c r="P332" s="207"/>
    </row>
    <row r="333" spans="1:67" x14ac:dyDescent="0.2">
      <c r="A333" s="296"/>
      <c r="B333" s="297"/>
      <c r="C333" s="298"/>
      <c r="D333" s="252" t="s">
        <v>159</v>
      </c>
      <c r="E333" s="249" t="s">
        <v>90</v>
      </c>
      <c r="F333" s="330">
        <v>39.299999999999997</v>
      </c>
      <c r="G333" s="337">
        <v>0</v>
      </c>
      <c r="H333" s="250"/>
      <c r="I333" s="250">
        <f>+F333*G333</f>
        <v>0</v>
      </c>
      <c r="J333" s="251">
        <f>H333+I333</f>
        <v>0</v>
      </c>
      <c r="K333" s="308">
        <v>6.7999999999999996E-3</v>
      </c>
      <c r="L333" s="319">
        <f>F333*K333</f>
        <v>0.26723999999999998</v>
      </c>
      <c r="M333" s="206"/>
      <c r="N333" s="207"/>
      <c r="O333" s="206"/>
      <c r="P333" s="207"/>
      <c r="T333" s="205"/>
      <c r="BN333" s="205"/>
      <c r="BO333" s="205"/>
    </row>
    <row r="334" spans="1:67" x14ac:dyDescent="0.2">
      <c r="A334" s="232">
        <v>62</v>
      </c>
      <c r="B334" s="242" t="s">
        <v>226</v>
      </c>
      <c r="C334" s="269">
        <v>764901082</v>
      </c>
      <c r="D334" s="243" t="s">
        <v>134</v>
      </c>
      <c r="E334" s="233"/>
      <c r="F334" s="234"/>
      <c r="G334" s="299">
        <v>0</v>
      </c>
      <c r="H334" s="300"/>
      <c r="I334" s="300">
        <f>+F334*G334</f>
        <v>0</v>
      </c>
      <c r="J334" s="301">
        <f>H334+I334</f>
        <v>0</v>
      </c>
      <c r="K334" s="310"/>
      <c r="L334" s="316">
        <f>F334*K334</f>
        <v>0</v>
      </c>
      <c r="M334" s="206">
        <v>3.3999999999999998E-3</v>
      </c>
      <c r="N334" s="207">
        <f>F334*M334</f>
        <v>0</v>
      </c>
      <c r="O334" s="206">
        <v>0</v>
      </c>
      <c r="P334" s="207">
        <f>F334*O334</f>
        <v>0</v>
      </c>
      <c r="T334" s="205">
        <v>2</v>
      </c>
      <c r="BN334" s="205">
        <v>1</v>
      </c>
      <c r="BO334" s="205">
        <v>7</v>
      </c>
    </row>
    <row r="335" spans="1:67" ht="12.75" customHeight="1" x14ac:dyDescent="0.2">
      <c r="A335" s="293"/>
      <c r="B335" s="332"/>
      <c r="C335" s="295" t="s">
        <v>176</v>
      </c>
      <c r="D335" s="356" t="s">
        <v>134</v>
      </c>
      <c r="E335" s="346"/>
      <c r="F335" s="346"/>
      <c r="G335" s="302"/>
      <c r="H335" s="303"/>
      <c r="I335" s="303"/>
      <c r="J335" s="304"/>
      <c r="K335" s="311"/>
      <c r="L335" s="317"/>
      <c r="M335" s="206"/>
      <c r="N335" s="207"/>
      <c r="O335" s="206"/>
      <c r="P335" s="207"/>
    </row>
    <row r="336" spans="1:67" x14ac:dyDescent="0.2">
      <c r="A336" s="351"/>
      <c r="B336" s="352"/>
      <c r="C336" s="353" t="s">
        <v>178</v>
      </c>
      <c r="D336" s="347" t="s">
        <v>207</v>
      </c>
      <c r="E336" s="334"/>
      <c r="F336" s="335"/>
      <c r="G336" s="305"/>
      <c r="H336" s="306"/>
      <c r="I336" s="306"/>
      <c r="J336" s="307"/>
      <c r="K336" s="312"/>
      <c r="L336" s="318"/>
      <c r="M336" s="206"/>
      <c r="N336" s="207"/>
      <c r="O336" s="206"/>
      <c r="P336" s="207"/>
    </row>
    <row r="337" spans="1:67" x14ac:dyDescent="0.2">
      <c r="A337" s="296"/>
      <c r="B337" s="297"/>
      <c r="C337" s="298"/>
      <c r="D337" s="252" t="s">
        <v>159</v>
      </c>
      <c r="E337" s="249" t="s">
        <v>90</v>
      </c>
      <c r="F337" s="330">
        <v>107.4</v>
      </c>
      <c r="G337" s="337">
        <v>0</v>
      </c>
      <c r="H337" s="250"/>
      <c r="I337" s="250">
        <f>+F337*G337</f>
        <v>0</v>
      </c>
      <c r="J337" s="251">
        <f>H337+I337</f>
        <v>0</v>
      </c>
      <c r="K337" s="308">
        <v>5.2999999999999998E-4</v>
      </c>
      <c r="L337" s="319">
        <f>F337*K337</f>
        <v>5.6922E-2</v>
      </c>
      <c r="M337" s="206"/>
      <c r="N337" s="207"/>
      <c r="O337" s="206"/>
      <c r="P337" s="207"/>
      <c r="T337" s="205"/>
      <c r="BN337" s="205"/>
      <c r="BO337" s="205"/>
    </row>
    <row r="338" spans="1:67" x14ac:dyDescent="0.2">
      <c r="A338" s="232">
        <v>63</v>
      </c>
      <c r="B338" s="242" t="s">
        <v>226</v>
      </c>
      <c r="C338" s="269">
        <v>998764102</v>
      </c>
      <c r="D338" s="243" t="s">
        <v>135</v>
      </c>
      <c r="E338" s="315"/>
      <c r="F338" s="315"/>
      <c r="G338" s="341"/>
      <c r="H338" s="310"/>
      <c r="I338" s="310"/>
      <c r="J338" s="310"/>
      <c r="K338" s="310"/>
      <c r="L338" s="316">
        <f>F338*K338</f>
        <v>0</v>
      </c>
      <c r="M338" s="206">
        <v>0</v>
      </c>
      <c r="N338" s="207">
        <f>F338*M338</f>
        <v>0</v>
      </c>
      <c r="O338" s="206"/>
      <c r="P338" s="207">
        <f>F338*O338</f>
        <v>0</v>
      </c>
      <c r="T338" s="205">
        <v>2</v>
      </c>
      <c r="BN338" s="205">
        <v>7</v>
      </c>
      <c r="BO338" s="205">
        <v>1001</v>
      </c>
    </row>
    <row r="339" spans="1:67" ht="12.75" customHeight="1" x14ac:dyDescent="0.2">
      <c r="A339" s="293"/>
      <c r="B339" s="332"/>
      <c r="C339" s="295" t="s">
        <v>176</v>
      </c>
      <c r="D339" s="356" t="s">
        <v>135</v>
      </c>
      <c r="E339" s="357"/>
      <c r="F339" s="371"/>
      <c r="G339" s="305"/>
      <c r="H339" s="306"/>
      <c r="I339" s="306"/>
      <c r="J339" s="307"/>
      <c r="K339" s="312"/>
      <c r="L339" s="318"/>
      <c r="M339" s="206"/>
      <c r="N339" s="207"/>
      <c r="O339" s="206"/>
      <c r="P339" s="207"/>
    </row>
    <row r="340" spans="1:67" x14ac:dyDescent="0.2">
      <c r="A340" s="296"/>
      <c r="B340" s="297"/>
      <c r="C340" s="298"/>
      <c r="D340" s="252" t="s">
        <v>230</v>
      </c>
      <c r="E340" s="249" t="s">
        <v>120</v>
      </c>
      <c r="F340" s="330">
        <f>+SUM(L317:L337)</f>
        <v>0.60147740000000005</v>
      </c>
      <c r="G340" s="337">
        <v>0</v>
      </c>
      <c r="H340" s="250"/>
      <c r="I340" s="250">
        <f>+F340*G340</f>
        <v>0</v>
      </c>
      <c r="J340" s="251">
        <f>H340+I340</f>
        <v>0</v>
      </c>
      <c r="K340" s="308">
        <v>0</v>
      </c>
      <c r="L340" s="319">
        <f>+F340*K340</f>
        <v>0</v>
      </c>
      <c r="M340" s="206"/>
      <c r="N340" s="207"/>
      <c r="O340" s="206"/>
      <c r="P340" s="207"/>
      <c r="T340" s="205"/>
      <c r="BN340" s="205"/>
      <c r="BO340" s="205"/>
    </row>
    <row r="341" spans="1:67" ht="13.5" thickBot="1" x14ac:dyDescent="0.25">
      <c r="A341" s="256"/>
      <c r="B341" s="257"/>
      <c r="C341" s="272" t="s">
        <v>87</v>
      </c>
      <c r="D341" s="258" t="s">
        <v>129</v>
      </c>
      <c r="E341" s="259"/>
      <c r="F341" s="260"/>
      <c r="G341" s="260"/>
      <c r="H341" s="325">
        <f>SUM(H317:H340)</f>
        <v>0</v>
      </c>
      <c r="I341" s="325">
        <f>SUM(I317:I340)</f>
        <v>0</v>
      </c>
      <c r="J341" s="261">
        <f>SUM(J317:J340)</f>
        <v>0</v>
      </c>
      <c r="K341" s="314"/>
      <c r="L341" s="321">
        <f>SUM(L316:L338)</f>
        <v>0.60147740000000005</v>
      </c>
      <c r="M341" s="209"/>
      <c r="N341" s="210">
        <f>SUM(N316:N338)</f>
        <v>0</v>
      </c>
      <c r="O341" s="209"/>
      <c r="P341" s="210">
        <f>SUM(P316:P338)</f>
        <v>0</v>
      </c>
      <c r="T341" s="205">
        <v>4</v>
      </c>
    </row>
    <row r="342" spans="1:67" x14ac:dyDescent="0.2">
      <c r="A342" s="200" t="s">
        <v>86</v>
      </c>
      <c r="B342" s="226"/>
      <c r="C342" s="268">
        <v>766</v>
      </c>
      <c r="D342" s="262" t="s">
        <v>136</v>
      </c>
      <c r="E342" s="263"/>
      <c r="F342" s="264"/>
      <c r="G342" s="264"/>
      <c r="H342" s="264"/>
      <c r="I342" s="264"/>
      <c r="J342" s="265"/>
      <c r="K342" s="309"/>
      <c r="L342" s="322">
        <f>F342*K342</f>
        <v>0</v>
      </c>
      <c r="M342" s="201"/>
      <c r="N342" s="202"/>
      <c r="O342" s="203"/>
      <c r="P342" s="204"/>
      <c r="T342" s="205">
        <v>1</v>
      </c>
    </row>
    <row r="343" spans="1:67" x14ac:dyDescent="0.2">
      <c r="A343" s="232">
        <v>64</v>
      </c>
      <c r="B343" s="242" t="s">
        <v>226</v>
      </c>
      <c r="C343" s="269">
        <v>766421213</v>
      </c>
      <c r="D343" s="243" t="s">
        <v>361</v>
      </c>
      <c r="E343" s="233"/>
      <c r="F343" s="234"/>
      <c r="G343" s="299">
        <v>0</v>
      </c>
      <c r="H343" s="300"/>
      <c r="I343" s="300">
        <f>+F343*G343</f>
        <v>0</v>
      </c>
      <c r="J343" s="301">
        <f>H343+I343</f>
        <v>0</v>
      </c>
      <c r="K343" s="310"/>
      <c r="L343" s="316">
        <f>F343*K343</f>
        <v>0</v>
      </c>
      <c r="M343" s="206">
        <v>3.3999999999999998E-3</v>
      </c>
      <c r="N343" s="207">
        <f>F343*M343</f>
        <v>0</v>
      </c>
      <c r="O343" s="206">
        <v>0</v>
      </c>
      <c r="P343" s="207">
        <f>F343*O343</f>
        <v>0</v>
      </c>
      <c r="T343" s="205">
        <v>2</v>
      </c>
      <c r="BN343" s="205">
        <v>1</v>
      </c>
      <c r="BO343" s="205">
        <v>7</v>
      </c>
    </row>
    <row r="344" spans="1:67" ht="12.75" customHeight="1" x14ac:dyDescent="0.2">
      <c r="A344" s="293"/>
      <c r="B344" s="332"/>
      <c r="C344" s="295" t="s">
        <v>176</v>
      </c>
      <c r="D344" s="356" t="s">
        <v>361</v>
      </c>
      <c r="E344" s="346"/>
      <c r="F344" s="346"/>
      <c r="G344" s="302"/>
      <c r="H344" s="303"/>
      <c r="I344" s="303"/>
      <c r="J344" s="304"/>
      <c r="K344" s="311"/>
      <c r="L344" s="317"/>
      <c r="M344" s="206"/>
      <c r="N344" s="207"/>
      <c r="O344" s="206"/>
      <c r="P344" s="207"/>
    </row>
    <row r="345" spans="1:67" x14ac:dyDescent="0.2">
      <c r="A345" s="351"/>
      <c r="B345" s="352"/>
      <c r="C345" s="353" t="s">
        <v>178</v>
      </c>
      <c r="D345" s="347" t="s">
        <v>207</v>
      </c>
      <c r="E345" s="334"/>
      <c r="F345" s="335"/>
      <c r="G345" s="302"/>
      <c r="H345" s="303"/>
      <c r="I345" s="303"/>
      <c r="J345" s="304"/>
      <c r="K345" s="311"/>
      <c r="L345" s="317"/>
      <c r="M345" s="206"/>
      <c r="N345" s="207"/>
      <c r="O345" s="206"/>
      <c r="P345" s="207"/>
    </row>
    <row r="346" spans="1:67" ht="22.5" x14ac:dyDescent="0.2">
      <c r="A346" s="293"/>
      <c r="B346" s="294"/>
      <c r="C346" s="295"/>
      <c r="D346" s="246" t="s">
        <v>362</v>
      </c>
      <c r="E346" s="244" t="s">
        <v>163</v>
      </c>
      <c r="F346" s="245">
        <f>+(0.4+0.3)*(6.36+2.17+5.5+8.58+18.186+3.75+2.15)</f>
        <v>32.687199999999997</v>
      </c>
      <c r="G346" s="305"/>
      <c r="H346" s="306"/>
      <c r="I346" s="306"/>
      <c r="J346" s="307"/>
      <c r="K346" s="312"/>
      <c r="L346" s="318"/>
      <c r="M346" s="206"/>
      <c r="N346" s="207"/>
      <c r="O346" s="206"/>
      <c r="P346" s="207"/>
    </row>
    <row r="347" spans="1:67" x14ac:dyDescent="0.2">
      <c r="A347" s="296"/>
      <c r="B347" s="297"/>
      <c r="C347" s="298"/>
      <c r="D347" s="252" t="s">
        <v>159</v>
      </c>
      <c r="E347" s="249" t="s">
        <v>163</v>
      </c>
      <c r="F347" s="330">
        <f>+SUM(F346)</f>
        <v>32.687199999999997</v>
      </c>
      <c r="G347" s="337">
        <v>0</v>
      </c>
      <c r="H347" s="250"/>
      <c r="I347" s="250">
        <f>+F347*G347</f>
        <v>0</v>
      </c>
      <c r="J347" s="251">
        <f>H347+I347</f>
        <v>0</v>
      </c>
      <c r="K347" s="308">
        <v>2.7999999999999998E-4</v>
      </c>
      <c r="L347" s="319">
        <f>F347*K347</f>
        <v>9.1524159999999983E-3</v>
      </c>
      <c r="M347" s="206"/>
      <c r="N347" s="207"/>
      <c r="O347" s="206"/>
      <c r="P347" s="207"/>
      <c r="T347" s="205"/>
      <c r="BN347" s="205"/>
      <c r="BO347" s="205"/>
    </row>
    <row r="348" spans="1:67" ht="22.5" x14ac:dyDescent="0.2">
      <c r="A348" s="232">
        <v>65</v>
      </c>
      <c r="B348" s="242" t="s">
        <v>226</v>
      </c>
      <c r="C348" s="269">
        <v>766621111</v>
      </c>
      <c r="D348" s="243" t="s">
        <v>363</v>
      </c>
      <c r="E348" s="234"/>
      <c r="F348" s="234"/>
      <c r="G348" s="299"/>
      <c r="H348" s="300"/>
      <c r="I348" s="300"/>
      <c r="J348" s="300"/>
      <c r="K348" s="300"/>
      <c r="L348" s="316">
        <f>F348*K348</f>
        <v>0</v>
      </c>
      <c r="M348" s="206">
        <v>1.2099999999999999E-3</v>
      </c>
      <c r="N348" s="207">
        <f>F348*M348</f>
        <v>0</v>
      </c>
      <c r="O348" s="206">
        <v>0</v>
      </c>
      <c r="P348" s="207">
        <f>F348*O348</f>
        <v>0</v>
      </c>
      <c r="T348" s="205">
        <v>2</v>
      </c>
      <c r="BN348" s="205">
        <v>1</v>
      </c>
      <c r="BO348" s="205">
        <v>7</v>
      </c>
    </row>
    <row r="349" spans="1:67" x14ac:dyDescent="0.2">
      <c r="A349" s="293"/>
      <c r="B349" s="332"/>
      <c r="C349" s="295" t="s">
        <v>176</v>
      </c>
      <c r="D349" s="338" t="s">
        <v>363</v>
      </c>
      <c r="E349" s="339"/>
      <c r="F349" s="340"/>
      <c r="G349" s="302"/>
      <c r="H349" s="303"/>
      <c r="I349" s="303"/>
      <c r="J349" s="304"/>
      <c r="K349" s="311"/>
      <c r="L349" s="317"/>
      <c r="M349" s="206"/>
      <c r="N349" s="207"/>
      <c r="O349" s="206"/>
      <c r="P349" s="207"/>
    </row>
    <row r="350" spans="1:67" x14ac:dyDescent="0.2">
      <c r="A350" s="293"/>
      <c r="B350" s="332"/>
      <c r="C350" s="295" t="s">
        <v>178</v>
      </c>
      <c r="D350" s="336" t="s">
        <v>238</v>
      </c>
      <c r="E350" s="334"/>
      <c r="F350" s="335"/>
      <c r="G350" s="302"/>
      <c r="H350" s="303"/>
      <c r="I350" s="303"/>
      <c r="J350" s="304"/>
      <c r="K350" s="311"/>
      <c r="L350" s="317"/>
      <c r="M350" s="206"/>
      <c r="N350" s="207"/>
      <c r="O350" s="206"/>
      <c r="P350" s="207"/>
    </row>
    <row r="351" spans="1:67" ht="22.5" x14ac:dyDescent="0.2">
      <c r="A351" s="290"/>
      <c r="B351" s="291"/>
      <c r="C351" s="292"/>
      <c r="D351" s="246" t="s">
        <v>364</v>
      </c>
      <c r="E351" s="244" t="s">
        <v>163</v>
      </c>
      <c r="F351" s="245">
        <f>+(0.6*1.1*4+0.6*1.4*4+1.6*1.4*7+1.4*0.7/2*15+0.6*1.4*4)</f>
        <v>32.39</v>
      </c>
      <c r="G351" s="302"/>
      <c r="H351" s="303"/>
      <c r="I351" s="303"/>
      <c r="J351" s="304"/>
      <c r="K351" s="311"/>
      <c r="L351" s="317"/>
      <c r="M351" s="206"/>
      <c r="N351" s="207"/>
      <c r="O351" s="206"/>
      <c r="P351" s="207"/>
    </row>
    <row r="352" spans="1:67" x14ac:dyDescent="0.2">
      <c r="A352" s="296"/>
      <c r="B352" s="297"/>
      <c r="C352" s="298"/>
      <c r="D352" s="252" t="s">
        <v>159</v>
      </c>
      <c r="E352" s="249" t="s">
        <v>163</v>
      </c>
      <c r="F352" s="250">
        <f>SUM(F351:F351)</f>
        <v>32.39</v>
      </c>
      <c r="G352" s="337">
        <v>0</v>
      </c>
      <c r="H352" s="250"/>
      <c r="I352" s="250">
        <f>+F352*G352</f>
        <v>0</v>
      </c>
      <c r="J352" s="251">
        <f>H352+I352</f>
        <v>0</v>
      </c>
      <c r="K352" s="308">
        <v>2.9229999999999999E-2</v>
      </c>
      <c r="L352" s="319">
        <f>+F352*K352</f>
        <v>0.94675969999999998</v>
      </c>
      <c r="M352" s="206"/>
      <c r="N352" s="207"/>
      <c r="O352" s="206"/>
      <c r="P352" s="207"/>
    </row>
    <row r="353" spans="1:67" ht="22.5" x14ac:dyDescent="0.2">
      <c r="A353" s="232">
        <v>66</v>
      </c>
      <c r="B353" s="242" t="s">
        <v>226</v>
      </c>
      <c r="C353" s="269">
        <v>766621112</v>
      </c>
      <c r="D353" s="243" t="s">
        <v>365</v>
      </c>
      <c r="E353" s="234"/>
      <c r="F353" s="234"/>
      <c r="G353" s="299"/>
      <c r="H353" s="300"/>
      <c r="I353" s="300"/>
      <c r="J353" s="300"/>
      <c r="K353" s="300"/>
      <c r="L353" s="316">
        <f t="shared" ref="L353:L363" si="0">F353*K353</f>
        <v>0</v>
      </c>
      <c r="M353" s="206">
        <v>1.2099999999999999E-3</v>
      </c>
      <c r="N353" s="207">
        <f t="shared" ref="N353:N363" si="1">F353*M353</f>
        <v>0</v>
      </c>
      <c r="O353" s="206">
        <v>0</v>
      </c>
      <c r="P353" s="207">
        <f t="shared" ref="P353:P363" si="2">F353*O353</f>
        <v>0</v>
      </c>
      <c r="T353" s="205">
        <v>2</v>
      </c>
      <c r="BN353" s="205">
        <v>1</v>
      </c>
      <c r="BO353" s="205">
        <v>7</v>
      </c>
    </row>
    <row r="354" spans="1:67" x14ac:dyDescent="0.2">
      <c r="A354" s="293"/>
      <c r="B354" s="332"/>
      <c r="C354" s="295" t="s">
        <v>176</v>
      </c>
      <c r="D354" s="338" t="s">
        <v>365</v>
      </c>
      <c r="E354" s="339"/>
      <c r="F354" s="340"/>
      <c r="G354" s="302"/>
      <c r="H354" s="303"/>
      <c r="I354" s="303"/>
      <c r="J354" s="304"/>
      <c r="K354" s="311"/>
      <c r="L354" s="317"/>
      <c r="M354" s="206"/>
      <c r="N354" s="207"/>
      <c r="O354" s="206"/>
      <c r="P354" s="207"/>
    </row>
    <row r="355" spans="1:67" x14ac:dyDescent="0.2">
      <c r="A355" s="293"/>
      <c r="B355" s="332"/>
      <c r="C355" s="295" t="s">
        <v>178</v>
      </c>
      <c r="D355" s="336" t="s">
        <v>238</v>
      </c>
      <c r="E355" s="334"/>
      <c r="F355" s="335"/>
      <c r="G355" s="302"/>
      <c r="H355" s="303"/>
      <c r="I355" s="303"/>
      <c r="J355" s="304"/>
      <c r="K355" s="311"/>
      <c r="L355" s="317"/>
      <c r="M355" s="206"/>
      <c r="N355" s="207"/>
      <c r="O355" s="206"/>
      <c r="P355" s="207"/>
    </row>
    <row r="356" spans="1:67" ht="22.5" x14ac:dyDescent="0.2">
      <c r="A356" s="290"/>
      <c r="B356" s="291"/>
      <c r="C356" s="292"/>
      <c r="D356" s="246" t="s">
        <v>366</v>
      </c>
      <c r="E356" s="244" t="s">
        <v>163</v>
      </c>
      <c r="F356" s="245">
        <f>+(1.6*2.1*32+1.4*2.1*3+1.6*2.1+1.6*2.1+3.2*1.85*2)</f>
        <v>134.9</v>
      </c>
      <c r="G356" s="302"/>
      <c r="H356" s="303"/>
      <c r="I356" s="303"/>
      <c r="J356" s="304"/>
      <c r="K356" s="311"/>
      <c r="L356" s="317"/>
      <c r="M356" s="206"/>
      <c r="N356" s="207"/>
      <c r="O356" s="206"/>
      <c r="P356" s="207"/>
    </row>
    <row r="357" spans="1:67" x14ac:dyDescent="0.2">
      <c r="A357" s="293"/>
      <c r="B357" s="294"/>
      <c r="C357" s="295"/>
      <c r="D357" s="254" t="s">
        <v>326</v>
      </c>
      <c r="E357" s="244" t="s">
        <v>163</v>
      </c>
      <c r="F357" s="255">
        <f>+(2.15*3*2+2.9*3)</f>
        <v>21.599999999999998</v>
      </c>
      <c r="G357" s="305"/>
      <c r="H357" s="306"/>
      <c r="I357" s="306"/>
      <c r="J357" s="307"/>
      <c r="K357" s="312"/>
      <c r="L357" s="318"/>
      <c r="M357" s="206"/>
      <c r="N357" s="207"/>
      <c r="O357" s="206"/>
      <c r="P357" s="207"/>
    </row>
    <row r="358" spans="1:67" x14ac:dyDescent="0.2">
      <c r="A358" s="296"/>
      <c r="B358" s="297"/>
      <c r="C358" s="298"/>
      <c r="D358" s="252" t="s">
        <v>159</v>
      </c>
      <c r="E358" s="249" t="s">
        <v>163</v>
      </c>
      <c r="F358" s="250">
        <f>SUM(F356:F357)</f>
        <v>156.5</v>
      </c>
      <c r="G358" s="337">
        <v>0</v>
      </c>
      <c r="H358" s="250"/>
      <c r="I358" s="250">
        <f>+F358*G358</f>
        <v>0</v>
      </c>
      <c r="J358" s="251">
        <f>H358+I358</f>
        <v>0</v>
      </c>
      <c r="K358" s="308">
        <v>2.9229999999999999E-2</v>
      </c>
      <c r="L358" s="319">
        <f>+F358*K358</f>
        <v>4.5744949999999998</v>
      </c>
      <c r="M358" s="206"/>
      <c r="N358" s="207"/>
      <c r="O358" s="206"/>
      <c r="P358" s="207"/>
    </row>
    <row r="359" spans="1:67" x14ac:dyDescent="0.2">
      <c r="A359" s="423">
        <v>67</v>
      </c>
      <c r="B359" s="424" t="s">
        <v>228</v>
      </c>
      <c r="C359" s="425" t="s">
        <v>367</v>
      </c>
      <c r="D359" s="426" t="s">
        <v>368</v>
      </c>
      <c r="E359" s="427" t="s">
        <v>91</v>
      </c>
      <c r="F359" s="428">
        <v>32</v>
      </c>
      <c r="G359" s="363">
        <v>0</v>
      </c>
      <c r="H359" s="240">
        <f t="shared" ref="H359:H368" si="3">+F359*G359</f>
        <v>0</v>
      </c>
      <c r="I359" s="240"/>
      <c r="J359" s="241">
        <f t="shared" ref="J359:J368" si="4">H359+I359</f>
        <v>0</v>
      </c>
      <c r="K359" s="313"/>
      <c r="L359" s="320">
        <f t="shared" si="0"/>
        <v>0</v>
      </c>
      <c r="M359" s="206">
        <v>0.05</v>
      </c>
      <c r="N359" s="207">
        <f t="shared" si="1"/>
        <v>1.6</v>
      </c>
      <c r="O359" s="206"/>
      <c r="P359" s="207">
        <f t="shared" si="2"/>
        <v>0</v>
      </c>
      <c r="T359" s="205">
        <v>2</v>
      </c>
      <c r="BN359" s="205">
        <v>12</v>
      </c>
      <c r="BO359" s="205">
        <v>1</v>
      </c>
    </row>
    <row r="360" spans="1:67" x14ac:dyDescent="0.2">
      <c r="A360" s="236">
        <v>68</v>
      </c>
      <c r="B360" s="237" t="s">
        <v>228</v>
      </c>
      <c r="C360" s="271" t="s">
        <v>369</v>
      </c>
      <c r="D360" s="238" t="s">
        <v>378</v>
      </c>
      <c r="E360" s="239" t="s">
        <v>91</v>
      </c>
      <c r="F360" s="240">
        <v>3</v>
      </c>
      <c r="G360" s="363">
        <v>0</v>
      </c>
      <c r="H360" s="240">
        <f t="shared" si="3"/>
        <v>0</v>
      </c>
      <c r="I360" s="240"/>
      <c r="J360" s="241">
        <f t="shared" si="4"/>
        <v>0</v>
      </c>
      <c r="K360" s="313"/>
      <c r="L360" s="320">
        <f t="shared" si="0"/>
        <v>0</v>
      </c>
      <c r="M360" s="206">
        <v>0.05</v>
      </c>
      <c r="N360" s="207">
        <f t="shared" si="1"/>
        <v>0.15000000000000002</v>
      </c>
      <c r="O360" s="206"/>
      <c r="P360" s="207">
        <f t="shared" si="2"/>
        <v>0</v>
      </c>
      <c r="T360" s="205">
        <v>2</v>
      </c>
      <c r="BN360" s="205">
        <v>12</v>
      </c>
      <c r="BO360" s="205">
        <v>1</v>
      </c>
    </row>
    <row r="361" spans="1:67" x14ac:dyDescent="0.2">
      <c r="A361" s="236">
        <v>69</v>
      </c>
      <c r="B361" s="237" t="s">
        <v>228</v>
      </c>
      <c r="C361" s="271" t="s">
        <v>370</v>
      </c>
      <c r="D361" s="238" t="s">
        <v>379</v>
      </c>
      <c r="E361" s="239" t="s">
        <v>91</v>
      </c>
      <c r="F361" s="240">
        <v>4</v>
      </c>
      <c r="G361" s="363">
        <v>0</v>
      </c>
      <c r="H361" s="240">
        <f t="shared" si="3"/>
        <v>0</v>
      </c>
      <c r="I361" s="240"/>
      <c r="J361" s="241">
        <f t="shared" si="4"/>
        <v>0</v>
      </c>
      <c r="K361" s="313"/>
      <c r="L361" s="320">
        <f t="shared" si="0"/>
        <v>0</v>
      </c>
      <c r="M361" s="206">
        <v>0.05</v>
      </c>
      <c r="N361" s="207">
        <f t="shared" si="1"/>
        <v>0.2</v>
      </c>
      <c r="O361" s="206"/>
      <c r="P361" s="207">
        <f t="shared" si="2"/>
        <v>0</v>
      </c>
      <c r="T361" s="205">
        <v>2</v>
      </c>
      <c r="BN361" s="205">
        <v>12</v>
      </c>
      <c r="BO361" s="205">
        <v>1</v>
      </c>
    </row>
    <row r="362" spans="1:67" x14ac:dyDescent="0.2">
      <c r="A362" s="236">
        <v>70</v>
      </c>
      <c r="B362" s="237" t="s">
        <v>228</v>
      </c>
      <c r="C362" s="271" t="s">
        <v>371</v>
      </c>
      <c r="D362" s="238" t="s">
        <v>380</v>
      </c>
      <c r="E362" s="239" t="s">
        <v>91</v>
      </c>
      <c r="F362" s="240">
        <v>4</v>
      </c>
      <c r="G362" s="363">
        <v>0</v>
      </c>
      <c r="H362" s="240">
        <f t="shared" si="3"/>
        <v>0</v>
      </c>
      <c r="I362" s="240"/>
      <c r="J362" s="241">
        <f t="shared" si="4"/>
        <v>0</v>
      </c>
      <c r="K362" s="313"/>
      <c r="L362" s="320">
        <f t="shared" si="0"/>
        <v>0</v>
      </c>
      <c r="M362" s="206">
        <v>0.05</v>
      </c>
      <c r="N362" s="207">
        <f t="shared" si="1"/>
        <v>0.2</v>
      </c>
      <c r="O362" s="206"/>
      <c r="P362" s="207">
        <f t="shared" si="2"/>
        <v>0</v>
      </c>
      <c r="T362" s="205">
        <v>2</v>
      </c>
      <c r="BN362" s="205">
        <v>12</v>
      </c>
      <c r="BO362" s="205">
        <v>1</v>
      </c>
    </row>
    <row r="363" spans="1:67" x14ac:dyDescent="0.2">
      <c r="A363" s="236">
        <v>71</v>
      </c>
      <c r="B363" s="237" t="s">
        <v>228</v>
      </c>
      <c r="C363" s="271" t="s">
        <v>372</v>
      </c>
      <c r="D363" s="238" t="s">
        <v>381</v>
      </c>
      <c r="E363" s="239" t="s">
        <v>91</v>
      </c>
      <c r="F363" s="240">
        <v>7</v>
      </c>
      <c r="G363" s="363">
        <v>0</v>
      </c>
      <c r="H363" s="240">
        <f t="shared" si="3"/>
        <v>0</v>
      </c>
      <c r="I363" s="240"/>
      <c r="J363" s="241">
        <f t="shared" si="4"/>
        <v>0</v>
      </c>
      <c r="K363" s="313"/>
      <c r="L363" s="320">
        <f t="shared" si="0"/>
        <v>0</v>
      </c>
      <c r="M363" s="206">
        <v>0.05</v>
      </c>
      <c r="N363" s="207">
        <f t="shared" si="1"/>
        <v>0.35000000000000003</v>
      </c>
      <c r="O363" s="206"/>
      <c r="P363" s="207">
        <f t="shared" si="2"/>
        <v>0</v>
      </c>
      <c r="T363" s="205">
        <v>2</v>
      </c>
      <c r="BN363" s="205">
        <v>12</v>
      </c>
      <c r="BO363" s="205">
        <v>1</v>
      </c>
    </row>
    <row r="364" spans="1:67" x14ac:dyDescent="0.2">
      <c r="A364" s="236">
        <v>72</v>
      </c>
      <c r="B364" s="237" t="s">
        <v>228</v>
      </c>
      <c r="C364" s="271" t="s">
        <v>373</v>
      </c>
      <c r="D364" s="238" t="s">
        <v>368</v>
      </c>
      <c r="E364" s="239" t="s">
        <v>91</v>
      </c>
      <c r="F364" s="240">
        <v>1</v>
      </c>
      <c r="G364" s="363">
        <v>0</v>
      </c>
      <c r="H364" s="240">
        <f t="shared" si="3"/>
        <v>0</v>
      </c>
      <c r="I364" s="240"/>
      <c r="J364" s="241">
        <f t="shared" si="4"/>
        <v>0</v>
      </c>
      <c r="K364" s="313"/>
      <c r="L364" s="320">
        <f>F364*K364</f>
        <v>0</v>
      </c>
      <c r="M364" s="206">
        <v>0.05</v>
      </c>
      <c r="N364" s="207">
        <f>F364*M364</f>
        <v>0.05</v>
      </c>
      <c r="O364" s="206"/>
      <c r="P364" s="207">
        <f>F364*O364</f>
        <v>0</v>
      </c>
      <c r="T364" s="205">
        <v>2</v>
      </c>
      <c r="BN364" s="205">
        <v>12</v>
      </c>
      <c r="BO364" s="205">
        <v>1</v>
      </c>
    </row>
    <row r="365" spans="1:67" x14ac:dyDescent="0.2">
      <c r="A365" s="236">
        <v>73</v>
      </c>
      <c r="B365" s="237" t="s">
        <v>228</v>
      </c>
      <c r="C365" s="271" t="s">
        <v>374</v>
      </c>
      <c r="D365" s="238" t="s">
        <v>368</v>
      </c>
      <c r="E365" s="239" t="s">
        <v>91</v>
      </c>
      <c r="F365" s="240">
        <v>1</v>
      </c>
      <c r="G365" s="363">
        <v>0</v>
      </c>
      <c r="H365" s="240">
        <f t="shared" si="3"/>
        <v>0</v>
      </c>
      <c r="I365" s="240"/>
      <c r="J365" s="241">
        <f t="shared" si="4"/>
        <v>0</v>
      </c>
      <c r="K365" s="313"/>
      <c r="L365" s="320">
        <f>F365*K365</f>
        <v>0</v>
      </c>
      <c r="M365" s="206">
        <v>0.05</v>
      </c>
      <c r="N365" s="207">
        <f>F365*M365</f>
        <v>0.05</v>
      </c>
      <c r="O365" s="206"/>
      <c r="P365" s="207">
        <f>F365*O365</f>
        <v>0</v>
      </c>
      <c r="T365" s="205">
        <v>2</v>
      </c>
      <c r="BN365" s="205">
        <v>12</v>
      </c>
      <c r="BO365" s="205">
        <v>1</v>
      </c>
    </row>
    <row r="366" spans="1:67" x14ac:dyDescent="0.2">
      <c r="A366" s="236">
        <v>74</v>
      </c>
      <c r="B366" s="237" t="s">
        <v>228</v>
      </c>
      <c r="C366" s="271" t="s">
        <v>375</v>
      </c>
      <c r="D366" s="238" t="s">
        <v>382</v>
      </c>
      <c r="E366" s="239" t="s">
        <v>91</v>
      </c>
      <c r="F366" s="240">
        <v>2</v>
      </c>
      <c r="G366" s="363">
        <v>0</v>
      </c>
      <c r="H366" s="240">
        <f t="shared" si="3"/>
        <v>0</v>
      </c>
      <c r="I366" s="240"/>
      <c r="J366" s="241">
        <f t="shared" si="4"/>
        <v>0</v>
      </c>
      <c r="K366" s="313"/>
      <c r="L366" s="320">
        <f>F366*K366</f>
        <v>0</v>
      </c>
      <c r="M366" s="206">
        <v>0.05</v>
      </c>
      <c r="N366" s="207">
        <f>F366*M366</f>
        <v>0.1</v>
      </c>
      <c r="O366" s="206"/>
      <c r="P366" s="207">
        <f>F366*O366</f>
        <v>0</v>
      </c>
      <c r="T366" s="205">
        <v>2</v>
      </c>
      <c r="BN366" s="205">
        <v>12</v>
      </c>
      <c r="BO366" s="205">
        <v>1</v>
      </c>
    </row>
    <row r="367" spans="1:67" x14ac:dyDescent="0.2">
      <c r="A367" s="423">
        <v>75</v>
      </c>
      <c r="B367" s="424" t="s">
        <v>228</v>
      </c>
      <c r="C367" s="425" t="s">
        <v>376</v>
      </c>
      <c r="D367" s="426" t="s">
        <v>383</v>
      </c>
      <c r="E367" s="427" t="s">
        <v>91</v>
      </c>
      <c r="F367" s="428">
        <v>15</v>
      </c>
      <c r="G367" s="363">
        <v>0</v>
      </c>
      <c r="H367" s="240">
        <f t="shared" si="3"/>
        <v>0</v>
      </c>
      <c r="I367" s="240"/>
      <c r="J367" s="241">
        <f t="shared" si="4"/>
        <v>0</v>
      </c>
      <c r="K367" s="313"/>
      <c r="L367" s="320">
        <f>F367*K367</f>
        <v>0</v>
      </c>
      <c r="M367" s="206">
        <v>0.05</v>
      </c>
      <c r="N367" s="207">
        <f>F367*M367</f>
        <v>0.75</v>
      </c>
      <c r="O367" s="206"/>
      <c r="P367" s="207">
        <f>F367*O367</f>
        <v>0</v>
      </c>
      <c r="T367" s="205">
        <v>2</v>
      </c>
      <c r="BN367" s="205">
        <v>12</v>
      </c>
      <c r="BO367" s="205">
        <v>1</v>
      </c>
    </row>
    <row r="368" spans="1:67" x14ac:dyDescent="0.2">
      <c r="A368" s="423">
        <v>76</v>
      </c>
      <c r="B368" s="424" t="s">
        <v>228</v>
      </c>
      <c r="C368" s="425" t="s">
        <v>377</v>
      </c>
      <c r="D368" s="426" t="s">
        <v>380</v>
      </c>
      <c r="E368" s="427" t="s">
        <v>91</v>
      </c>
      <c r="F368" s="428">
        <v>4</v>
      </c>
      <c r="G368" s="363">
        <v>0</v>
      </c>
      <c r="H368" s="240">
        <f t="shared" si="3"/>
        <v>0</v>
      </c>
      <c r="I368" s="240"/>
      <c r="J368" s="241">
        <f t="shared" si="4"/>
        <v>0</v>
      </c>
      <c r="K368" s="313"/>
      <c r="L368" s="320">
        <f>F368*K368</f>
        <v>0</v>
      </c>
      <c r="M368" s="206">
        <v>0.05</v>
      </c>
      <c r="N368" s="207">
        <f>F368*M368</f>
        <v>0.2</v>
      </c>
      <c r="O368" s="206"/>
      <c r="P368" s="207">
        <f>F368*O368</f>
        <v>0</v>
      </c>
      <c r="T368" s="205">
        <v>2</v>
      </c>
      <c r="BN368" s="205">
        <v>12</v>
      </c>
      <c r="BO368" s="205">
        <v>1</v>
      </c>
    </row>
    <row r="369" spans="1:67" x14ac:dyDescent="0.2">
      <c r="A369" s="293"/>
      <c r="B369" s="332"/>
      <c r="C369" s="295" t="s">
        <v>178</v>
      </c>
      <c r="D369" s="336" t="s">
        <v>231</v>
      </c>
      <c r="E369" s="334"/>
      <c r="F369" s="335"/>
      <c r="G369" s="302"/>
      <c r="H369" s="303"/>
      <c r="I369" s="303"/>
      <c r="J369" s="304"/>
      <c r="K369" s="311"/>
      <c r="L369" s="317"/>
      <c r="M369" s="206"/>
      <c r="N369" s="207"/>
      <c r="O369" s="206"/>
      <c r="P369" s="207"/>
    </row>
    <row r="370" spans="1:67" ht="22.5" x14ac:dyDescent="0.2">
      <c r="A370" s="423">
        <v>77</v>
      </c>
      <c r="B370" s="424" t="s">
        <v>228</v>
      </c>
      <c r="C370" s="425" t="s">
        <v>428</v>
      </c>
      <c r="D370" s="426" t="s">
        <v>429</v>
      </c>
      <c r="E370" s="427" t="s">
        <v>91</v>
      </c>
      <c r="F370" s="428">
        <v>2</v>
      </c>
      <c r="G370" s="363">
        <v>0</v>
      </c>
      <c r="H370" s="240">
        <f>+F370*G370</f>
        <v>0</v>
      </c>
      <c r="I370" s="240"/>
      <c r="J370" s="241">
        <f>H370+I370</f>
        <v>0</v>
      </c>
      <c r="K370" s="313"/>
      <c r="L370" s="320">
        <f>F370*K370</f>
        <v>0</v>
      </c>
      <c r="M370" s="206">
        <v>1</v>
      </c>
      <c r="N370" s="207">
        <f>F370*M370</f>
        <v>2</v>
      </c>
      <c r="O370" s="206"/>
      <c r="P370" s="207">
        <f>F370*O370</f>
        <v>0</v>
      </c>
      <c r="T370" s="205">
        <v>2</v>
      </c>
      <c r="BN370" s="205">
        <v>12</v>
      </c>
      <c r="BO370" s="205">
        <v>1</v>
      </c>
    </row>
    <row r="371" spans="1:67" x14ac:dyDescent="0.2">
      <c r="A371" s="521">
        <v>78</v>
      </c>
      <c r="B371" s="522" t="s">
        <v>430</v>
      </c>
      <c r="C371" s="523"/>
      <c r="D371" s="523"/>
      <c r="E371" s="523"/>
      <c r="F371" s="524"/>
      <c r="G371" s="459">
        <v>0</v>
      </c>
      <c r="H371" s="240">
        <f>+F371*G371</f>
        <v>0</v>
      </c>
      <c r="I371" s="240"/>
      <c r="J371" s="241">
        <f>H371+I371</f>
        <v>0</v>
      </c>
      <c r="K371" s="313"/>
      <c r="L371" s="320">
        <f>F371*K371</f>
        <v>0</v>
      </c>
      <c r="M371" s="206">
        <v>1</v>
      </c>
      <c r="N371" s="207">
        <f>F371*M371</f>
        <v>0</v>
      </c>
      <c r="O371" s="206"/>
      <c r="P371" s="207">
        <f>F371*O371</f>
        <v>0</v>
      </c>
      <c r="T371" s="205">
        <v>2</v>
      </c>
      <c r="BN371" s="205">
        <v>12</v>
      </c>
      <c r="BO371" s="205">
        <v>1</v>
      </c>
    </row>
    <row r="372" spans="1:67" x14ac:dyDescent="0.2">
      <c r="A372" s="423">
        <v>79</v>
      </c>
      <c r="B372" s="424" t="s">
        <v>228</v>
      </c>
      <c r="C372" s="425" t="s">
        <v>431</v>
      </c>
      <c r="D372" s="426" t="s">
        <v>385</v>
      </c>
      <c r="E372" s="427" t="s">
        <v>91</v>
      </c>
      <c r="F372" s="428">
        <v>1</v>
      </c>
      <c r="G372" s="363">
        <v>0</v>
      </c>
      <c r="H372" s="240">
        <f>+F372*G372</f>
        <v>0</v>
      </c>
      <c r="I372" s="240"/>
      <c r="J372" s="241">
        <f>H372+I372</f>
        <v>0</v>
      </c>
      <c r="K372" s="313"/>
      <c r="L372" s="320">
        <f>F372*K372</f>
        <v>0</v>
      </c>
      <c r="M372" s="206">
        <v>1</v>
      </c>
      <c r="N372" s="207">
        <f>F372*M372</f>
        <v>1</v>
      </c>
      <c r="O372" s="206"/>
      <c r="P372" s="207">
        <f>F372*O372</f>
        <v>0</v>
      </c>
      <c r="T372" s="205">
        <v>2</v>
      </c>
      <c r="BN372" s="205">
        <v>12</v>
      </c>
      <c r="BO372" s="205">
        <v>1</v>
      </c>
    </row>
    <row r="373" spans="1:67" x14ac:dyDescent="0.2">
      <c r="A373" s="293"/>
      <c r="B373" s="332"/>
      <c r="C373" s="295" t="s">
        <v>178</v>
      </c>
      <c r="D373" s="336" t="s">
        <v>384</v>
      </c>
      <c r="E373" s="334"/>
      <c r="F373" s="335"/>
      <c r="G373" s="302"/>
      <c r="H373" s="303"/>
      <c r="I373" s="303"/>
      <c r="J373" s="304"/>
      <c r="K373" s="311"/>
      <c r="L373" s="317"/>
      <c r="M373" s="206"/>
      <c r="N373" s="207"/>
      <c r="O373" s="206"/>
      <c r="P373" s="207"/>
    </row>
    <row r="374" spans="1:67" x14ac:dyDescent="0.2">
      <c r="A374" s="429">
        <v>80</v>
      </c>
      <c r="B374" s="430" t="s">
        <v>226</v>
      </c>
      <c r="C374" s="431">
        <v>766694122</v>
      </c>
      <c r="D374" s="432" t="s">
        <v>233</v>
      </c>
      <c r="E374" s="433"/>
      <c r="F374" s="433"/>
      <c r="G374" s="323"/>
      <c r="H374" s="301"/>
      <c r="I374" s="301"/>
      <c r="J374" s="301"/>
      <c r="K374" s="310"/>
      <c r="L374" s="316"/>
      <c r="M374" s="206"/>
      <c r="N374" s="207"/>
      <c r="O374" s="206"/>
      <c r="P374" s="207"/>
      <c r="T374" s="205"/>
      <c r="BN374" s="205"/>
      <c r="BO374" s="205"/>
    </row>
    <row r="375" spans="1:67" ht="12.75" customHeight="1" x14ac:dyDescent="0.2">
      <c r="A375" s="434"/>
      <c r="B375" s="435"/>
      <c r="C375" s="436" t="s">
        <v>176</v>
      </c>
      <c r="D375" s="437" t="s">
        <v>234</v>
      </c>
      <c r="E375" s="438"/>
      <c r="F375" s="439"/>
      <c r="G375" s="302"/>
      <c r="H375" s="303"/>
      <c r="I375" s="303"/>
      <c r="J375" s="304"/>
      <c r="K375" s="311"/>
      <c r="L375" s="317"/>
      <c r="M375" s="206"/>
      <c r="N375" s="207"/>
      <c r="O375" s="206"/>
      <c r="P375" s="207"/>
    </row>
    <row r="376" spans="1:67" x14ac:dyDescent="0.2">
      <c r="A376" s="440"/>
      <c r="B376" s="441"/>
      <c r="C376" s="442" t="s">
        <v>178</v>
      </c>
      <c r="D376" s="443" t="s">
        <v>232</v>
      </c>
      <c r="E376" s="444"/>
      <c r="F376" s="445"/>
      <c r="G376" s="302"/>
      <c r="H376" s="303"/>
      <c r="I376" s="303"/>
      <c r="J376" s="304"/>
      <c r="K376" s="311"/>
      <c r="L376" s="317"/>
      <c r="M376" s="206"/>
      <c r="N376" s="207"/>
      <c r="O376" s="206"/>
      <c r="P376" s="207"/>
    </row>
    <row r="377" spans="1:67" x14ac:dyDescent="0.2">
      <c r="A377" s="446"/>
      <c r="B377" s="447"/>
      <c r="C377" s="448"/>
      <c r="D377" s="449" t="s">
        <v>432</v>
      </c>
      <c r="E377" s="450"/>
      <c r="F377" s="451"/>
      <c r="G377" s="305"/>
      <c r="H377" s="306"/>
      <c r="I377" s="306"/>
      <c r="J377" s="307"/>
      <c r="K377" s="312"/>
      <c r="L377" s="318"/>
      <c r="M377" s="206"/>
      <c r="N377" s="207"/>
      <c r="O377" s="206"/>
      <c r="P377" s="207"/>
    </row>
    <row r="378" spans="1:67" x14ac:dyDescent="0.2">
      <c r="A378" s="452"/>
      <c r="B378" s="453"/>
      <c r="C378" s="454"/>
      <c r="D378" s="455" t="s">
        <v>227</v>
      </c>
      <c r="E378" s="456" t="s">
        <v>235</v>
      </c>
      <c r="F378" s="457">
        <v>73</v>
      </c>
      <c r="G378" s="337">
        <v>0</v>
      </c>
      <c r="H378" s="250"/>
      <c r="I378" s="250">
        <f>+F378*G378</f>
        <v>0</v>
      </c>
      <c r="J378" s="251">
        <f>H378+I378</f>
        <v>0</v>
      </c>
      <c r="K378" s="308">
        <v>0</v>
      </c>
      <c r="L378" s="319">
        <f>+F378*K378</f>
        <v>0</v>
      </c>
      <c r="M378" s="206"/>
      <c r="N378" s="207"/>
      <c r="O378" s="206"/>
      <c r="P378" s="207"/>
      <c r="T378" s="205"/>
      <c r="BN378" s="205"/>
      <c r="BO378" s="205"/>
    </row>
    <row r="379" spans="1:67" x14ac:dyDescent="0.2">
      <c r="A379" s="423">
        <v>88</v>
      </c>
      <c r="B379" s="424" t="s">
        <v>228</v>
      </c>
      <c r="C379" s="458"/>
      <c r="D379" s="426" t="s">
        <v>433</v>
      </c>
      <c r="E379" s="427" t="s">
        <v>90</v>
      </c>
      <c r="F379" s="428">
        <v>104.4</v>
      </c>
      <c r="G379" s="363">
        <v>0</v>
      </c>
      <c r="H379" s="240">
        <f>+F379*G379</f>
        <v>0</v>
      </c>
      <c r="I379" s="240"/>
      <c r="J379" s="241">
        <f>H379+I379</f>
        <v>0</v>
      </c>
      <c r="K379" s="313"/>
      <c r="L379" s="320">
        <f>F379*K379</f>
        <v>0</v>
      </c>
      <c r="M379" s="206">
        <v>0</v>
      </c>
      <c r="N379" s="207">
        <f>F379*M379</f>
        <v>0</v>
      </c>
      <c r="O379" s="206">
        <v>0</v>
      </c>
      <c r="P379" s="207">
        <f>F379*O379</f>
        <v>0</v>
      </c>
      <c r="T379" s="205">
        <v>2</v>
      </c>
      <c r="BN379" s="205">
        <v>1</v>
      </c>
      <c r="BO379" s="205">
        <v>1</v>
      </c>
    </row>
    <row r="380" spans="1:67" x14ac:dyDescent="0.2">
      <c r="A380" s="521">
        <v>89</v>
      </c>
      <c r="B380" s="522" t="s">
        <v>430</v>
      </c>
      <c r="C380" s="523"/>
      <c r="D380" s="523"/>
      <c r="E380" s="523"/>
      <c r="F380" s="524"/>
      <c r="G380" s="459">
        <v>0</v>
      </c>
      <c r="H380" s="240">
        <f>+F380*G380</f>
        <v>0</v>
      </c>
      <c r="I380" s="240"/>
      <c r="J380" s="241">
        <f>H380+I380</f>
        <v>0</v>
      </c>
      <c r="K380" s="313"/>
      <c r="L380" s="320">
        <f>F380*K380</f>
        <v>0</v>
      </c>
      <c r="M380" s="206">
        <v>0</v>
      </c>
      <c r="N380" s="207">
        <f>F380*M380</f>
        <v>0</v>
      </c>
      <c r="O380" s="206">
        <v>0</v>
      </c>
      <c r="P380" s="207">
        <f>F380*O380</f>
        <v>0</v>
      </c>
      <c r="T380" s="205">
        <v>2</v>
      </c>
      <c r="BN380" s="205">
        <v>1</v>
      </c>
      <c r="BO380" s="205">
        <v>1</v>
      </c>
    </row>
    <row r="381" spans="1:67" x14ac:dyDescent="0.2">
      <c r="A381" s="521">
        <v>90</v>
      </c>
      <c r="B381" s="522" t="s">
        <v>430</v>
      </c>
      <c r="C381" s="523"/>
      <c r="D381" s="523"/>
      <c r="E381" s="523"/>
      <c r="F381" s="524"/>
      <c r="G381" s="459">
        <v>0</v>
      </c>
      <c r="H381" s="240">
        <f>+F381*G381</f>
        <v>0</v>
      </c>
      <c r="I381" s="240"/>
      <c r="J381" s="241">
        <f>H381+I381</f>
        <v>0</v>
      </c>
      <c r="K381" s="313"/>
      <c r="L381" s="320">
        <f>F381*K381</f>
        <v>0</v>
      </c>
      <c r="M381" s="206">
        <v>3.959E-2</v>
      </c>
      <c r="N381" s="207">
        <f>F381*M381</f>
        <v>0</v>
      </c>
      <c r="O381" s="206">
        <v>0</v>
      </c>
      <c r="P381" s="207">
        <f>F381*O381</f>
        <v>0</v>
      </c>
      <c r="T381" s="205">
        <v>2</v>
      </c>
      <c r="BN381" s="205">
        <v>1</v>
      </c>
      <c r="BO381" s="205">
        <v>1</v>
      </c>
    </row>
    <row r="382" spans="1:67" x14ac:dyDescent="0.2">
      <c r="A382" s="293"/>
      <c r="B382" s="332"/>
      <c r="C382" s="295" t="s">
        <v>178</v>
      </c>
      <c r="D382" s="336" t="s">
        <v>232</v>
      </c>
      <c r="E382" s="334"/>
      <c r="F382" s="335"/>
      <c r="G382" s="302"/>
      <c r="H382" s="303"/>
      <c r="I382" s="303"/>
      <c r="J382" s="304"/>
      <c r="K382" s="311"/>
      <c r="L382" s="317"/>
      <c r="M382" s="206"/>
      <c r="N382" s="207"/>
      <c r="O382" s="206"/>
      <c r="P382" s="207"/>
    </row>
    <row r="383" spans="1:67" x14ac:dyDescent="0.2">
      <c r="A383" s="232">
        <v>91</v>
      </c>
      <c r="B383" s="242" t="s">
        <v>226</v>
      </c>
      <c r="C383" s="269">
        <v>998766102</v>
      </c>
      <c r="D383" s="243" t="s">
        <v>236</v>
      </c>
      <c r="E383" s="233"/>
      <c r="F383" s="234"/>
      <c r="G383" s="299"/>
      <c r="H383" s="300"/>
      <c r="I383" s="300">
        <f>+SUM(J353:J368)*F383/100</f>
        <v>0</v>
      </c>
      <c r="J383" s="301">
        <f>H383+I383</f>
        <v>0</v>
      </c>
      <c r="K383" s="310"/>
      <c r="L383" s="316">
        <f>F383*K383</f>
        <v>0</v>
      </c>
      <c r="M383" s="206">
        <v>0</v>
      </c>
      <c r="N383" s="207">
        <f>F383*M383</f>
        <v>0</v>
      </c>
      <c r="O383" s="206"/>
      <c r="P383" s="207">
        <f>F383*O383</f>
        <v>0</v>
      </c>
      <c r="T383" s="205">
        <v>2</v>
      </c>
      <c r="BN383" s="205">
        <v>7</v>
      </c>
      <c r="BO383" s="205">
        <v>1001</v>
      </c>
    </row>
    <row r="384" spans="1:67" ht="12.75" customHeight="1" x14ac:dyDescent="0.2">
      <c r="A384" s="293"/>
      <c r="B384" s="332"/>
      <c r="C384" s="295" t="s">
        <v>176</v>
      </c>
      <c r="D384" s="356" t="s">
        <v>236</v>
      </c>
      <c r="E384" s="357"/>
      <c r="F384" s="371"/>
      <c r="G384" s="305"/>
      <c r="H384" s="306"/>
      <c r="I384" s="306"/>
      <c r="J384" s="307"/>
      <c r="K384" s="312"/>
      <c r="L384" s="318"/>
      <c r="M384" s="206"/>
      <c r="N384" s="207"/>
      <c r="O384" s="206"/>
      <c r="P384" s="207"/>
    </row>
    <row r="385" spans="1:67" x14ac:dyDescent="0.2">
      <c r="A385" s="296"/>
      <c r="B385" s="297"/>
      <c r="C385" s="298"/>
      <c r="D385" s="252" t="s">
        <v>237</v>
      </c>
      <c r="E385" s="249" t="s">
        <v>120</v>
      </c>
      <c r="F385" s="330">
        <f>+SUM(L358:L381)</f>
        <v>4.5744949999999998</v>
      </c>
      <c r="G385" s="337">
        <v>0</v>
      </c>
      <c r="H385" s="250"/>
      <c r="I385" s="250">
        <f>+F385*G385</f>
        <v>0</v>
      </c>
      <c r="J385" s="251">
        <f>H385+I385</f>
        <v>0</v>
      </c>
      <c r="K385" s="308">
        <v>0</v>
      </c>
      <c r="L385" s="319">
        <f>+F385*K385</f>
        <v>0</v>
      </c>
      <c r="M385" s="206"/>
      <c r="N385" s="207"/>
      <c r="O385" s="206"/>
      <c r="P385" s="207"/>
      <c r="T385" s="205"/>
      <c r="BN385" s="205"/>
      <c r="BO385" s="205"/>
    </row>
    <row r="386" spans="1:67" ht="13.5" thickBot="1" x14ac:dyDescent="0.25">
      <c r="A386" s="256"/>
      <c r="B386" s="257"/>
      <c r="C386" s="272" t="s">
        <v>87</v>
      </c>
      <c r="D386" s="258" t="s">
        <v>137</v>
      </c>
      <c r="E386" s="259"/>
      <c r="F386" s="260"/>
      <c r="G386" s="260"/>
      <c r="H386" s="325">
        <f>SUM(H343:H385)</f>
        <v>0</v>
      </c>
      <c r="I386" s="325">
        <f>SUM(I343:I385)</f>
        <v>0</v>
      </c>
      <c r="J386" s="261">
        <f>SUM(J343:J385)</f>
        <v>0</v>
      </c>
      <c r="K386" s="314"/>
      <c r="L386" s="321">
        <f>SUM(L342:L381)</f>
        <v>5.5304071160000001</v>
      </c>
      <c r="M386" s="209"/>
      <c r="N386" s="210">
        <f>SUM(N342:N381)</f>
        <v>6.65</v>
      </c>
      <c r="O386" s="209"/>
      <c r="P386" s="210">
        <f>SUM(P342:P381)</f>
        <v>0</v>
      </c>
      <c r="T386" s="205">
        <v>4</v>
      </c>
    </row>
    <row r="387" spans="1:67" x14ac:dyDescent="0.2">
      <c r="A387" s="200" t="s">
        <v>86</v>
      </c>
      <c r="B387" s="226"/>
      <c r="C387" s="268">
        <v>767</v>
      </c>
      <c r="D387" s="262" t="s">
        <v>138</v>
      </c>
      <c r="E387" s="263"/>
      <c r="F387" s="264"/>
      <c r="G387" s="264"/>
      <c r="H387" s="264"/>
      <c r="I387" s="264"/>
      <c r="J387" s="265"/>
      <c r="K387" s="309"/>
      <c r="L387" s="309"/>
      <c r="M387" s="201"/>
      <c r="N387" s="202"/>
      <c r="O387" s="203"/>
      <c r="P387" s="204"/>
      <c r="T387" s="205">
        <v>1</v>
      </c>
    </row>
    <row r="388" spans="1:67" x14ac:dyDescent="0.2">
      <c r="A388" s="396">
        <v>92</v>
      </c>
      <c r="B388" s="242" t="s">
        <v>226</v>
      </c>
      <c r="C388" s="269">
        <v>767995103</v>
      </c>
      <c r="D388" s="354" t="s">
        <v>386</v>
      </c>
      <c r="E388" s="355">
        <v>0</v>
      </c>
      <c r="F388" s="355">
        <v>0</v>
      </c>
      <c r="G388" s="299">
        <v>0</v>
      </c>
      <c r="H388" s="300">
        <v>0</v>
      </c>
      <c r="I388" s="300">
        <v>0</v>
      </c>
      <c r="J388" s="300">
        <v>0</v>
      </c>
      <c r="K388" s="310"/>
      <c r="L388" s="316">
        <f>F388*K388</f>
        <v>0</v>
      </c>
      <c r="M388" s="206">
        <v>7.2300000000000003E-2</v>
      </c>
      <c r="N388" s="207">
        <f>F388*M388</f>
        <v>0</v>
      </c>
      <c r="O388" s="206">
        <v>0</v>
      </c>
      <c r="P388" s="207">
        <f>F388*O388</f>
        <v>0</v>
      </c>
      <c r="T388" s="205">
        <v>2</v>
      </c>
      <c r="BN388" s="205">
        <v>1</v>
      </c>
      <c r="BO388" s="205">
        <v>0</v>
      </c>
    </row>
    <row r="389" spans="1:67" ht="12.75" customHeight="1" x14ac:dyDescent="0.2">
      <c r="A389" s="293"/>
      <c r="B389" s="332"/>
      <c r="C389" s="295" t="s">
        <v>176</v>
      </c>
      <c r="D389" s="246" t="s">
        <v>387</v>
      </c>
      <c r="E389" s="343"/>
      <c r="F389" s="344"/>
      <c r="G389" s="302"/>
      <c r="H389" s="303"/>
      <c r="I389" s="303"/>
      <c r="J389" s="304"/>
      <c r="K389" s="311"/>
      <c r="L389" s="317"/>
      <c r="M389" s="206"/>
      <c r="N389" s="207"/>
      <c r="O389" s="206"/>
      <c r="P389" s="207"/>
    </row>
    <row r="390" spans="1:67" x14ac:dyDescent="0.2">
      <c r="A390" s="351"/>
      <c r="B390" s="352"/>
      <c r="C390" s="353" t="s">
        <v>178</v>
      </c>
      <c r="D390" s="338" t="s">
        <v>388</v>
      </c>
      <c r="E390" s="339"/>
      <c r="F390" s="340"/>
      <c r="G390" s="302"/>
      <c r="H390" s="303"/>
      <c r="I390" s="303"/>
      <c r="J390" s="304"/>
      <c r="K390" s="311"/>
      <c r="L390" s="317"/>
      <c r="M390" s="206"/>
      <c r="N390" s="207"/>
      <c r="O390" s="206"/>
      <c r="P390" s="207"/>
    </row>
    <row r="391" spans="1:67" ht="22.5" x14ac:dyDescent="0.2">
      <c r="A391" s="293"/>
      <c r="B391" s="294"/>
      <c r="C391" s="295"/>
      <c r="D391" s="254" t="s">
        <v>389</v>
      </c>
      <c r="E391" s="244" t="s">
        <v>390</v>
      </c>
      <c r="F391" s="255">
        <v>100</v>
      </c>
      <c r="G391" s="305"/>
      <c r="H391" s="306"/>
      <c r="I391" s="306"/>
      <c r="J391" s="307"/>
      <c r="K391" s="312"/>
      <c r="L391" s="318"/>
      <c r="M391" s="206"/>
      <c r="N391" s="207"/>
      <c r="O391" s="206"/>
      <c r="P391" s="207"/>
    </row>
    <row r="392" spans="1:67" x14ac:dyDescent="0.2">
      <c r="A392" s="296"/>
      <c r="B392" s="297"/>
      <c r="C392" s="298"/>
      <c r="D392" s="252" t="s">
        <v>159</v>
      </c>
      <c r="E392" s="249" t="s">
        <v>390</v>
      </c>
      <c r="F392" s="250">
        <f>SUM(F390:F391)</f>
        <v>100</v>
      </c>
      <c r="G392" s="337">
        <v>0</v>
      </c>
      <c r="H392" s="250"/>
      <c r="I392" s="250">
        <f>+F392*G392</f>
        <v>0</v>
      </c>
      <c r="J392" s="251">
        <f>H392+I392</f>
        <v>0</v>
      </c>
      <c r="K392" s="308">
        <v>1E-3</v>
      </c>
      <c r="L392" s="319">
        <f>+F392*K392</f>
        <v>0.1</v>
      </c>
      <c r="M392" s="206"/>
      <c r="N392" s="207"/>
      <c r="O392" s="206"/>
      <c r="P392" s="207"/>
    </row>
    <row r="393" spans="1:67" x14ac:dyDescent="0.2">
      <c r="A393" s="232">
        <v>93</v>
      </c>
      <c r="B393" s="242" t="s">
        <v>226</v>
      </c>
      <c r="C393" s="269">
        <v>998767101</v>
      </c>
      <c r="D393" s="243" t="s">
        <v>140</v>
      </c>
      <c r="E393" s="233"/>
      <c r="F393" s="234"/>
      <c r="G393" s="299"/>
      <c r="H393" s="300"/>
      <c r="I393" s="300">
        <f>+SUM(J388:J392)*F393/100</f>
        <v>0</v>
      </c>
      <c r="J393" s="301">
        <f>H393+I393</f>
        <v>0</v>
      </c>
      <c r="K393" s="310"/>
      <c r="L393" s="316">
        <f>F393*K393</f>
        <v>0</v>
      </c>
      <c r="M393" s="206">
        <v>0</v>
      </c>
      <c r="N393" s="207">
        <f>F393*M393</f>
        <v>0</v>
      </c>
      <c r="O393" s="206"/>
      <c r="P393" s="207">
        <f>F393*O393</f>
        <v>0</v>
      </c>
      <c r="T393" s="205">
        <v>2</v>
      </c>
      <c r="BN393" s="205">
        <v>7</v>
      </c>
      <c r="BO393" s="205">
        <v>1001</v>
      </c>
    </row>
    <row r="394" spans="1:67" ht="12.75" customHeight="1" x14ac:dyDescent="0.2">
      <c r="A394" s="293"/>
      <c r="B394" s="332"/>
      <c r="C394" s="295" t="s">
        <v>176</v>
      </c>
      <c r="D394" s="356" t="s">
        <v>140</v>
      </c>
      <c r="E394" s="357"/>
      <c r="F394" s="371"/>
      <c r="G394" s="305"/>
      <c r="H394" s="306"/>
      <c r="I394" s="306"/>
      <c r="J394" s="307"/>
      <c r="K394" s="312"/>
      <c r="L394" s="318"/>
      <c r="M394" s="206"/>
      <c r="N394" s="207"/>
      <c r="O394" s="206"/>
      <c r="P394" s="207"/>
    </row>
    <row r="395" spans="1:67" x14ac:dyDescent="0.2">
      <c r="A395" s="296"/>
      <c r="B395" s="297"/>
      <c r="C395" s="298"/>
      <c r="D395" s="252" t="s">
        <v>237</v>
      </c>
      <c r="E395" s="249" t="s">
        <v>120</v>
      </c>
      <c r="F395" s="330">
        <f>+SUM(L388:L392)</f>
        <v>0.1</v>
      </c>
      <c r="G395" s="337">
        <v>0</v>
      </c>
      <c r="H395" s="250"/>
      <c r="I395" s="250">
        <f>+F395*G395</f>
        <v>0</v>
      </c>
      <c r="J395" s="251">
        <f>H395+I395</f>
        <v>0</v>
      </c>
      <c r="K395" s="308">
        <v>0</v>
      </c>
      <c r="L395" s="319">
        <f>+F395*K395</f>
        <v>0</v>
      </c>
      <c r="M395" s="206"/>
      <c r="N395" s="207"/>
      <c r="O395" s="206"/>
      <c r="P395" s="207"/>
      <c r="T395" s="205"/>
      <c r="BN395" s="205"/>
      <c r="BO395" s="205"/>
    </row>
    <row r="396" spans="1:67" ht="13.5" thickBot="1" x14ac:dyDescent="0.25">
      <c r="A396" s="256"/>
      <c r="B396" s="257"/>
      <c r="C396" s="272" t="s">
        <v>87</v>
      </c>
      <c r="D396" s="258" t="s">
        <v>139</v>
      </c>
      <c r="E396" s="259"/>
      <c r="F396" s="260"/>
      <c r="G396" s="260"/>
      <c r="H396" s="325">
        <f>SUM(H388:H395)</f>
        <v>0</v>
      </c>
      <c r="I396" s="325">
        <f>SUM(I388:I395)</f>
        <v>0</v>
      </c>
      <c r="J396" s="261">
        <f>SUM(J388:J395)</f>
        <v>0</v>
      </c>
      <c r="K396" s="314"/>
      <c r="L396" s="321">
        <f>SUM(L387:L393)</f>
        <v>0.1</v>
      </c>
      <c r="M396" s="209"/>
      <c r="N396" s="210">
        <f>SUM(N387:N393)</f>
        <v>0</v>
      </c>
      <c r="O396" s="209"/>
      <c r="P396" s="210">
        <f>SUM(P387:P393)</f>
        <v>0</v>
      </c>
      <c r="T396" s="205">
        <v>4</v>
      </c>
    </row>
    <row r="397" spans="1:67" x14ac:dyDescent="0.2">
      <c r="A397" s="200" t="s">
        <v>86</v>
      </c>
      <c r="B397" s="226"/>
      <c r="C397" s="268">
        <v>784</v>
      </c>
      <c r="D397" s="262" t="s">
        <v>141</v>
      </c>
      <c r="E397" s="263"/>
      <c r="F397" s="264"/>
      <c r="G397" s="264"/>
      <c r="H397" s="264"/>
      <c r="I397" s="264"/>
      <c r="J397" s="265"/>
      <c r="K397" s="309"/>
      <c r="L397" s="309"/>
      <c r="M397" s="201"/>
      <c r="N397" s="202"/>
      <c r="O397" s="203"/>
      <c r="P397" s="204"/>
      <c r="T397" s="205">
        <v>1</v>
      </c>
    </row>
    <row r="398" spans="1:67" x14ac:dyDescent="0.2">
      <c r="A398" s="232">
        <v>94</v>
      </c>
      <c r="B398" s="242" t="s">
        <v>226</v>
      </c>
      <c r="C398" s="269">
        <v>784452361</v>
      </c>
      <c r="D398" s="243" t="s">
        <v>143</v>
      </c>
      <c r="E398" s="234">
        <v>0</v>
      </c>
      <c r="F398" s="234">
        <v>0</v>
      </c>
      <c r="G398" s="299">
        <v>0</v>
      </c>
      <c r="H398" s="300">
        <v>0</v>
      </c>
      <c r="I398" s="300">
        <v>0</v>
      </c>
      <c r="J398" s="300">
        <v>0</v>
      </c>
      <c r="K398" s="300">
        <v>0</v>
      </c>
      <c r="L398" s="316">
        <f>F398*K398</f>
        <v>0</v>
      </c>
      <c r="M398" s="206">
        <v>1.2E-4</v>
      </c>
      <c r="N398" s="207">
        <f>F398*M398</f>
        <v>0</v>
      </c>
      <c r="O398" s="206">
        <v>0</v>
      </c>
      <c r="P398" s="207">
        <f>F398*O398</f>
        <v>0</v>
      </c>
      <c r="T398" s="205">
        <v>2</v>
      </c>
      <c r="BN398" s="205">
        <v>1</v>
      </c>
      <c r="BO398" s="205">
        <v>7</v>
      </c>
    </row>
    <row r="399" spans="1:67" ht="12.75" customHeight="1" x14ac:dyDescent="0.2">
      <c r="A399" s="293"/>
      <c r="B399" s="332"/>
      <c r="C399" s="295" t="s">
        <v>176</v>
      </c>
      <c r="D399" s="246" t="s">
        <v>143</v>
      </c>
      <c r="E399" s="357"/>
      <c r="F399" s="358"/>
      <c r="G399" s="302"/>
      <c r="H399" s="303"/>
      <c r="I399" s="303"/>
      <c r="J399" s="304"/>
      <c r="K399" s="311"/>
      <c r="L399" s="317"/>
      <c r="M399" s="206"/>
      <c r="N399" s="207"/>
      <c r="O399" s="206"/>
      <c r="P399" s="207"/>
    </row>
    <row r="400" spans="1:67" x14ac:dyDescent="0.2">
      <c r="A400" s="351"/>
      <c r="B400" s="352"/>
      <c r="C400" s="353" t="s">
        <v>178</v>
      </c>
      <c r="D400" s="338" t="s">
        <v>179</v>
      </c>
      <c r="E400" s="334"/>
      <c r="F400" s="335"/>
      <c r="G400" s="302"/>
      <c r="H400" s="303"/>
      <c r="I400" s="303"/>
      <c r="J400" s="304"/>
      <c r="K400" s="311"/>
      <c r="L400" s="317"/>
      <c r="M400" s="206"/>
      <c r="N400" s="207"/>
      <c r="O400" s="206"/>
      <c r="P400" s="207"/>
    </row>
    <row r="401" spans="1:67" x14ac:dyDescent="0.2">
      <c r="A401" s="296"/>
      <c r="B401" s="297"/>
      <c r="C401" s="298"/>
      <c r="D401" s="252" t="s">
        <v>391</v>
      </c>
      <c r="E401" s="249" t="s">
        <v>163</v>
      </c>
      <c r="F401" s="250">
        <v>65.3</v>
      </c>
      <c r="G401" s="337">
        <v>0</v>
      </c>
      <c r="H401" s="250"/>
      <c r="I401" s="250">
        <f>+F401*G401</f>
        <v>0</v>
      </c>
      <c r="J401" s="251">
        <f>H401+I401</f>
        <v>0</v>
      </c>
      <c r="K401" s="308">
        <v>0</v>
      </c>
      <c r="L401" s="319">
        <f>+F401*K401</f>
        <v>0</v>
      </c>
      <c r="M401" s="206"/>
      <c r="N401" s="207"/>
      <c r="O401" s="206"/>
      <c r="P401" s="207"/>
      <c r="T401" s="205"/>
      <c r="BN401" s="205"/>
      <c r="BO401" s="205"/>
    </row>
    <row r="402" spans="1:67" x14ac:dyDescent="0.2">
      <c r="A402" s="232">
        <v>95</v>
      </c>
      <c r="B402" s="242" t="s">
        <v>226</v>
      </c>
      <c r="C402" s="269">
        <v>784452371</v>
      </c>
      <c r="D402" s="243" t="s">
        <v>144</v>
      </c>
      <c r="E402" s="233" t="s">
        <v>89</v>
      </c>
      <c r="F402" s="234">
        <f>+F398</f>
        <v>0</v>
      </c>
      <c r="G402" s="299">
        <v>0</v>
      </c>
      <c r="H402" s="300"/>
      <c r="I402" s="300">
        <f>+F402*G402</f>
        <v>0</v>
      </c>
      <c r="J402" s="301">
        <f>H402+I402</f>
        <v>0</v>
      </c>
      <c r="K402" s="310"/>
      <c r="L402" s="316">
        <f>F402*K402</f>
        <v>0</v>
      </c>
      <c r="M402" s="206">
        <v>2.0000000000000001E-4</v>
      </c>
      <c r="N402" s="207">
        <f>F402*M402</f>
        <v>0</v>
      </c>
      <c r="O402" s="206">
        <v>0</v>
      </c>
      <c r="P402" s="207">
        <f>F402*O402</f>
        <v>0</v>
      </c>
      <c r="T402" s="205">
        <v>2</v>
      </c>
      <c r="BN402" s="205">
        <v>1</v>
      </c>
      <c r="BO402" s="205">
        <v>7</v>
      </c>
    </row>
    <row r="403" spans="1:67" ht="12.75" customHeight="1" x14ac:dyDescent="0.2">
      <c r="A403" s="293"/>
      <c r="B403" s="332"/>
      <c r="C403" s="295" t="s">
        <v>176</v>
      </c>
      <c r="D403" s="246" t="s">
        <v>144</v>
      </c>
      <c r="E403" s="357"/>
      <c r="F403" s="358"/>
      <c r="G403" s="302"/>
      <c r="H403" s="303"/>
      <c r="I403" s="303"/>
      <c r="J403" s="304"/>
      <c r="K403" s="311"/>
      <c r="L403" s="317"/>
      <c r="M403" s="206"/>
      <c r="N403" s="207"/>
      <c r="O403" s="206"/>
      <c r="P403" s="207"/>
    </row>
    <row r="404" spans="1:67" x14ac:dyDescent="0.2">
      <c r="A404" s="351"/>
      <c r="B404" s="352"/>
      <c r="C404" s="353" t="s">
        <v>178</v>
      </c>
      <c r="D404" s="338" t="s">
        <v>179</v>
      </c>
      <c r="E404" s="334"/>
      <c r="F404" s="335"/>
      <c r="G404" s="302"/>
      <c r="H404" s="303"/>
      <c r="I404" s="303"/>
      <c r="J404" s="304"/>
      <c r="K404" s="311"/>
      <c r="L404" s="317"/>
      <c r="M404" s="206"/>
      <c r="N404" s="207"/>
      <c r="O404" s="206"/>
      <c r="P404" s="207"/>
    </row>
    <row r="405" spans="1:67" x14ac:dyDescent="0.2">
      <c r="A405" s="296"/>
      <c r="B405" s="297"/>
      <c r="C405" s="298"/>
      <c r="D405" s="252" t="s">
        <v>391</v>
      </c>
      <c r="E405" s="249" t="s">
        <v>163</v>
      </c>
      <c r="F405" s="250">
        <v>65.3</v>
      </c>
      <c r="G405" s="337">
        <v>0</v>
      </c>
      <c r="H405" s="250"/>
      <c r="I405" s="250">
        <f>+F405*G405</f>
        <v>0</v>
      </c>
      <c r="J405" s="251">
        <f>H405+I405</f>
        <v>0</v>
      </c>
      <c r="K405" s="308">
        <v>0</v>
      </c>
      <c r="L405" s="319">
        <f>+F405*K405</f>
        <v>0</v>
      </c>
      <c r="M405" s="206"/>
      <c r="N405" s="207"/>
      <c r="O405" s="206"/>
      <c r="P405" s="207"/>
      <c r="T405" s="205"/>
      <c r="BN405" s="205"/>
      <c r="BO405" s="205"/>
    </row>
    <row r="406" spans="1:67" ht="13.5" thickBot="1" x14ac:dyDescent="0.25">
      <c r="A406" s="256"/>
      <c r="B406" s="257"/>
      <c r="C406" s="272" t="s">
        <v>87</v>
      </c>
      <c r="D406" s="258" t="s">
        <v>142</v>
      </c>
      <c r="E406" s="259"/>
      <c r="F406" s="260"/>
      <c r="G406" s="260"/>
      <c r="H406" s="325">
        <f>SUM(H398:H405)</f>
        <v>0</v>
      </c>
      <c r="I406" s="325">
        <f>SUM(I398:I405)</f>
        <v>0</v>
      </c>
      <c r="J406" s="261">
        <f>SUM(J398:J405)</f>
        <v>0</v>
      </c>
      <c r="K406" s="314"/>
      <c r="L406" s="321">
        <f>SUM(L398:L402)</f>
        <v>0</v>
      </c>
      <c r="M406" s="209"/>
      <c r="N406" s="210">
        <f>SUM(N397:N402)</f>
        <v>0</v>
      </c>
      <c r="O406" s="209"/>
      <c r="P406" s="210">
        <f>SUM(P397:P402)</f>
        <v>0</v>
      </c>
      <c r="T406" s="205">
        <v>4</v>
      </c>
    </row>
    <row r="407" spans="1:67" x14ac:dyDescent="0.2">
      <c r="A407" s="200" t="s">
        <v>86</v>
      </c>
      <c r="B407" s="226"/>
      <c r="C407" s="268">
        <v>786</v>
      </c>
      <c r="D407" s="262" t="s">
        <v>145</v>
      </c>
      <c r="E407" s="263"/>
      <c r="F407" s="264"/>
      <c r="G407" s="264"/>
      <c r="H407" s="264"/>
      <c r="I407" s="264"/>
      <c r="J407" s="265"/>
      <c r="K407" s="309"/>
      <c r="L407" s="322">
        <f>F407*K407</f>
        <v>0</v>
      </c>
      <c r="M407" s="201"/>
      <c r="N407" s="202"/>
      <c r="O407" s="203"/>
      <c r="P407" s="204"/>
      <c r="T407" s="205">
        <v>1</v>
      </c>
    </row>
    <row r="408" spans="1:67" x14ac:dyDescent="0.2">
      <c r="A408" s="232">
        <v>96</v>
      </c>
      <c r="B408" s="242" t="s">
        <v>226</v>
      </c>
      <c r="C408" s="269">
        <v>786621112</v>
      </c>
      <c r="D408" s="243" t="s">
        <v>147</v>
      </c>
      <c r="E408" s="234">
        <v>0</v>
      </c>
      <c r="F408" s="234">
        <v>0</v>
      </c>
      <c r="G408" s="299">
        <v>0</v>
      </c>
      <c r="H408" s="300"/>
      <c r="I408" s="300">
        <f>+F408*G408</f>
        <v>0</v>
      </c>
      <c r="J408" s="301">
        <f>H408+I408</f>
        <v>0</v>
      </c>
      <c r="K408" s="310"/>
      <c r="L408" s="316">
        <f>F408*K408</f>
        <v>0</v>
      </c>
      <c r="M408" s="206">
        <v>2.0600000000000002E-3</v>
      </c>
      <c r="N408" s="207">
        <f>F408*M408</f>
        <v>0</v>
      </c>
      <c r="O408" s="206">
        <v>0</v>
      </c>
      <c r="P408" s="207">
        <f>F408*O408</f>
        <v>0</v>
      </c>
      <c r="T408" s="205">
        <v>2</v>
      </c>
      <c r="BN408" s="205">
        <v>1</v>
      </c>
      <c r="BO408" s="205">
        <v>7</v>
      </c>
    </row>
    <row r="409" spans="1:67" ht="12.75" customHeight="1" x14ac:dyDescent="0.2">
      <c r="A409" s="293"/>
      <c r="B409" s="332"/>
      <c r="C409" s="295" t="s">
        <v>176</v>
      </c>
      <c r="D409" s="345" t="s">
        <v>147</v>
      </c>
      <c r="E409" s="357"/>
      <c r="F409" s="358"/>
      <c r="G409" s="302"/>
      <c r="H409" s="303"/>
      <c r="I409" s="303"/>
      <c r="J409" s="304"/>
      <c r="K409" s="311"/>
      <c r="L409" s="317"/>
      <c r="M409" s="206"/>
      <c r="N409" s="207"/>
      <c r="O409" s="206"/>
      <c r="P409" s="207"/>
    </row>
    <row r="410" spans="1:67" x14ac:dyDescent="0.2">
      <c r="A410" s="351"/>
      <c r="B410" s="352"/>
      <c r="C410" s="353" t="s">
        <v>178</v>
      </c>
      <c r="D410" s="338" t="s">
        <v>179</v>
      </c>
      <c r="E410" s="334"/>
      <c r="F410" s="335"/>
      <c r="G410" s="302"/>
      <c r="H410" s="303"/>
      <c r="I410" s="303"/>
      <c r="J410" s="304"/>
      <c r="K410" s="311"/>
      <c r="L410" s="317"/>
      <c r="M410" s="206"/>
      <c r="N410" s="207"/>
      <c r="O410" s="206"/>
      <c r="P410" s="207"/>
    </row>
    <row r="411" spans="1:67" x14ac:dyDescent="0.2">
      <c r="A411" s="290"/>
      <c r="B411" s="291"/>
      <c r="C411" s="292"/>
      <c r="D411" s="246" t="s">
        <v>392</v>
      </c>
      <c r="E411" s="244" t="s">
        <v>163</v>
      </c>
      <c r="F411" s="245">
        <f>+(1.6*2.1*26+1.6*2.1+1.6*2.1+3.2*1.85*2)</f>
        <v>105.92000000000002</v>
      </c>
      <c r="G411" s="302"/>
      <c r="H411" s="303"/>
      <c r="I411" s="303"/>
      <c r="J411" s="304"/>
      <c r="K411" s="311"/>
      <c r="L411" s="317"/>
      <c r="M411" s="206"/>
      <c r="N411" s="207"/>
      <c r="O411" s="206"/>
      <c r="P411" s="207"/>
    </row>
    <row r="412" spans="1:67" x14ac:dyDescent="0.2">
      <c r="A412" s="296"/>
      <c r="B412" s="297"/>
      <c r="C412" s="298"/>
      <c r="D412" s="252" t="s">
        <v>227</v>
      </c>
      <c r="E412" s="249" t="s">
        <v>163</v>
      </c>
      <c r="F412" s="250">
        <f>+F411</f>
        <v>105.92000000000002</v>
      </c>
      <c r="G412" s="337">
        <v>0</v>
      </c>
      <c r="H412" s="250"/>
      <c r="I412" s="250">
        <f>+F412*G412</f>
        <v>0</v>
      </c>
      <c r="J412" s="251">
        <f>H412+I412</f>
        <v>0</v>
      </c>
      <c r="K412" s="308">
        <v>0</v>
      </c>
      <c r="L412" s="319">
        <f>+F412*K412</f>
        <v>0</v>
      </c>
      <c r="M412" s="206"/>
      <c r="N412" s="207"/>
      <c r="O412" s="206"/>
      <c r="P412" s="207"/>
      <c r="T412" s="205"/>
      <c r="BN412" s="205"/>
      <c r="BO412" s="205"/>
    </row>
    <row r="413" spans="1:67" ht="13.5" thickBot="1" x14ac:dyDescent="0.25">
      <c r="A413" s="256"/>
      <c r="B413" s="257"/>
      <c r="C413" s="272" t="s">
        <v>87</v>
      </c>
      <c r="D413" s="258" t="s">
        <v>146</v>
      </c>
      <c r="E413" s="259"/>
      <c r="F413" s="260"/>
      <c r="G413" s="260"/>
      <c r="H413" s="325">
        <f>SUM(H411:H412)</f>
        <v>0</v>
      </c>
      <c r="I413" s="325">
        <f>SUM(I411:I412)</f>
        <v>0</v>
      </c>
      <c r="J413" s="261">
        <f>SUM(J411:J412)</f>
        <v>0</v>
      </c>
      <c r="K413" s="314"/>
      <c r="L413" s="321">
        <f>SUM(L407:L408)</f>
        <v>0</v>
      </c>
      <c r="M413" s="209"/>
      <c r="N413" s="210">
        <f>SUM(N407:N408)</f>
        <v>0</v>
      </c>
      <c r="O413" s="209"/>
      <c r="P413" s="210">
        <f>SUM(P407:P408)</f>
        <v>0</v>
      </c>
      <c r="T413" s="205">
        <v>4</v>
      </c>
    </row>
    <row r="414" spans="1:67" x14ac:dyDescent="0.2">
      <c r="A414" s="200" t="s">
        <v>86</v>
      </c>
      <c r="B414" s="226"/>
      <c r="C414" s="268">
        <v>742</v>
      </c>
      <c r="D414" s="262" t="s">
        <v>148</v>
      </c>
      <c r="E414" s="263"/>
      <c r="F414" s="264"/>
      <c r="G414" s="264"/>
      <c r="H414" s="264"/>
      <c r="I414" s="264"/>
      <c r="J414" s="265"/>
      <c r="K414" s="309"/>
      <c r="L414" s="309"/>
      <c r="M414" s="201"/>
      <c r="N414" s="202"/>
      <c r="O414" s="203"/>
      <c r="P414" s="204"/>
      <c r="T414" s="205">
        <v>1</v>
      </c>
    </row>
    <row r="415" spans="1:67" x14ac:dyDescent="0.2">
      <c r="A415" s="232">
        <v>97</v>
      </c>
      <c r="B415" s="242" t="s">
        <v>226</v>
      </c>
      <c r="C415" s="269" t="s">
        <v>394</v>
      </c>
      <c r="D415" s="243" t="s">
        <v>239</v>
      </c>
      <c r="E415" s="234">
        <v>0</v>
      </c>
      <c r="F415" s="234">
        <v>0</v>
      </c>
      <c r="G415" s="299">
        <v>0</v>
      </c>
      <c r="H415" s="300">
        <v>0</v>
      </c>
      <c r="I415" s="300">
        <v>0</v>
      </c>
      <c r="J415" s="300">
        <v>0</v>
      </c>
      <c r="K415" s="300">
        <v>0</v>
      </c>
      <c r="L415" s="316">
        <f>F415*K415</f>
        <v>0</v>
      </c>
      <c r="M415" s="206">
        <v>0</v>
      </c>
      <c r="N415" s="207">
        <f>F415*M415</f>
        <v>0</v>
      </c>
      <c r="O415" s="206"/>
      <c r="P415" s="207">
        <f>F415*O415</f>
        <v>0</v>
      </c>
      <c r="T415" s="205">
        <v>2</v>
      </c>
      <c r="BN415" s="205">
        <v>12</v>
      </c>
      <c r="BO415" s="205">
        <v>0</v>
      </c>
    </row>
    <row r="416" spans="1:67" ht="12.75" customHeight="1" x14ac:dyDescent="0.2">
      <c r="A416" s="293"/>
      <c r="B416" s="332"/>
      <c r="C416" s="295" t="s">
        <v>176</v>
      </c>
      <c r="D416" s="375" t="s">
        <v>240</v>
      </c>
      <c r="E416" s="357"/>
      <c r="F416" s="358"/>
      <c r="G416" s="302"/>
      <c r="H416" s="303"/>
      <c r="I416" s="303"/>
      <c r="J416" s="304"/>
      <c r="K416" s="311"/>
      <c r="L416" s="317"/>
      <c r="M416" s="206"/>
      <c r="N416" s="207"/>
      <c r="O416" s="206"/>
      <c r="P416" s="207"/>
    </row>
    <row r="417" spans="1:67" x14ac:dyDescent="0.2">
      <c r="A417" s="351"/>
      <c r="B417" s="352"/>
      <c r="C417" s="353" t="s">
        <v>178</v>
      </c>
      <c r="D417" s="338" t="s">
        <v>395</v>
      </c>
      <c r="E417" s="334"/>
      <c r="F417" s="335"/>
      <c r="G417" s="302"/>
      <c r="H417" s="303"/>
      <c r="I417" s="303"/>
      <c r="J417" s="304"/>
      <c r="K417" s="311"/>
      <c r="L417" s="317"/>
      <c r="M417" s="206"/>
      <c r="N417" s="207"/>
      <c r="O417" s="206"/>
      <c r="P417" s="207"/>
    </row>
    <row r="418" spans="1:67" x14ac:dyDescent="0.2">
      <c r="A418" s="293"/>
      <c r="B418" s="294"/>
      <c r="C418" s="295"/>
      <c r="D418" s="253" t="s">
        <v>396</v>
      </c>
      <c r="E418" s="244" t="s">
        <v>90</v>
      </c>
      <c r="F418" s="245">
        <v>37.5</v>
      </c>
      <c r="G418" s="305"/>
      <c r="H418" s="306"/>
      <c r="I418" s="306"/>
      <c r="J418" s="307"/>
      <c r="K418" s="312"/>
      <c r="L418" s="318"/>
      <c r="M418" s="206"/>
      <c r="N418" s="207"/>
      <c r="O418" s="206"/>
      <c r="P418" s="207"/>
    </row>
    <row r="419" spans="1:67" x14ac:dyDescent="0.2">
      <c r="A419" s="296"/>
      <c r="B419" s="297"/>
      <c r="C419" s="298"/>
      <c r="D419" s="252" t="s">
        <v>227</v>
      </c>
      <c r="E419" s="249" t="s">
        <v>90</v>
      </c>
      <c r="F419" s="250">
        <f>+SUM(F418)</f>
        <v>37.5</v>
      </c>
      <c r="G419" s="337">
        <v>0</v>
      </c>
      <c r="H419" s="250"/>
      <c r="I419" s="250">
        <f>+F419*G419</f>
        <v>0</v>
      </c>
      <c r="J419" s="251">
        <f>H419+I419</f>
        <v>0</v>
      </c>
      <c r="K419" s="308">
        <v>0</v>
      </c>
      <c r="L419" s="319">
        <f>+F419*K419</f>
        <v>0</v>
      </c>
      <c r="M419" s="206"/>
      <c r="N419" s="207"/>
      <c r="O419" s="206"/>
      <c r="P419" s="207"/>
      <c r="T419" s="205"/>
      <c r="BN419" s="205"/>
      <c r="BO419" s="205"/>
    </row>
    <row r="420" spans="1:67" ht="13.5" thickBot="1" x14ac:dyDescent="0.25">
      <c r="A420" s="256"/>
      <c r="B420" s="257"/>
      <c r="C420" s="272" t="s">
        <v>87</v>
      </c>
      <c r="D420" s="258" t="s">
        <v>241</v>
      </c>
      <c r="E420" s="259"/>
      <c r="F420" s="260"/>
      <c r="G420" s="260"/>
      <c r="H420" s="325">
        <f>SUM(H415:H419)</f>
        <v>0</v>
      </c>
      <c r="I420" s="325">
        <f>SUM(I415:I419)</f>
        <v>0</v>
      </c>
      <c r="J420" s="261">
        <f>SUM(J415:J419)</f>
        <v>0</v>
      </c>
      <c r="K420" s="314"/>
      <c r="L420" s="321">
        <f>SUM(L414:L419)</f>
        <v>0</v>
      </c>
      <c r="M420" s="209"/>
      <c r="N420" s="210">
        <f>SUM(N414:N419)</f>
        <v>0</v>
      </c>
      <c r="O420" s="209"/>
      <c r="P420" s="210">
        <f>SUM(P414:P419)</f>
        <v>0</v>
      </c>
      <c r="T420" s="205">
        <v>4</v>
      </c>
    </row>
    <row r="421" spans="1:67" x14ac:dyDescent="0.2">
      <c r="F421" s="192"/>
    </row>
    <row r="422" spans="1:67" x14ac:dyDescent="0.2">
      <c r="F422" s="192"/>
    </row>
    <row r="423" spans="1:67" x14ac:dyDescent="0.2">
      <c r="F423" s="192"/>
    </row>
    <row r="424" spans="1:67" x14ac:dyDescent="0.2">
      <c r="F424" s="192"/>
    </row>
    <row r="425" spans="1:67" x14ac:dyDescent="0.2">
      <c r="F425" s="192"/>
    </row>
    <row r="426" spans="1:67" x14ac:dyDescent="0.2">
      <c r="F426" s="192"/>
    </row>
    <row r="427" spans="1:67" x14ac:dyDescent="0.2">
      <c r="F427" s="192"/>
    </row>
    <row r="428" spans="1:67" x14ac:dyDescent="0.2">
      <c r="F428" s="192"/>
    </row>
    <row r="429" spans="1:67" x14ac:dyDescent="0.2">
      <c r="F429" s="192"/>
    </row>
    <row r="430" spans="1:67" x14ac:dyDescent="0.2">
      <c r="F430" s="192"/>
    </row>
    <row r="431" spans="1:67" x14ac:dyDescent="0.2">
      <c r="F431" s="192"/>
    </row>
    <row r="432" spans="1:67" x14ac:dyDescent="0.2">
      <c r="F432" s="192"/>
    </row>
    <row r="433" spans="1:12" x14ac:dyDescent="0.2">
      <c r="F433" s="192"/>
    </row>
    <row r="434" spans="1:12" x14ac:dyDescent="0.2">
      <c r="F434" s="192"/>
    </row>
    <row r="435" spans="1:12" x14ac:dyDescent="0.2">
      <c r="F435" s="192"/>
    </row>
    <row r="436" spans="1:12" x14ac:dyDescent="0.2">
      <c r="F436" s="192"/>
    </row>
    <row r="437" spans="1:12" x14ac:dyDescent="0.2">
      <c r="F437" s="192"/>
    </row>
    <row r="438" spans="1:12" x14ac:dyDescent="0.2">
      <c r="F438" s="192"/>
    </row>
    <row r="439" spans="1:12" x14ac:dyDescent="0.2">
      <c r="F439" s="192"/>
    </row>
    <row r="440" spans="1:12" x14ac:dyDescent="0.2">
      <c r="F440" s="192"/>
    </row>
    <row r="441" spans="1:12" x14ac:dyDescent="0.2">
      <c r="F441" s="192"/>
    </row>
    <row r="442" spans="1:12" x14ac:dyDescent="0.2">
      <c r="F442" s="192"/>
    </row>
    <row r="443" spans="1:12" x14ac:dyDescent="0.2">
      <c r="F443" s="192"/>
    </row>
    <row r="444" spans="1:12" x14ac:dyDescent="0.2">
      <c r="A444" s="208"/>
      <c r="B444" s="227"/>
      <c r="C444" s="273"/>
      <c r="D444" s="208"/>
      <c r="E444" s="208"/>
      <c r="F444" s="208"/>
      <c r="G444" s="208"/>
      <c r="H444" s="208"/>
      <c r="I444" s="208"/>
      <c r="J444" s="208"/>
      <c r="K444" s="208"/>
      <c r="L444" s="208"/>
    </row>
    <row r="445" spans="1:12" x14ac:dyDescent="0.2">
      <c r="A445" s="208"/>
      <c r="B445" s="227"/>
      <c r="C445" s="273"/>
      <c r="D445" s="208"/>
      <c r="E445" s="208"/>
      <c r="F445" s="208"/>
      <c r="G445" s="208"/>
      <c r="H445" s="208"/>
      <c r="I445" s="208"/>
      <c r="J445" s="208"/>
      <c r="K445" s="208"/>
      <c r="L445" s="208"/>
    </row>
    <row r="446" spans="1:12" x14ac:dyDescent="0.2">
      <c r="A446" s="208"/>
      <c r="B446" s="227"/>
      <c r="C446" s="273"/>
      <c r="D446" s="208"/>
      <c r="E446" s="208"/>
      <c r="F446" s="208"/>
      <c r="G446" s="208"/>
      <c r="H446" s="208"/>
      <c r="I446" s="208"/>
      <c r="J446" s="208"/>
      <c r="K446" s="208"/>
      <c r="L446" s="208"/>
    </row>
    <row r="447" spans="1:12" x14ac:dyDescent="0.2">
      <c r="A447" s="208"/>
      <c r="B447" s="227"/>
      <c r="C447" s="273"/>
      <c r="D447" s="208"/>
      <c r="E447" s="208"/>
      <c r="F447" s="208"/>
      <c r="G447" s="208"/>
      <c r="H447" s="208"/>
      <c r="I447" s="208"/>
      <c r="J447" s="208"/>
      <c r="K447" s="208"/>
      <c r="L447" s="208"/>
    </row>
    <row r="448" spans="1:12" x14ac:dyDescent="0.2">
      <c r="F448" s="192"/>
    </row>
    <row r="449" spans="6:6" x14ac:dyDescent="0.2">
      <c r="F449" s="192"/>
    </row>
    <row r="450" spans="6:6" x14ac:dyDescent="0.2">
      <c r="F450" s="192"/>
    </row>
    <row r="451" spans="6:6" x14ac:dyDescent="0.2">
      <c r="F451" s="192"/>
    </row>
    <row r="452" spans="6:6" x14ac:dyDescent="0.2">
      <c r="F452" s="192"/>
    </row>
    <row r="453" spans="6:6" x14ac:dyDescent="0.2">
      <c r="F453" s="192"/>
    </row>
    <row r="454" spans="6:6" x14ac:dyDescent="0.2">
      <c r="F454" s="192"/>
    </row>
    <row r="455" spans="6:6" x14ac:dyDescent="0.2">
      <c r="F455" s="192"/>
    </row>
    <row r="456" spans="6:6" x14ac:dyDescent="0.2">
      <c r="F456" s="192"/>
    </row>
    <row r="457" spans="6:6" x14ac:dyDescent="0.2">
      <c r="F457" s="192"/>
    </row>
    <row r="458" spans="6:6" x14ac:dyDescent="0.2">
      <c r="F458" s="192"/>
    </row>
    <row r="459" spans="6:6" x14ac:dyDescent="0.2">
      <c r="F459" s="192"/>
    </row>
    <row r="460" spans="6:6" x14ac:dyDescent="0.2">
      <c r="F460" s="192"/>
    </row>
    <row r="461" spans="6:6" x14ac:dyDescent="0.2">
      <c r="F461" s="192"/>
    </row>
    <row r="462" spans="6:6" x14ac:dyDescent="0.2">
      <c r="F462" s="192"/>
    </row>
    <row r="463" spans="6:6" x14ac:dyDescent="0.2">
      <c r="F463" s="192"/>
    </row>
    <row r="464" spans="6:6" x14ac:dyDescent="0.2">
      <c r="F464" s="192"/>
    </row>
    <row r="465" spans="1:12" x14ac:dyDescent="0.2">
      <c r="F465" s="192"/>
    </row>
    <row r="466" spans="1:12" x14ac:dyDescent="0.2">
      <c r="F466" s="192"/>
    </row>
    <row r="467" spans="1:12" x14ac:dyDescent="0.2">
      <c r="F467" s="192"/>
    </row>
    <row r="468" spans="1:12" x14ac:dyDescent="0.2">
      <c r="F468" s="192"/>
    </row>
    <row r="469" spans="1:12" x14ac:dyDescent="0.2">
      <c r="F469" s="192"/>
    </row>
    <row r="470" spans="1:12" x14ac:dyDescent="0.2">
      <c r="F470" s="192"/>
    </row>
    <row r="471" spans="1:12" x14ac:dyDescent="0.2">
      <c r="F471" s="192"/>
    </row>
    <row r="472" spans="1:12" x14ac:dyDescent="0.2">
      <c r="F472" s="192"/>
    </row>
    <row r="473" spans="1:12" x14ac:dyDescent="0.2">
      <c r="F473" s="192"/>
    </row>
    <row r="474" spans="1:12" x14ac:dyDescent="0.2">
      <c r="F474" s="192"/>
    </row>
    <row r="475" spans="1:12" x14ac:dyDescent="0.2">
      <c r="F475" s="192"/>
    </row>
    <row r="476" spans="1:12" x14ac:dyDescent="0.2">
      <c r="F476" s="192"/>
    </row>
    <row r="477" spans="1:12" x14ac:dyDescent="0.2">
      <c r="F477" s="192"/>
    </row>
    <row r="478" spans="1:12" x14ac:dyDescent="0.2">
      <c r="F478" s="192"/>
    </row>
    <row r="479" spans="1:12" x14ac:dyDescent="0.2">
      <c r="A479" s="211"/>
      <c r="B479" s="228"/>
      <c r="C479" s="274"/>
    </row>
    <row r="480" spans="1:12" x14ac:dyDescent="0.2">
      <c r="A480" s="208"/>
      <c r="B480" s="227"/>
      <c r="C480" s="273"/>
      <c r="D480" s="212"/>
      <c r="E480" s="212"/>
      <c r="F480" s="213"/>
      <c r="G480" s="212"/>
      <c r="H480" s="212"/>
      <c r="I480" s="212"/>
      <c r="J480" s="214"/>
      <c r="K480" s="214"/>
      <c r="L480" s="214"/>
    </row>
    <row r="481" spans="1:12" x14ac:dyDescent="0.2">
      <c r="A481" s="215"/>
      <c r="B481" s="229"/>
      <c r="C481" s="275"/>
      <c r="D481" s="208"/>
      <c r="E481" s="208"/>
      <c r="F481" s="216"/>
      <c r="G481" s="208"/>
      <c r="H481" s="208"/>
      <c r="I481" s="208"/>
      <c r="J481" s="208"/>
      <c r="K481" s="208"/>
      <c r="L481" s="208"/>
    </row>
    <row r="482" spans="1:12" x14ac:dyDescent="0.2">
      <c r="A482" s="208"/>
      <c r="B482" s="227"/>
      <c r="C482" s="273"/>
      <c r="D482" s="208"/>
      <c r="E482" s="208"/>
      <c r="F482" s="216"/>
      <c r="G482" s="208"/>
      <c r="H482" s="208"/>
      <c r="I482" s="208"/>
      <c r="J482" s="208"/>
      <c r="K482" s="208"/>
      <c r="L482" s="208"/>
    </row>
    <row r="483" spans="1:12" x14ac:dyDescent="0.2">
      <c r="A483" s="208"/>
      <c r="B483" s="227"/>
      <c r="C483" s="273"/>
      <c r="D483" s="208"/>
      <c r="E483" s="208"/>
      <c r="F483" s="216"/>
      <c r="G483" s="208"/>
      <c r="H483" s="208"/>
      <c r="I483" s="208"/>
      <c r="J483" s="208"/>
      <c r="K483" s="208"/>
      <c r="L483" s="208"/>
    </row>
    <row r="484" spans="1:12" x14ac:dyDescent="0.2">
      <c r="A484" s="208"/>
      <c r="B484" s="227"/>
      <c r="C484" s="273"/>
      <c r="D484" s="208"/>
      <c r="E484" s="208"/>
      <c r="F484" s="216"/>
      <c r="G484" s="208"/>
      <c r="H484" s="208"/>
      <c r="I484" s="208"/>
      <c r="J484" s="208"/>
      <c r="K484" s="208"/>
      <c r="L484" s="208"/>
    </row>
    <row r="485" spans="1:12" x14ac:dyDescent="0.2">
      <c r="A485" s="208"/>
      <c r="B485" s="227"/>
      <c r="C485" s="273"/>
      <c r="D485" s="208"/>
      <c r="E485" s="208"/>
      <c r="F485" s="216"/>
      <c r="G485" s="208"/>
      <c r="H485" s="208"/>
      <c r="I485" s="208"/>
      <c r="J485" s="208"/>
      <c r="K485" s="208"/>
      <c r="L485" s="208"/>
    </row>
    <row r="486" spans="1:12" x14ac:dyDescent="0.2">
      <c r="A486" s="208"/>
      <c r="B486" s="227"/>
      <c r="C486" s="273"/>
      <c r="D486" s="208"/>
      <c r="E486" s="208"/>
      <c r="F486" s="216"/>
      <c r="G486" s="208"/>
      <c r="H486" s="208"/>
      <c r="I486" s="208"/>
      <c r="J486" s="208"/>
      <c r="K486" s="208"/>
      <c r="L486" s="208"/>
    </row>
    <row r="487" spans="1:12" x14ac:dyDescent="0.2">
      <c r="A487" s="208"/>
      <c r="B487" s="227"/>
      <c r="C487" s="273"/>
      <c r="D487" s="208"/>
      <c r="E487" s="208"/>
      <c r="F487" s="216"/>
      <c r="G487" s="208"/>
      <c r="H487" s="208"/>
      <c r="I487" s="208"/>
      <c r="J487" s="208"/>
      <c r="K487" s="208"/>
      <c r="L487" s="208"/>
    </row>
    <row r="488" spans="1:12" x14ac:dyDescent="0.2">
      <c r="A488" s="208"/>
      <c r="B488" s="227"/>
      <c r="C488" s="273"/>
      <c r="D488" s="208"/>
      <c r="E488" s="208"/>
      <c r="F488" s="216"/>
      <c r="G488" s="208"/>
      <c r="H488" s="208"/>
      <c r="I488" s="208"/>
      <c r="J488" s="208"/>
      <c r="K488" s="208"/>
      <c r="L488" s="208"/>
    </row>
    <row r="489" spans="1:12" x14ac:dyDescent="0.2">
      <c r="A489" s="208"/>
      <c r="B489" s="227"/>
      <c r="C489" s="273"/>
      <c r="D489" s="208"/>
      <c r="E489" s="208"/>
      <c r="F489" s="216"/>
      <c r="G489" s="208"/>
      <c r="H489" s="208"/>
      <c r="I489" s="208"/>
      <c r="J489" s="208"/>
      <c r="K489" s="208"/>
      <c r="L489" s="208"/>
    </row>
    <row r="490" spans="1:12" x14ac:dyDescent="0.2">
      <c r="A490" s="208"/>
      <c r="B490" s="227"/>
      <c r="C490" s="273"/>
      <c r="D490" s="208"/>
      <c r="E490" s="208"/>
      <c r="F490" s="216"/>
      <c r="G490" s="208"/>
      <c r="H490" s="208"/>
      <c r="I490" s="208"/>
      <c r="J490" s="208"/>
      <c r="K490" s="208"/>
      <c r="L490" s="208"/>
    </row>
    <row r="491" spans="1:12" x14ac:dyDescent="0.2">
      <c r="A491" s="208"/>
      <c r="B491" s="227"/>
      <c r="C491" s="273"/>
      <c r="D491" s="208"/>
      <c r="E491" s="208"/>
      <c r="F491" s="216"/>
      <c r="G491" s="208"/>
      <c r="H491" s="208"/>
      <c r="I491" s="208"/>
      <c r="J491" s="208"/>
      <c r="K491" s="208"/>
      <c r="L491" s="208"/>
    </row>
    <row r="492" spans="1:12" x14ac:dyDescent="0.2">
      <c r="A492" s="208"/>
      <c r="B492" s="227"/>
      <c r="C492" s="273"/>
      <c r="D492" s="208"/>
      <c r="E492" s="208"/>
      <c r="F492" s="216"/>
      <c r="G492" s="208"/>
      <c r="H492" s="208"/>
      <c r="I492" s="208"/>
      <c r="J492" s="208"/>
      <c r="K492" s="208"/>
      <c r="L492" s="208"/>
    </row>
    <row r="493" spans="1:12" x14ac:dyDescent="0.2">
      <c r="A493" s="208"/>
      <c r="B493" s="227"/>
      <c r="C493" s="273"/>
      <c r="D493" s="208"/>
      <c r="E493" s="208"/>
      <c r="F493" s="216"/>
      <c r="G493" s="208"/>
      <c r="H493" s="208"/>
      <c r="I493" s="208"/>
      <c r="J493" s="208"/>
      <c r="K493" s="208"/>
      <c r="L493" s="208"/>
    </row>
  </sheetData>
  <mergeCells count="6">
    <mergeCell ref="B381:F381"/>
    <mergeCell ref="A1:L1"/>
    <mergeCell ref="A3:C3"/>
    <mergeCell ref="A4:C4"/>
    <mergeCell ref="B371:F371"/>
    <mergeCell ref="B380:F380"/>
  </mergeCells>
  <phoneticPr fontId="17" type="noConversion"/>
  <printOptions gridLinesSet="0"/>
  <pageMargins left="0.59055118110236227" right="0.39370078740157483" top="0.59055118110236227" bottom="0.98425196850393704" header="0.19685039370078741" footer="0.51181102362204722"/>
  <pageSetup paperSize="9" orientation="landscape" horizontalDpi="300" r:id="rId1"/>
  <headerFooter alignWithMargins="0">
    <oddFooter>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26</vt:i4>
      </vt:variant>
    </vt:vector>
  </HeadingPairs>
  <TitlesOfParts>
    <vt:vector size="30" baseType="lpstr">
      <vt:lpstr>Stavba</vt:lpstr>
      <vt:lpstr>01  KL</vt:lpstr>
      <vt:lpstr>01  Rek</vt:lpstr>
      <vt:lpstr>01  Pol</vt:lpstr>
      <vt:lpstr>Stavba!CelkemObjekty</vt:lpstr>
      <vt:lpstr>Stavba!CisloStavby</vt:lpstr>
      <vt:lpstr>Stavba!dadresa</vt:lpstr>
      <vt:lpstr>Stavba!DIČ</vt:lpstr>
      <vt:lpstr>Stavba!dmisto</vt:lpstr>
      <vt:lpstr>Stavba!dpsc</vt:lpstr>
      <vt:lpstr>Stavba!IČO</vt:lpstr>
      <vt:lpstr>Stavba!NazevObjektu</vt:lpstr>
      <vt:lpstr>Stavba!NazevStavby</vt:lpstr>
      <vt:lpstr>'01  Pol'!Názvy_tisku</vt:lpstr>
      <vt:lpstr>'01  Rek'!Názvy_tisku</vt:lpstr>
      <vt:lpstr>Stavba!Objednatel</vt:lpstr>
      <vt:lpstr>Stavba!Objekt</vt:lpstr>
      <vt:lpstr>'01  KL'!Oblast_tisku</vt:lpstr>
      <vt:lpstr>'01  Pol'!Oblast_tisku</vt:lpstr>
      <vt:lpstr>'01  Rek'!Oblast_tisku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Stavba!SazbaDPH1</vt:lpstr>
      <vt:lpstr>Stavba!SazbaDPH2</vt:lpstr>
      <vt:lpstr>Stavba!StavbaCelkem</vt:lpstr>
      <vt:lpstr>Stavba!Zhotovitel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Adéla Kytlicová</cp:lastModifiedBy>
  <cp:lastPrinted>2013-03-21T16:26:59Z</cp:lastPrinted>
  <dcterms:created xsi:type="dcterms:W3CDTF">2011-03-11T14:43:24Z</dcterms:created>
  <dcterms:modified xsi:type="dcterms:W3CDTF">2013-03-21T17:00:56Z</dcterms:modified>
</cp:coreProperties>
</file>