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Stavební rozpočet" sheetId="1" r:id="rId1"/>
    <sheet name="Výkaz výměr" sheetId="2" r:id="rId2"/>
    <sheet name="Krycí list rozpočtu" sheetId="3" r:id="rId3"/>
    <sheet name="VORN" sheetId="4" state="hidden" r:id="rId4"/>
  </sheets>
  <definedNames>
    <definedName name="vorn_sum">VORN!$I$45</definedName>
  </definedNames>
  <calcPr refMode="A1"/>
</workbook>
</file>

<file path=xl/sharedStrings.xml><?xml version="1.0" encoding="utf-8"?>
<sst xmlns="http://schemas.openxmlformats.org/spreadsheetml/2006/main" count="457" uniqueCount="457">
  <si>
    <t>Slepý stavební rozpočet</t>
  </si>
  <si>
    <t>Název stavby:</t>
  </si>
  <si>
    <t>ZLIV nad Mží - VODOVOD</t>
  </si>
  <si>
    <t>Doba výstavby:</t>
  </si>
  <si>
    <t>153 dní</t>
  </si>
  <si>
    <t>Objednatel:</t>
  </si>
  <si>
    <t>Město Planá, náměstí Svobody 1, 348 15 Planá</t>
  </si>
  <si>
    <t>Druh stavby:</t>
  </si>
  <si>
    <t>Technická infrastruktura - Vodovod</t>
  </si>
  <si>
    <t>Začátek výstavby:</t>
  </si>
  <si>
    <t>01.05.2025</t>
  </si>
  <si>
    <t>Projektant:</t>
  </si>
  <si>
    <t>Václav Říha, Tuněchody 9, 34901 Stříbro</t>
  </si>
  <si>
    <t>Lokalita:</t>
  </si>
  <si>
    <t>Zliv nad Mží, SO-201 Přívodní řad Svahy - Zliv</t>
  </si>
  <si>
    <t>Konec výstavby:</t>
  </si>
  <si>
    <t>30.09.2025</t>
  </si>
  <si>
    <t>Zhotovitel:</t>
  </si>
  <si>
    <t> </t>
  </si>
  <si>
    <t>JKSO:</t>
  </si>
  <si>
    <t>8271111</t>
  </si>
  <si>
    <t>Zpracováno dne:</t>
  </si>
  <si>
    <t>30.11.2024</t>
  </si>
  <si>
    <t>Zpracoval:</t>
  </si>
  <si>
    <t>Václav Říha</t>
  </si>
  <si>
    <t>Č</t>
  </si>
  <si>
    <t>Kód</t>
  </si>
  <si>
    <t>Zkrácený popis</t>
  </si>
  <si>
    <t>MJ</t>
  </si>
  <si>
    <t>Množství</t>
  </si>
  <si>
    <t>Cena/MJ</t>
  </si>
  <si>
    <t>Náklady (Kč)</t>
  </si>
  <si>
    <t>Cenová</t>
  </si>
  <si>
    <t>ISWORK</t>
  </si>
  <si>
    <t>GROUPCODE</t>
  </si>
  <si>
    <t>VATTAX</t>
  </si>
  <si>
    <t xml:space="preserve"> </t>
  </si>
  <si>
    <t>Rozměry</t>
  </si>
  <si>
    <t>(Kč)</t>
  </si>
  <si>
    <t>Dodávka</t>
  </si>
  <si>
    <t>Montáž</t>
  </si>
  <si>
    <t>Celkem</t>
  </si>
  <si>
    <t>soustava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</si>
  <si>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</si>
  <si>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</si>
  <si>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</si>
  <si>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</si>
  <si>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</si>
  <si>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</si>
  <si>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</si>
  <si>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</si>
  <si>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</si>
  <si>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MAT</t>
  </si>
  <si>
    <t>WORK</t>
  </si>
  <si>
    <t>CELK</t>
  </si>
  <si>
    <t/>
  </si>
  <si>
    <t>11</t>
  </si>
  <si>
    <t>Přípravné a přidružené práce</t>
  </si>
  <si>
    <t>1</t>
  </si>
  <si>
    <t>115101201R00</t>
  </si>
  <si>
    <t>Čerpání vody na výšku do 10 m, přítok do 500 l</t>
  </si>
  <si>
    <t>h</t>
  </si>
  <si>
    <t>RTS II / 2024</t>
  </si>
  <si>
    <t>11_</t>
  </si>
  <si>
    <t>1_</t>
  </si>
  <si>
    <t>_</t>
  </si>
  <si>
    <t>2</t>
  </si>
  <si>
    <t>119001412R00</t>
  </si>
  <si>
    <t>Dočasné zajištění vodovodního potrubí do DN 80</t>
  </si>
  <si>
    <t>m</t>
  </si>
  <si>
    <t>3</t>
  </si>
  <si>
    <t>119001421R00</t>
  </si>
  <si>
    <t>Dočasné zajištění kabelů - do počtu 3 kabelů</t>
  </si>
  <si>
    <t>4</t>
  </si>
  <si>
    <t>113108315R00</t>
  </si>
  <si>
    <t>Odstranění asfaltové vrstvy pl. do 50 m2, tl.15 cm</t>
  </si>
  <si>
    <t>m2</t>
  </si>
  <si>
    <t>12</t>
  </si>
  <si>
    <t>Odkopávky a prokopávky</t>
  </si>
  <si>
    <t>5</t>
  </si>
  <si>
    <t>121101101R00</t>
  </si>
  <si>
    <t>Sejmutí ornice s přemístěním do 50 m</t>
  </si>
  <si>
    <t>m3</t>
  </si>
  <si>
    <t>12_</t>
  </si>
  <si>
    <t>13</t>
  </si>
  <si>
    <t>Hloubené vykopávky</t>
  </si>
  <si>
    <t>6</t>
  </si>
  <si>
    <t>133201102R00</t>
  </si>
  <si>
    <t>Hloubení šachet v hor.3 nad 100 m3 - montážní šachty</t>
  </si>
  <si>
    <t>13_</t>
  </si>
  <si>
    <t>7</t>
  </si>
  <si>
    <t>133301102R00</t>
  </si>
  <si>
    <t>Hloubení šachet v hor.4 nad 100 m3 - montážní šachty</t>
  </si>
  <si>
    <t>8</t>
  </si>
  <si>
    <t>130001101R00</t>
  </si>
  <si>
    <t>Příplatek za ztížené hloubení v blízkosti vedení</t>
  </si>
  <si>
    <t>14</t>
  </si>
  <si>
    <t>Ražení a hloubení tunelářské</t>
  </si>
  <si>
    <t>9</t>
  </si>
  <si>
    <t>141721101R00</t>
  </si>
  <si>
    <t>Řízené protlačení a vtažení PE d 75 mm, hor.1 - 4</t>
  </si>
  <si>
    <t>14_</t>
  </si>
  <si>
    <t>16</t>
  </si>
  <si>
    <t>Přemístění výkopku</t>
  </si>
  <si>
    <t>10</t>
  </si>
  <si>
    <t>162701105R00</t>
  </si>
  <si>
    <t>Vodorovné přemístění odstraněného asfaltu k recyklaci - do 10000 m</t>
  </si>
  <si>
    <t>16_</t>
  </si>
  <si>
    <t>162702199R00</t>
  </si>
  <si>
    <t>Poplatek za recyklaci odstraněného asfaltového krytu</t>
  </si>
  <si>
    <t>t</t>
  </si>
  <si>
    <t>17</t>
  </si>
  <si>
    <t>Konstrukce ze zemin</t>
  </si>
  <si>
    <t>174101101R00</t>
  </si>
  <si>
    <t>Zásyp jam, rýh, šachet se zhutněním</t>
  </si>
  <si>
    <t>17_</t>
  </si>
  <si>
    <t>175101101R00</t>
  </si>
  <si>
    <t>Obsyp potrubí bez prohození sypaniny</t>
  </si>
  <si>
    <t>18</t>
  </si>
  <si>
    <t>Povrchové úpravy terénu</t>
  </si>
  <si>
    <t>181301113R00</t>
  </si>
  <si>
    <t>Rozprostření ornice, rovina, tl.15-20 cm,nad 500m2</t>
  </si>
  <si>
    <t>18_</t>
  </si>
  <si>
    <t>15</t>
  </si>
  <si>
    <t>180401211R00</t>
  </si>
  <si>
    <t>Založení trávníku lučního výsevem v rovině</t>
  </si>
  <si>
    <t>181006114R00</t>
  </si>
  <si>
    <t>Rozprostření zemin v rov./sklonu 1:5, tl. do 30 cm - přebytek zeminy</t>
  </si>
  <si>
    <t>45</t>
  </si>
  <si>
    <t>Podkladní a vedlejší konstrukce (inženýr. stavby kromě vozovek a železnič. svršku)</t>
  </si>
  <si>
    <t>451572111R00</t>
  </si>
  <si>
    <t>Lože pod potrubí z kameniva těženého 0 - 4 mm</t>
  </si>
  <si>
    <t>45_</t>
  </si>
  <si>
    <t>4_</t>
  </si>
  <si>
    <t>451535111R00</t>
  </si>
  <si>
    <t>Podkladní vrstva šachet tl. do 25 cm ze štěrkodrti 16/32</t>
  </si>
  <si>
    <t>56</t>
  </si>
  <si>
    <t>Podkladní vrstvy komunikací, letišť a ploch</t>
  </si>
  <si>
    <t>19</t>
  </si>
  <si>
    <t>564861111RT4</t>
  </si>
  <si>
    <t>Podklad ze štěrkodrti 0/63 mm po zhutnění tloušťky 20 cm - oprava výkopů</t>
  </si>
  <si>
    <t>56_</t>
  </si>
  <si>
    <t>5_</t>
  </si>
  <si>
    <t>20</t>
  </si>
  <si>
    <t>567122114R00</t>
  </si>
  <si>
    <t>Podklad z kameniva zpev.cementem SC C8/10 tl.15 cm</t>
  </si>
  <si>
    <t>57</t>
  </si>
  <si>
    <t>Kryty pozemních komunikací, letišť a ploch z kameniva nebo živičné</t>
  </si>
  <si>
    <t>21</t>
  </si>
  <si>
    <t>577141112R00</t>
  </si>
  <si>
    <t>Beton asfalt. ACO 11+,nebo ACO 16+,do 3 m, tl.5 cm</t>
  </si>
  <si>
    <t>57_</t>
  </si>
  <si>
    <t>22</t>
  </si>
  <si>
    <t>577161224R00</t>
  </si>
  <si>
    <t>Beton asfalt. ACL 22 ložný, š. do 3 m, tl. 7 cm</t>
  </si>
  <si>
    <t>722</t>
  </si>
  <si>
    <t>Vnitřní vodovod</t>
  </si>
  <si>
    <t>23</t>
  </si>
  <si>
    <t>722175327R00</t>
  </si>
  <si>
    <t>Montáž trubního vystrojení šachty VŠ-1, včetně drobn. mont. materiálu</t>
  </si>
  <si>
    <t>kus</t>
  </si>
  <si>
    <t>722_</t>
  </si>
  <si>
    <t>72_</t>
  </si>
  <si>
    <t>767</t>
  </si>
  <si>
    <t>Konstrukce doplňkové stavební (zámečnické)</t>
  </si>
  <si>
    <t>24</t>
  </si>
  <si>
    <t>767822201R00</t>
  </si>
  <si>
    <t>Montáž žebříku na vstupu šachty VŠ-1, včetně dodávky</t>
  </si>
  <si>
    <t>767_</t>
  </si>
  <si>
    <t>76_</t>
  </si>
  <si>
    <t>85</t>
  </si>
  <si>
    <t>Potrubí z trub litinových</t>
  </si>
  <si>
    <t>25</t>
  </si>
  <si>
    <t>857242121R00</t>
  </si>
  <si>
    <t>Montáž tvarovek litin. jednoos.přír. výkop DN 50-80</t>
  </si>
  <si>
    <t>85_</t>
  </si>
  <si>
    <t>8_</t>
  </si>
  <si>
    <t>26</t>
  </si>
  <si>
    <t>857244121R00</t>
  </si>
  <si>
    <t>Montáž tvarovek litin. odboč. přír. výkop DN 50-80</t>
  </si>
  <si>
    <t>89</t>
  </si>
  <si>
    <t>Ostatní konstrukce</t>
  </si>
  <si>
    <t>27</t>
  </si>
  <si>
    <t>891211221R00</t>
  </si>
  <si>
    <t>Montáž vodovod. šoupátek šacht. kolečko DN 50</t>
  </si>
  <si>
    <t>89_</t>
  </si>
  <si>
    <t>28</t>
  </si>
  <si>
    <t>891231221R00</t>
  </si>
  <si>
    <t>Montáž vodovod. šoupátek šacht. kolečko DN 65</t>
  </si>
  <si>
    <t>29</t>
  </si>
  <si>
    <t>891231111R00</t>
  </si>
  <si>
    <t>Montáž vodovodních  šoupátek ve výkopu DN 65</t>
  </si>
  <si>
    <t>30</t>
  </si>
  <si>
    <t>891247111R00</t>
  </si>
  <si>
    <t>Montáž hydrantů podzemních DN 80</t>
  </si>
  <si>
    <t>31</t>
  </si>
  <si>
    <t>899401112R00</t>
  </si>
  <si>
    <t>Osazení poklopů litinových šoupátkových</t>
  </si>
  <si>
    <t>32</t>
  </si>
  <si>
    <t>899401113R00</t>
  </si>
  <si>
    <t>Osazení poklopů litinových hydrantových</t>
  </si>
  <si>
    <t>33</t>
  </si>
  <si>
    <t>892241111R00</t>
  </si>
  <si>
    <t>Tlaková zkouška vodovodního potrubí DN 65</t>
  </si>
  <si>
    <t>34</t>
  </si>
  <si>
    <t>892233111R00</t>
  </si>
  <si>
    <t>Desinfekce vodovodního potrubí DN 65</t>
  </si>
  <si>
    <t>35</t>
  </si>
  <si>
    <t>893242111R00</t>
  </si>
  <si>
    <t>Šachty armaturní beton, strop z dílců, do 4,50 m2 - VŠ-1</t>
  </si>
  <si>
    <t>36</t>
  </si>
  <si>
    <t>899101111R00</t>
  </si>
  <si>
    <t>Osazení poklopu s rámem do 50 kg</t>
  </si>
  <si>
    <t>37</t>
  </si>
  <si>
    <t>899713111R00</t>
  </si>
  <si>
    <t>Orientační tabulky na sloupku, včetně sloupku Dl. 2,5 m</t>
  </si>
  <si>
    <t>38</t>
  </si>
  <si>
    <t>899731113R00</t>
  </si>
  <si>
    <t>Vodič signalizační CYY 6 mm2 (nebo izolované lanko)</t>
  </si>
  <si>
    <t>91</t>
  </si>
  <si>
    <t>Doplňující konstrukce a práce na pozemních komunikacích a zpevněných plochách</t>
  </si>
  <si>
    <t>39</t>
  </si>
  <si>
    <t>919735114R00</t>
  </si>
  <si>
    <t>Řezání stávajícího živičného krytu tl. 15 - 20 cm</t>
  </si>
  <si>
    <t>91_</t>
  </si>
  <si>
    <t>9_</t>
  </si>
  <si>
    <t>40</t>
  </si>
  <si>
    <t>919721211R00</t>
  </si>
  <si>
    <t>Zálivka pracovních spár živičného krytu - horká</t>
  </si>
  <si>
    <t>93</t>
  </si>
  <si>
    <t>Různé dokončovací konstrukce a práce inženýrských staveb</t>
  </si>
  <si>
    <t>41</t>
  </si>
  <si>
    <t>931981015R00</t>
  </si>
  <si>
    <t>Těsnění trubních prostupů bentonit.páskou 20x5 mm</t>
  </si>
  <si>
    <t>93_</t>
  </si>
  <si>
    <t>97</t>
  </si>
  <si>
    <t>Prorážení otvorů a ostatní bourací práce</t>
  </si>
  <si>
    <t>42</t>
  </si>
  <si>
    <t>970051200R00</t>
  </si>
  <si>
    <t>Vrtání jádrové do ŽB do D 200 mm - prostupy do ATS Svahy + VŠ-1</t>
  </si>
  <si>
    <t>97_</t>
  </si>
  <si>
    <t>M22</t>
  </si>
  <si>
    <t>Montáže sdělovací a zabezpečovací techniky</t>
  </si>
  <si>
    <t>43</t>
  </si>
  <si>
    <t>220711115R00</t>
  </si>
  <si>
    <t>GSM telemetrická stanice dle tech. specifikace - průtok + přenos dat nové ATS ve VDJ Braun</t>
  </si>
  <si>
    <t>M22_</t>
  </si>
  <si>
    <t>M</t>
  </si>
  <si>
    <t>Ostatní materiál</t>
  </si>
  <si>
    <t>44</t>
  </si>
  <si>
    <t>286134325</t>
  </si>
  <si>
    <t>Trubka vodovodní PE100 RC-2 s ochr. vrstvou, SDR 11, PN 16, 75x6,8 mm</t>
  </si>
  <si>
    <t>0</t>
  </si>
  <si>
    <t>Z99999_</t>
  </si>
  <si>
    <t>Z_</t>
  </si>
  <si>
    <t>286538006</t>
  </si>
  <si>
    <t>Elektrotvarovka - spojka d75, SDR 11, PE 100</t>
  </si>
  <si>
    <t>46</t>
  </si>
  <si>
    <t>286538110</t>
  </si>
  <si>
    <t>Elektrotvarovka - koleno 45° d75, SDR 11, PN 16</t>
  </si>
  <si>
    <t>47</t>
  </si>
  <si>
    <t>28653765</t>
  </si>
  <si>
    <t>Nákružek lemový tlakový HDPE d75 mm + volná příruba DN 65</t>
  </si>
  <si>
    <t>48</t>
  </si>
  <si>
    <t>42227202</t>
  </si>
  <si>
    <t>Šoupátko přírubové DN 50 měkcetěsnící, F4, PN 10, č. 4000E1CZ</t>
  </si>
  <si>
    <t>49</t>
  </si>
  <si>
    <t>42227203</t>
  </si>
  <si>
    <t>Šoupátko přírubové DN 65 měkcetěsnící, F4, PN 10, č. 4000E1CZ</t>
  </si>
  <si>
    <t>50</t>
  </si>
  <si>
    <t>422736062</t>
  </si>
  <si>
    <t>Hydrant podzemní, jednoduché jištění, DN 80, PN 10, krytí 1250 mm. č. K244</t>
  </si>
  <si>
    <t>51</t>
  </si>
  <si>
    <t>42265500</t>
  </si>
  <si>
    <t>Zavzd. a odvz. souprava podz. mont., DN 80, PN 1-16, krytí 1,25 m, č.9822</t>
  </si>
  <si>
    <t>52</t>
  </si>
  <si>
    <t>38821400</t>
  </si>
  <si>
    <t>Vodoměr lopatk.prům.na st.vodu FLOSTAR-M, DN 40, Qn 16 m3/h, závit 2" + snímač CYBLE</t>
  </si>
  <si>
    <t>53</t>
  </si>
  <si>
    <t>42273531</t>
  </si>
  <si>
    <t>Pas navrtávací na potrubí PE d 75mm, záv. výst. 1", č. 5250</t>
  </si>
  <si>
    <t>54</t>
  </si>
  <si>
    <t>422122711</t>
  </si>
  <si>
    <t>Ventil odvzdušňovací automatický, závitové připojení 1", č. 9876</t>
  </si>
  <si>
    <t>55</t>
  </si>
  <si>
    <t>551100012</t>
  </si>
  <si>
    <t>Kohout kulový voda 1", páčka</t>
  </si>
  <si>
    <t>42200860</t>
  </si>
  <si>
    <t>Kolo ruční pro šoupátka DN 50 + DN 65</t>
  </si>
  <si>
    <t>422913305</t>
  </si>
  <si>
    <t>Souprava zemní teleskopická 1,3-1,8 m, pro šoupátka DN 65, č. 9500E1CZ</t>
  </si>
  <si>
    <t>58</t>
  </si>
  <si>
    <t>42291352</t>
  </si>
  <si>
    <t>Poklop litinový šoupátkový</t>
  </si>
  <si>
    <t>59</t>
  </si>
  <si>
    <t>42291452</t>
  </si>
  <si>
    <t>Poklop litinový hydrantový</t>
  </si>
  <si>
    <t>60</t>
  </si>
  <si>
    <t>Poklop litinový odvzdušňovací soupravy</t>
  </si>
  <si>
    <t>61</t>
  </si>
  <si>
    <t>592110050000</t>
  </si>
  <si>
    <t>Podkladní deska šoupatového poklopu</t>
  </si>
  <si>
    <t>62</t>
  </si>
  <si>
    <t>59227960</t>
  </si>
  <si>
    <t>Podkladní deska hydrantová</t>
  </si>
  <si>
    <t>63</t>
  </si>
  <si>
    <t>55258530</t>
  </si>
  <si>
    <t>Litinová tvarovka s přír. odbočkou "S2000", MMA d75/DN 65, č. 8525</t>
  </si>
  <si>
    <t>64</t>
  </si>
  <si>
    <t>552599932</t>
  </si>
  <si>
    <t>Litinová přírubová odbočka T DN 65/65, tvárná litina</t>
  </si>
  <si>
    <t>65</t>
  </si>
  <si>
    <t>5526009702</t>
  </si>
  <si>
    <t>Litinové přírubové koleno s patkou PP (N) DN 80, tvárná litina</t>
  </si>
  <si>
    <t>66</t>
  </si>
  <si>
    <t>552701043</t>
  </si>
  <si>
    <t>Litinový přírubový přechod RP (FFR) - DN 80x65, tvárná litina</t>
  </si>
  <si>
    <t>67</t>
  </si>
  <si>
    <t>55260046</t>
  </si>
  <si>
    <t>Příruba litinová s vnitřním závitem X, DN 50 závit 2"</t>
  </si>
  <si>
    <t>68</t>
  </si>
  <si>
    <t>55260050</t>
  </si>
  <si>
    <t>Příruba litinová s vnitřním závitem X, DN 65 závit 2"</t>
  </si>
  <si>
    <t>69</t>
  </si>
  <si>
    <t>27322613</t>
  </si>
  <si>
    <t>Těsnění ploché přírubových spojů DN 50</t>
  </si>
  <si>
    <t>70</t>
  </si>
  <si>
    <t>27322310</t>
  </si>
  <si>
    <t>Těsnění ploché přírubový spojů DN 65</t>
  </si>
  <si>
    <t>71</t>
  </si>
  <si>
    <t>27322311</t>
  </si>
  <si>
    <t>Těsnění ploché přírubových spojů DN 80</t>
  </si>
  <si>
    <t>72</t>
  </si>
  <si>
    <t>309001160000</t>
  </si>
  <si>
    <t>Šroub M16x60 mm + matice M16 nerez A2</t>
  </si>
  <si>
    <t>73</t>
  </si>
  <si>
    <t>311240220000</t>
  </si>
  <si>
    <t>Podložka nerez M16, A2</t>
  </si>
  <si>
    <t>74</t>
  </si>
  <si>
    <t>55244344</t>
  </si>
  <si>
    <t>Poklop studniční kompozit s větr. hlavicí 700x700</t>
  </si>
  <si>
    <t>75</t>
  </si>
  <si>
    <t>59224001</t>
  </si>
  <si>
    <t>Skruž šachtová TBS-Q 1000/500/90</t>
  </si>
  <si>
    <t>76</t>
  </si>
  <si>
    <t>58337320R</t>
  </si>
  <si>
    <t>Štěrkopísek nebo recyklát frakce 0-8</t>
  </si>
  <si>
    <t>T</t>
  </si>
  <si>
    <t>VORN</t>
  </si>
  <si>
    <t>Vedlejší a ostatní rozpočtové náklady</t>
  </si>
  <si>
    <t>01VRN</t>
  </si>
  <si>
    <t>Průzkumy, geodetické a projektové práce</t>
  </si>
  <si>
    <t>77</t>
  </si>
  <si>
    <t>012002VRN</t>
  </si>
  <si>
    <t>Geodetické práce - vytýčení a zaměření stavby, skutečné provedení</t>
  </si>
  <si>
    <t>Soubor</t>
  </si>
  <si>
    <t>RTS I / 2023</t>
  </si>
  <si>
    <t>99</t>
  </si>
  <si>
    <t>01VRN_</t>
  </si>
  <si>
    <t>Â _</t>
  </si>
  <si>
    <t>03VRN</t>
  </si>
  <si>
    <t>Zařízení staveniště</t>
  </si>
  <si>
    <t>78</t>
  </si>
  <si>
    <t>030001VRN</t>
  </si>
  <si>
    <t>03VRN_</t>
  </si>
  <si>
    <t>06VRN</t>
  </si>
  <si>
    <t>Územní vlivy</t>
  </si>
  <si>
    <t>79</t>
  </si>
  <si>
    <t>062002VRN</t>
  </si>
  <si>
    <t>Dopravní vlivy - dopravní opatření + DIO</t>
  </si>
  <si>
    <t>06VRN_</t>
  </si>
  <si>
    <t>Celkem:</t>
  </si>
  <si>
    <t>Poznámka:</t>
  </si>
  <si>
    <t>Výkaz výměr</t>
  </si>
  <si>
    <t>Objekt</t>
  </si>
  <si>
    <t>Potřebné množství</t>
  </si>
  <si>
    <t>2,0*1,0</t>
  </si>
  <si>
    <t>(14*2,0*1,0 + 4,0*3,0)*0,15</t>
  </si>
  <si>
    <t>(14*2,0*1,0*1,35 + 3,0*2,5*2,0)*0,4</t>
  </si>
  <si>
    <t>(14*2,0*1,0*1,35 + 3,0*2,5*2,0)*0,6</t>
  </si>
  <si>
    <t>3,0*1,0*1,5</t>
  </si>
  <si>
    <t>1142</t>
  </si>
  <si>
    <t>2,0*1,0*0,15</t>
  </si>
  <si>
    <t>2,0*1,0*0,15*2,5</t>
  </si>
  <si>
    <t>21,12+31,68-2,80-1,40</t>
  </si>
  <si>
    <t>14*2,0*1,0*0,1</t>
  </si>
  <si>
    <t>14*2,0*1,0 + 4,0*3,0</t>
  </si>
  <si>
    <t>(2,80+1,40)/0,20</t>
  </si>
  <si>
    <t>14*2,0*1,0*0,05</t>
  </si>
  <si>
    <t>2,80*2,40*0,15</t>
  </si>
  <si>
    <t>2*1,5</t>
  </si>
  <si>
    <t>1+2</t>
  </si>
  <si>
    <t>1200</t>
  </si>
  <si>
    <t>1+3</t>
  </si>
  <si>
    <t>16*4+6*8</t>
  </si>
  <si>
    <t>(16*4+6*8)*2</t>
  </si>
  <si>
    <t>2,80*1,8</t>
  </si>
  <si>
    <t>Krycí list slepého rozpočtu</t>
  </si>
  <si>
    <t>IČO/DIČ:</t>
  </si>
  <si>
    <t>00260096/CZ00260096</t>
  </si>
  <si>
    <t>61130494/CZ7305252306</t>
  </si>
  <si>
    <t>Položek: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</si>
  <si>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</si>
  <si>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</si>
  <si>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</si>
  <si>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</si>
  <si>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</si>
  <si>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</si>
  <si>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</si>
  <si>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</si>
  <si>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</si>
  <si>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</si>
  <si>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</si>
  <si>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Bez pevné podl.</t>
  </si>
  <si>
    <t>Mimostav. doprava</t>
  </si>
  <si>
    <t>PSV</t>
  </si>
  <si>
    <t>Kulturní památka</t>
  </si>
  <si>
    <t>Provozní vlivy</t>
  </si>
  <si>
    <t>"M"</t>
  </si>
  <si>
    <t>Ostatní</t>
  </si>
  <si>
    <t>NUS z rozpočtu</t>
  </si>
  <si>
    <t>Přesun hmot a sutí</t>
  </si>
  <si>
    <t>ZRN celkem</t>
  </si>
  <si>
    <t>DN celkem</t>
  </si>
  <si>
    <t>NUS celkem</t>
  </si>
  <si>
    <t>DN celkem z obj.</t>
  </si>
  <si>
    <t>NUS celkem z obj.</t>
  </si>
  <si>
    <t>VORN celkem</t>
  </si>
  <si>
    <t>VORN celkem z obj.</t>
  </si>
  <si>
    <t>Základ 0%</t>
  </si>
  <si>
    <t>Základ 12%</t>
  </si>
  <si>
    <t>DPH 12%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</si>
  <si>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</si>
  <si>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</si>
  <si>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</si>
  <si>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</si>
  <si>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</si>
  <si>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</si>
  <si>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</si>
  <si>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</si>
  <si>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Vedlejší rozpočtové náklady VRN</t>
  </si>
  <si>
    <t>Doplňkové náklady DN</t>
  </si>
  <si>
    <t>Kč</t>
  </si>
  <si>
    <t>%</t>
  </si>
  <si>
    <t>Základna</t>
  </si>
  <si>
    <t>Celkem DN</t>
  </si>
  <si>
    <t>Celkem NUS</t>
  </si>
  <si>
    <t>Celkem VRN</t>
  </si>
  <si>
    <t>Vedlejší a ostatní rozpočtové náklady VORN</t>
  </si>
  <si>
    <t>Ostatní rozpočtové náklady (VORN)</t>
  </si>
  <si>
    <t>Příprava staveniště</t>
  </si>
  <si>
    <t>Inženýrské činnosti</t>
  </si>
  <si>
    <t>Finanční náklady</t>
  </si>
  <si>
    <t>Náklady na pracovníky</t>
  </si>
  <si>
    <t>Ostatní náklady</t>
  </si>
  <si>
    <t>Vlastní VORN</t>
  </si>
  <si>
    <t>Celkem VORN</t>
  </si>
</sst>
</file>

<file path=xl/styles.xml><?xml version="1.0" encoding="utf-8"?>
<styleSheet xmlns="http://schemas.openxmlformats.org/spreadsheetml/2006/main">
  <numFmts count="0"/>
  <fonts count="11">
    <font>
      <sz val="11"/>
      <name val="Calibri"/>
      <charset val="1"/>
    </font>
    <font>
      <color rgb="FF000000"/>
      <sz val="18"/>
      <name val="Arial"/>
      <charset val="238"/>
    </font>
    <font>
      <color rgb="FF000000"/>
      <sz val="10"/>
      <name val="Arial"/>
      <charset val="238"/>
      <b/>
    </font>
    <font>
      <color rgb="FF000000"/>
      <sz val="10"/>
      <name val="Arial"/>
      <charset val="238"/>
    </font>
    <font>
      <color rgb="FF000000"/>
      <sz val="8"/>
      <name val="Arial"/>
      <charset val="238"/>
      <i/>
    </font>
    <font>
      <color rgb="FF000000"/>
      <sz val="9"/>
      <name val="Arial"/>
      <charset val="238"/>
      <i/>
    </font>
    <font>
      <color rgb="FF000000"/>
      <sz val="18"/>
      <name val="Arial"/>
      <charset val="238"/>
      <b/>
    </font>
    <font>
      <color rgb="FF000000"/>
      <sz val="20"/>
      <name val="Arial"/>
      <charset val="238"/>
      <b/>
    </font>
    <font>
      <color rgb="FF000000"/>
      <sz val="11"/>
      <name val="Arial"/>
      <charset val="238"/>
      <b/>
    </font>
    <font>
      <color rgb="FF000000"/>
      <sz val="12"/>
      <name val="Arial"/>
      <charset val="238"/>
      <b/>
    </font>
    <font>
      <color rgb="FF000000"/>
      <sz val="12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8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borderId="0" fillId="0" fontId="0" numFmtId="0"/>
  </cellStyleXfs>
  <cellXfs count="15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3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4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5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8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1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1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2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3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4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5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6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7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8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9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0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2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3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4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4" fillId="0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8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9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0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1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5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5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3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3" numFmtId="1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1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2" fillId="2" fontId="7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0" fontId="8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0" fontId="8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5" fillId="2" fontId="7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0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2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3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4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5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3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4" fillId="0" fontId="10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5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5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6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7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2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8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2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0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1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2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3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4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5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6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7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8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0" fontId="4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2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4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4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5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9" fillId="0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9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9" numFmtId="0" xfId="0">
      <alignment horizontal="right" vertical="center" textRotation="0" shrinkToFit="false" wrapText="false"/>
      <protection hidden="false" locked="true"/>
    </xf>
  </cellXfs>
  <dxfs count="0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2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3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4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BX116"/>
  <sheetViews>
    <sheetView workbookViewId="0" tabSelected="true" showZeros="true" showFormulas="false" showGridLines="true" showRowColHeaders="true">
      <pane topLeftCell="A12" state="frozen" activePane="bottomLeft" ySplit="11"/>
      <selection pane="bottomLeft" sqref="A116:K116" activeCell="A116"/>
    </sheetView>
  </sheetViews>
  <sheetFormatPr defaultColWidth="12.140625" customHeight="true" defaultRowHeight="15"/>
  <cols>
    <col max="1" min="1" style="0" width="3.99609375" customWidth="true"/>
    <col max="2" min="2" style="0" width="17.85546875" customWidth="true"/>
    <col max="3" min="3" style="0" width="28.5703125" customWidth="true"/>
    <col max="4" min="4" style="0" width="35.7109375" customWidth="true"/>
    <col max="5" min="5" style="0" width="6.7109375" customWidth="true"/>
    <col max="6" min="6" style="0" width="12.85546875" customWidth="true"/>
    <col max="7" min="7" style="0" width="12" customWidth="true"/>
    <col max="10" min="8" style="0" width="15.7109375" customWidth="true"/>
    <col max="11" min="11" style="0" width="13.42578125" customWidth="true"/>
    <col max="75" min="25" style="0" width="12.140625" hidden="true"/>
    <col max="76" min="76" style="0" width="64.28515625" customWidth="true" hidden="true"/>
    <col max="78" min="77" style="0" width="12.140625" hidden="true"/>
  </cols>
  <sheetData>
    <row r="1" customHeight="true" ht="54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S1" s="2">
        <f>SUM(AJ1:AJ2)</f>
      </c>
      <c r="AT1" s="2">
        <f>SUM(AK1:AK2)</f>
      </c>
      <c r="AU1" s="2">
        <f>SUM(AL1:AL2)</f>
      </c>
    </row>
    <row r="2">
      <c r="A2" s="3" t="s">
        <v>1</v>
      </c>
      <c r="B2" s="4"/>
      <c r="C2" s="5" t="s">
        <v>2</v>
      </c>
      <c r="D2" s="6"/>
      <c r="E2" s="4" t="s">
        <v>3</v>
      </c>
      <c r="F2" s="4"/>
      <c r="G2" s="4" t="s">
        <v>4</v>
      </c>
      <c r="H2" s="7" t="s">
        <v>5</v>
      </c>
      <c r="I2" s="7" t="s">
        <v>6</v>
      </c>
      <c r="J2" s="4"/>
      <c r="K2" s="8"/>
    </row>
    <row r="3">
      <c r="A3" s="9"/>
      <c r="B3" s="10"/>
      <c r="C3" s="11"/>
      <c r="D3" s="11"/>
      <c r="E3" s="10"/>
      <c r="F3" s="10"/>
      <c r="G3" s="10"/>
      <c r="H3" s="10"/>
      <c r="I3" s="10"/>
      <c r="J3" s="10"/>
      <c r="K3" s="12"/>
    </row>
    <row r="4">
      <c r="A4" s="13" t="s">
        <v>7</v>
      </c>
      <c r="B4" s="10"/>
      <c r="C4" s="14" t="s">
        <v>8</v>
      </c>
      <c r="D4" s="10"/>
      <c r="E4" s="10" t="s">
        <v>9</v>
      </c>
      <c r="F4" s="10"/>
      <c r="G4" s="10" t="s">
        <v>10</v>
      </c>
      <c r="H4" s="14" t="s">
        <v>11</v>
      </c>
      <c r="I4" s="14" t="s">
        <v>12</v>
      </c>
      <c r="J4" s="10"/>
      <c r="K4" s="12"/>
    </row>
    <row r="5">
      <c r="A5" s="9"/>
      <c r="B5" s="10"/>
      <c r="C5" s="10"/>
      <c r="D5" s="10"/>
      <c r="E5" s="10"/>
      <c r="F5" s="10"/>
      <c r="G5" s="10"/>
      <c r="H5" s="10"/>
      <c r="I5" s="10"/>
      <c r="J5" s="10"/>
      <c r="K5" s="12"/>
    </row>
    <row r="6">
      <c r="A6" s="13" t="s">
        <v>13</v>
      </c>
      <c r="B6" s="10"/>
      <c r="C6" s="14" t="s">
        <v>14</v>
      </c>
      <c r="D6" s="10"/>
      <c r="E6" s="10" t="s">
        <v>15</v>
      </c>
      <c r="F6" s="10"/>
      <c r="G6" s="10" t="s">
        <v>16</v>
      </c>
      <c r="H6" s="14" t="s">
        <v>17</v>
      </c>
      <c r="I6" s="10" t="s">
        <v>18</v>
      </c>
      <c r="J6" s="10"/>
      <c r="K6" s="12"/>
    </row>
    <row r="7">
      <c r="A7" s="9"/>
      <c r="B7" s="10"/>
      <c r="C7" s="10"/>
      <c r="D7" s="10"/>
      <c r="E7" s="10"/>
      <c r="F7" s="10"/>
      <c r="G7" s="10"/>
      <c r="H7" s="10"/>
      <c r="I7" s="10"/>
      <c r="J7" s="10"/>
      <c r="K7" s="12"/>
    </row>
    <row r="8">
      <c r="A8" s="13" t="s">
        <v>19</v>
      </c>
      <c r="B8" s="10"/>
      <c r="C8" s="14" t="s">
        <v>20</v>
      </c>
      <c r="D8" s="10"/>
      <c r="E8" s="10" t="s">
        <v>21</v>
      </c>
      <c r="F8" s="10"/>
      <c r="G8" s="10" t="s">
        <v>22</v>
      </c>
      <c r="H8" s="14" t="s">
        <v>23</v>
      </c>
      <c r="I8" s="14" t="s">
        <v>24</v>
      </c>
      <c r="J8" s="10"/>
      <c r="K8" s="12"/>
    </row>
    <row r="9">
      <c r="A9" s="15"/>
      <c r="B9" s="16"/>
      <c r="C9" s="16"/>
      <c r="D9" s="16"/>
      <c r="E9" s="16"/>
      <c r="F9" s="16"/>
      <c r="G9" s="16"/>
      <c r="H9" s="16"/>
      <c r="I9" s="16"/>
      <c r="J9" s="16"/>
      <c r="K9" s="17"/>
    </row>
    <row r="10">
      <c r="A10" s="18" t="s">
        <v>25</v>
      </c>
      <c r="B10" s="19" t="s">
        <v>26</v>
      </c>
      <c r="C10" s="20" t="s">
        <v>27</v>
      </c>
      <c r="D10" s="21"/>
      <c r="E10" s="19" t="s">
        <v>28</v>
      </c>
      <c r="F10" s="22" t="s">
        <v>29</v>
      </c>
      <c r="G10" s="23" t="s">
        <v>30</v>
      </c>
      <c r="H10" s="24" t="s">
        <v>31</v>
      </c>
      <c r="I10" s="25"/>
      <c r="J10" s="26"/>
      <c r="K10" s="27" t="s">
        <v>32</v>
      </c>
      <c r="BK10" s="28" t="s">
        <v>33</v>
      </c>
      <c r="BL10" s="29" t="s">
        <v>34</v>
      </c>
      <c r="BW10" s="29" t="s">
        <v>35</v>
      </c>
    </row>
    <row r="11">
      <c r="A11" s="30" t="s">
        <v>36</v>
      </c>
      <c r="B11" s="31" t="s">
        <v>36</v>
      </c>
      <c r="C11" s="32" t="s">
        <v>37</v>
      </c>
      <c r="D11" s="33"/>
      <c r="E11" s="31" t="s">
        <v>36</v>
      </c>
      <c r="F11" s="31" t="s">
        <v>36</v>
      </c>
      <c r="G11" s="34" t="s">
        <v>38</v>
      </c>
      <c r="H11" s="35" t="s">
        <v>39</v>
      </c>
      <c r="I11" s="36" t="s">
        <v>40</v>
      </c>
      <c r="J11" s="37" t="s">
        <v>41</v>
      </c>
      <c r="K11" s="38" t="s">
        <v>42</v>
      </c>
      <c r="Z11" s="28" t="s">
        <v>43</v>
      </c>
      <c r="AA11" s="28" t="s">
        <v>44</v>
      </c>
      <c r="AB11" s="28" t="s">
        <v>45</v>
      </c>
      <c r="AC11" s="28" t="s">
        <v>46</v>
      </c>
      <c r="AD11" s="28" t="s">
        <v>47</v>
      </c>
      <c r="AE11" s="28" t="s">
        <v>48</v>
      </c>
      <c r="AF11" s="28" t="s">
        <v>49</v>
      </c>
      <c r="AG11" s="28" t="s">
        <v>50</v>
      </c>
      <c r="AH11" s="28" t="s">
        <v>51</v>
      </c>
      <c r="BH11" s="28" t="s">
        <v>52</v>
      </c>
      <c r="BI11" s="28" t="s">
        <v>53</v>
      </c>
      <c r="BJ11" s="28" t="s">
        <v>54</v>
      </c>
    </row>
    <row r="12">
      <c r="A12" s="39" t="s">
        <v>55</v>
      </c>
      <c r="B12" s="40" t="s">
        <v>56</v>
      </c>
      <c r="C12" s="41" t="s">
        <v>57</v>
      </c>
      <c r="D12" s="40"/>
      <c r="E12" s="42" t="s">
        <v>36</v>
      </c>
      <c r="F12" s="42" t="s">
        <v>36</v>
      </c>
      <c r="G12" s="42" t="s">
        <v>36</v>
      </c>
      <c r="H12" s="43">
        <f>SUM(H13:H16)</f>
      </c>
      <c r="I12" s="43">
        <f>SUM(I13:I16)</f>
      </c>
      <c r="J12" s="43">
        <f>SUM(J13:J16)</f>
      </c>
      <c r="K12" s="44" t="s">
        <v>55</v>
      </c>
      <c r="AI12" s="28" t="s">
        <v>55</v>
      </c>
      <c r="AS12" s="2">
        <f>SUM(AJ13:AJ16)</f>
      </c>
      <c r="AT12" s="2">
        <f>SUM(AK13:AK16)</f>
      </c>
      <c r="AU12" s="2">
        <f>SUM(AL13:AL16)</f>
      </c>
    </row>
    <row r="13">
      <c r="A13" s="9" t="s">
        <v>58</v>
      </c>
      <c r="B13" s="10" t="s">
        <v>59</v>
      </c>
      <c r="C13" s="14" t="s">
        <v>60</v>
      </c>
      <c r="D13" s="10"/>
      <c r="E13" s="10" t="s">
        <v>61</v>
      </c>
      <c r="F13" s="45" t="n">
        <v>8</v>
      </c>
      <c r="G13" s="45" t="n">
        <v>0</v>
      </c>
      <c r="H13" s="45">
        <f>F13*AO13</f>
      </c>
      <c r="I13" s="45">
        <f>F13*AP13</f>
      </c>
      <c r="J13" s="45">
        <f>F13*G13</f>
      </c>
      <c r="K13" s="46" t="s">
        <v>62</v>
      </c>
      <c r="Z13" s="45">
        <f>IF(AQ13="5",BJ13,0)</f>
      </c>
      <c r="AB13" s="45">
        <f>IF(AQ13="1",BH13,0)</f>
      </c>
      <c r="AC13" s="45">
        <f>IF(AQ13="1",BI13,0)</f>
      </c>
      <c r="AD13" s="45">
        <f>IF(AQ13="7",BH13,0)</f>
      </c>
      <c r="AE13" s="45">
        <f>IF(AQ13="7",BI13,0)</f>
      </c>
      <c r="AF13" s="45">
        <f>IF(AQ13="2",BH13,0)</f>
      </c>
      <c r="AG13" s="45">
        <f>IF(AQ13="2",BI13,0)</f>
      </c>
      <c r="AH13" s="45">
        <f>IF(AQ13="0",BJ13,0)</f>
      </c>
      <c r="AI13" s="28" t="s">
        <v>55</v>
      </c>
      <c r="AJ13" s="45">
        <f>IF(AN13=0,J13,0)</f>
      </c>
      <c r="AK13" s="45">
        <f>IF(AN13=12,J13,0)</f>
      </c>
      <c r="AL13" s="45">
        <f>IF(AN13=21,J13,0)</f>
      </c>
      <c r="AN13" s="45" t="n">
        <v>21</v>
      </c>
      <c r="AO13" s="45">
        <f>G13*0</f>
      </c>
      <c r="AP13" s="45">
        <f>G13*(1-0)</f>
      </c>
      <c r="AQ13" s="47" t="s">
        <v>58</v>
      </c>
      <c r="AV13" s="45">
        <f>AW13+AX13</f>
      </c>
      <c r="AW13" s="45">
        <f>F13*AO13</f>
      </c>
      <c r="AX13" s="45">
        <f>F13*AP13</f>
      </c>
      <c r="AY13" s="47" t="s">
        <v>63</v>
      </c>
      <c r="AZ13" s="47" t="s">
        <v>64</v>
      </c>
      <c r="BA13" s="28" t="s">
        <v>65</v>
      </c>
      <c r="BC13" s="45">
        <f>AW13+AX13</f>
      </c>
      <c r="BD13" s="45">
        <f>G13/(100-BE13)*100</f>
      </c>
      <c r="BE13" s="45" t="n">
        <v>0</v>
      </c>
      <c r="BF13" s="45">
        <f>13</f>
      </c>
      <c r="BH13" s="45">
        <f>F13*AO13</f>
      </c>
      <c r="BI13" s="45">
        <f>F13*AP13</f>
      </c>
      <c r="BJ13" s="45">
        <f>F13*G13</f>
      </c>
      <c r="BK13" s="45"/>
      <c r="BL13" s="45" t="n">
        <v>11</v>
      </c>
      <c r="BW13" s="45" t="n">
        <v>21</v>
      </c>
      <c r="BX13" s="14" t="s">
        <v>60</v>
      </c>
    </row>
    <row r="14">
      <c r="A14" s="9" t="s">
        <v>66</v>
      </c>
      <c r="B14" s="10" t="s">
        <v>67</v>
      </c>
      <c r="C14" s="14" t="s">
        <v>68</v>
      </c>
      <c r="D14" s="10"/>
      <c r="E14" s="10" t="s">
        <v>69</v>
      </c>
      <c r="F14" s="45" t="n">
        <v>3</v>
      </c>
      <c r="G14" s="45" t="n">
        <v>0</v>
      </c>
      <c r="H14" s="45">
        <f>F14*AO14</f>
      </c>
      <c r="I14" s="45">
        <f>F14*AP14</f>
      </c>
      <c r="J14" s="45">
        <f>F14*G14</f>
      </c>
      <c r="K14" s="46" t="s">
        <v>62</v>
      </c>
      <c r="Z14" s="45">
        <f>IF(AQ14="5",BJ14,0)</f>
      </c>
      <c r="AB14" s="45">
        <f>IF(AQ14="1",BH14,0)</f>
      </c>
      <c r="AC14" s="45">
        <f>IF(AQ14="1",BI14,0)</f>
      </c>
      <c r="AD14" s="45">
        <f>IF(AQ14="7",BH14,0)</f>
      </c>
      <c r="AE14" s="45">
        <f>IF(AQ14="7",BI14,0)</f>
      </c>
      <c r="AF14" s="45">
        <f>IF(AQ14="2",BH14,0)</f>
      </c>
      <c r="AG14" s="45">
        <f>IF(AQ14="2",BI14,0)</f>
      </c>
      <c r="AH14" s="45">
        <f>IF(AQ14="0",BJ14,0)</f>
      </c>
      <c r="AI14" s="28" t="s">
        <v>55</v>
      </c>
      <c r="AJ14" s="45">
        <f>IF(AN14=0,J14,0)</f>
      </c>
      <c r="AK14" s="45">
        <f>IF(AN14=12,J14,0)</f>
      </c>
      <c r="AL14" s="45">
        <f>IF(AN14=21,J14,0)</f>
      </c>
      <c r="AN14" s="45" t="n">
        <v>21</v>
      </c>
      <c r="AO14" s="45">
        <f>G14*0.244002525</f>
      </c>
      <c r="AP14" s="45">
        <f>G14*(1-0.244002525)</f>
      </c>
      <c r="AQ14" s="47" t="s">
        <v>58</v>
      </c>
      <c r="AV14" s="45">
        <f>AW14+AX14</f>
      </c>
      <c r="AW14" s="45">
        <f>F14*AO14</f>
      </c>
      <c r="AX14" s="45">
        <f>F14*AP14</f>
      </c>
      <c r="AY14" s="47" t="s">
        <v>63</v>
      </c>
      <c r="AZ14" s="47" t="s">
        <v>64</v>
      </c>
      <c r="BA14" s="28" t="s">
        <v>65</v>
      </c>
      <c r="BC14" s="45">
        <f>AW14+AX14</f>
      </c>
      <c r="BD14" s="45">
        <f>G14/(100-BE14)*100</f>
      </c>
      <c r="BE14" s="45" t="n">
        <v>0</v>
      </c>
      <c r="BF14" s="45">
        <f>14</f>
      </c>
      <c r="BH14" s="45">
        <f>F14*AO14</f>
      </c>
      <c r="BI14" s="45">
        <f>F14*AP14</f>
      </c>
      <c r="BJ14" s="45">
        <f>F14*G14</f>
      </c>
      <c r="BK14" s="45"/>
      <c r="BL14" s="45" t="n">
        <v>11</v>
      </c>
      <c r="BW14" s="45" t="n">
        <v>21</v>
      </c>
      <c r="BX14" s="14" t="s">
        <v>68</v>
      </c>
    </row>
    <row r="15">
      <c r="A15" s="9" t="s">
        <v>70</v>
      </c>
      <c r="B15" s="10" t="s">
        <v>71</v>
      </c>
      <c r="C15" s="14" t="s">
        <v>72</v>
      </c>
      <c r="D15" s="10"/>
      <c r="E15" s="10" t="s">
        <v>69</v>
      </c>
      <c r="F15" s="45" t="n">
        <v>3</v>
      </c>
      <c r="G15" s="45" t="n">
        <v>0</v>
      </c>
      <c r="H15" s="45">
        <f>F15*AO15</f>
      </c>
      <c r="I15" s="45">
        <f>F15*AP15</f>
      </c>
      <c r="J15" s="45">
        <f>F15*G15</f>
      </c>
      <c r="K15" s="46" t="s">
        <v>62</v>
      </c>
      <c r="Z15" s="45">
        <f>IF(AQ15="5",BJ15,0)</f>
      </c>
      <c r="AB15" s="45">
        <f>IF(AQ15="1",BH15,0)</f>
      </c>
      <c r="AC15" s="45">
        <f>IF(AQ15="1",BI15,0)</f>
      </c>
      <c r="AD15" s="45">
        <f>IF(AQ15="7",BH15,0)</f>
      </c>
      <c r="AE15" s="45">
        <f>IF(AQ15="7",BI15,0)</f>
      </c>
      <c r="AF15" s="45">
        <f>IF(AQ15="2",BH15,0)</f>
      </c>
      <c r="AG15" s="45">
        <f>IF(AQ15="2",BI15,0)</f>
      </c>
      <c r="AH15" s="45">
        <f>IF(AQ15="0",BJ15,0)</f>
      </c>
      <c r="AI15" s="28" t="s">
        <v>55</v>
      </c>
      <c r="AJ15" s="45">
        <f>IF(AN15=0,J15,0)</f>
      </c>
      <c r="AK15" s="45">
        <f>IF(AN15=12,J15,0)</f>
      </c>
      <c r="AL15" s="45">
        <f>IF(AN15=21,J15,0)</f>
      </c>
      <c r="AN15" s="45" t="n">
        <v>21</v>
      </c>
      <c r="AO15" s="45">
        <f>G15*0.278084053</f>
      </c>
      <c r="AP15" s="45">
        <f>G15*(1-0.278084053)</f>
      </c>
      <c r="AQ15" s="47" t="s">
        <v>58</v>
      </c>
      <c r="AV15" s="45">
        <f>AW15+AX15</f>
      </c>
      <c r="AW15" s="45">
        <f>F15*AO15</f>
      </c>
      <c r="AX15" s="45">
        <f>F15*AP15</f>
      </c>
      <c r="AY15" s="47" t="s">
        <v>63</v>
      </c>
      <c r="AZ15" s="47" t="s">
        <v>64</v>
      </c>
      <c r="BA15" s="28" t="s">
        <v>65</v>
      </c>
      <c r="BC15" s="45">
        <f>AW15+AX15</f>
      </c>
      <c r="BD15" s="45">
        <f>G15/(100-BE15)*100</f>
      </c>
      <c r="BE15" s="45" t="n">
        <v>0</v>
      </c>
      <c r="BF15" s="45">
        <f>15</f>
      </c>
      <c r="BH15" s="45">
        <f>F15*AO15</f>
      </c>
      <c r="BI15" s="45">
        <f>F15*AP15</f>
      </c>
      <c r="BJ15" s="45">
        <f>F15*G15</f>
      </c>
      <c r="BK15" s="45"/>
      <c r="BL15" s="45" t="n">
        <v>11</v>
      </c>
      <c r="BW15" s="45" t="n">
        <v>21</v>
      </c>
      <c r="BX15" s="14" t="s">
        <v>72</v>
      </c>
    </row>
    <row r="16">
      <c r="A16" s="9" t="s">
        <v>73</v>
      </c>
      <c r="B16" s="10" t="s">
        <v>74</v>
      </c>
      <c r="C16" s="14" t="s">
        <v>75</v>
      </c>
      <c r="D16" s="10"/>
      <c r="E16" s="10" t="s">
        <v>76</v>
      </c>
      <c r="F16" s="45" t="n">
        <v>2</v>
      </c>
      <c r="G16" s="45" t="n">
        <v>0</v>
      </c>
      <c r="H16" s="45">
        <f>F16*AO16</f>
      </c>
      <c r="I16" s="45">
        <f>F16*AP16</f>
      </c>
      <c r="J16" s="45">
        <f>F16*G16</f>
      </c>
      <c r="K16" s="46" t="s">
        <v>62</v>
      </c>
      <c r="Z16" s="45">
        <f>IF(AQ16="5",BJ16,0)</f>
      </c>
      <c r="AB16" s="45">
        <f>IF(AQ16="1",BH16,0)</f>
      </c>
      <c r="AC16" s="45">
        <f>IF(AQ16="1",BI16,0)</f>
      </c>
      <c r="AD16" s="45">
        <f>IF(AQ16="7",BH16,0)</f>
      </c>
      <c r="AE16" s="45">
        <f>IF(AQ16="7",BI16,0)</f>
      </c>
      <c r="AF16" s="45">
        <f>IF(AQ16="2",BH16,0)</f>
      </c>
      <c r="AG16" s="45">
        <f>IF(AQ16="2",BI16,0)</f>
      </c>
      <c r="AH16" s="45">
        <f>IF(AQ16="0",BJ16,0)</f>
      </c>
      <c r="AI16" s="28" t="s">
        <v>55</v>
      </c>
      <c r="AJ16" s="45">
        <f>IF(AN16=0,J16,0)</f>
      </c>
      <c r="AK16" s="45">
        <f>IF(AN16=12,J16,0)</f>
      </c>
      <c r="AL16" s="45">
        <f>IF(AN16=21,J16,0)</f>
      </c>
      <c r="AN16" s="45" t="n">
        <v>21</v>
      </c>
      <c r="AO16" s="45">
        <f>G16*0</f>
      </c>
      <c r="AP16" s="45">
        <f>G16*(1-0)</f>
      </c>
      <c r="AQ16" s="47" t="s">
        <v>58</v>
      </c>
      <c r="AV16" s="45">
        <f>AW16+AX16</f>
      </c>
      <c r="AW16" s="45">
        <f>F16*AO16</f>
      </c>
      <c r="AX16" s="45">
        <f>F16*AP16</f>
      </c>
      <c r="AY16" s="47" t="s">
        <v>63</v>
      </c>
      <c r="AZ16" s="47" t="s">
        <v>64</v>
      </c>
      <c r="BA16" s="28" t="s">
        <v>65</v>
      </c>
      <c r="BC16" s="45">
        <f>AW16+AX16</f>
      </c>
      <c r="BD16" s="45">
        <f>G16/(100-BE16)*100</f>
      </c>
      <c r="BE16" s="45" t="n">
        <v>0</v>
      </c>
      <c r="BF16" s="45">
        <f>16</f>
      </c>
      <c r="BH16" s="45">
        <f>F16*AO16</f>
      </c>
      <c r="BI16" s="45">
        <f>F16*AP16</f>
      </c>
      <c r="BJ16" s="45">
        <f>F16*G16</f>
      </c>
      <c r="BK16" s="45"/>
      <c r="BL16" s="45" t="n">
        <v>11</v>
      </c>
      <c r="BW16" s="45" t="n">
        <v>21</v>
      </c>
      <c r="BX16" s="14" t="s">
        <v>75</v>
      </c>
    </row>
    <row r="17">
      <c r="A17" s="48" t="s">
        <v>55</v>
      </c>
      <c r="B17" s="49" t="s">
        <v>77</v>
      </c>
      <c r="C17" s="50" t="s">
        <v>78</v>
      </c>
      <c r="D17" s="49"/>
      <c r="E17" s="51" t="s">
        <v>36</v>
      </c>
      <c r="F17" s="51" t="s">
        <v>36</v>
      </c>
      <c r="G17" s="51" t="s">
        <v>36</v>
      </c>
      <c r="H17" s="2">
        <f>SUM(H18:H18)</f>
      </c>
      <c r="I17" s="2">
        <f>SUM(I18:I18)</f>
      </c>
      <c r="J17" s="2">
        <f>SUM(J18:J18)</f>
      </c>
      <c r="K17" s="52" t="s">
        <v>55</v>
      </c>
      <c r="AI17" s="28" t="s">
        <v>55</v>
      </c>
      <c r="AS17" s="2">
        <f>SUM(AJ18:AJ18)</f>
      </c>
      <c r="AT17" s="2">
        <f>SUM(AK18:AK18)</f>
      </c>
      <c r="AU17" s="2">
        <f>SUM(AL18:AL18)</f>
      </c>
    </row>
    <row r="18">
      <c r="A18" s="9" t="s">
        <v>79</v>
      </c>
      <c r="B18" s="10" t="s">
        <v>80</v>
      </c>
      <c r="C18" s="14" t="s">
        <v>81</v>
      </c>
      <c r="D18" s="10"/>
      <c r="E18" s="10" t="s">
        <v>82</v>
      </c>
      <c r="F18" s="45" t="n">
        <v>6</v>
      </c>
      <c r="G18" s="45" t="n">
        <v>0</v>
      </c>
      <c r="H18" s="45">
        <f>F18*AO18</f>
      </c>
      <c r="I18" s="45">
        <f>F18*AP18</f>
      </c>
      <c r="J18" s="45">
        <f>F18*G18</f>
      </c>
      <c r="K18" s="46" t="s">
        <v>62</v>
      </c>
      <c r="Z18" s="45">
        <f>IF(AQ18="5",BJ18,0)</f>
      </c>
      <c r="AB18" s="45">
        <f>IF(AQ18="1",BH18,0)</f>
      </c>
      <c r="AC18" s="45">
        <f>IF(AQ18="1",BI18,0)</f>
      </c>
      <c r="AD18" s="45">
        <f>IF(AQ18="7",BH18,0)</f>
      </c>
      <c r="AE18" s="45">
        <f>IF(AQ18="7",BI18,0)</f>
      </c>
      <c r="AF18" s="45">
        <f>IF(AQ18="2",BH18,0)</f>
      </c>
      <c r="AG18" s="45">
        <f>IF(AQ18="2",BI18,0)</f>
      </c>
      <c r="AH18" s="45">
        <f>IF(AQ18="0",BJ18,0)</f>
      </c>
      <c r="AI18" s="28" t="s">
        <v>55</v>
      </c>
      <c r="AJ18" s="45">
        <f>IF(AN18=0,J18,0)</f>
      </c>
      <c r="AK18" s="45">
        <f>IF(AN18=12,J18,0)</f>
      </c>
      <c r="AL18" s="45">
        <f>IF(AN18=21,J18,0)</f>
      </c>
      <c r="AN18" s="45" t="n">
        <v>21</v>
      </c>
      <c r="AO18" s="45">
        <f>G18*0</f>
      </c>
      <c r="AP18" s="45">
        <f>G18*(1-0)</f>
      </c>
      <c r="AQ18" s="47" t="s">
        <v>58</v>
      </c>
      <c r="AV18" s="45">
        <f>AW18+AX18</f>
      </c>
      <c r="AW18" s="45">
        <f>F18*AO18</f>
      </c>
      <c r="AX18" s="45">
        <f>F18*AP18</f>
      </c>
      <c r="AY18" s="47" t="s">
        <v>83</v>
      </c>
      <c r="AZ18" s="47" t="s">
        <v>64</v>
      </c>
      <c r="BA18" s="28" t="s">
        <v>65</v>
      </c>
      <c r="BC18" s="45">
        <f>AW18+AX18</f>
      </c>
      <c r="BD18" s="45">
        <f>G18/(100-BE18)*100</f>
      </c>
      <c r="BE18" s="45" t="n">
        <v>0</v>
      </c>
      <c r="BF18" s="45">
        <f>18</f>
      </c>
      <c r="BH18" s="45">
        <f>F18*AO18</f>
      </c>
      <c r="BI18" s="45">
        <f>F18*AP18</f>
      </c>
      <c r="BJ18" s="45">
        <f>F18*G18</f>
      </c>
      <c r="BK18" s="45"/>
      <c r="BL18" s="45" t="n">
        <v>12</v>
      </c>
      <c r="BW18" s="45" t="n">
        <v>21</v>
      </c>
      <c r="BX18" s="14" t="s">
        <v>81</v>
      </c>
    </row>
    <row r="19">
      <c r="A19" s="48" t="s">
        <v>55</v>
      </c>
      <c r="B19" s="49" t="s">
        <v>84</v>
      </c>
      <c r="C19" s="50" t="s">
        <v>85</v>
      </c>
      <c r="D19" s="49"/>
      <c r="E19" s="51" t="s">
        <v>36</v>
      </c>
      <c r="F19" s="51" t="s">
        <v>36</v>
      </c>
      <c r="G19" s="51" t="s">
        <v>36</v>
      </c>
      <c r="H19" s="2">
        <f>SUM(H20:H22)</f>
      </c>
      <c r="I19" s="2">
        <f>SUM(I20:I22)</f>
      </c>
      <c r="J19" s="2">
        <f>SUM(J20:J22)</f>
      </c>
      <c r="K19" s="52" t="s">
        <v>55</v>
      </c>
      <c r="AI19" s="28" t="s">
        <v>55</v>
      </c>
      <c r="AS19" s="2">
        <f>SUM(AJ20:AJ22)</f>
      </c>
      <c r="AT19" s="2">
        <f>SUM(AK20:AK22)</f>
      </c>
      <c r="AU19" s="2">
        <f>SUM(AL20:AL22)</f>
      </c>
    </row>
    <row r="20">
      <c r="A20" s="9" t="s">
        <v>86</v>
      </c>
      <c r="B20" s="10" t="s">
        <v>87</v>
      </c>
      <c r="C20" s="14" t="s">
        <v>88</v>
      </c>
      <c r="D20" s="10"/>
      <c r="E20" s="10" t="s">
        <v>82</v>
      </c>
      <c r="F20" s="45" t="n">
        <v>21.12</v>
      </c>
      <c r="G20" s="45" t="n">
        <v>0</v>
      </c>
      <c r="H20" s="45">
        <f>F20*AO20</f>
      </c>
      <c r="I20" s="45">
        <f>F20*AP20</f>
      </c>
      <c r="J20" s="45">
        <f>F20*G20</f>
      </c>
      <c r="K20" s="46" t="s">
        <v>62</v>
      </c>
      <c r="Z20" s="45">
        <f>IF(AQ20="5",BJ20,0)</f>
      </c>
      <c r="AB20" s="45">
        <f>IF(AQ20="1",BH20,0)</f>
      </c>
      <c r="AC20" s="45">
        <f>IF(AQ20="1",BI20,0)</f>
      </c>
      <c r="AD20" s="45">
        <f>IF(AQ20="7",BH20,0)</f>
      </c>
      <c r="AE20" s="45">
        <f>IF(AQ20="7",BI20,0)</f>
      </c>
      <c r="AF20" s="45">
        <f>IF(AQ20="2",BH20,0)</f>
      </c>
      <c r="AG20" s="45">
        <f>IF(AQ20="2",BI20,0)</f>
      </c>
      <c r="AH20" s="45">
        <f>IF(AQ20="0",BJ20,0)</f>
      </c>
      <c r="AI20" s="28" t="s">
        <v>55</v>
      </c>
      <c r="AJ20" s="45">
        <f>IF(AN20=0,J20,0)</f>
      </c>
      <c r="AK20" s="45">
        <f>IF(AN20=12,J20,0)</f>
      </c>
      <c r="AL20" s="45">
        <f>IF(AN20=21,J20,0)</f>
      </c>
      <c r="AN20" s="45" t="n">
        <v>21</v>
      </c>
      <c r="AO20" s="45">
        <f>G20*0</f>
      </c>
      <c r="AP20" s="45">
        <f>G20*(1-0)</f>
      </c>
      <c r="AQ20" s="47" t="s">
        <v>58</v>
      </c>
      <c r="AV20" s="45">
        <f>AW20+AX20</f>
      </c>
      <c r="AW20" s="45">
        <f>F20*AO20</f>
      </c>
      <c r="AX20" s="45">
        <f>F20*AP20</f>
      </c>
      <c r="AY20" s="47" t="s">
        <v>89</v>
      </c>
      <c r="AZ20" s="47" t="s">
        <v>64</v>
      </c>
      <c r="BA20" s="28" t="s">
        <v>65</v>
      </c>
      <c r="BC20" s="45">
        <f>AW20+AX20</f>
      </c>
      <c r="BD20" s="45">
        <f>G20/(100-BE20)*100</f>
      </c>
      <c r="BE20" s="45" t="n">
        <v>0</v>
      </c>
      <c r="BF20" s="45">
        <f>20</f>
      </c>
      <c r="BH20" s="45">
        <f>F20*AO20</f>
      </c>
      <c r="BI20" s="45">
        <f>F20*AP20</f>
      </c>
      <c r="BJ20" s="45">
        <f>F20*G20</f>
      </c>
      <c r="BK20" s="45"/>
      <c r="BL20" s="45" t="n">
        <v>13</v>
      </c>
      <c r="BW20" s="45" t="n">
        <v>21</v>
      </c>
      <c r="BX20" s="14" t="s">
        <v>88</v>
      </c>
    </row>
    <row r="21">
      <c r="A21" s="9" t="s">
        <v>90</v>
      </c>
      <c r="B21" s="10" t="s">
        <v>91</v>
      </c>
      <c r="C21" s="14" t="s">
        <v>92</v>
      </c>
      <c r="D21" s="10"/>
      <c r="E21" s="10" t="s">
        <v>82</v>
      </c>
      <c r="F21" s="45" t="n">
        <v>31.68</v>
      </c>
      <c r="G21" s="45" t="n">
        <v>0</v>
      </c>
      <c r="H21" s="45">
        <f>F21*AO21</f>
      </c>
      <c r="I21" s="45">
        <f>F21*AP21</f>
      </c>
      <c r="J21" s="45">
        <f>F21*G21</f>
      </c>
      <c r="K21" s="46" t="s">
        <v>62</v>
      </c>
      <c r="Z21" s="45">
        <f>IF(AQ21="5",BJ21,0)</f>
      </c>
      <c r="AB21" s="45">
        <f>IF(AQ21="1",BH21,0)</f>
      </c>
      <c r="AC21" s="45">
        <f>IF(AQ21="1",BI21,0)</f>
      </c>
      <c r="AD21" s="45">
        <f>IF(AQ21="7",BH21,0)</f>
      </c>
      <c r="AE21" s="45">
        <f>IF(AQ21="7",BI21,0)</f>
      </c>
      <c r="AF21" s="45">
        <f>IF(AQ21="2",BH21,0)</f>
      </c>
      <c r="AG21" s="45">
        <f>IF(AQ21="2",BI21,0)</f>
      </c>
      <c r="AH21" s="45">
        <f>IF(AQ21="0",BJ21,0)</f>
      </c>
      <c r="AI21" s="28" t="s">
        <v>55</v>
      </c>
      <c r="AJ21" s="45">
        <f>IF(AN21=0,J21,0)</f>
      </c>
      <c r="AK21" s="45">
        <f>IF(AN21=12,J21,0)</f>
      </c>
      <c r="AL21" s="45">
        <f>IF(AN21=21,J21,0)</f>
      </c>
      <c r="AN21" s="45" t="n">
        <v>21</v>
      </c>
      <c r="AO21" s="45">
        <f>G21*0</f>
      </c>
      <c r="AP21" s="45">
        <f>G21*(1-0)</f>
      </c>
      <c r="AQ21" s="47" t="s">
        <v>58</v>
      </c>
      <c r="AV21" s="45">
        <f>AW21+AX21</f>
      </c>
      <c r="AW21" s="45">
        <f>F21*AO21</f>
      </c>
      <c r="AX21" s="45">
        <f>F21*AP21</f>
      </c>
      <c r="AY21" s="47" t="s">
        <v>89</v>
      </c>
      <c r="AZ21" s="47" t="s">
        <v>64</v>
      </c>
      <c r="BA21" s="28" t="s">
        <v>65</v>
      </c>
      <c r="BC21" s="45">
        <f>AW21+AX21</f>
      </c>
      <c r="BD21" s="45">
        <f>G21/(100-BE21)*100</f>
      </c>
      <c r="BE21" s="45" t="n">
        <v>0</v>
      </c>
      <c r="BF21" s="45">
        <f>21</f>
      </c>
      <c r="BH21" s="45">
        <f>F21*AO21</f>
      </c>
      <c r="BI21" s="45">
        <f>F21*AP21</f>
      </c>
      <c r="BJ21" s="45">
        <f>F21*G21</f>
      </c>
      <c r="BK21" s="45"/>
      <c r="BL21" s="45" t="n">
        <v>13</v>
      </c>
      <c r="BW21" s="45" t="n">
        <v>21</v>
      </c>
      <c r="BX21" s="14" t="s">
        <v>92</v>
      </c>
    </row>
    <row r="22">
      <c r="A22" s="9" t="s">
        <v>93</v>
      </c>
      <c r="B22" s="10" t="s">
        <v>94</v>
      </c>
      <c r="C22" s="14" t="s">
        <v>95</v>
      </c>
      <c r="D22" s="10"/>
      <c r="E22" s="10" t="s">
        <v>82</v>
      </c>
      <c r="F22" s="45" t="n">
        <v>4.5</v>
      </c>
      <c r="G22" s="45" t="n">
        <v>0</v>
      </c>
      <c r="H22" s="45">
        <f>F22*AO22</f>
      </c>
      <c r="I22" s="45">
        <f>F22*AP22</f>
      </c>
      <c r="J22" s="45">
        <f>F22*G22</f>
      </c>
      <c r="K22" s="46" t="s">
        <v>62</v>
      </c>
      <c r="Z22" s="45">
        <f>IF(AQ22="5",BJ22,0)</f>
      </c>
      <c r="AB22" s="45">
        <f>IF(AQ22="1",BH22,0)</f>
      </c>
      <c r="AC22" s="45">
        <f>IF(AQ22="1",BI22,0)</f>
      </c>
      <c r="AD22" s="45">
        <f>IF(AQ22="7",BH22,0)</f>
      </c>
      <c r="AE22" s="45">
        <f>IF(AQ22="7",BI22,0)</f>
      </c>
      <c r="AF22" s="45">
        <f>IF(AQ22="2",BH22,0)</f>
      </c>
      <c r="AG22" s="45">
        <f>IF(AQ22="2",BI22,0)</f>
      </c>
      <c r="AH22" s="45">
        <f>IF(AQ22="0",BJ22,0)</f>
      </c>
      <c r="AI22" s="28" t="s">
        <v>55</v>
      </c>
      <c r="AJ22" s="45">
        <f>IF(AN22=0,J22,0)</f>
      </c>
      <c r="AK22" s="45">
        <f>IF(AN22=12,J22,0)</f>
      </c>
      <c r="AL22" s="45">
        <f>IF(AN22=21,J22,0)</f>
      </c>
      <c r="AN22" s="45" t="n">
        <v>21</v>
      </c>
      <c r="AO22" s="45">
        <f>G22*0</f>
      </c>
      <c r="AP22" s="45">
        <f>G22*(1-0)</f>
      </c>
      <c r="AQ22" s="47" t="s">
        <v>58</v>
      </c>
      <c r="AV22" s="45">
        <f>AW22+AX22</f>
      </c>
      <c r="AW22" s="45">
        <f>F22*AO22</f>
      </c>
      <c r="AX22" s="45">
        <f>F22*AP22</f>
      </c>
      <c r="AY22" s="47" t="s">
        <v>89</v>
      </c>
      <c r="AZ22" s="47" t="s">
        <v>64</v>
      </c>
      <c r="BA22" s="28" t="s">
        <v>65</v>
      </c>
      <c r="BC22" s="45">
        <f>AW22+AX22</f>
      </c>
      <c r="BD22" s="45">
        <f>G22/(100-BE22)*100</f>
      </c>
      <c r="BE22" s="45" t="n">
        <v>0</v>
      </c>
      <c r="BF22" s="45">
        <f>22</f>
      </c>
      <c r="BH22" s="45">
        <f>F22*AO22</f>
      </c>
      <c r="BI22" s="45">
        <f>F22*AP22</f>
      </c>
      <c r="BJ22" s="45">
        <f>F22*G22</f>
      </c>
      <c r="BK22" s="45"/>
      <c r="BL22" s="45" t="n">
        <v>13</v>
      </c>
      <c r="BW22" s="45" t="n">
        <v>21</v>
      </c>
      <c r="BX22" s="14" t="s">
        <v>95</v>
      </c>
    </row>
    <row r="23">
      <c r="A23" s="48" t="s">
        <v>55</v>
      </c>
      <c r="B23" s="49" t="s">
        <v>96</v>
      </c>
      <c r="C23" s="50" t="s">
        <v>97</v>
      </c>
      <c r="D23" s="49"/>
      <c r="E23" s="51" t="s">
        <v>36</v>
      </c>
      <c r="F23" s="51" t="s">
        <v>36</v>
      </c>
      <c r="G23" s="51" t="s">
        <v>36</v>
      </c>
      <c r="H23" s="2">
        <f>SUM(H24:H24)</f>
      </c>
      <c r="I23" s="2">
        <f>SUM(I24:I24)</f>
      </c>
      <c r="J23" s="2">
        <f>SUM(J24:J24)</f>
      </c>
      <c r="K23" s="52" t="s">
        <v>55</v>
      </c>
      <c r="AI23" s="28" t="s">
        <v>55</v>
      </c>
      <c r="AS23" s="2">
        <f>SUM(AJ24:AJ24)</f>
      </c>
      <c r="AT23" s="2">
        <f>SUM(AK24:AK24)</f>
      </c>
      <c r="AU23" s="2">
        <f>SUM(AL24:AL24)</f>
      </c>
    </row>
    <row r="24">
      <c r="A24" s="9" t="s">
        <v>98</v>
      </c>
      <c r="B24" s="10" t="s">
        <v>99</v>
      </c>
      <c r="C24" s="14" t="s">
        <v>100</v>
      </c>
      <c r="D24" s="10"/>
      <c r="E24" s="10" t="s">
        <v>69</v>
      </c>
      <c r="F24" s="45" t="n">
        <v>1142</v>
      </c>
      <c r="G24" s="45" t="n">
        <v>0</v>
      </c>
      <c r="H24" s="45">
        <f>F24*AO24</f>
      </c>
      <c r="I24" s="45">
        <f>F24*AP24</f>
      </c>
      <c r="J24" s="45">
        <f>F24*G24</f>
      </c>
      <c r="K24" s="46" t="s">
        <v>62</v>
      </c>
      <c r="Z24" s="45">
        <f>IF(AQ24="5",BJ24,0)</f>
      </c>
      <c r="AB24" s="45">
        <f>IF(AQ24="1",BH24,0)</f>
      </c>
      <c r="AC24" s="45">
        <f>IF(AQ24="1",BI24,0)</f>
      </c>
      <c r="AD24" s="45">
        <f>IF(AQ24="7",BH24,0)</f>
      </c>
      <c r="AE24" s="45">
        <f>IF(AQ24="7",BI24,0)</f>
      </c>
      <c r="AF24" s="45">
        <f>IF(AQ24="2",BH24,0)</f>
      </c>
      <c r="AG24" s="45">
        <f>IF(AQ24="2",BI24,0)</f>
      </c>
      <c r="AH24" s="45">
        <f>IF(AQ24="0",BJ24,0)</f>
      </c>
      <c r="AI24" s="28" t="s">
        <v>55</v>
      </c>
      <c r="AJ24" s="45">
        <f>IF(AN24=0,J24,0)</f>
      </c>
      <c r="AK24" s="45">
        <f>IF(AN24=12,J24,0)</f>
      </c>
      <c r="AL24" s="45">
        <f>IF(AN24=21,J24,0)</f>
      </c>
      <c r="AN24" s="45" t="n">
        <v>21</v>
      </c>
      <c r="AO24" s="45">
        <f>G24*0.008413223</f>
      </c>
      <c r="AP24" s="45">
        <f>G24*(1-0.008413223)</f>
      </c>
      <c r="AQ24" s="47" t="s">
        <v>58</v>
      </c>
      <c r="AV24" s="45">
        <f>AW24+AX24</f>
      </c>
      <c r="AW24" s="45">
        <f>F24*AO24</f>
      </c>
      <c r="AX24" s="45">
        <f>F24*AP24</f>
      </c>
      <c r="AY24" s="47" t="s">
        <v>101</v>
      </c>
      <c r="AZ24" s="47" t="s">
        <v>64</v>
      </c>
      <c r="BA24" s="28" t="s">
        <v>65</v>
      </c>
      <c r="BC24" s="45">
        <f>AW24+AX24</f>
      </c>
      <c r="BD24" s="45">
        <f>G24/(100-BE24)*100</f>
      </c>
      <c r="BE24" s="45" t="n">
        <v>0</v>
      </c>
      <c r="BF24" s="45">
        <f>24</f>
      </c>
      <c r="BH24" s="45">
        <f>F24*AO24</f>
      </c>
      <c r="BI24" s="45">
        <f>F24*AP24</f>
      </c>
      <c r="BJ24" s="45">
        <f>F24*G24</f>
      </c>
      <c r="BK24" s="45"/>
      <c r="BL24" s="45" t="n">
        <v>14</v>
      </c>
      <c r="BW24" s="45" t="n">
        <v>21</v>
      </c>
      <c r="BX24" s="14" t="s">
        <v>100</v>
      </c>
    </row>
    <row r="25">
      <c r="A25" s="48" t="s">
        <v>55</v>
      </c>
      <c r="B25" s="49" t="s">
        <v>102</v>
      </c>
      <c r="C25" s="50" t="s">
        <v>103</v>
      </c>
      <c r="D25" s="49"/>
      <c r="E25" s="51" t="s">
        <v>36</v>
      </c>
      <c r="F25" s="51" t="s">
        <v>36</v>
      </c>
      <c r="G25" s="51" t="s">
        <v>36</v>
      </c>
      <c r="H25" s="2">
        <f>SUM(H26:H27)</f>
      </c>
      <c r="I25" s="2">
        <f>SUM(I26:I27)</f>
      </c>
      <c r="J25" s="2">
        <f>SUM(J26:J27)</f>
      </c>
      <c r="K25" s="52" t="s">
        <v>55</v>
      </c>
      <c r="AI25" s="28" t="s">
        <v>55</v>
      </c>
      <c r="AS25" s="2">
        <f>SUM(AJ26:AJ27)</f>
      </c>
      <c r="AT25" s="2">
        <f>SUM(AK26:AK27)</f>
      </c>
      <c r="AU25" s="2">
        <f>SUM(AL26:AL27)</f>
      </c>
    </row>
    <row r="26">
      <c r="A26" s="9" t="s">
        <v>104</v>
      </c>
      <c r="B26" s="10" t="s">
        <v>105</v>
      </c>
      <c r="C26" s="14" t="s">
        <v>106</v>
      </c>
      <c r="D26" s="10"/>
      <c r="E26" s="10" t="s">
        <v>82</v>
      </c>
      <c r="F26" s="45" t="n">
        <v>0.3</v>
      </c>
      <c r="G26" s="45" t="n">
        <v>0</v>
      </c>
      <c r="H26" s="45">
        <f>F26*AO26</f>
      </c>
      <c r="I26" s="45">
        <f>F26*AP26</f>
      </c>
      <c r="J26" s="45">
        <f>F26*G26</f>
      </c>
      <c r="K26" s="46" t="s">
        <v>62</v>
      </c>
      <c r="Z26" s="45">
        <f>IF(AQ26="5",BJ26,0)</f>
      </c>
      <c r="AB26" s="45">
        <f>IF(AQ26="1",BH26,0)</f>
      </c>
      <c r="AC26" s="45">
        <f>IF(AQ26="1",BI26,0)</f>
      </c>
      <c r="AD26" s="45">
        <f>IF(AQ26="7",BH26,0)</f>
      </c>
      <c r="AE26" s="45">
        <f>IF(AQ26="7",BI26,0)</f>
      </c>
      <c r="AF26" s="45">
        <f>IF(AQ26="2",BH26,0)</f>
      </c>
      <c r="AG26" s="45">
        <f>IF(AQ26="2",BI26,0)</f>
      </c>
      <c r="AH26" s="45">
        <f>IF(AQ26="0",BJ26,0)</f>
      </c>
      <c r="AI26" s="28" t="s">
        <v>55</v>
      </c>
      <c r="AJ26" s="45">
        <f>IF(AN26=0,J26,0)</f>
      </c>
      <c r="AK26" s="45">
        <f>IF(AN26=12,J26,0)</f>
      </c>
      <c r="AL26" s="45">
        <f>IF(AN26=21,J26,0)</f>
      </c>
      <c r="AN26" s="45" t="n">
        <v>21</v>
      </c>
      <c r="AO26" s="45">
        <f>G26*0</f>
      </c>
      <c r="AP26" s="45">
        <f>G26*(1-0)</f>
      </c>
      <c r="AQ26" s="47" t="s">
        <v>58</v>
      </c>
      <c r="AV26" s="45">
        <f>AW26+AX26</f>
      </c>
      <c r="AW26" s="45">
        <f>F26*AO26</f>
      </c>
      <c r="AX26" s="45">
        <f>F26*AP26</f>
      </c>
      <c r="AY26" s="47" t="s">
        <v>107</v>
      </c>
      <c r="AZ26" s="47" t="s">
        <v>64</v>
      </c>
      <c r="BA26" s="28" t="s">
        <v>65</v>
      </c>
      <c r="BC26" s="45">
        <f>AW26+AX26</f>
      </c>
      <c r="BD26" s="45">
        <f>G26/(100-BE26)*100</f>
      </c>
      <c r="BE26" s="45" t="n">
        <v>0</v>
      </c>
      <c r="BF26" s="45">
        <f>26</f>
      </c>
      <c r="BH26" s="45">
        <f>F26*AO26</f>
      </c>
      <c r="BI26" s="45">
        <f>F26*AP26</f>
      </c>
      <c r="BJ26" s="45">
        <f>F26*G26</f>
      </c>
      <c r="BK26" s="45"/>
      <c r="BL26" s="45" t="n">
        <v>16</v>
      </c>
      <c r="BW26" s="45" t="n">
        <v>21</v>
      </c>
      <c r="BX26" s="14" t="s">
        <v>106</v>
      </c>
    </row>
    <row r="27">
      <c r="A27" s="9" t="s">
        <v>56</v>
      </c>
      <c r="B27" s="10" t="s">
        <v>108</v>
      </c>
      <c r="C27" s="14" t="s">
        <v>109</v>
      </c>
      <c r="D27" s="10"/>
      <c r="E27" s="10" t="s">
        <v>110</v>
      </c>
      <c r="F27" s="45" t="n">
        <v>0.75</v>
      </c>
      <c r="G27" s="45" t="n">
        <v>0</v>
      </c>
      <c r="H27" s="45">
        <f>F27*AO27</f>
      </c>
      <c r="I27" s="45">
        <f>F27*AP27</f>
      </c>
      <c r="J27" s="45">
        <f>F27*G27</f>
      </c>
      <c r="K27" s="46" t="s">
        <v>62</v>
      </c>
      <c r="Z27" s="45">
        <f>IF(AQ27="5",BJ27,0)</f>
      </c>
      <c r="AB27" s="45">
        <f>IF(AQ27="1",BH27,0)</f>
      </c>
      <c r="AC27" s="45">
        <f>IF(AQ27="1",BI27,0)</f>
      </c>
      <c r="AD27" s="45">
        <f>IF(AQ27="7",BH27,0)</f>
      </c>
      <c r="AE27" s="45">
        <f>IF(AQ27="7",BI27,0)</f>
      </c>
      <c r="AF27" s="45">
        <f>IF(AQ27="2",BH27,0)</f>
      </c>
      <c r="AG27" s="45">
        <f>IF(AQ27="2",BI27,0)</f>
      </c>
      <c r="AH27" s="45">
        <f>IF(AQ27="0",BJ27,0)</f>
      </c>
      <c r="AI27" s="28" t="s">
        <v>55</v>
      </c>
      <c r="AJ27" s="45">
        <f>IF(AN27=0,J27,0)</f>
      </c>
      <c r="AK27" s="45">
        <f>IF(AN27=12,J27,0)</f>
      </c>
      <c r="AL27" s="45">
        <f>IF(AN27=21,J27,0)</f>
      </c>
      <c r="AN27" s="45" t="n">
        <v>21</v>
      </c>
      <c r="AO27" s="45">
        <f>G27*0</f>
      </c>
      <c r="AP27" s="45">
        <f>G27*(1-0)</f>
      </c>
      <c r="AQ27" s="47" t="s">
        <v>58</v>
      </c>
      <c r="AV27" s="45">
        <f>AW27+AX27</f>
      </c>
      <c r="AW27" s="45">
        <f>F27*AO27</f>
      </c>
      <c r="AX27" s="45">
        <f>F27*AP27</f>
      </c>
      <c r="AY27" s="47" t="s">
        <v>107</v>
      </c>
      <c r="AZ27" s="47" t="s">
        <v>64</v>
      </c>
      <c r="BA27" s="28" t="s">
        <v>65</v>
      </c>
      <c r="BC27" s="45">
        <f>AW27+AX27</f>
      </c>
      <c r="BD27" s="45">
        <f>G27/(100-BE27)*100</f>
      </c>
      <c r="BE27" s="45" t="n">
        <v>0</v>
      </c>
      <c r="BF27" s="45">
        <f>27</f>
      </c>
      <c r="BH27" s="45">
        <f>F27*AO27</f>
      </c>
      <c r="BI27" s="45">
        <f>F27*AP27</f>
      </c>
      <c r="BJ27" s="45">
        <f>F27*G27</f>
      </c>
      <c r="BK27" s="45"/>
      <c r="BL27" s="45" t="n">
        <v>16</v>
      </c>
      <c r="BW27" s="45" t="n">
        <v>21</v>
      </c>
      <c r="BX27" s="14" t="s">
        <v>109</v>
      </c>
    </row>
    <row r="28">
      <c r="A28" s="48" t="s">
        <v>55</v>
      </c>
      <c r="B28" s="49" t="s">
        <v>111</v>
      </c>
      <c r="C28" s="50" t="s">
        <v>112</v>
      </c>
      <c r="D28" s="49"/>
      <c r="E28" s="51" t="s">
        <v>36</v>
      </c>
      <c r="F28" s="51" t="s">
        <v>36</v>
      </c>
      <c r="G28" s="51" t="s">
        <v>36</v>
      </c>
      <c r="H28" s="2">
        <f>SUM(H29:H30)</f>
      </c>
      <c r="I28" s="2">
        <f>SUM(I29:I30)</f>
      </c>
      <c r="J28" s="2">
        <f>SUM(J29:J30)</f>
      </c>
      <c r="K28" s="52" t="s">
        <v>55</v>
      </c>
      <c r="AI28" s="28" t="s">
        <v>55</v>
      </c>
      <c r="AS28" s="2">
        <f>SUM(AJ29:AJ30)</f>
      </c>
      <c r="AT28" s="2">
        <f>SUM(AK29:AK30)</f>
      </c>
      <c r="AU28" s="2">
        <f>SUM(AL29:AL30)</f>
      </c>
    </row>
    <row r="29">
      <c r="A29" s="9" t="s">
        <v>77</v>
      </c>
      <c r="B29" s="10" t="s">
        <v>113</v>
      </c>
      <c r="C29" s="14" t="s">
        <v>114</v>
      </c>
      <c r="D29" s="10"/>
      <c r="E29" s="10" t="s">
        <v>82</v>
      </c>
      <c r="F29" s="45" t="n">
        <v>48.6</v>
      </c>
      <c r="G29" s="45" t="n">
        <v>0</v>
      </c>
      <c r="H29" s="45">
        <f>F29*AO29</f>
      </c>
      <c r="I29" s="45">
        <f>F29*AP29</f>
      </c>
      <c r="J29" s="45">
        <f>F29*G29</f>
      </c>
      <c r="K29" s="46" t="s">
        <v>62</v>
      </c>
      <c r="Z29" s="45">
        <f>IF(AQ29="5",BJ29,0)</f>
      </c>
      <c r="AB29" s="45">
        <f>IF(AQ29="1",BH29,0)</f>
      </c>
      <c r="AC29" s="45">
        <f>IF(AQ29="1",BI29,0)</f>
      </c>
      <c r="AD29" s="45">
        <f>IF(AQ29="7",BH29,0)</f>
      </c>
      <c r="AE29" s="45">
        <f>IF(AQ29="7",BI29,0)</f>
      </c>
      <c r="AF29" s="45">
        <f>IF(AQ29="2",BH29,0)</f>
      </c>
      <c r="AG29" s="45">
        <f>IF(AQ29="2",BI29,0)</f>
      </c>
      <c r="AH29" s="45">
        <f>IF(AQ29="0",BJ29,0)</f>
      </c>
      <c r="AI29" s="28" t="s">
        <v>55</v>
      </c>
      <c r="AJ29" s="45">
        <f>IF(AN29=0,J29,0)</f>
      </c>
      <c r="AK29" s="45">
        <f>IF(AN29=12,J29,0)</f>
      </c>
      <c r="AL29" s="45">
        <f>IF(AN29=21,J29,0)</f>
      </c>
      <c r="AN29" s="45" t="n">
        <v>21</v>
      </c>
      <c r="AO29" s="45">
        <f>G29*0</f>
      </c>
      <c r="AP29" s="45">
        <f>G29*(1-0)</f>
      </c>
      <c r="AQ29" s="47" t="s">
        <v>58</v>
      </c>
      <c r="AV29" s="45">
        <f>AW29+AX29</f>
      </c>
      <c r="AW29" s="45">
        <f>F29*AO29</f>
      </c>
      <c r="AX29" s="45">
        <f>F29*AP29</f>
      </c>
      <c r="AY29" s="47" t="s">
        <v>115</v>
      </c>
      <c r="AZ29" s="47" t="s">
        <v>64</v>
      </c>
      <c r="BA29" s="28" t="s">
        <v>65</v>
      </c>
      <c r="BC29" s="45">
        <f>AW29+AX29</f>
      </c>
      <c r="BD29" s="45">
        <f>G29/(100-BE29)*100</f>
      </c>
      <c r="BE29" s="45" t="n">
        <v>0</v>
      </c>
      <c r="BF29" s="45">
        <f>29</f>
      </c>
      <c r="BH29" s="45">
        <f>F29*AO29</f>
      </c>
      <c r="BI29" s="45">
        <f>F29*AP29</f>
      </c>
      <c r="BJ29" s="45">
        <f>F29*G29</f>
      </c>
      <c r="BK29" s="45"/>
      <c r="BL29" s="45" t="n">
        <v>17</v>
      </c>
      <c r="BW29" s="45" t="n">
        <v>21</v>
      </c>
      <c r="BX29" s="14" t="s">
        <v>114</v>
      </c>
    </row>
    <row r="30">
      <c r="A30" s="9" t="s">
        <v>84</v>
      </c>
      <c r="B30" s="10" t="s">
        <v>116</v>
      </c>
      <c r="C30" s="14" t="s">
        <v>117</v>
      </c>
      <c r="D30" s="10"/>
      <c r="E30" s="10" t="s">
        <v>82</v>
      </c>
      <c r="F30" s="45" t="n">
        <v>2.8</v>
      </c>
      <c r="G30" s="45" t="n">
        <v>0</v>
      </c>
      <c r="H30" s="45">
        <f>F30*AO30</f>
      </c>
      <c r="I30" s="45">
        <f>F30*AP30</f>
      </c>
      <c r="J30" s="45">
        <f>F30*G30</f>
      </c>
      <c r="K30" s="46" t="s">
        <v>62</v>
      </c>
      <c r="Z30" s="45">
        <f>IF(AQ30="5",BJ30,0)</f>
      </c>
      <c r="AB30" s="45">
        <f>IF(AQ30="1",BH30,0)</f>
      </c>
      <c r="AC30" s="45">
        <f>IF(AQ30="1",BI30,0)</f>
      </c>
      <c r="AD30" s="45">
        <f>IF(AQ30="7",BH30,0)</f>
      </c>
      <c r="AE30" s="45">
        <f>IF(AQ30="7",BI30,0)</f>
      </c>
      <c r="AF30" s="45">
        <f>IF(AQ30="2",BH30,0)</f>
      </c>
      <c r="AG30" s="45">
        <f>IF(AQ30="2",BI30,0)</f>
      </c>
      <c r="AH30" s="45">
        <f>IF(AQ30="0",BJ30,0)</f>
      </c>
      <c r="AI30" s="28" t="s">
        <v>55</v>
      </c>
      <c r="AJ30" s="45">
        <f>IF(AN30=0,J30,0)</f>
      </c>
      <c r="AK30" s="45">
        <f>IF(AN30=12,J30,0)</f>
      </c>
      <c r="AL30" s="45">
        <f>IF(AN30=21,J30,0)</f>
      </c>
      <c r="AN30" s="45" t="n">
        <v>21</v>
      </c>
      <c r="AO30" s="45">
        <f>G30*0</f>
      </c>
      <c r="AP30" s="45">
        <f>G30*(1-0)</f>
      </c>
      <c r="AQ30" s="47" t="s">
        <v>58</v>
      </c>
      <c r="AV30" s="45">
        <f>AW30+AX30</f>
      </c>
      <c r="AW30" s="45">
        <f>F30*AO30</f>
      </c>
      <c r="AX30" s="45">
        <f>F30*AP30</f>
      </c>
      <c r="AY30" s="47" t="s">
        <v>115</v>
      </c>
      <c r="AZ30" s="47" t="s">
        <v>64</v>
      </c>
      <c r="BA30" s="28" t="s">
        <v>65</v>
      </c>
      <c r="BC30" s="45">
        <f>AW30+AX30</f>
      </c>
      <c r="BD30" s="45">
        <f>G30/(100-BE30)*100</f>
      </c>
      <c r="BE30" s="45" t="n">
        <v>0</v>
      </c>
      <c r="BF30" s="45">
        <f>30</f>
      </c>
      <c r="BH30" s="45">
        <f>F30*AO30</f>
      </c>
      <c r="BI30" s="45">
        <f>F30*AP30</f>
      </c>
      <c r="BJ30" s="45">
        <f>F30*G30</f>
      </c>
      <c r="BK30" s="45"/>
      <c r="BL30" s="45" t="n">
        <v>17</v>
      </c>
      <c r="BW30" s="45" t="n">
        <v>21</v>
      </c>
      <c r="BX30" s="14" t="s">
        <v>117</v>
      </c>
    </row>
    <row r="31">
      <c r="A31" s="48" t="s">
        <v>55</v>
      </c>
      <c r="B31" s="49" t="s">
        <v>118</v>
      </c>
      <c r="C31" s="50" t="s">
        <v>119</v>
      </c>
      <c r="D31" s="49"/>
      <c r="E31" s="51" t="s">
        <v>36</v>
      </c>
      <c r="F31" s="51" t="s">
        <v>36</v>
      </c>
      <c r="G31" s="51" t="s">
        <v>36</v>
      </c>
      <c r="H31" s="2">
        <f>SUM(H32:H34)</f>
      </c>
      <c r="I31" s="2">
        <f>SUM(I32:I34)</f>
      </c>
      <c r="J31" s="2">
        <f>SUM(J32:J34)</f>
      </c>
      <c r="K31" s="52" t="s">
        <v>55</v>
      </c>
      <c r="AI31" s="28" t="s">
        <v>55</v>
      </c>
      <c r="AS31" s="2">
        <f>SUM(AJ32:AJ34)</f>
      </c>
      <c r="AT31" s="2">
        <f>SUM(AK32:AK34)</f>
      </c>
      <c r="AU31" s="2">
        <f>SUM(AL32:AL34)</f>
      </c>
    </row>
    <row r="32">
      <c r="A32" s="9" t="s">
        <v>96</v>
      </c>
      <c r="B32" s="10" t="s">
        <v>120</v>
      </c>
      <c r="C32" s="14" t="s">
        <v>121</v>
      </c>
      <c r="D32" s="10"/>
      <c r="E32" s="10" t="s">
        <v>76</v>
      </c>
      <c r="F32" s="45" t="n">
        <v>40</v>
      </c>
      <c r="G32" s="45" t="n">
        <v>0</v>
      </c>
      <c r="H32" s="45">
        <f>F32*AO32</f>
      </c>
      <c r="I32" s="45">
        <f>F32*AP32</f>
      </c>
      <c r="J32" s="45">
        <f>F32*G32</f>
      </c>
      <c r="K32" s="46" t="s">
        <v>62</v>
      </c>
      <c r="Z32" s="45">
        <f>IF(AQ32="5",BJ32,0)</f>
      </c>
      <c r="AB32" s="45">
        <f>IF(AQ32="1",BH32,0)</f>
      </c>
      <c r="AC32" s="45">
        <f>IF(AQ32="1",BI32,0)</f>
      </c>
      <c r="AD32" s="45">
        <f>IF(AQ32="7",BH32,0)</f>
      </c>
      <c r="AE32" s="45">
        <f>IF(AQ32="7",BI32,0)</f>
      </c>
      <c r="AF32" s="45">
        <f>IF(AQ32="2",BH32,0)</f>
      </c>
      <c r="AG32" s="45">
        <f>IF(AQ32="2",BI32,0)</f>
      </c>
      <c r="AH32" s="45">
        <f>IF(AQ32="0",BJ32,0)</f>
      </c>
      <c r="AI32" s="28" t="s">
        <v>55</v>
      </c>
      <c r="AJ32" s="45">
        <f>IF(AN32=0,J32,0)</f>
      </c>
      <c r="AK32" s="45">
        <f>IF(AN32=12,J32,0)</f>
      </c>
      <c r="AL32" s="45">
        <f>IF(AN32=21,J32,0)</f>
      </c>
      <c r="AN32" s="45" t="n">
        <v>21</v>
      </c>
      <c r="AO32" s="45">
        <f>G32*0</f>
      </c>
      <c r="AP32" s="45">
        <f>G32*(1-0)</f>
      </c>
      <c r="AQ32" s="47" t="s">
        <v>58</v>
      </c>
      <c r="AV32" s="45">
        <f>AW32+AX32</f>
      </c>
      <c r="AW32" s="45">
        <f>F32*AO32</f>
      </c>
      <c r="AX32" s="45">
        <f>F32*AP32</f>
      </c>
      <c r="AY32" s="47" t="s">
        <v>122</v>
      </c>
      <c r="AZ32" s="47" t="s">
        <v>64</v>
      </c>
      <c r="BA32" s="28" t="s">
        <v>65</v>
      </c>
      <c r="BC32" s="45">
        <f>AW32+AX32</f>
      </c>
      <c r="BD32" s="45">
        <f>G32/(100-BE32)*100</f>
      </c>
      <c r="BE32" s="45" t="n">
        <v>0</v>
      </c>
      <c r="BF32" s="45">
        <f>32</f>
      </c>
      <c r="BH32" s="45">
        <f>F32*AO32</f>
      </c>
      <c r="BI32" s="45">
        <f>F32*AP32</f>
      </c>
      <c r="BJ32" s="45">
        <f>F32*G32</f>
      </c>
      <c r="BK32" s="45"/>
      <c r="BL32" s="45" t="n">
        <v>18</v>
      </c>
      <c r="BW32" s="45" t="n">
        <v>21</v>
      </c>
      <c r="BX32" s="14" t="s">
        <v>121</v>
      </c>
    </row>
    <row r="33">
      <c r="A33" s="9" t="s">
        <v>123</v>
      </c>
      <c r="B33" s="10" t="s">
        <v>124</v>
      </c>
      <c r="C33" s="14" t="s">
        <v>125</v>
      </c>
      <c r="D33" s="10"/>
      <c r="E33" s="10" t="s">
        <v>76</v>
      </c>
      <c r="F33" s="45" t="n">
        <v>40</v>
      </c>
      <c r="G33" s="45" t="n">
        <v>0</v>
      </c>
      <c r="H33" s="45">
        <f>F33*AO33</f>
      </c>
      <c r="I33" s="45">
        <f>F33*AP33</f>
      </c>
      <c r="J33" s="45">
        <f>F33*G33</f>
      </c>
      <c r="K33" s="46" t="s">
        <v>62</v>
      </c>
      <c r="Z33" s="45">
        <f>IF(AQ33="5",BJ33,0)</f>
      </c>
      <c r="AB33" s="45">
        <f>IF(AQ33="1",BH33,0)</f>
      </c>
      <c r="AC33" s="45">
        <f>IF(AQ33="1",BI33,0)</f>
      </c>
      <c r="AD33" s="45">
        <f>IF(AQ33="7",BH33,0)</f>
      </c>
      <c r="AE33" s="45">
        <f>IF(AQ33="7",BI33,0)</f>
      </c>
      <c r="AF33" s="45">
        <f>IF(AQ33="2",BH33,0)</f>
      </c>
      <c r="AG33" s="45">
        <f>IF(AQ33="2",BI33,0)</f>
      </c>
      <c r="AH33" s="45">
        <f>IF(AQ33="0",BJ33,0)</f>
      </c>
      <c r="AI33" s="28" t="s">
        <v>55</v>
      </c>
      <c r="AJ33" s="45">
        <f>IF(AN33=0,J33,0)</f>
      </c>
      <c r="AK33" s="45">
        <f>IF(AN33=12,J33,0)</f>
      </c>
      <c r="AL33" s="45">
        <f>IF(AN33=21,J33,0)</f>
      </c>
      <c r="AN33" s="45" t="n">
        <v>21</v>
      </c>
      <c r="AO33" s="45">
        <f>G33*0.068199841</f>
      </c>
      <c r="AP33" s="45">
        <f>G33*(1-0.068199841)</f>
      </c>
      <c r="AQ33" s="47" t="s">
        <v>58</v>
      </c>
      <c r="AV33" s="45">
        <f>AW33+AX33</f>
      </c>
      <c r="AW33" s="45">
        <f>F33*AO33</f>
      </c>
      <c r="AX33" s="45">
        <f>F33*AP33</f>
      </c>
      <c r="AY33" s="47" t="s">
        <v>122</v>
      </c>
      <c r="AZ33" s="47" t="s">
        <v>64</v>
      </c>
      <c r="BA33" s="28" t="s">
        <v>65</v>
      </c>
      <c r="BC33" s="45">
        <f>AW33+AX33</f>
      </c>
      <c r="BD33" s="45">
        <f>G33/(100-BE33)*100</f>
      </c>
      <c r="BE33" s="45" t="n">
        <v>0</v>
      </c>
      <c r="BF33" s="45">
        <f>33</f>
      </c>
      <c r="BH33" s="45">
        <f>F33*AO33</f>
      </c>
      <c r="BI33" s="45">
        <f>F33*AP33</f>
      </c>
      <c r="BJ33" s="45">
        <f>F33*G33</f>
      </c>
      <c r="BK33" s="45"/>
      <c r="BL33" s="45" t="n">
        <v>18</v>
      </c>
      <c r="BW33" s="45" t="n">
        <v>21</v>
      </c>
      <c r="BX33" s="14" t="s">
        <v>125</v>
      </c>
    </row>
    <row r="34">
      <c r="A34" s="9" t="s">
        <v>102</v>
      </c>
      <c r="B34" s="10" t="s">
        <v>126</v>
      </c>
      <c r="C34" s="14" t="s">
        <v>127</v>
      </c>
      <c r="D34" s="10"/>
      <c r="E34" s="10" t="s">
        <v>76</v>
      </c>
      <c r="F34" s="45" t="n">
        <v>21</v>
      </c>
      <c r="G34" s="45" t="n">
        <v>0</v>
      </c>
      <c r="H34" s="45">
        <f>F34*AO34</f>
      </c>
      <c r="I34" s="45">
        <f>F34*AP34</f>
      </c>
      <c r="J34" s="45">
        <f>F34*G34</f>
      </c>
      <c r="K34" s="46" t="s">
        <v>62</v>
      </c>
      <c r="Z34" s="45">
        <f>IF(AQ34="5",BJ34,0)</f>
      </c>
      <c r="AB34" s="45">
        <f>IF(AQ34="1",BH34,0)</f>
      </c>
      <c r="AC34" s="45">
        <f>IF(AQ34="1",BI34,0)</f>
      </c>
      <c r="AD34" s="45">
        <f>IF(AQ34="7",BH34,0)</f>
      </c>
      <c r="AE34" s="45">
        <f>IF(AQ34="7",BI34,0)</f>
      </c>
      <c r="AF34" s="45">
        <f>IF(AQ34="2",BH34,0)</f>
      </c>
      <c r="AG34" s="45">
        <f>IF(AQ34="2",BI34,0)</f>
      </c>
      <c r="AH34" s="45">
        <f>IF(AQ34="0",BJ34,0)</f>
      </c>
      <c r="AI34" s="28" t="s">
        <v>55</v>
      </c>
      <c r="AJ34" s="45">
        <f>IF(AN34=0,J34,0)</f>
      </c>
      <c r="AK34" s="45">
        <f>IF(AN34=12,J34,0)</f>
      </c>
      <c r="AL34" s="45">
        <f>IF(AN34=21,J34,0)</f>
      </c>
      <c r="AN34" s="45" t="n">
        <v>21</v>
      </c>
      <c r="AO34" s="45">
        <f>G34*0</f>
      </c>
      <c r="AP34" s="45">
        <f>G34*(1-0)</f>
      </c>
      <c r="AQ34" s="47" t="s">
        <v>58</v>
      </c>
      <c r="AV34" s="45">
        <f>AW34+AX34</f>
      </c>
      <c r="AW34" s="45">
        <f>F34*AO34</f>
      </c>
      <c r="AX34" s="45">
        <f>F34*AP34</f>
      </c>
      <c r="AY34" s="47" t="s">
        <v>122</v>
      </c>
      <c r="AZ34" s="47" t="s">
        <v>64</v>
      </c>
      <c r="BA34" s="28" t="s">
        <v>65</v>
      </c>
      <c r="BC34" s="45">
        <f>AW34+AX34</f>
      </c>
      <c r="BD34" s="45">
        <f>G34/(100-BE34)*100</f>
      </c>
      <c r="BE34" s="45" t="n">
        <v>0</v>
      </c>
      <c r="BF34" s="45">
        <f>34</f>
      </c>
      <c r="BH34" s="45">
        <f>F34*AO34</f>
      </c>
      <c r="BI34" s="45">
        <f>F34*AP34</f>
      </c>
      <c r="BJ34" s="45">
        <f>F34*G34</f>
      </c>
      <c r="BK34" s="45"/>
      <c r="BL34" s="45" t="n">
        <v>18</v>
      </c>
      <c r="BW34" s="45" t="n">
        <v>21</v>
      </c>
      <c r="BX34" s="14" t="s">
        <v>127</v>
      </c>
    </row>
    <row r="35">
      <c r="A35" s="48" t="s">
        <v>55</v>
      </c>
      <c r="B35" s="49" t="s">
        <v>128</v>
      </c>
      <c r="C35" s="50" t="s">
        <v>129</v>
      </c>
      <c r="D35" s="49"/>
      <c r="E35" s="51" t="s">
        <v>36</v>
      </c>
      <c r="F35" s="51" t="s">
        <v>36</v>
      </c>
      <c r="G35" s="51" t="s">
        <v>36</v>
      </c>
      <c r="H35" s="2">
        <f>SUM(H36:H37)</f>
      </c>
      <c r="I35" s="2">
        <f>SUM(I36:I37)</f>
      </c>
      <c r="J35" s="2">
        <f>SUM(J36:J37)</f>
      </c>
      <c r="K35" s="52" t="s">
        <v>55</v>
      </c>
      <c r="AI35" s="28" t="s">
        <v>55</v>
      </c>
      <c r="AS35" s="2">
        <f>SUM(AJ36:AJ37)</f>
      </c>
      <c r="AT35" s="2">
        <f>SUM(AK36:AK37)</f>
      </c>
      <c r="AU35" s="2">
        <f>SUM(AL36:AL37)</f>
      </c>
    </row>
    <row r="36">
      <c r="A36" s="9" t="s">
        <v>111</v>
      </c>
      <c r="B36" s="10" t="s">
        <v>130</v>
      </c>
      <c r="C36" s="14" t="s">
        <v>131</v>
      </c>
      <c r="D36" s="10"/>
      <c r="E36" s="10" t="s">
        <v>82</v>
      </c>
      <c r="F36" s="45" t="n">
        <v>1.4</v>
      </c>
      <c r="G36" s="45" t="n">
        <v>0</v>
      </c>
      <c r="H36" s="45">
        <f>F36*AO36</f>
      </c>
      <c r="I36" s="45">
        <f>F36*AP36</f>
      </c>
      <c r="J36" s="45">
        <f>F36*G36</f>
      </c>
      <c r="K36" s="46" t="s">
        <v>62</v>
      </c>
      <c r="Z36" s="45">
        <f>IF(AQ36="5",BJ36,0)</f>
      </c>
      <c r="AB36" s="45">
        <f>IF(AQ36="1",BH36,0)</f>
      </c>
      <c r="AC36" s="45">
        <f>IF(AQ36="1",BI36,0)</f>
      </c>
      <c r="AD36" s="45">
        <f>IF(AQ36="7",BH36,0)</f>
      </c>
      <c r="AE36" s="45">
        <f>IF(AQ36="7",BI36,0)</f>
      </c>
      <c r="AF36" s="45">
        <f>IF(AQ36="2",BH36,0)</f>
      </c>
      <c r="AG36" s="45">
        <f>IF(AQ36="2",BI36,0)</f>
      </c>
      <c r="AH36" s="45">
        <f>IF(AQ36="0",BJ36,0)</f>
      </c>
      <c r="AI36" s="28" t="s">
        <v>55</v>
      </c>
      <c r="AJ36" s="45">
        <f>IF(AN36=0,J36,0)</f>
      </c>
      <c r="AK36" s="45">
        <f>IF(AN36=12,J36,0)</f>
      </c>
      <c r="AL36" s="45">
        <f>IF(AN36=21,J36,0)</f>
      </c>
      <c r="AN36" s="45" t="n">
        <v>21</v>
      </c>
      <c r="AO36" s="45">
        <f>G36*0.467115987</f>
      </c>
      <c r="AP36" s="45">
        <f>G36*(1-0.467115987)</f>
      </c>
      <c r="AQ36" s="47" t="s">
        <v>58</v>
      </c>
      <c r="AV36" s="45">
        <f>AW36+AX36</f>
      </c>
      <c r="AW36" s="45">
        <f>F36*AO36</f>
      </c>
      <c r="AX36" s="45">
        <f>F36*AP36</f>
      </c>
      <c r="AY36" s="47" t="s">
        <v>132</v>
      </c>
      <c r="AZ36" s="47" t="s">
        <v>133</v>
      </c>
      <c r="BA36" s="28" t="s">
        <v>65</v>
      </c>
      <c r="BC36" s="45">
        <f>AW36+AX36</f>
      </c>
      <c r="BD36" s="45">
        <f>G36/(100-BE36)*100</f>
      </c>
      <c r="BE36" s="45" t="n">
        <v>0</v>
      </c>
      <c r="BF36" s="45">
        <f>36</f>
      </c>
      <c r="BH36" s="45">
        <f>F36*AO36</f>
      </c>
      <c r="BI36" s="45">
        <f>F36*AP36</f>
      </c>
      <c r="BJ36" s="45">
        <f>F36*G36</f>
      </c>
      <c r="BK36" s="45"/>
      <c r="BL36" s="45" t="n">
        <v>45</v>
      </c>
      <c r="BW36" s="45" t="n">
        <v>21</v>
      </c>
      <c r="BX36" s="14" t="s">
        <v>131</v>
      </c>
    </row>
    <row r="37">
      <c r="A37" s="9" t="s">
        <v>118</v>
      </c>
      <c r="B37" s="10" t="s">
        <v>134</v>
      </c>
      <c r="C37" s="14" t="s">
        <v>135</v>
      </c>
      <c r="D37" s="10"/>
      <c r="E37" s="10" t="s">
        <v>82</v>
      </c>
      <c r="F37" s="45" t="n">
        <v>1.01</v>
      </c>
      <c r="G37" s="45" t="n">
        <v>0</v>
      </c>
      <c r="H37" s="45">
        <f>F37*AO37</f>
      </c>
      <c r="I37" s="45">
        <f>F37*AP37</f>
      </c>
      <c r="J37" s="45">
        <f>F37*G37</f>
      </c>
      <c r="K37" s="46" t="s">
        <v>62</v>
      </c>
      <c r="Z37" s="45">
        <f>IF(AQ37="5",BJ37,0)</f>
      </c>
      <c r="AB37" s="45">
        <f>IF(AQ37="1",BH37,0)</f>
      </c>
      <c r="AC37" s="45">
        <f>IF(AQ37="1",BI37,0)</f>
      </c>
      <c r="AD37" s="45">
        <f>IF(AQ37="7",BH37,0)</f>
      </c>
      <c r="AE37" s="45">
        <f>IF(AQ37="7",BI37,0)</f>
      </c>
      <c r="AF37" s="45">
        <f>IF(AQ37="2",BH37,0)</f>
      </c>
      <c r="AG37" s="45">
        <f>IF(AQ37="2",BI37,0)</f>
      </c>
      <c r="AH37" s="45">
        <f>IF(AQ37="0",BJ37,0)</f>
      </c>
      <c r="AI37" s="28" t="s">
        <v>55</v>
      </c>
      <c r="AJ37" s="45">
        <f>IF(AN37=0,J37,0)</f>
      </c>
      <c r="AK37" s="45">
        <f>IF(AN37=12,J37,0)</f>
      </c>
      <c r="AL37" s="45">
        <f>IF(AN37=21,J37,0)</f>
      </c>
      <c r="AN37" s="45" t="n">
        <v>21</v>
      </c>
      <c r="AO37" s="45">
        <f>G37*0.655940722</f>
      </c>
      <c r="AP37" s="45">
        <f>G37*(1-0.655940722)</f>
      </c>
      <c r="AQ37" s="47" t="s">
        <v>58</v>
      </c>
      <c r="AV37" s="45">
        <f>AW37+AX37</f>
      </c>
      <c r="AW37" s="45">
        <f>F37*AO37</f>
      </c>
      <c r="AX37" s="45">
        <f>F37*AP37</f>
      </c>
      <c r="AY37" s="47" t="s">
        <v>132</v>
      </c>
      <c r="AZ37" s="47" t="s">
        <v>133</v>
      </c>
      <c r="BA37" s="28" t="s">
        <v>65</v>
      </c>
      <c r="BC37" s="45">
        <f>AW37+AX37</f>
      </c>
      <c r="BD37" s="45">
        <f>G37/(100-BE37)*100</f>
      </c>
      <c r="BE37" s="45" t="n">
        <v>0</v>
      </c>
      <c r="BF37" s="45">
        <f>37</f>
      </c>
      <c r="BH37" s="45">
        <f>F37*AO37</f>
      </c>
      <c r="BI37" s="45">
        <f>F37*AP37</f>
      </c>
      <c r="BJ37" s="45">
        <f>F37*G37</f>
      </c>
      <c r="BK37" s="45"/>
      <c r="BL37" s="45" t="n">
        <v>45</v>
      </c>
      <c r="BW37" s="45" t="n">
        <v>21</v>
      </c>
      <c r="BX37" s="14" t="s">
        <v>135</v>
      </c>
    </row>
    <row r="38">
      <c r="A38" s="48" t="s">
        <v>55</v>
      </c>
      <c r="B38" s="49" t="s">
        <v>136</v>
      </c>
      <c r="C38" s="50" t="s">
        <v>137</v>
      </c>
      <c r="D38" s="49"/>
      <c r="E38" s="51" t="s">
        <v>36</v>
      </c>
      <c r="F38" s="51" t="s">
        <v>36</v>
      </c>
      <c r="G38" s="51" t="s">
        <v>36</v>
      </c>
      <c r="H38" s="2">
        <f>SUM(H39:H40)</f>
      </c>
      <c r="I38" s="2">
        <f>SUM(I39:I40)</f>
      </c>
      <c r="J38" s="2">
        <f>SUM(J39:J40)</f>
      </c>
      <c r="K38" s="52" t="s">
        <v>55</v>
      </c>
      <c r="AI38" s="28" t="s">
        <v>55</v>
      </c>
      <c r="AS38" s="2">
        <f>SUM(AJ39:AJ40)</f>
      </c>
      <c r="AT38" s="2">
        <f>SUM(AK39:AK40)</f>
      </c>
      <c r="AU38" s="2">
        <f>SUM(AL39:AL40)</f>
      </c>
    </row>
    <row r="39">
      <c r="A39" s="9" t="s">
        <v>138</v>
      </c>
      <c r="B39" s="10" t="s">
        <v>139</v>
      </c>
      <c r="C39" s="14" t="s">
        <v>140</v>
      </c>
      <c r="D39" s="10"/>
      <c r="E39" s="10" t="s">
        <v>76</v>
      </c>
      <c r="F39" s="45" t="n">
        <v>2</v>
      </c>
      <c r="G39" s="45" t="n">
        <v>0</v>
      </c>
      <c r="H39" s="45">
        <f>F39*AO39</f>
      </c>
      <c r="I39" s="45">
        <f>F39*AP39</f>
      </c>
      <c r="J39" s="45">
        <f>F39*G39</f>
      </c>
      <c r="K39" s="46" t="s">
        <v>62</v>
      </c>
      <c r="Z39" s="45">
        <f>IF(AQ39="5",BJ39,0)</f>
      </c>
      <c r="AB39" s="45">
        <f>IF(AQ39="1",BH39,0)</f>
      </c>
      <c r="AC39" s="45">
        <f>IF(AQ39="1",BI39,0)</f>
      </c>
      <c r="AD39" s="45">
        <f>IF(AQ39="7",BH39,0)</f>
      </c>
      <c r="AE39" s="45">
        <f>IF(AQ39="7",BI39,0)</f>
      </c>
      <c r="AF39" s="45">
        <f>IF(AQ39="2",BH39,0)</f>
      </c>
      <c r="AG39" s="45">
        <f>IF(AQ39="2",BI39,0)</f>
      </c>
      <c r="AH39" s="45">
        <f>IF(AQ39="0",BJ39,0)</f>
      </c>
      <c r="AI39" s="28" t="s">
        <v>55</v>
      </c>
      <c r="AJ39" s="45">
        <f>IF(AN39=0,J39,0)</f>
      </c>
      <c r="AK39" s="45">
        <f>IF(AN39=12,J39,0)</f>
      </c>
      <c r="AL39" s="45">
        <f>IF(AN39=21,J39,0)</f>
      </c>
      <c r="AN39" s="45" t="n">
        <v>21</v>
      </c>
      <c r="AO39" s="45">
        <f>G39*0.844923027</f>
      </c>
      <c r="AP39" s="45">
        <f>G39*(1-0.844923027)</f>
      </c>
      <c r="AQ39" s="47" t="s">
        <v>58</v>
      </c>
      <c r="AV39" s="45">
        <f>AW39+AX39</f>
      </c>
      <c r="AW39" s="45">
        <f>F39*AO39</f>
      </c>
      <c r="AX39" s="45">
        <f>F39*AP39</f>
      </c>
      <c r="AY39" s="47" t="s">
        <v>141</v>
      </c>
      <c r="AZ39" s="47" t="s">
        <v>142</v>
      </c>
      <c r="BA39" s="28" t="s">
        <v>65</v>
      </c>
      <c r="BC39" s="45">
        <f>AW39+AX39</f>
      </c>
      <c r="BD39" s="45">
        <f>G39/(100-BE39)*100</f>
      </c>
      <c r="BE39" s="45" t="n">
        <v>0</v>
      </c>
      <c r="BF39" s="45">
        <f>39</f>
      </c>
      <c r="BH39" s="45">
        <f>F39*AO39</f>
      </c>
      <c r="BI39" s="45">
        <f>F39*AP39</f>
      </c>
      <c r="BJ39" s="45">
        <f>F39*G39</f>
      </c>
      <c r="BK39" s="45"/>
      <c r="BL39" s="45" t="n">
        <v>56</v>
      </c>
      <c r="BW39" s="45" t="n">
        <v>21</v>
      </c>
      <c r="BX39" s="14" t="s">
        <v>140</v>
      </c>
    </row>
    <row r="40">
      <c r="A40" s="9" t="s">
        <v>143</v>
      </c>
      <c r="B40" s="10" t="s">
        <v>144</v>
      </c>
      <c r="C40" s="14" t="s">
        <v>145</v>
      </c>
      <c r="D40" s="10"/>
      <c r="E40" s="10" t="s">
        <v>76</v>
      </c>
      <c r="F40" s="45" t="n">
        <v>2</v>
      </c>
      <c r="G40" s="45" t="n">
        <v>0</v>
      </c>
      <c r="H40" s="45">
        <f>F40*AO40</f>
      </c>
      <c r="I40" s="45">
        <f>F40*AP40</f>
      </c>
      <c r="J40" s="45">
        <f>F40*G40</f>
      </c>
      <c r="K40" s="46" t="s">
        <v>62</v>
      </c>
      <c r="Z40" s="45">
        <f>IF(AQ40="5",BJ40,0)</f>
      </c>
      <c r="AB40" s="45">
        <f>IF(AQ40="1",BH40,0)</f>
      </c>
      <c r="AC40" s="45">
        <f>IF(AQ40="1",BI40,0)</f>
      </c>
      <c r="AD40" s="45">
        <f>IF(AQ40="7",BH40,0)</f>
      </c>
      <c r="AE40" s="45">
        <f>IF(AQ40="7",BI40,0)</f>
      </c>
      <c r="AF40" s="45">
        <f>IF(AQ40="2",BH40,0)</f>
      </c>
      <c r="AG40" s="45">
        <f>IF(AQ40="2",BI40,0)</f>
      </c>
      <c r="AH40" s="45">
        <f>IF(AQ40="0",BJ40,0)</f>
      </c>
      <c r="AI40" s="28" t="s">
        <v>55</v>
      </c>
      <c r="AJ40" s="45">
        <f>IF(AN40=0,J40,0)</f>
      </c>
      <c r="AK40" s="45">
        <f>IF(AN40=12,J40,0)</f>
      </c>
      <c r="AL40" s="45">
        <f>IF(AN40=21,J40,0)</f>
      </c>
      <c r="AN40" s="45" t="n">
        <v>21</v>
      </c>
      <c r="AO40" s="45">
        <f>G40*0.908647126</f>
      </c>
      <c r="AP40" s="45">
        <f>G40*(1-0.908647126)</f>
      </c>
      <c r="AQ40" s="47" t="s">
        <v>58</v>
      </c>
      <c r="AV40" s="45">
        <f>AW40+AX40</f>
      </c>
      <c r="AW40" s="45">
        <f>F40*AO40</f>
      </c>
      <c r="AX40" s="45">
        <f>F40*AP40</f>
      </c>
      <c r="AY40" s="47" t="s">
        <v>141</v>
      </c>
      <c r="AZ40" s="47" t="s">
        <v>142</v>
      </c>
      <c r="BA40" s="28" t="s">
        <v>65</v>
      </c>
      <c r="BC40" s="45">
        <f>AW40+AX40</f>
      </c>
      <c r="BD40" s="45">
        <f>G40/(100-BE40)*100</f>
      </c>
      <c r="BE40" s="45" t="n">
        <v>0</v>
      </c>
      <c r="BF40" s="45">
        <f>40</f>
      </c>
      <c r="BH40" s="45">
        <f>F40*AO40</f>
      </c>
      <c r="BI40" s="45">
        <f>F40*AP40</f>
      </c>
      <c r="BJ40" s="45">
        <f>F40*G40</f>
      </c>
      <c r="BK40" s="45"/>
      <c r="BL40" s="45" t="n">
        <v>56</v>
      </c>
      <c r="BW40" s="45" t="n">
        <v>21</v>
      </c>
      <c r="BX40" s="14" t="s">
        <v>145</v>
      </c>
    </row>
    <row r="41">
      <c r="A41" s="48" t="s">
        <v>55</v>
      </c>
      <c r="B41" s="49" t="s">
        <v>146</v>
      </c>
      <c r="C41" s="50" t="s">
        <v>147</v>
      </c>
      <c r="D41" s="49"/>
      <c r="E41" s="51" t="s">
        <v>36</v>
      </c>
      <c r="F41" s="51" t="s">
        <v>36</v>
      </c>
      <c r="G41" s="51" t="s">
        <v>36</v>
      </c>
      <c r="H41" s="2">
        <f>SUM(H42:H43)</f>
      </c>
      <c r="I41" s="2">
        <f>SUM(I42:I43)</f>
      </c>
      <c r="J41" s="2">
        <f>SUM(J42:J43)</f>
      </c>
      <c r="K41" s="52" t="s">
        <v>55</v>
      </c>
      <c r="AI41" s="28" t="s">
        <v>55</v>
      </c>
      <c r="AS41" s="2">
        <f>SUM(AJ42:AJ43)</f>
      </c>
      <c r="AT41" s="2">
        <f>SUM(AK42:AK43)</f>
      </c>
      <c r="AU41" s="2">
        <f>SUM(AL42:AL43)</f>
      </c>
    </row>
    <row r="42">
      <c r="A42" s="9" t="s">
        <v>148</v>
      </c>
      <c r="B42" s="10" t="s">
        <v>149</v>
      </c>
      <c r="C42" s="14" t="s">
        <v>150</v>
      </c>
      <c r="D42" s="10"/>
      <c r="E42" s="10" t="s">
        <v>76</v>
      </c>
      <c r="F42" s="45" t="n">
        <v>3</v>
      </c>
      <c r="G42" s="45" t="n">
        <v>0</v>
      </c>
      <c r="H42" s="45">
        <f>F42*AO42</f>
      </c>
      <c r="I42" s="45">
        <f>F42*AP42</f>
      </c>
      <c r="J42" s="45">
        <f>F42*G42</f>
      </c>
      <c r="K42" s="46" t="s">
        <v>62</v>
      </c>
      <c r="Z42" s="45">
        <f>IF(AQ42="5",BJ42,0)</f>
      </c>
      <c r="AB42" s="45">
        <f>IF(AQ42="1",BH42,0)</f>
      </c>
      <c r="AC42" s="45">
        <f>IF(AQ42="1",BI42,0)</f>
      </c>
      <c r="AD42" s="45">
        <f>IF(AQ42="7",BH42,0)</f>
      </c>
      <c r="AE42" s="45">
        <f>IF(AQ42="7",BI42,0)</f>
      </c>
      <c r="AF42" s="45">
        <f>IF(AQ42="2",BH42,0)</f>
      </c>
      <c r="AG42" s="45">
        <f>IF(AQ42="2",BI42,0)</f>
      </c>
      <c r="AH42" s="45">
        <f>IF(AQ42="0",BJ42,0)</f>
      </c>
      <c r="AI42" s="28" t="s">
        <v>55</v>
      </c>
      <c r="AJ42" s="45">
        <f>IF(AN42=0,J42,0)</f>
      </c>
      <c r="AK42" s="45">
        <f>IF(AN42=12,J42,0)</f>
      </c>
      <c r="AL42" s="45">
        <f>IF(AN42=21,J42,0)</f>
      </c>
      <c r="AN42" s="45" t="n">
        <v>21</v>
      </c>
      <c r="AO42" s="45">
        <f>G42*0.785733333</f>
      </c>
      <c r="AP42" s="45">
        <f>G42*(1-0.785733333)</f>
      </c>
      <c r="AQ42" s="47" t="s">
        <v>58</v>
      </c>
      <c r="AV42" s="45">
        <f>AW42+AX42</f>
      </c>
      <c r="AW42" s="45">
        <f>F42*AO42</f>
      </c>
      <c r="AX42" s="45">
        <f>F42*AP42</f>
      </c>
      <c r="AY42" s="47" t="s">
        <v>151</v>
      </c>
      <c r="AZ42" s="47" t="s">
        <v>142</v>
      </c>
      <c r="BA42" s="28" t="s">
        <v>65</v>
      </c>
      <c r="BC42" s="45">
        <f>AW42+AX42</f>
      </c>
      <c r="BD42" s="45">
        <f>G42/(100-BE42)*100</f>
      </c>
      <c r="BE42" s="45" t="n">
        <v>0</v>
      </c>
      <c r="BF42" s="45">
        <f>42</f>
      </c>
      <c r="BH42" s="45">
        <f>F42*AO42</f>
      </c>
      <c r="BI42" s="45">
        <f>F42*AP42</f>
      </c>
      <c r="BJ42" s="45">
        <f>F42*G42</f>
      </c>
      <c r="BK42" s="45"/>
      <c r="BL42" s="45" t="n">
        <v>57</v>
      </c>
      <c r="BW42" s="45" t="n">
        <v>21</v>
      </c>
      <c r="BX42" s="14" t="s">
        <v>150</v>
      </c>
    </row>
    <row r="43">
      <c r="A43" s="9" t="s">
        <v>152</v>
      </c>
      <c r="B43" s="10" t="s">
        <v>153</v>
      </c>
      <c r="C43" s="14" t="s">
        <v>154</v>
      </c>
      <c r="D43" s="10"/>
      <c r="E43" s="10" t="s">
        <v>76</v>
      </c>
      <c r="F43" s="45" t="n">
        <v>2</v>
      </c>
      <c r="G43" s="45" t="n">
        <v>0</v>
      </c>
      <c r="H43" s="45">
        <f>F43*AO43</f>
      </c>
      <c r="I43" s="45">
        <f>F43*AP43</f>
      </c>
      <c r="J43" s="45">
        <f>F43*G43</f>
      </c>
      <c r="K43" s="46" t="s">
        <v>62</v>
      </c>
      <c r="Z43" s="45">
        <f>IF(AQ43="5",BJ43,0)</f>
      </c>
      <c r="AB43" s="45">
        <f>IF(AQ43="1",BH43,0)</f>
      </c>
      <c r="AC43" s="45">
        <f>IF(AQ43="1",BI43,0)</f>
      </c>
      <c r="AD43" s="45">
        <f>IF(AQ43="7",BH43,0)</f>
      </c>
      <c r="AE43" s="45">
        <f>IF(AQ43="7",BI43,0)</f>
      </c>
      <c r="AF43" s="45">
        <f>IF(AQ43="2",BH43,0)</f>
      </c>
      <c r="AG43" s="45">
        <f>IF(AQ43="2",BI43,0)</f>
      </c>
      <c r="AH43" s="45">
        <f>IF(AQ43="0",BJ43,0)</f>
      </c>
      <c r="AI43" s="28" t="s">
        <v>55</v>
      </c>
      <c r="AJ43" s="45">
        <f>IF(AN43=0,J43,0)</f>
      </c>
      <c r="AK43" s="45">
        <f>IF(AN43=12,J43,0)</f>
      </c>
      <c r="AL43" s="45">
        <f>IF(AN43=21,J43,0)</f>
      </c>
      <c r="AN43" s="45" t="n">
        <v>21</v>
      </c>
      <c r="AO43" s="45">
        <f>G43*0.815372544</f>
      </c>
      <c r="AP43" s="45">
        <f>G43*(1-0.815372544)</f>
      </c>
      <c r="AQ43" s="47" t="s">
        <v>58</v>
      </c>
      <c r="AV43" s="45">
        <f>AW43+AX43</f>
      </c>
      <c r="AW43" s="45">
        <f>F43*AO43</f>
      </c>
      <c r="AX43" s="45">
        <f>F43*AP43</f>
      </c>
      <c r="AY43" s="47" t="s">
        <v>151</v>
      </c>
      <c r="AZ43" s="47" t="s">
        <v>142</v>
      </c>
      <c r="BA43" s="28" t="s">
        <v>65</v>
      </c>
      <c r="BC43" s="45">
        <f>AW43+AX43</f>
      </c>
      <c r="BD43" s="45">
        <f>G43/(100-BE43)*100</f>
      </c>
      <c r="BE43" s="45" t="n">
        <v>0</v>
      </c>
      <c r="BF43" s="45">
        <f>43</f>
      </c>
      <c r="BH43" s="45">
        <f>F43*AO43</f>
      </c>
      <c r="BI43" s="45">
        <f>F43*AP43</f>
      </c>
      <c r="BJ43" s="45">
        <f>F43*G43</f>
      </c>
      <c r="BK43" s="45"/>
      <c r="BL43" s="45" t="n">
        <v>57</v>
      </c>
      <c r="BW43" s="45" t="n">
        <v>21</v>
      </c>
      <c r="BX43" s="14" t="s">
        <v>154</v>
      </c>
    </row>
    <row r="44">
      <c r="A44" s="48" t="s">
        <v>55</v>
      </c>
      <c r="B44" s="49" t="s">
        <v>155</v>
      </c>
      <c r="C44" s="50" t="s">
        <v>156</v>
      </c>
      <c r="D44" s="49"/>
      <c r="E44" s="51" t="s">
        <v>36</v>
      </c>
      <c r="F44" s="51" t="s">
        <v>36</v>
      </c>
      <c r="G44" s="51" t="s">
        <v>36</v>
      </c>
      <c r="H44" s="2">
        <f>SUM(H45:H45)</f>
      </c>
      <c r="I44" s="2">
        <f>SUM(I45:I45)</f>
      </c>
      <c r="J44" s="2">
        <f>SUM(J45:J45)</f>
      </c>
      <c r="K44" s="52" t="s">
        <v>55</v>
      </c>
      <c r="AI44" s="28" t="s">
        <v>55</v>
      </c>
      <c r="AS44" s="2">
        <f>SUM(AJ45:AJ45)</f>
      </c>
      <c r="AT44" s="2">
        <f>SUM(AK45:AK45)</f>
      </c>
      <c r="AU44" s="2">
        <f>SUM(AL45:AL45)</f>
      </c>
    </row>
    <row r="45">
      <c r="A45" s="9" t="s">
        <v>157</v>
      </c>
      <c r="B45" s="10" t="s">
        <v>158</v>
      </c>
      <c r="C45" s="14" t="s">
        <v>159</v>
      </c>
      <c r="D45" s="10"/>
      <c r="E45" s="10" t="s">
        <v>160</v>
      </c>
      <c r="F45" s="45" t="n">
        <v>1</v>
      </c>
      <c r="G45" s="45" t="n">
        <v>0</v>
      </c>
      <c r="H45" s="45">
        <f>F45*AO45</f>
      </c>
      <c r="I45" s="45">
        <f>F45*AP45</f>
      </c>
      <c r="J45" s="45">
        <f>F45*G45</f>
      </c>
      <c r="K45" s="46" t="s">
        <v>62</v>
      </c>
      <c r="Z45" s="45">
        <f>IF(AQ45="5",BJ45,0)</f>
      </c>
      <c r="AB45" s="45">
        <f>IF(AQ45="1",BH45,0)</f>
      </c>
      <c r="AC45" s="45">
        <f>IF(AQ45="1",BI45,0)</f>
      </c>
      <c r="AD45" s="45">
        <f>IF(AQ45="7",BH45,0)</f>
      </c>
      <c r="AE45" s="45">
        <f>IF(AQ45="7",BI45,0)</f>
      </c>
      <c r="AF45" s="45">
        <f>IF(AQ45="2",BH45,0)</f>
      </c>
      <c r="AG45" s="45">
        <f>IF(AQ45="2",BI45,0)</f>
      </c>
      <c r="AH45" s="45">
        <f>IF(AQ45="0",BJ45,0)</f>
      </c>
      <c r="AI45" s="28" t="s">
        <v>55</v>
      </c>
      <c r="AJ45" s="45">
        <f>IF(AN45=0,J45,0)</f>
      </c>
      <c r="AK45" s="45">
        <f>IF(AN45=12,J45,0)</f>
      </c>
      <c r="AL45" s="45">
        <f>IF(AN45=21,J45,0)</f>
      </c>
      <c r="AN45" s="45" t="n">
        <v>21</v>
      </c>
      <c r="AO45" s="45">
        <f>G45*0.013314448</f>
      </c>
      <c r="AP45" s="45">
        <f>G45*(1-0.013314448)</f>
      </c>
      <c r="AQ45" s="47" t="s">
        <v>90</v>
      </c>
      <c r="AV45" s="45">
        <f>AW45+AX45</f>
      </c>
      <c r="AW45" s="45">
        <f>F45*AO45</f>
      </c>
      <c r="AX45" s="45">
        <f>F45*AP45</f>
      </c>
      <c r="AY45" s="47" t="s">
        <v>161</v>
      </c>
      <c r="AZ45" s="47" t="s">
        <v>162</v>
      </c>
      <c r="BA45" s="28" t="s">
        <v>65</v>
      </c>
      <c r="BC45" s="45">
        <f>AW45+AX45</f>
      </c>
      <c r="BD45" s="45">
        <f>G45/(100-BE45)*100</f>
      </c>
      <c r="BE45" s="45" t="n">
        <v>0</v>
      </c>
      <c r="BF45" s="45">
        <f>45</f>
      </c>
      <c r="BH45" s="45">
        <f>F45*AO45</f>
      </c>
      <c r="BI45" s="45">
        <f>F45*AP45</f>
      </c>
      <c r="BJ45" s="45">
        <f>F45*G45</f>
      </c>
      <c r="BK45" s="45"/>
      <c r="BL45" s="45" t="n">
        <v>722</v>
      </c>
      <c r="BW45" s="45" t="n">
        <v>21</v>
      </c>
      <c r="BX45" s="14" t="s">
        <v>159</v>
      </c>
    </row>
    <row r="46">
      <c r="A46" s="48" t="s">
        <v>55</v>
      </c>
      <c r="B46" s="49" t="s">
        <v>163</v>
      </c>
      <c r="C46" s="50" t="s">
        <v>164</v>
      </c>
      <c r="D46" s="49"/>
      <c r="E46" s="51" t="s">
        <v>36</v>
      </c>
      <c r="F46" s="51" t="s">
        <v>36</v>
      </c>
      <c r="G46" s="51" t="s">
        <v>36</v>
      </c>
      <c r="H46" s="2">
        <f>SUM(H47:H47)</f>
      </c>
      <c r="I46" s="2">
        <f>SUM(I47:I47)</f>
      </c>
      <c r="J46" s="2">
        <f>SUM(J47:J47)</f>
      </c>
      <c r="K46" s="52" t="s">
        <v>55</v>
      </c>
      <c r="AI46" s="28" t="s">
        <v>55</v>
      </c>
      <c r="AS46" s="2">
        <f>SUM(AJ47:AJ47)</f>
      </c>
      <c r="AT46" s="2">
        <f>SUM(AK47:AK47)</f>
      </c>
      <c r="AU46" s="2">
        <f>SUM(AL47:AL47)</f>
      </c>
    </row>
    <row r="47">
      <c r="A47" s="9" t="s">
        <v>165</v>
      </c>
      <c r="B47" s="10" t="s">
        <v>166</v>
      </c>
      <c r="C47" s="14" t="s">
        <v>167</v>
      </c>
      <c r="D47" s="10"/>
      <c r="E47" s="10" t="s">
        <v>160</v>
      </c>
      <c r="F47" s="45" t="n">
        <v>1</v>
      </c>
      <c r="G47" s="45" t="n">
        <v>0</v>
      </c>
      <c r="H47" s="45">
        <f>F47*AO47</f>
      </c>
      <c r="I47" s="45">
        <f>F47*AP47</f>
      </c>
      <c r="J47" s="45">
        <f>F47*G47</f>
      </c>
      <c r="K47" s="46" t="s">
        <v>62</v>
      </c>
      <c r="Z47" s="45">
        <f>IF(AQ47="5",BJ47,0)</f>
      </c>
      <c r="AB47" s="45">
        <f>IF(AQ47="1",BH47,0)</f>
      </c>
      <c r="AC47" s="45">
        <f>IF(AQ47="1",BI47,0)</f>
      </c>
      <c r="AD47" s="45">
        <f>IF(AQ47="7",BH47,0)</f>
      </c>
      <c r="AE47" s="45">
        <f>IF(AQ47="7",BI47,0)</f>
      </c>
      <c r="AF47" s="45">
        <f>IF(AQ47="2",BH47,0)</f>
      </c>
      <c r="AG47" s="45">
        <f>IF(AQ47="2",BI47,0)</f>
      </c>
      <c r="AH47" s="45">
        <f>IF(AQ47="0",BJ47,0)</f>
      </c>
      <c r="AI47" s="28" t="s">
        <v>55</v>
      </c>
      <c r="AJ47" s="45">
        <f>IF(AN47=0,J47,0)</f>
      </c>
      <c r="AK47" s="45">
        <f>IF(AN47=12,J47,0)</f>
      </c>
      <c r="AL47" s="45">
        <f>IF(AN47=21,J47,0)</f>
      </c>
      <c r="AN47" s="45" t="n">
        <v>21</v>
      </c>
      <c r="AO47" s="45">
        <f>G47*0.130063034</f>
      </c>
      <c r="AP47" s="45">
        <f>G47*(1-0.130063034)</f>
      </c>
      <c r="AQ47" s="47" t="s">
        <v>90</v>
      </c>
      <c r="AV47" s="45">
        <f>AW47+AX47</f>
      </c>
      <c r="AW47" s="45">
        <f>F47*AO47</f>
      </c>
      <c r="AX47" s="45">
        <f>F47*AP47</f>
      </c>
      <c r="AY47" s="47" t="s">
        <v>168</v>
      </c>
      <c r="AZ47" s="47" t="s">
        <v>169</v>
      </c>
      <c r="BA47" s="28" t="s">
        <v>65</v>
      </c>
      <c r="BC47" s="45">
        <f>AW47+AX47</f>
      </c>
      <c r="BD47" s="45">
        <f>G47/(100-BE47)*100</f>
      </c>
      <c r="BE47" s="45" t="n">
        <v>0</v>
      </c>
      <c r="BF47" s="45">
        <f>47</f>
      </c>
      <c r="BH47" s="45">
        <f>F47*AO47</f>
      </c>
      <c r="BI47" s="45">
        <f>F47*AP47</f>
      </c>
      <c r="BJ47" s="45">
        <f>F47*G47</f>
      </c>
      <c r="BK47" s="45"/>
      <c r="BL47" s="45" t="n">
        <v>767</v>
      </c>
      <c r="BW47" s="45" t="n">
        <v>21</v>
      </c>
      <c r="BX47" s="14" t="s">
        <v>167</v>
      </c>
    </row>
    <row r="48">
      <c r="A48" s="48" t="s">
        <v>55</v>
      </c>
      <c r="B48" s="49" t="s">
        <v>170</v>
      </c>
      <c r="C48" s="50" t="s">
        <v>171</v>
      </c>
      <c r="D48" s="49"/>
      <c r="E48" s="51" t="s">
        <v>36</v>
      </c>
      <c r="F48" s="51" t="s">
        <v>36</v>
      </c>
      <c r="G48" s="51" t="s">
        <v>36</v>
      </c>
      <c r="H48" s="2">
        <f>SUM(H49:H50)</f>
      </c>
      <c r="I48" s="2">
        <f>SUM(I49:I50)</f>
      </c>
      <c r="J48" s="2">
        <f>SUM(J49:J50)</f>
      </c>
      <c r="K48" s="52" t="s">
        <v>55</v>
      </c>
      <c r="AI48" s="28" t="s">
        <v>55</v>
      </c>
      <c r="AS48" s="2">
        <f>SUM(AJ49:AJ50)</f>
      </c>
      <c r="AT48" s="2">
        <f>SUM(AK49:AK50)</f>
      </c>
      <c r="AU48" s="2">
        <f>SUM(AL49:AL50)</f>
      </c>
    </row>
    <row r="49">
      <c r="A49" s="9" t="s">
        <v>172</v>
      </c>
      <c r="B49" s="10" t="s">
        <v>173</v>
      </c>
      <c r="C49" s="14" t="s">
        <v>174</v>
      </c>
      <c r="D49" s="10"/>
      <c r="E49" s="10" t="s">
        <v>160</v>
      </c>
      <c r="F49" s="45" t="n">
        <v>6</v>
      </c>
      <c r="G49" s="45" t="n">
        <v>0</v>
      </c>
      <c r="H49" s="45">
        <f>F49*AO49</f>
      </c>
      <c r="I49" s="45">
        <f>F49*AP49</f>
      </c>
      <c r="J49" s="45">
        <f>F49*G49</f>
      </c>
      <c r="K49" s="46" t="s">
        <v>62</v>
      </c>
      <c r="Z49" s="45">
        <f>IF(AQ49="5",BJ49,0)</f>
      </c>
      <c r="AB49" s="45">
        <f>IF(AQ49="1",BH49,0)</f>
      </c>
      <c r="AC49" s="45">
        <f>IF(AQ49="1",BI49,0)</f>
      </c>
      <c r="AD49" s="45">
        <f>IF(AQ49="7",BH49,0)</f>
      </c>
      <c r="AE49" s="45">
        <f>IF(AQ49="7",BI49,0)</f>
      </c>
      <c r="AF49" s="45">
        <f>IF(AQ49="2",BH49,0)</f>
      </c>
      <c r="AG49" s="45">
        <f>IF(AQ49="2",BI49,0)</f>
      </c>
      <c r="AH49" s="45">
        <f>IF(AQ49="0",BJ49,0)</f>
      </c>
      <c r="AI49" s="28" t="s">
        <v>55</v>
      </c>
      <c r="AJ49" s="45">
        <f>IF(AN49=0,J49,0)</f>
      </c>
      <c r="AK49" s="45">
        <f>IF(AN49=12,J49,0)</f>
      </c>
      <c r="AL49" s="45">
        <f>IF(AN49=21,J49,0)</f>
      </c>
      <c r="AN49" s="45" t="n">
        <v>21</v>
      </c>
      <c r="AO49" s="45">
        <f>G49*0.163862333</f>
      </c>
      <c r="AP49" s="45">
        <f>G49*(1-0.163862333)</f>
      </c>
      <c r="AQ49" s="47" t="s">
        <v>58</v>
      </c>
      <c r="AV49" s="45">
        <f>AW49+AX49</f>
      </c>
      <c r="AW49" s="45">
        <f>F49*AO49</f>
      </c>
      <c r="AX49" s="45">
        <f>F49*AP49</f>
      </c>
      <c r="AY49" s="47" t="s">
        <v>175</v>
      </c>
      <c r="AZ49" s="47" t="s">
        <v>176</v>
      </c>
      <c r="BA49" s="28" t="s">
        <v>65</v>
      </c>
      <c r="BC49" s="45">
        <f>AW49+AX49</f>
      </c>
      <c r="BD49" s="45">
        <f>G49/(100-BE49)*100</f>
      </c>
      <c r="BE49" s="45" t="n">
        <v>0</v>
      </c>
      <c r="BF49" s="45">
        <f>49</f>
      </c>
      <c r="BH49" s="45">
        <f>F49*AO49</f>
      </c>
      <c r="BI49" s="45">
        <f>F49*AP49</f>
      </c>
      <c r="BJ49" s="45">
        <f>F49*G49</f>
      </c>
      <c r="BK49" s="45"/>
      <c r="BL49" s="45" t="n">
        <v>85</v>
      </c>
      <c r="BW49" s="45" t="n">
        <v>21</v>
      </c>
      <c r="BX49" s="14" t="s">
        <v>174</v>
      </c>
    </row>
    <row r="50">
      <c r="A50" s="9" t="s">
        <v>177</v>
      </c>
      <c r="B50" s="10" t="s">
        <v>178</v>
      </c>
      <c r="C50" s="14" t="s">
        <v>179</v>
      </c>
      <c r="D50" s="10"/>
      <c r="E50" s="10" t="s">
        <v>160</v>
      </c>
      <c r="F50" s="45" t="n">
        <v>3</v>
      </c>
      <c r="G50" s="45" t="n">
        <v>0</v>
      </c>
      <c r="H50" s="45">
        <f>F50*AO50</f>
      </c>
      <c r="I50" s="45">
        <f>F50*AP50</f>
      </c>
      <c r="J50" s="45">
        <f>F50*G50</f>
      </c>
      <c r="K50" s="46" t="s">
        <v>62</v>
      </c>
      <c r="Z50" s="45">
        <f>IF(AQ50="5",BJ50,0)</f>
      </c>
      <c r="AB50" s="45">
        <f>IF(AQ50="1",BH50,0)</f>
      </c>
      <c r="AC50" s="45">
        <f>IF(AQ50="1",BI50,0)</f>
      </c>
      <c r="AD50" s="45">
        <f>IF(AQ50="7",BH50,0)</f>
      </c>
      <c r="AE50" s="45">
        <f>IF(AQ50="7",BI50,0)</f>
      </c>
      <c r="AF50" s="45">
        <f>IF(AQ50="2",BH50,0)</f>
      </c>
      <c r="AG50" s="45">
        <f>IF(AQ50="2",BI50,0)</f>
      </c>
      <c r="AH50" s="45">
        <f>IF(AQ50="0",BJ50,0)</f>
      </c>
      <c r="AI50" s="28" t="s">
        <v>55</v>
      </c>
      <c r="AJ50" s="45">
        <f>IF(AN50=0,J50,0)</f>
      </c>
      <c r="AK50" s="45">
        <f>IF(AN50=12,J50,0)</f>
      </c>
      <c r="AL50" s="45">
        <f>IF(AN50=21,J50,0)</f>
      </c>
      <c r="AN50" s="45" t="n">
        <v>21</v>
      </c>
      <c r="AO50" s="45">
        <f>G50*0.169828269</f>
      </c>
      <c r="AP50" s="45">
        <f>G50*(1-0.169828269)</f>
      </c>
      <c r="AQ50" s="47" t="s">
        <v>58</v>
      </c>
      <c r="AV50" s="45">
        <f>AW50+AX50</f>
      </c>
      <c r="AW50" s="45">
        <f>F50*AO50</f>
      </c>
      <c r="AX50" s="45">
        <f>F50*AP50</f>
      </c>
      <c r="AY50" s="47" t="s">
        <v>175</v>
      </c>
      <c r="AZ50" s="47" t="s">
        <v>176</v>
      </c>
      <c r="BA50" s="28" t="s">
        <v>65</v>
      </c>
      <c r="BC50" s="45">
        <f>AW50+AX50</f>
      </c>
      <c r="BD50" s="45">
        <f>G50/(100-BE50)*100</f>
      </c>
      <c r="BE50" s="45" t="n">
        <v>0</v>
      </c>
      <c r="BF50" s="45">
        <f>50</f>
      </c>
      <c r="BH50" s="45">
        <f>F50*AO50</f>
      </c>
      <c r="BI50" s="45">
        <f>F50*AP50</f>
      </c>
      <c r="BJ50" s="45">
        <f>F50*G50</f>
      </c>
      <c r="BK50" s="45"/>
      <c r="BL50" s="45" t="n">
        <v>85</v>
      </c>
      <c r="BW50" s="45" t="n">
        <v>21</v>
      </c>
      <c r="BX50" s="14" t="s">
        <v>179</v>
      </c>
    </row>
    <row r="51">
      <c r="A51" s="48" t="s">
        <v>55</v>
      </c>
      <c r="B51" s="49" t="s">
        <v>180</v>
      </c>
      <c r="C51" s="50" t="s">
        <v>181</v>
      </c>
      <c r="D51" s="49"/>
      <c r="E51" s="51" t="s">
        <v>36</v>
      </c>
      <c r="F51" s="51" t="s">
        <v>36</v>
      </c>
      <c r="G51" s="51" t="s">
        <v>36</v>
      </c>
      <c r="H51" s="2">
        <f>SUM(H52:H63)</f>
      </c>
      <c r="I51" s="2">
        <f>SUM(I52:I63)</f>
      </c>
      <c r="J51" s="2">
        <f>SUM(J52:J63)</f>
      </c>
      <c r="K51" s="52" t="s">
        <v>55</v>
      </c>
      <c r="AI51" s="28" t="s">
        <v>55</v>
      </c>
      <c r="AS51" s="2">
        <f>SUM(AJ52:AJ63)</f>
      </c>
      <c r="AT51" s="2">
        <f>SUM(AK52:AK63)</f>
      </c>
      <c r="AU51" s="2">
        <f>SUM(AL52:AL63)</f>
      </c>
    </row>
    <row r="52">
      <c r="A52" s="9" t="s">
        <v>182</v>
      </c>
      <c r="B52" s="10" t="s">
        <v>183</v>
      </c>
      <c r="C52" s="14" t="s">
        <v>184</v>
      </c>
      <c r="D52" s="10"/>
      <c r="E52" s="10" t="s">
        <v>160</v>
      </c>
      <c r="F52" s="45" t="n">
        <v>1</v>
      </c>
      <c r="G52" s="45" t="n">
        <v>0</v>
      </c>
      <c r="H52" s="45">
        <f>F52*AO52</f>
      </c>
      <c r="I52" s="45">
        <f>F52*AP52</f>
      </c>
      <c r="J52" s="45">
        <f>F52*G52</f>
      </c>
      <c r="K52" s="46" t="s">
        <v>62</v>
      </c>
      <c r="Z52" s="45">
        <f>IF(AQ52="5",BJ52,0)</f>
      </c>
      <c r="AB52" s="45">
        <f>IF(AQ52="1",BH52,0)</f>
      </c>
      <c r="AC52" s="45">
        <f>IF(AQ52="1",BI52,0)</f>
      </c>
      <c r="AD52" s="45">
        <f>IF(AQ52="7",BH52,0)</f>
      </c>
      <c r="AE52" s="45">
        <f>IF(AQ52="7",BI52,0)</f>
      </c>
      <c r="AF52" s="45">
        <f>IF(AQ52="2",BH52,0)</f>
      </c>
      <c r="AG52" s="45">
        <f>IF(AQ52="2",BI52,0)</f>
      </c>
      <c r="AH52" s="45">
        <f>IF(AQ52="0",BJ52,0)</f>
      </c>
      <c r="AI52" s="28" t="s">
        <v>55</v>
      </c>
      <c r="AJ52" s="45">
        <f>IF(AN52=0,J52,0)</f>
      </c>
      <c r="AK52" s="45">
        <f>IF(AN52=12,J52,0)</f>
      </c>
      <c r="AL52" s="45">
        <f>IF(AN52=21,J52,0)</f>
      </c>
      <c r="AN52" s="45" t="n">
        <v>21</v>
      </c>
      <c r="AO52" s="45">
        <f>G52*0.138385923</f>
      </c>
      <c r="AP52" s="45">
        <f>G52*(1-0.138385923)</f>
      </c>
      <c r="AQ52" s="47" t="s">
        <v>58</v>
      </c>
      <c r="AV52" s="45">
        <f>AW52+AX52</f>
      </c>
      <c r="AW52" s="45">
        <f>F52*AO52</f>
      </c>
      <c r="AX52" s="45">
        <f>F52*AP52</f>
      </c>
      <c r="AY52" s="47" t="s">
        <v>185</v>
      </c>
      <c r="AZ52" s="47" t="s">
        <v>176</v>
      </c>
      <c r="BA52" s="28" t="s">
        <v>65</v>
      </c>
      <c r="BC52" s="45">
        <f>AW52+AX52</f>
      </c>
      <c r="BD52" s="45">
        <f>G52/(100-BE52)*100</f>
      </c>
      <c r="BE52" s="45" t="n">
        <v>0</v>
      </c>
      <c r="BF52" s="45">
        <f>52</f>
      </c>
      <c r="BH52" s="45">
        <f>F52*AO52</f>
      </c>
      <c r="BI52" s="45">
        <f>F52*AP52</f>
      </c>
      <c r="BJ52" s="45">
        <f>F52*G52</f>
      </c>
      <c r="BK52" s="45"/>
      <c r="BL52" s="45" t="n">
        <v>89</v>
      </c>
      <c r="BW52" s="45" t="n">
        <v>21</v>
      </c>
      <c r="BX52" s="14" t="s">
        <v>184</v>
      </c>
    </row>
    <row r="53">
      <c r="A53" s="9" t="s">
        <v>186</v>
      </c>
      <c r="B53" s="10" t="s">
        <v>187</v>
      </c>
      <c r="C53" s="14" t="s">
        <v>188</v>
      </c>
      <c r="D53" s="10"/>
      <c r="E53" s="10" t="s">
        <v>160</v>
      </c>
      <c r="F53" s="45" t="n">
        <v>1</v>
      </c>
      <c r="G53" s="45" t="n">
        <v>0</v>
      </c>
      <c r="H53" s="45">
        <f>F53*AO53</f>
      </c>
      <c r="I53" s="45">
        <f>F53*AP53</f>
      </c>
      <c r="J53" s="45">
        <f>F53*G53</f>
      </c>
      <c r="K53" s="46" t="s">
        <v>62</v>
      </c>
      <c r="Z53" s="45">
        <f>IF(AQ53="5",BJ53,0)</f>
      </c>
      <c r="AB53" s="45">
        <f>IF(AQ53="1",BH53,0)</f>
      </c>
      <c r="AC53" s="45">
        <f>IF(AQ53="1",BI53,0)</f>
      </c>
      <c r="AD53" s="45">
        <f>IF(AQ53="7",BH53,0)</f>
      </c>
      <c r="AE53" s="45">
        <f>IF(AQ53="7",BI53,0)</f>
      </c>
      <c r="AF53" s="45">
        <f>IF(AQ53="2",BH53,0)</f>
      </c>
      <c r="AG53" s="45">
        <f>IF(AQ53="2",BI53,0)</f>
      </c>
      <c r="AH53" s="45">
        <f>IF(AQ53="0",BJ53,0)</f>
      </c>
      <c r="AI53" s="28" t="s">
        <v>55</v>
      </c>
      <c r="AJ53" s="45">
        <f>IF(AN53=0,J53,0)</f>
      </c>
      <c r="AK53" s="45">
        <f>IF(AN53=12,J53,0)</f>
      </c>
      <c r="AL53" s="45">
        <f>IF(AN53=21,J53,0)</f>
      </c>
      <c r="AN53" s="45" t="n">
        <v>21</v>
      </c>
      <c r="AO53" s="45">
        <f>G53*0.136276355</f>
      </c>
      <c r="AP53" s="45">
        <f>G53*(1-0.136276355)</f>
      </c>
      <c r="AQ53" s="47" t="s">
        <v>58</v>
      </c>
      <c r="AV53" s="45">
        <f>AW53+AX53</f>
      </c>
      <c r="AW53" s="45">
        <f>F53*AO53</f>
      </c>
      <c r="AX53" s="45">
        <f>F53*AP53</f>
      </c>
      <c r="AY53" s="47" t="s">
        <v>185</v>
      </c>
      <c r="AZ53" s="47" t="s">
        <v>176</v>
      </c>
      <c r="BA53" s="28" t="s">
        <v>65</v>
      </c>
      <c r="BC53" s="45">
        <f>AW53+AX53</f>
      </c>
      <c r="BD53" s="45">
        <f>G53/(100-BE53)*100</f>
      </c>
      <c r="BE53" s="45" t="n">
        <v>0</v>
      </c>
      <c r="BF53" s="45">
        <f>53</f>
      </c>
      <c r="BH53" s="45">
        <f>F53*AO53</f>
      </c>
      <c r="BI53" s="45">
        <f>F53*AP53</f>
      </c>
      <c r="BJ53" s="45">
        <f>F53*G53</f>
      </c>
      <c r="BK53" s="45"/>
      <c r="BL53" s="45" t="n">
        <v>89</v>
      </c>
      <c r="BW53" s="45" t="n">
        <v>21</v>
      </c>
      <c r="BX53" s="14" t="s">
        <v>188</v>
      </c>
    </row>
    <row r="54">
      <c r="A54" s="9" t="s">
        <v>189</v>
      </c>
      <c r="B54" s="10" t="s">
        <v>190</v>
      </c>
      <c r="C54" s="14" t="s">
        <v>191</v>
      </c>
      <c r="D54" s="10"/>
      <c r="E54" s="10" t="s">
        <v>160</v>
      </c>
      <c r="F54" s="45" t="n">
        <v>3</v>
      </c>
      <c r="G54" s="45" t="n">
        <v>0</v>
      </c>
      <c r="H54" s="45">
        <f>F54*AO54</f>
      </c>
      <c r="I54" s="45">
        <f>F54*AP54</f>
      </c>
      <c r="J54" s="45">
        <f>F54*G54</f>
      </c>
      <c r="K54" s="46" t="s">
        <v>62</v>
      </c>
      <c r="Z54" s="45">
        <f>IF(AQ54="5",BJ54,0)</f>
      </c>
      <c r="AB54" s="45">
        <f>IF(AQ54="1",BH54,0)</f>
      </c>
      <c r="AC54" s="45">
        <f>IF(AQ54="1",BI54,0)</f>
      </c>
      <c r="AD54" s="45">
        <f>IF(AQ54="7",BH54,0)</f>
      </c>
      <c r="AE54" s="45">
        <f>IF(AQ54="7",BI54,0)</f>
      </c>
      <c r="AF54" s="45">
        <f>IF(AQ54="2",BH54,0)</f>
      </c>
      <c r="AG54" s="45">
        <f>IF(AQ54="2",BI54,0)</f>
      </c>
      <c r="AH54" s="45">
        <f>IF(AQ54="0",BJ54,0)</f>
      </c>
      <c r="AI54" s="28" t="s">
        <v>55</v>
      </c>
      <c r="AJ54" s="45">
        <f>IF(AN54=0,J54,0)</f>
      </c>
      <c r="AK54" s="45">
        <f>IF(AN54=12,J54,0)</f>
      </c>
      <c r="AL54" s="45">
        <f>IF(AN54=21,J54,0)</f>
      </c>
      <c r="AN54" s="45" t="n">
        <v>21</v>
      </c>
      <c r="AO54" s="45">
        <f>G54*0.077076098</f>
      </c>
      <c r="AP54" s="45">
        <f>G54*(1-0.077076098)</f>
      </c>
      <c r="AQ54" s="47" t="s">
        <v>58</v>
      </c>
      <c r="AV54" s="45">
        <f>AW54+AX54</f>
      </c>
      <c r="AW54" s="45">
        <f>F54*AO54</f>
      </c>
      <c r="AX54" s="45">
        <f>F54*AP54</f>
      </c>
      <c r="AY54" s="47" t="s">
        <v>185</v>
      </c>
      <c r="AZ54" s="47" t="s">
        <v>176</v>
      </c>
      <c r="BA54" s="28" t="s">
        <v>65</v>
      </c>
      <c r="BC54" s="45">
        <f>AW54+AX54</f>
      </c>
      <c r="BD54" s="45">
        <f>G54/(100-BE54)*100</f>
      </c>
      <c r="BE54" s="45" t="n">
        <v>0</v>
      </c>
      <c r="BF54" s="45">
        <f>54</f>
      </c>
      <c r="BH54" s="45">
        <f>F54*AO54</f>
      </c>
      <c r="BI54" s="45">
        <f>F54*AP54</f>
      </c>
      <c r="BJ54" s="45">
        <f>F54*G54</f>
      </c>
      <c r="BK54" s="45"/>
      <c r="BL54" s="45" t="n">
        <v>89</v>
      </c>
      <c r="BW54" s="45" t="n">
        <v>21</v>
      </c>
      <c r="BX54" s="14" t="s">
        <v>191</v>
      </c>
    </row>
    <row r="55">
      <c r="A55" s="9" t="s">
        <v>192</v>
      </c>
      <c r="B55" s="10" t="s">
        <v>193</v>
      </c>
      <c r="C55" s="14" t="s">
        <v>194</v>
      </c>
      <c r="D55" s="10"/>
      <c r="E55" s="10" t="s">
        <v>160</v>
      </c>
      <c r="F55" s="45" t="n">
        <v>3</v>
      </c>
      <c r="G55" s="45" t="n">
        <v>0</v>
      </c>
      <c r="H55" s="45">
        <f>F55*AO55</f>
      </c>
      <c r="I55" s="45">
        <f>F55*AP55</f>
      </c>
      <c r="J55" s="45">
        <f>F55*G55</f>
      </c>
      <c r="K55" s="46" t="s">
        <v>62</v>
      </c>
      <c r="Z55" s="45">
        <f>IF(AQ55="5",BJ55,0)</f>
      </c>
      <c r="AB55" s="45">
        <f>IF(AQ55="1",BH55,0)</f>
      </c>
      <c r="AC55" s="45">
        <f>IF(AQ55="1",BI55,0)</f>
      </c>
      <c r="AD55" s="45">
        <f>IF(AQ55="7",BH55,0)</f>
      </c>
      <c r="AE55" s="45">
        <f>IF(AQ55="7",BI55,0)</f>
      </c>
      <c r="AF55" s="45">
        <f>IF(AQ55="2",BH55,0)</f>
      </c>
      <c r="AG55" s="45">
        <f>IF(AQ55="2",BI55,0)</f>
      </c>
      <c r="AH55" s="45">
        <f>IF(AQ55="0",BJ55,0)</f>
      </c>
      <c r="AI55" s="28" t="s">
        <v>55</v>
      </c>
      <c r="AJ55" s="45">
        <f>IF(AN55=0,J55,0)</f>
      </c>
      <c r="AK55" s="45">
        <f>IF(AN55=12,J55,0)</f>
      </c>
      <c r="AL55" s="45">
        <f>IF(AN55=21,J55,0)</f>
      </c>
      <c r="AN55" s="45" t="n">
        <v>21</v>
      </c>
      <c r="AO55" s="45">
        <f>G55*0.08141649</f>
      </c>
      <c r="AP55" s="45">
        <f>G55*(1-0.08141649)</f>
      </c>
      <c r="AQ55" s="47" t="s">
        <v>58</v>
      </c>
      <c r="AV55" s="45">
        <f>AW55+AX55</f>
      </c>
      <c r="AW55" s="45">
        <f>F55*AO55</f>
      </c>
      <c r="AX55" s="45">
        <f>F55*AP55</f>
      </c>
      <c r="AY55" s="47" t="s">
        <v>185</v>
      </c>
      <c r="AZ55" s="47" t="s">
        <v>176</v>
      </c>
      <c r="BA55" s="28" t="s">
        <v>65</v>
      </c>
      <c r="BC55" s="45">
        <f>AW55+AX55</f>
      </c>
      <c r="BD55" s="45">
        <f>G55/(100-BE55)*100</f>
      </c>
      <c r="BE55" s="45" t="n">
        <v>0</v>
      </c>
      <c r="BF55" s="45">
        <f>55</f>
      </c>
      <c r="BH55" s="45">
        <f>F55*AO55</f>
      </c>
      <c r="BI55" s="45">
        <f>F55*AP55</f>
      </c>
      <c r="BJ55" s="45">
        <f>F55*G55</f>
      </c>
      <c r="BK55" s="45"/>
      <c r="BL55" s="45" t="n">
        <v>89</v>
      </c>
      <c r="BW55" s="45" t="n">
        <v>21</v>
      </c>
      <c r="BX55" s="14" t="s">
        <v>194</v>
      </c>
    </row>
    <row r="56">
      <c r="A56" s="9" t="s">
        <v>195</v>
      </c>
      <c r="B56" s="10" t="s">
        <v>196</v>
      </c>
      <c r="C56" s="14" t="s">
        <v>197</v>
      </c>
      <c r="D56" s="10"/>
      <c r="E56" s="10" t="s">
        <v>160</v>
      </c>
      <c r="F56" s="45" t="n">
        <v>3</v>
      </c>
      <c r="G56" s="45" t="n">
        <v>0</v>
      </c>
      <c r="H56" s="45">
        <f>F56*AO56</f>
      </c>
      <c r="I56" s="45">
        <f>F56*AP56</f>
      </c>
      <c r="J56" s="45">
        <f>F56*G56</f>
      </c>
      <c r="K56" s="46" t="s">
        <v>62</v>
      </c>
      <c r="Z56" s="45">
        <f>IF(AQ56="5",BJ56,0)</f>
      </c>
      <c r="AB56" s="45">
        <f>IF(AQ56="1",BH56,0)</f>
      </c>
      <c r="AC56" s="45">
        <f>IF(AQ56="1",BI56,0)</f>
      </c>
      <c r="AD56" s="45">
        <f>IF(AQ56="7",BH56,0)</f>
      </c>
      <c r="AE56" s="45">
        <f>IF(AQ56="7",BI56,0)</f>
      </c>
      <c r="AF56" s="45">
        <f>IF(AQ56="2",BH56,0)</f>
      </c>
      <c r="AG56" s="45">
        <f>IF(AQ56="2",BI56,0)</f>
      </c>
      <c r="AH56" s="45">
        <f>IF(AQ56="0",BJ56,0)</f>
      </c>
      <c r="AI56" s="28" t="s">
        <v>55</v>
      </c>
      <c r="AJ56" s="45">
        <f>IF(AN56=0,J56,0)</f>
      </c>
      <c r="AK56" s="45">
        <f>IF(AN56=12,J56,0)</f>
      </c>
      <c r="AL56" s="45">
        <f>IF(AN56=21,J56,0)</f>
      </c>
      <c r="AN56" s="45" t="n">
        <v>21</v>
      </c>
      <c r="AO56" s="45">
        <f>G56*0.397211896</f>
      </c>
      <c r="AP56" s="45">
        <f>G56*(1-0.397211896)</f>
      </c>
      <c r="AQ56" s="47" t="s">
        <v>58</v>
      </c>
      <c r="AV56" s="45">
        <f>AW56+AX56</f>
      </c>
      <c r="AW56" s="45">
        <f>F56*AO56</f>
      </c>
      <c r="AX56" s="45">
        <f>F56*AP56</f>
      </c>
      <c r="AY56" s="47" t="s">
        <v>185</v>
      </c>
      <c r="AZ56" s="47" t="s">
        <v>176</v>
      </c>
      <c r="BA56" s="28" t="s">
        <v>65</v>
      </c>
      <c r="BC56" s="45">
        <f>AW56+AX56</f>
      </c>
      <c r="BD56" s="45">
        <f>G56/(100-BE56)*100</f>
      </c>
      <c r="BE56" s="45" t="n">
        <v>0</v>
      </c>
      <c r="BF56" s="45">
        <f>56</f>
      </c>
      <c r="BH56" s="45">
        <f>F56*AO56</f>
      </c>
      <c r="BI56" s="45">
        <f>F56*AP56</f>
      </c>
      <c r="BJ56" s="45">
        <f>F56*G56</f>
      </c>
      <c r="BK56" s="45"/>
      <c r="BL56" s="45" t="n">
        <v>89</v>
      </c>
      <c r="BW56" s="45" t="n">
        <v>21</v>
      </c>
      <c r="BX56" s="14" t="s">
        <v>197</v>
      </c>
    </row>
    <row r="57">
      <c r="A57" s="9" t="s">
        <v>198</v>
      </c>
      <c r="B57" s="10" t="s">
        <v>199</v>
      </c>
      <c r="C57" s="14" t="s">
        <v>200</v>
      </c>
      <c r="D57" s="10"/>
      <c r="E57" s="10" t="s">
        <v>160</v>
      </c>
      <c r="F57" s="45" t="n">
        <v>3</v>
      </c>
      <c r="G57" s="45" t="n">
        <v>0</v>
      </c>
      <c r="H57" s="45">
        <f>F57*AO57</f>
      </c>
      <c r="I57" s="45">
        <f>F57*AP57</f>
      </c>
      <c r="J57" s="45">
        <f>F57*G57</f>
      </c>
      <c r="K57" s="46" t="s">
        <v>62</v>
      </c>
      <c r="Z57" s="45">
        <f>IF(AQ57="5",BJ57,0)</f>
      </c>
      <c r="AB57" s="45">
        <f>IF(AQ57="1",BH57,0)</f>
      </c>
      <c r="AC57" s="45">
        <f>IF(AQ57="1",BI57,0)</f>
      </c>
      <c r="AD57" s="45">
        <f>IF(AQ57="7",BH57,0)</f>
      </c>
      <c r="AE57" s="45">
        <f>IF(AQ57="7",BI57,0)</f>
      </c>
      <c r="AF57" s="45">
        <f>IF(AQ57="2",BH57,0)</f>
      </c>
      <c r="AG57" s="45">
        <f>IF(AQ57="2",BI57,0)</f>
      </c>
      <c r="AH57" s="45">
        <f>IF(AQ57="0",BJ57,0)</f>
      </c>
      <c r="AI57" s="28" t="s">
        <v>55</v>
      </c>
      <c r="AJ57" s="45">
        <f>IF(AN57=0,J57,0)</f>
      </c>
      <c r="AK57" s="45">
        <f>IF(AN57=12,J57,0)</f>
      </c>
      <c r="AL57" s="45">
        <f>IF(AN57=21,J57,0)</f>
      </c>
      <c r="AN57" s="45" t="n">
        <v>21</v>
      </c>
      <c r="AO57" s="45">
        <f>G57*0.56169515</f>
      </c>
      <c r="AP57" s="45">
        <f>G57*(1-0.56169515)</f>
      </c>
      <c r="AQ57" s="47" t="s">
        <v>58</v>
      </c>
      <c r="AV57" s="45">
        <f>AW57+AX57</f>
      </c>
      <c r="AW57" s="45">
        <f>F57*AO57</f>
      </c>
      <c r="AX57" s="45">
        <f>F57*AP57</f>
      </c>
      <c r="AY57" s="47" t="s">
        <v>185</v>
      </c>
      <c r="AZ57" s="47" t="s">
        <v>176</v>
      </c>
      <c r="BA57" s="28" t="s">
        <v>65</v>
      </c>
      <c r="BC57" s="45">
        <f>AW57+AX57</f>
      </c>
      <c r="BD57" s="45">
        <f>G57/(100-BE57)*100</f>
      </c>
      <c r="BE57" s="45" t="n">
        <v>0</v>
      </c>
      <c r="BF57" s="45">
        <f>57</f>
      </c>
      <c r="BH57" s="45">
        <f>F57*AO57</f>
      </c>
      <c r="BI57" s="45">
        <f>F57*AP57</f>
      </c>
      <c r="BJ57" s="45">
        <f>F57*G57</f>
      </c>
      <c r="BK57" s="45"/>
      <c r="BL57" s="45" t="n">
        <v>89</v>
      </c>
      <c r="BW57" s="45" t="n">
        <v>21</v>
      </c>
      <c r="BX57" s="14" t="s">
        <v>200</v>
      </c>
    </row>
    <row r="58">
      <c r="A58" s="9" t="s">
        <v>201</v>
      </c>
      <c r="B58" s="10" t="s">
        <v>202</v>
      </c>
      <c r="C58" s="14" t="s">
        <v>203</v>
      </c>
      <c r="D58" s="10"/>
      <c r="E58" s="10" t="s">
        <v>69</v>
      </c>
      <c r="F58" s="45" t="n">
        <v>1142</v>
      </c>
      <c r="G58" s="45" t="n">
        <v>0</v>
      </c>
      <c r="H58" s="45">
        <f>F58*AO58</f>
      </c>
      <c r="I58" s="45">
        <f>F58*AP58</f>
      </c>
      <c r="J58" s="45">
        <f>F58*G58</f>
      </c>
      <c r="K58" s="46" t="s">
        <v>62</v>
      </c>
      <c r="Z58" s="45">
        <f>IF(AQ58="5",BJ58,0)</f>
      </c>
      <c r="AB58" s="45">
        <f>IF(AQ58="1",BH58,0)</f>
      </c>
      <c r="AC58" s="45">
        <f>IF(AQ58="1",BI58,0)</f>
      </c>
      <c r="AD58" s="45">
        <f>IF(AQ58="7",BH58,0)</f>
      </c>
      <c r="AE58" s="45">
        <f>IF(AQ58="7",BI58,0)</f>
      </c>
      <c r="AF58" s="45">
        <f>IF(AQ58="2",BH58,0)</f>
      </c>
      <c r="AG58" s="45">
        <f>IF(AQ58="2",BI58,0)</f>
      </c>
      <c r="AH58" s="45">
        <f>IF(AQ58="0",BJ58,0)</f>
      </c>
      <c r="AI58" s="28" t="s">
        <v>55</v>
      </c>
      <c r="AJ58" s="45">
        <f>IF(AN58=0,J58,0)</f>
      </c>
      <c r="AK58" s="45">
        <f>IF(AN58=12,J58,0)</f>
      </c>
      <c r="AL58" s="45">
        <f>IF(AN58=21,J58,0)</f>
      </c>
      <c r="AN58" s="45" t="n">
        <v>21</v>
      </c>
      <c r="AO58" s="45">
        <f>G58*0.024050192</f>
      </c>
      <c r="AP58" s="45">
        <f>G58*(1-0.024050192)</f>
      </c>
      <c r="AQ58" s="47" t="s">
        <v>58</v>
      </c>
      <c r="AV58" s="45">
        <f>AW58+AX58</f>
      </c>
      <c r="AW58" s="45">
        <f>F58*AO58</f>
      </c>
      <c r="AX58" s="45">
        <f>F58*AP58</f>
      </c>
      <c r="AY58" s="47" t="s">
        <v>185</v>
      </c>
      <c r="AZ58" s="47" t="s">
        <v>176</v>
      </c>
      <c r="BA58" s="28" t="s">
        <v>65</v>
      </c>
      <c r="BC58" s="45">
        <f>AW58+AX58</f>
      </c>
      <c r="BD58" s="45">
        <f>G58/(100-BE58)*100</f>
      </c>
      <c r="BE58" s="45" t="n">
        <v>0</v>
      </c>
      <c r="BF58" s="45">
        <f>58</f>
      </c>
      <c r="BH58" s="45">
        <f>F58*AO58</f>
      </c>
      <c r="BI58" s="45">
        <f>F58*AP58</f>
      </c>
      <c r="BJ58" s="45">
        <f>F58*G58</f>
      </c>
      <c r="BK58" s="45"/>
      <c r="BL58" s="45" t="n">
        <v>89</v>
      </c>
      <c r="BW58" s="45" t="n">
        <v>21</v>
      </c>
      <c r="BX58" s="14" t="s">
        <v>203</v>
      </c>
    </row>
    <row r="59">
      <c r="A59" s="9" t="s">
        <v>204</v>
      </c>
      <c r="B59" s="10" t="s">
        <v>205</v>
      </c>
      <c r="C59" s="14" t="s">
        <v>206</v>
      </c>
      <c r="D59" s="10"/>
      <c r="E59" s="10" t="s">
        <v>69</v>
      </c>
      <c r="F59" s="45" t="n">
        <v>1142</v>
      </c>
      <c r="G59" s="45" t="n">
        <v>0</v>
      </c>
      <c r="H59" s="45">
        <f>F59*AO59</f>
      </c>
      <c r="I59" s="45">
        <f>F59*AP59</f>
      </c>
      <c r="J59" s="45">
        <f>F59*G59</f>
      </c>
      <c r="K59" s="46" t="s">
        <v>62</v>
      </c>
      <c r="Z59" s="45">
        <f>IF(AQ59="5",BJ59,0)</f>
      </c>
      <c r="AB59" s="45">
        <f>IF(AQ59="1",BH59,0)</f>
      </c>
      <c r="AC59" s="45">
        <f>IF(AQ59="1",BI59,0)</f>
      </c>
      <c r="AD59" s="45">
        <f>IF(AQ59="7",BH59,0)</f>
      </c>
      <c r="AE59" s="45">
        <f>IF(AQ59="7",BI59,0)</f>
      </c>
      <c r="AF59" s="45">
        <f>IF(AQ59="2",BH59,0)</f>
      </c>
      <c r="AG59" s="45">
        <f>IF(AQ59="2",BI59,0)</f>
      </c>
      <c r="AH59" s="45">
        <f>IF(AQ59="0",BJ59,0)</f>
      </c>
      <c r="AI59" s="28" t="s">
        <v>55</v>
      </c>
      <c r="AJ59" s="45">
        <f>IF(AN59=0,J59,0)</f>
      </c>
      <c r="AK59" s="45">
        <f>IF(AN59=12,J59,0)</f>
      </c>
      <c r="AL59" s="45">
        <f>IF(AN59=21,J59,0)</f>
      </c>
      <c r="AN59" s="45" t="n">
        <v>21</v>
      </c>
      <c r="AO59" s="45">
        <f>G59*0.005572755</f>
      </c>
      <c r="AP59" s="45">
        <f>G59*(1-0.005572755)</f>
      </c>
      <c r="AQ59" s="47" t="s">
        <v>58</v>
      </c>
      <c r="AV59" s="45">
        <f>AW59+AX59</f>
      </c>
      <c r="AW59" s="45">
        <f>F59*AO59</f>
      </c>
      <c r="AX59" s="45">
        <f>F59*AP59</f>
      </c>
      <c r="AY59" s="47" t="s">
        <v>185</v>
      </c>
      <c r="AZ59" s="47" t="s">
        <v>176</v>
      </c>
      <c r="BA59" s="28" t="s">
        <v>65</v>
      </c>
      <c r="BC59" s="45">
        <f>AW59+AX59</f>
      </c>
      <c r="BD59" s="45">
        <f>G59/(100-BE59)*100</f>
      </c>
      <c r="BE59" s="45" t="n">
        <v>0</v>
      </c>
      <c r="BF59" s="45">
        <f>59</f>
      </c>
      <c r="BH59" s="45">
        <f>F59*AO59</f>
      </c>
      <c r="BI59" s="45">
        <f>F59*AP59</f>
      </c>
      <c r="BJ59" s="45">
        <f>F59*G59</f>
      </c>
      <c r="BK59" s="45"/>
      <c r="BL59" s="45" t="n">
        <v>89</v>
      </c>
      <c r="BW59" s="45" t="n">
        <v>21</v>
      </c>
      <c r="BX59" s="14" t="s">
        <v>206</v>
      </c>
    </row>
    <row r="60">
      <c r="A60" s="9" t="s">
        <v>207</v>
      </c>
      <c r="B60" s="10" t="s">
        <v>208</v>
      </c>
      <c r="C60" s="14" t="s">
        <v>209</v>
      </c>
      <c r="D60" s="10"/>
      <c r="E60" s="10" t="s">
        <v>160</v>
      </c>
      <c r="F60" s="45" t="n">
        <v>1</v>
      </c>
      <c r="G60" s="45" t="n">
        <v>0</v>
      </c>
      <c r="H60" s="45">
        <f>F60*AO60</f>
      </c>
      <c r="I60" s="45">
        <f>F60*AP60</f>
      </c>
      <c r="J60" s="45">
        <f>F60*G60</f>
      </c>
      <c r="K60" s="46" t="s">
        <v>62</v>
      </c>
      <c r="Z60" s="45">
        <f>IF(AQ60="5",BJ60,0)</f>
      </c>
      <c r="AB60" s="45">
        <f>IF(AQ60="1",BH60,0)</f>
      </c>
      <c r="AC60" s="45">
        <f>IF(AQ60="1",BI60,0)</f>
      </c>
      <c r="AD60" s="45">
        <f>IF(AQ60="7",BH60,0)</f>
      </c>
      <c r="AE60" s="45">
        <f>IF(AQ60="7",BI60,0)</f>
      </c>
      <c r="AF60" s="45">
        <f>IF(AQ60="2",BH60,0)</f>
      </c>
      <c r="AG60" s="45">
        <f>IF(AQ60="2",BI60,0)</f>
      </c>
      <c r="AH60" s="45">
        <f>IF(AQ60="0",BJ60,0)</f>
      </c>
      <c r="AI60" s="28" t="s">
        <v>55</v>
      </c>
      <c r="AJ60" s="45">
        <f>IF(AN60=0,J60,0)</f>
      </c>
      <c r="AK60" s="45">
        <f>IF(AN60=12,J60,0)</f>
      </c>
      <c r="AL60" s="45">
        <f>IF(AN60=21,J60,0)</f>
      </c>
      <c r="AN60" s="45" t="n">
        <v>21</v>
      </c>
      <c r="AO60" s="45">
        <f>G60*0.544806155</f>
      </c>
      <c r="AP60" s="45">
        <f>G60*(1-0.544806155)</f>
      </c>
      <c r="AQ60" s="47" t="s">
        <v>58</v>
      </c>
      <c r="AV60" s="45">
        <f>AW60+AX60</f>
      </c>
      <c r="AW60" s="45">
        <f>F60*AO60</f>
      </c>
      <c r="AX60" s="45">
        <f>F60*AP60</f>
      </c>
      <c r="AY60" s="47" t="s">
        <v>185</v>
      </c>
      <c r="AZ60" s="47" t="s">
        <v>176</v>
      </c>
      <c r="BA60" s="28" t="s">
        <v>65</v>
      </c>
      <c r="BC60" s="45">
        <f>AW60+AX60</f>
      </c>
      <c r="BD60" s="45">
        <f>G60/(100-BE60)*100</f>
      </c>
      <c r="BE60" s="45" t="n">
        <v>0</v>
      </c>
      <c r="BF60" s="45">
        <f>60</f>
      </c>
      <c r="BH60" s="45">
        <f>F60*AO60</f>
      </c>
      <c r="BI60" s="45">
        <f>F60*AP60</f>
      </c>
      <c r="BJ60" s="45">
        <f>F60*G60</f>
      </c>
      <c r="BK60" s="45"/>
      <c r="BL60" s="45" t="n">
        <v>89</v>
      </c>
      <c r="BW60" s="45" t="n">
        <v>21</v>
      </c>
      <c r="BX60" s="14" t="s">
        <v>209</v>
      </c>
    </row>
    <row r="61">
      <c r="A61" s="9" t="s">
        <v>210</v>
      </c>
      <c r="B61" s="10" t="s">
        <v>211</v>
      </c>
      <c r="C61" s="14" t="s">
        <v>212</v>
      </c>
      <c r="D61" s="10"/>
      <c r="E61" s="10" t="s">
        <v>160</v>
      </c>
      <c r="F61" s="45" t="n">
        <v>1</v>
      </c>
      <c r="G61" s="45" t="n">
        <v>0</v>
      </c>
      <c r="H61" s="45">
        <f>F61*AO61</f>
      </c>
      <c r="I61" s="45">
        <f>F61*AP61</f>
      </c>
      <c r="J61" s="45">
        <f>F61*G61</f>
      </c>
      <c r="K61" s="46" t="s">
        <v>62</v>
      </c>
      <c r="Z61" s="45">
        <f>IF(AQ61="5",BJ61,0)</f>
      </c>
      <c r="AB61" s="45">
        <f>IF(AQ61="1",BH61,0)</f>
      </c>
      <c r="AC61" s="45">
        <f>IF(AQ61="1",BI61,0)</f>
      </c>
      <c r="AD61" s="45">
        <f>IF(AQ61="7",BH61,0)</f>
      </c>
      <c r="AE61" s="45">
        <f>IF(AQ61="7",BI61,0)</f>
      </c>
      <c r="AF61" s="45">
        <f>IF(AQ61="2",BH61,0)</f>
      </c>
      <c r="AG61" s="45">
        <f>IF(AQ61="2",BI61,0)</f>
      </c>
      <c r="AH61" s="45">
        <f>IF(AQ61="0",BJ61,0)</f>
      </c>
      <c r="AI61" s="28" t="s">
        <v>55</v>
      </c>
      <c r="AJ61" s="45">
        <f>IF(AN61=0,J61,0)</f>
      </c>
      <c r="AK61" s="45">
        <f>IF(AN61=12,J61,0)</f>
      </c>
      <c r="AL61" s="45">
        <f>IF(AN61=21,J61,0)</f>
      </c>
      <c r="AN61" s="45" t="n">
        <v>21</v>
      </c>
      <c r="AO61" s="45">
        <f>G61*0.015254237</f>
      </c>
      <c r="AP61" s="45">
        <f>G61*(1-0.015254237)</f>
      </c>
      <c r="AQ61" s="47" t="s">
        <v>58</v>
      </c>
      <c r="AV61" s="45">
        <f>AW61+AX61</f>
      </c>
      <c r="AW61" s="45">
        <f>F61*AO61</f>
      </c>
      <c r="AX61" s="45">
        <f>F61*AP61</f>
      </c>
      <c r="AY61" s="47" t="s">
        <v>185</v>
      </c>
      <c r="AZ61" s="47" t="s">
        <v>176</v>
      </c>
      <c r="BA61" s="28" t="s">
        <v>65</v>
      </c>
      <c r="BC61" s="45">
        <f>AW61+AX61</f>
      </c>
      <c r="BD61" s="45">
        <f>G61/(100-BE61)*100</f>
      </c>
      <c r="BE61" s="45" t="n">
        <v>0</v>
      </c>
      <c r="BF61" s="45">
        <f>61</f>
      </c>
      <c r="BH61" s="45">
        <f>F61*AO61</f>
      </c>
      <c r="BI61" s="45">
        <f>F61*AP61</f>
      </c>
      <c r="BJ61" s="45">
        <f>F61*G61</f>
      </c>
      <c r="BK61" s="45"/>
      <c r="BL61" s="45" t="n">
        <v>89</v>
      </c>
      <c r="BW61" s="45" t="n">
        <v>21</v>
      </c>
      <c r="BX61" s="14" t="s">
        <v>212</v>
      </c>
    </row>
    <row r="62">
      <c r="A62" s="9" t="s">
        <v>213</v>
      </c>
      <c r="B62" s="10" t="s">
        <v>214</v>
      </c>
      <c r="C62" s="14" t="s">
        <v>215</v>
      </c>
      <c r="D62" s="10"/>
      <c r="E62" s="10" t="s">
        <v>160</v>
      </c>
      <c r="F62" s="45" t="n">
        <v>4</v>
      </c>
      <c r="G62" s="45" t="n">
        <v>0</v>
      </c>
      <c r="H62" s="45">
        <f>F62*AO62</f>
      </c>
      <c r="I62" s="45">
        <f>F62*AP62</f>
      </c>
      <c r="J62" s="45">
        <f>F62*G62</f>
      </c>
      <c r="K62" s="46" t="s">
        <v>62</v>
      </c>
      <c r="Z62" s="45">
        <f>IF(AQ62="5",BJ62,0)</f>
      </c>
      <c r="AB62" s="45">
        <f>IF(AQ62="1",BH62,0)</f>
      </c>
      <c r="AC62" s="45">
        <f>IF(AQ62="1",BI62,0)</f>
      </c>
      <c r="AD62" s="45">
        <f>IF(AQ62="7",BH62,0)</f>
      </c>
      <c r="AE62" s="45">
        <f>IF(AQ62="7",BI62,0)</f>
      </c>
      <c r="AF62" s="45">
        <f>IF(AQ62="2",BH62,0)</f>
      </c>
      <c r="AG62" s="45">
        <f>IF(AQ62="2",BI62,0)</f>
      </c>
      <c r="AH62" s="45">
        <f>IF(AQ62="0",BJ62,0)</f>
      </c>
      <c r="AI62" s="28" t="s">
        <v>55</v>
      </c>
      <c r="AJ62" s="45">
        <f>IF(AN62=0,J62,0)</f>
      </c>
      <c r="AK62" s="45">
        <f>IF(AN62=12,J62,0)</f>
      </c>
      <c r="AL62" s="45">
        <f>IF(AN62=21,J62,0)</f>
      </c>
      <c r="AN62" s="45" t="n">
        <v>21</v>
      </c>
      <c r="AO62" s="45">
        <f>G62*0.317163458</f>
      </c>
      <c r="AP62" s="45">
        <f>G62*(1-0.317163458)</f>
      </c>
      <c r="AQ62" s="47" t="s">
        <v>58</v>
      </c>
      <c r="AV62" s="45">
        <f>AW62+AX62</f>
      </c>
      <c r="AW62" s="45">
        <f>F62*AO62</f>
      </c>
      <c r="AX62" s="45">
        <f>F62*AP62</f>
      </c>
      <c r="AY62" s="47" t="s">
        <v>185</v>
      </c>
      <c r="AZ62" s="47" t="s">
        <v>176</v>
      </c>
      <c r="BA62" s="28" t="s">
        <v>65</v>
      </c>
      <c r="BC62" s="45">
        <f>AW62+AX62</f>
      </c>
      <c r="BD62" s="45">
        <f>G62/(100-BE62)*100</f>
      </c>
      <c r="BE62" s="45" t="n">
        <v>0</v>
      </c>
      <c r="BF62" s="45">
        <f>62</f>
      </c>
      <c r="BH62" s="45">
        <f>F62*AO62</f>
      </c>
      <c r="BI62" s="45">
        <f>F62*AP62</f>
      </c>
      <c r="BJ62" s="45">
        <f>F62*G62</f>
      </c>
      <c r="BK62" s="45"/>
      <c r="BL62" s="45" t="n">
        <v>89</v>
      </c>
      <c r="BW62" s="45" t="n">
        <v>21</v>
      </c>
      <c r="BX62" s="14" t="s">
        <v>215</v>
      </c>
    </row>
    <row r="63">
      <c r="A63" s="9" t="s">
        <v>216</v>
      </c>
      <c r="B63" s="10" t="s">
        <v>217</v>
      </c>
      <c r="C63" s="14" t="s">
        <v>218</v>
      </c>
      <c r="D63" s="10"/>
      <c r="E63" s="10" t="s">
        <v>69</v>
      </c>
      <c r="F63" s="45" t="n">
        <v>1200</v>
      </c>
      <c r="G63" s="45" t="n">
        <v>0</v>
      </c>
      <c r="H63" s="45">
        <f>F63*AO63</f>
      </c>
      <c r="I63" s="45">
        <f>F63*AP63</f>
      </c>
      <c r="J63" s="45">
        <f>F63*G63</f>
      </c>
      <c r="K63" s="46" t="s">
        <v>62</v>
      </c>
      <c r="Z63" s="45">
        <f>IF(AQ63="5",BJ63,0)</f>
      </c>
      <c r="AB63" s="45">
        <f>IF(AQ63="1",BH63,0)</f>
      </c>
      <c r="AC63" s="45">
        <f>IF(AQ63="1",BI63,0)</f>
      </c>
      <c r="AD63" s="45">
        <f>IF(AQ63="7",BH63,0)</f>
      </c>
      <c r="AE63" s="45">
        <f>IF(AQ63="7",BI63,0)</f>
      </c>
      <c r="AF63" s="45">
        <f>IF(AQ63="2",BH63,0)</f>
      </c>
      <c r="AG63" s="45">
        <f>IF(AQ63="2",BI63,0)</f>
      </c>
      <c r="AH63" s="45">
        <f>IF(AQ63="0",BJ63,0)</f>
      </c>
      <c r="AI63" s="28" t="s">
        <v>55</v>
      </c>
      <c r="AJ63" s="45">
        <f>IF(AN63=0,J63,0)</f>
      </c>
      <c r="AK63" s="45">
        <f>IF(AN63=12,J63,0)</f>
      </c>
      <c r="AL63" s="45">
        <f>IF(AN63=21,J63,0)</f>
      </c>
      <c r="AN63" s="45" t="n">
        <v>21</v>
      </c>
      <c r="AO63" s="45">
        <f>G63*0.512571429</f>
      </c>
      <c r="AP63" s="45">
        <f>G63*(1-0.512571429)</f>
      </c>
      <c r="AQ63" s="47" t="s">
        <v>58</v>
      </c>
      <c r="AV63" s="45">
        <f>AW63+AX63</f>
      </c>
      <c r="AW63" s="45">
        <f>F63*AO63</f>
      </c>
      <c r="AX63" s="45">
        <f>F63*AP63</f>
      </c>
      <c r="AY63" s="47" t="s">
        <v>185</v>
      </c>
      <c r="AZ63" s="47" t="s">
        <v>176</v>
      </c>
      <c r="BA63" s="28" t="s">
        <v>65</v>
      </c>
      <c r="BC63" s="45">
        <f>AW63+AX63</f>
      </c>
      <c r="BD63" s="45">
        <f>G63/(100-BE63)*100</f>
      </c>
      <c r="BE63" s="45" t="n">
        <v>0</v>
      </c>
      <c r="BF63" s="45">
        <f>63</f>
      </c>
      <c r="BH63" s="45">
        <f>F63*AO63</f>
      </c>
      <c r="BI63" s="45">
        <f>F63*AP63</f>
      </c>
      <c r="BJ63" s="45">
        <f>F63*G63</f>
      </c>
      <c r="BK63" s="45"/>
      <c r="BL63" s="45" t="n">
        <v>89</v>
      </c>
      <c r="BW63" s="45" t="n">
        <v>21</v>
      </c>
      <c r="BX63" s="14" t="s">
        <v>218</v>
      </c>
    </row>
    <row r="64">
      <c r="A64" s="48" t="s">
        <v>55</v>
      </c>
      <c r="B64" s="49" t="s">
        <v>219</v>
      </c>
      <c r="C64" s="50" t="s">
        <v>220</v>
      </c>
      <c r="D64" s="49"/>
      <c r="E64" s="51" t="s">
        <v>36</v>
      </c>
      <c r="F64" s="51" t="s">
        <v>36</v>
      </c>
      <c r="G64" s="51" t="s">
        <v>36</v>
      </c>
      <c r="H64" s="2">
        <f>SUM(H65:H66)</f>
      </c>
      <c r="I64" s="2">
        <f>SUM(I65:I66)</f>
      </c>
      <c r="J64" s="2">
        <f>SUM(J65:J66)</f>
      </c>
      <c r="K64" s="52" t="s">
        <v>55</v>
      </c>
      <c r="AI64" s="28" t="s">
        <v>55</v>
      </c>
      <c r="AS64" s="2">
        <f>SUM(AJ65:AJ66)</f>
      </c>
      <c r="AT64" s="2">
        <f>SUM(AK65:AK66)</f>
      </c>
      <c r="AU64" s="2">
        <f>SUM(AL65:AL66)</f>
      </c>
    </row>
    <row r="65">
      <c r="A65" s="9" t="s">
        <v>221</v>
      </c>
      <c r="B65" s="10" t="s">
        <v>222</v>
      </c>
      <c r="C65" s="14" t="s">
        <v>223</v>
      </c>
      <c r="D65" s="10"/>
      <c r="E65" s="10" t="s">
        <v>69</v>
      </c>
      <c r="F65" s="45" t="n">
        <v>3</v>
      </c>
      <c r="G65" s="45" t="n">
        <v>0</v>
      </c>
      <c r="H65" s="45">
        <f>F65*AO65</f>
      </c>
      <c r="I65" s="45">
        <f>F65*AP65</f>
      </c>
      <c r="J65" s="45">
        <f>F65*G65</f>
      </c>
      <c r="K65" s="46" t="s">
        <v>62</v>
      </c>
      <c r="Z65" s="45">
        <f>IF(AQ65="5",BJ65,0)</f>
      </c>
      <c r="AB65" s="45">
        <f>IF(AQ65="1",BH65,0)</f>
      </c>
      <c r="AC65" s="45">
        <f>IF(AQ65="1",BI65,0)</f>
      </c>
      <c r="AD65" s="45">
        <f>IF(AQ65="7",BH65,0)</f>
      </c>
      <c r="AE65" s="45">
        <f>IF(AQ65="7",BI65,0)</f>
      </c>
      <c r="AF65" s="45">
        <f>IF(AQ65="2",BH65,0)</f>
      </c>
      <c r="AG65" s="45">
        <f>IF(AQ65="2",BI65,0)</f>
      </c>
      <c r="AH65" s="45">
        <f>IF(AQ65="0",BJ65,0)</f>
      </c>
      <c r="AI65" s="28" t="s">
        <v>55</v>
      </c>
      <c r="AJ65" s="45">
        <f>IF(AN65=0,J65,0)</f>
      </c>
      <c r="AK65" s="45">
        <f>IF(AN65=12,J65,0)</f>
      </c>
      <c r="AL65" s="45">
        <f>IF(AN65=21,J65,0)</f>
      </c>
      <c r="AN65" s="45" t="n">
        <v>21</v>
      </c>
      <c r="AO65" s="45">
        <f>G65*0.536697248</f>
      </c>
      <c r="AP65" s="45">
        <f>G65*(1-0.536697248)</f>
      </c>
      <c r="AQ65" s="47" t="s">
        <v>58</v>
      </c>
      <c r="AV65" s="45">
        <f>AW65+AX65</f>
      </c>
      <c r="AW65" s="45">
        <f>F65*AO65</f>
      </c>
      <c r="AX65" s="45">
        <f>F65*AP65</f>
      </c>
      <c r="AY65" s="47" t="s">
        <v>224</v>
      </c>
      <c r="AZ65" s="47" t="s">
        <v>225</v>
      </c>
      <c r="BA65" s="28" t="s">
        <v>65</v>
      </c>
      <c r="BC65" s="45">
        <f>AW65+AX65</f>
      </c>
      <c r="BD65" s="45">
        <f>G65/(100-BE65)*100</f>
      </c>
      <c r="BE65" s="45" t="n">
        <v>0</v>
      </c>
      <c r="BF65" s="45">
        <f>65</f>
      </c>
      <c r="BH65" s="45">
        <f>F65*AO65</f>
      </c>
      <c r="BI65" s="45">
        <f>F65*AP65</f>
      </c>
      <c r="BJ65" s="45">
        <f>F65*G65</f>
      </c>
      <c r="BK65" s="45"/>
      <c r="BL65" s="45" t="n">
        <v>91</v>
      </c>
      <c r="BW65" s="45" t="n">
        <v>21</v>
      </c>
      <c r="BX65" s="14" t="s">
        <v>223</v>
      </c>
    </row>
    <row r="66">
      <c r="A66" s="9" t="s">
        <v>226</v>
      </c>
      <c r="B66" s="10" t="s">
        <v>227</v>
      </c>
      <c r="C66" s="14" t="s">
        <v>228</v>
      </c>
      <c r="D66" s="10"/>
      <c r="E66" s="10" t="s">
        <v>69</v>
      </c>
      <c r="F66" s="45" t="n">
        <v>3</v>
      </c>
      <c r="G66" s="45" t="n">
        <v>0</v>
      </c>
      <c r="H66" s="45">
        <f>F66*AO66</f>
      </c>
      <c r="I66" s="45">
        <f>F66*AP66</f>
      </c>
      <c r="J66" s="45">
        <f>F66*G66</f>
      </c>
      <c r="K66" s="46" t="s">
        <v>62</v>
      </c>
      <c r="Z66" s="45">
        <f>IF(AQ66="5",BJ66,0)</f>
      </c>
      <c r="AB66" s="45">
        <f>IF(AQ66="1",BH66,0)</f>
      </c>
      <c r="AC66" s="45">
        <f>IF(AQ66="1",BI66,0)</f>
      </c>
      <c r="AD66" s="45">
        <f>IF(AQ66="7",BH66,0)</f>
      </c>
      <c r="AE66" s="45">
        <f>IF(AQ66="7",BI66,0)</f>
      </c>
      <c r="AF66" s="45">
        <f>IF(AQ66="2",BH66,0)</f>
      </c>
      <c r="AG66" s="45">
        <f>IF(AQ66="2",BI66,0)</f>
      </c>
      <c r="AH66" s="45">
        <f>IF(AQ66="0",BJ66,0)</f>
      </c>
      <c r="AI66" s="28" t="s">
        <v>55</v>
      </c>
      <c r="AJ66" s="45">
        <f>IF(AN66=0,J66,0)</f>
      </c>
      <c r="AK66" s="45">
        <f>IF(AN66=12,J66,0)</f>
      </c>
      <c r="AL66" s="45">
        <f>IF(AN66=21,J66,0)</f>
      </c>
      <c r="AN66" s="45" t="n">
        <v>21</v>
      </c>
      <c r="AO66" s="45">
        <f>G66*0.536150442</f>
      </c>
      <c r="AP66" s="45">
        <f>G66*(1-0.536150442)</f>
      </c>
      <c r="AQ66" s="47" t="s">
        <v>58</v>
      </c>
      <c r="AV66" s="45">
        <f>AW66+AX66</f>
      </c>
      <c r="AW66" s="45">
        <f>F66*AO66</f>
      </c>
      <c r="AX66" s="45">
        <f>F66*AP66</f>
      </c>
      <c r="AY66" s="47" t="s">
        <v>224</v>
      </c>
      <c r="AZ66" s="47" t="s">
        <v>225</v>
      </c>
      <c r="BA66" s="28" t="s">
        <v>65</v>
      </c>
      <c r="BC66" s="45">
        <f>AW66+AX66</f>
      </c>
      <c r="BD66" s="45">
        <f>G66/(100-BE66)*100</f>
      </c>
      <c r="BE66" s="45" t="n">
        <v>0</v>
      </c>
      <c r="BF66" s="45">
        <f>66</f>
      </c>
      <c r="BH66" s="45">
        <f>F66*AO66</f>
      </c>
      <c r="BI66" s="45">
        <f>F66*AP66</f>
      </c>
      <c r="BJ66" s="45">
        <f>F66*G66</f>
      </c>
      <c r="BK66" s="45"/>
      <c r="BL66" s="45" t="n">
        <v>91</v>
      </c>
      <c r="BW66" s="45" t="n">
        <v>21</v>
      </c>
      <c r="BX66" s="14" t="s">
        <v>228</v>
      </c>
    </row>
    <row r="67">
      <c r="A67" s="48" t="s">
        <v>55</v>
      </c>
      <c r="B67" s="49" t="s">
        <v>229</v>
      </c>
      <c r="C67" s="50" t="s">
        <v>230</v>
      </c>
      <c r="D67" s="49"/>
      <c r="E67" s="51" t="s">
        <v>36</v>
      </c>
      <c r="F67" s="51" t="s">
        <v>36</v>
      </c>
      <c r="G67" s="51" t="s">
        <v>36</v>
      </c>
      <c r="H67" s="2">
        <f>SUM(H68:H68)</f>
      </c>
      <c r="I67" s="2">
        <f>SUM(I68:I68)</f>
      </c>
      <c r="J67" s="2">
        <f>SUM(J68:J68)</f>
      </c>
      <c r="K67" s="52" t="s">
        <v>55</v>
      </c>
      <c r="AI67" s="28" t="s">
        <v>55</v>
      </c>
      <c r="AS67" s="2">
        <f>SUM(AJ68:AJ68)</f>
      </c>
      <c r="AT67" s="2">
        <f>SUM(AK68:AK68)</f>
      </c>
      <c r="AU67" s="2">
        <f>SUM(AL68:AL68)</f>
      </c>
    </row>
    <row r="68">
      <c r="A68" s="9" t="s">
        <v>231</v>
      </c>
      <c r="B68" s="10" t="s">
        <v>232</v>
      </c>
      <c r="C68" s="14" t="s">
        <v>233</v>
      </c>
      <c r="D68" s="10"/>
      <c r="E68" s="10" t="s">
        <v>69</v>
      </c>
      <c r="F68" s="45" t="n">
        <v>2</v>
      </c>
      <c r="G68" s="45" t="n">
        <v>0</v>
      </c>
      <c r="H68" s="45">
        <f>F68*AO68</f>
      </c>
      <c r="I68" s="45">
        <f>F68*AP68</f>
      </c>
      <c r="J68" s="45">
        <f>F68*G68</f>
      </c>
      <c r="K68" s="46" t="s">
        <v>62</v>
      </c>
      <c r="Z68" s="45">
        <f>IF(AQ68="5",BJ68,0)</f>
      </c>
      <c r="AB68" s="45">
        <f>IF(AQ68="1",BH68,0)</f>
      </c>
      <c r="AC68" s="45">
        <f>IF(AQ68="1",BI68,0)</f>
      </c>
      <c r="AD68" s="45">
        <f>IF(AQ68="7",BH68,0)</f>
      </c>
      <c r="AE68" s="45">
        <f>IF(AQ68="7",BI68,0)</f>
      </c>
      <c r="AF68" s="45">
        <f>IF(AQ68="2",BH68,0)</f>
      </c>
      <c r="AG68" s="45">
        <f>IF(AQ68="2",BI68,0)</f>
      </c>
      <c r="AH68" s="45">
        <f>IF(AQ68="0",BJ68,0)</f>
      </c>
      <c r="AI68" s="28" t="s">
        <v>55</v>
      </c>
      <c r="AJ68" s="45">
        <f>IF(AN68=0,J68,0)</f>
      </c>
      <c r="AK68" s="45">
        <f>IF(AN68=12,J68,0)</f>
      </c>
      <c r="AL68" s="45">
        <f>IF(AN68=21,J68,0)</f>
      </c>
      <c r="AN68" s="45" t="n">
        <v>21</v>
      </c>
      <c r="AO68" s="45">
        <f>G68*0.819371566</f>
      </c>
      <c r="AP68" s="45">
        <f>G68*(1-0.819371566)</f>
      </c>
      <c r="AQ68" s="47" t="s">
        <v>58</v>
      </c>
      <c r="AV68" s="45">
        <f>AW68+AX68</f>
      </c>
      <c r="AW68" s="45">
        <f>F68*AO68</f>
      </c>
      <c r="AX68" s="45">
        <f>F68*AP68</f>
      </c>
      <c r="AY68" s="47" t="s">
        <v>234</v>
      </c>
      <c r="AZ68" s="47" t="s">
        <v>225</v>
      </c>
      <c r="BA68" s="28" t="s">
        <v>65</v>
      </c>
      <c r="BC68" s="45">
        <f>AW68+AX68</f>
      </c>
      <c r="BD68" s="45">
        <f>G68/(100-BE68)*100</f>
      </c>
      <c r="BE68" s="45" t="n">
        <v>0</v>
      </c>
      <c r="BF68" s="45">
        <f>68</f>
      </c>
      <c r="BH68" s="45">
        <f>F68*AO68</f>
      </c>
      <c r="BI68" s="45">
        <f>F68*AP68</f>
      </c>
      <c r="BJ68" s="45">
        <f>F68*G68</f>
      </c>
      <c r="BK68" s="45"/>
      <c r="BL68" s="45" t="n">
        <v>93</v>
      </c>
      <c r="BW68" s="45" t="n">
        <v>21</v>
      </c>
      <c r="BX68" s="14" t="s">
        <v>233</v>
      </c>
    </row>
    <row r="69">
      <c r="A69" s="48" t="s">
        <v>55</v>
      </c>
      <c r="B69" s="49" t="s">
        <v>235</v>
      </c>
      <c r="C69" s="50" t="s">
        <v>236</v>
      </c>
      <c r="D69" s="49"/>
      <c r="E69" s="51" t="s">
        <v>36</v>
      </c>
      <c r="F69" s="51" t="s">
        <v>36</v>
      </c>
      <c r="G69" s="51" t="s">
        <v>36</v>
      </c>
      <c r="H69" s="2">
        <f>SUM(H70:H70)</f>
      </c>
      <c r="I69" s="2">
        <f>SUM(I70:I70)</f>
      </c>
      <c r="J69" s="2">
        <f>SUM(J70:J70)</f>
      </c>
      <c r="K69" s="52" t="s">
        <v>55</v>
      </c>
      <c r="AI69" s="28" t="s">
        <v>55</v>
      </c>
      <c r="AS69" s="2">
        <f>SUM(AJ70:AJ70)</f>
      </c>
      <c r="AT69" s="2">
        <f>SUM(AK70:AK70)</f>
      </c>
      <c r="AU69" s="2">
        <f>SUM(AL70:AL70)</f>
      </c>
    </row>
    <row r="70">
      <c r="A70" s="9" t="s">
        <v>237</v>
      </c>
      <c r="B70" s="10" t="s">
        <v>238</v>
      </c>
      <c r="C70" s="14" t="s">
        <v>239</v>
      </c>
      <c r="D70" s="10"/>
      <c r="E70" s="10" t="s">
        <v>69</v>
      </c>
      <c r="F70" s="45" t="n">
        <v>2</v>
      </c>
      <c r="G70" s="45" t="n">
        <v>0</v>
      </c>
      <c r="H70" s="45">
        <f>F70*AO70</f>
      </c>
      <c r="I70" s="45">
        <f>F70*AP70</f>
      </c>
      <c r="J70" s="45">
        <f>F70*G70</f>
      </c>
      <c r="K70" s="46" t="s">
        <v>62</v>
      </c>
      <c r="Z70" s="45">
        <f>IF(AQ70="5",BJ70,0)</f>
      </c>
      <c r="AB70" s="45">
        <f>IF(AQ70="1",BH70,0)</f>
      </c>
      <c r="AC70" s="45">
        <f>IF(AQ70="1",BI70,0)</f>
      </c>
      <c r="AD70" s="45">
        <f>IF(AQ70="7",BH70,0)</f>
      </c>
      <c r="AE70" s="45">
        <f>IF(AQ70="7",BI70,0)</f>
      </c>
      <c r="AF70" s="45">
        <f>IF(AQ70="2",BH70,0)</f>
      </c>
      <c r="AG70" s="45">
        <f>IF(AQ70="2",BI70,0)</f>
      </c>
      <c r="AH70" s="45">
        <f>IF(AQ70="0",BJ70,0)</f>
      </c>
      <c r="AI70" s="28" t="s">
        <v>55</v>
      </c>
      <c r="AJ70" s="45">
        <f>IF(AN70=0,J70,0)</f>
      </c>
      <c r="AK70" s="45">
        <f>IF(AN70=12,J70,0)</f>
      </c>
      <c r="AL70" s="45">
        <f>IF(AN70=21,J70,0)</f>
      </c>
      <c r="AN70" s="45" t="n">
        <v>21</v>
      </c>
      <c r="AO70" s="45">
        <f>G70*0.262895522</f>
      </c>
      <c r="AP70" s="45">
        <f>G70*(1-0.262895522)</f>
      </c>
      <c r="AQ70" s="47" t="s">
        <v>58</v>
      </c>
      <c r="AV70" s="45">
        <f>AW70+AX70</f>
      </c>
      <c r="AW70" s="45">
        <f>F70*AO70</f>
      </c>
      <c r="AX70" s="45">
        <f>F70*AP70</f>
      </c>
      <c r="AY70" s="47" t="s">
        <v>240</v>
      </c>
      <c r="AZ70" s="47" t="s">
        <v>225</v>
      </c>
      <c r="BA70" s="28" t="s">
        <v>65</v>
      </c>
      <c r="BC70" s="45">
        <f>AW70+AX70</f>
      </c>
      <c r="BD70" s="45">
        <f>G70/(100-BE70)*100</f>
      </c>
      <c r="BE70" s="45" t="n">
        <v>0</v>
      </c>
      <c r="BF70" s="45">
        <f>70</f>
      </c>
      <c r="BH70" s="45">
        <f>F70*AO70</f>
      </c>
      <c r="BI70" s="45">
        <f>F70*AP70</f>
      </c>
      <c r="BJ70" s="45">
        <f>F70*G70</f>
      </c>
      <c r="BK70" s="45"/>
      <c r="BL70" s="45" t="n">
        <v>97</v>
      </c>
      <c r="BW70" s="45" t="n">
        <v>21</v>
      </c>
      <c r="BX70" s="14" t="s">
        <v>239</v>
      </c>
    </row>
    <row r="71">
      <c r="A71" s="48" t="s">
        <v>55</v>
      </c>
      <c r="B71" s="49" t="s">
        <v>241</v>
      </c>
      <c r="C71" s="50" t="s">
        <v>242</v>
      </c>
      <c r="D71" s="49"/>
      <c r="E71" s="51" t="s">
        <v>36</v>
      </c>
      <c r="F71" s="51" t="s">
        <v>36</v>
      </c>
      <c r="G71" s="51" t="s">
        <v>36</v>
      </c>
      <c r="H71" s="2">
        <f>SUM(H72:H72)</f>
      </c>
      <c r="I71" s="2">
        <f>SUM(I72:I72)</f>
      </c>
      <c r="J71" s="2">
        <f>SUM(J72:J72)</f>
      </c>
      <c r="K71" s="52" t="s">
        <v>55</v>
      </c>
      <c r="AI71" s="28" t="s">
        <v>55</v>
      </c>
      <c r="AS71" s="2">
        <f>SUM(AJ72:AJ72)</f>
      </c>
      <c r="AT71" s="2">
        <f>SUM(AK72:AK72)</f>
      </c>
      <c r="AU71" s="2">
        <f>SUM(AL72:AL72)</f>
      </c>
    </row>
    <row r="72" ht="24.75">
      <c r="A72" s="9" t="s">
        <v>243</v>
      </c>
      <c r="B72" s="10" t="s">
        <v>244</v>
      </c>
      <c r="C72" s="14" t="s">
        <v>245</v>
      </c>
      <c r="D72" s="10"/>
      <c r="E72" s="10" t="s">
        <v>160</v>
      </c>
      <c r="F72" s="45" t="n">
        <v>1</v>
      </c>
      <c r="G72" s="45" t="n">
        <v>0</v>
      </c>
      <c r="H72" s="45">
        <f>F72*AO72</f>
      </c>
      <c r="I72" s="45">
        <f>F72*AP72</f>
      </c>
      <c r="J72" s="45">
        <f>F72*G72</f>
      </c>
      <c r="K72" s="46" t="s">
        <v>62</v>
      </c>
      <c r="Z72" s="45">
        <f>IF(AQ72="5",BJ72,0)</f>
      </c>
      <c r="AB72" s="45">
        <f>IF(AQ72="1",BH72,0)</f>
      </c>
      <c r="AC72" s="45">
        <f>IF(AQ72="1",BI72,0)</f>
      </c>
      <c r="AD72" s="45">
        <f>IF(AQ72="7",BH72,0)</f>
      </c>
      <c r="AE72" s="45">
        <f>IF(AQ72="7",BI72,0)</f>
      </c>
      <c r="AF72" s="45">
        <f>IF(AQ72="2",BH72,0)</f>
      </c>
      <c r="AG72" s="45">
        <f>IF(AQ72="2",BI72,0)</f>
      </c>
      <c r="AH72" s="45">
        <f>IF(AQ72="0",BJ72,0)</f>
      </c>
      <c r="AI72" s="28" t="s">
        <v>55</v>
      </c>
      <c r="AJ72" s="45">
        <f>IF(AN72=0,J72,0)</f>
      </c>
      <c r="AK72" s="45">
        <f>IF(AN72=12,J72,0)</f>
      </c>
      <c r="AL72" s="45">
        <f>IF(AN72=21,J72,0)</f>
      </c>
      <c r="AN72" s="45" t="n">
        <v>21</v>
      </c>
      <c r="AO72" s="45">
        <f>G72*0.6120262</f>
      </c>
      <c r="AP72" s="45">
        <f>G72*(1-0.6120262)</f>
      </c>
      <c r="AQ72" s="47" t="s">
        <v>66</v>
      </c>
      <c r="AV72" s="45">
        <f>AW72+AX72</f>
      </c>
      <c r="AW72" s="45">
        <f>F72*AO72</f>
      </c>
      <c r="AX72" s="45">
        <f>F72*AP72</f>
      </c>
      <c r="AY72" s="47" t="s">
        <v>246</v>
      </c>
      <c r="AZ72" s="47" t="s">
        <v>225</v>
      </c>
      <c r="BA72" s="28" t="s">
        <v>65</v>
      </c>
      <c r="BC72" s="45">
        <f>AW72+AX72</f>
      </c>
      <c r="BD72" s="45">
        <f>G72/(100-BE72)*100</f>
      </c>
      <c r="BE72" s="45" t="n">
        <v>0</v>
      </c>
      <c r="BF72" s="45">
        <f>72</f>
      </c>
      <c r="BH72" s="45">
        <f>F72*AO72</f>
      </c>
      <c r="BI72" s="45">
        <f>F72*AP72</f>
      </c>
      <c r="BJ72" s="45">
        <f>F72*G72</f>
      </c>
      <c r="BK72" s="45"/>
      <c r="BL72" s="45"/>
      <c r="BW72" s="45" t="n">
        <v>21</v>
      </c>
      <c r="BX72" s="14" t="s">
        <v>245</v>
      </c>
    </row>
    <row r="73">
      <c r="A73" s="48" t="s">
        <v>55</v>
      </c>
      <c r="B73" s="49" t="s">
        <v>247</v>
      </c>
      <c r="C73" s="50" t="s">
        <v>248</v>
      </c>
      <c r="D73" s="49"/>
      <c r="E73" s="51" t="s">
        <v>36</v>
      </c>
      <c r="F73" s="51" t="s">
        <v>36</v>
      </c>
      <c r="G73" s="51" t="s">
        <v>36</v>
      </c>
      <c r="H73" s="2">
        <f>SUM(H74:H106)</f>
      </c>
      <c r="I73" s="2">
        <f>SUM(I74:I106)</f>
      </c>
      <c r="J73" s="2">
        <f>SUM(J74:J106)</f>
      </c>
      <c r="K73" s="52" t="s">
        <v>55</v>
      </c>
      <c r="AI73" s="28" t="s">
        <v>55</v>
      </c>
      <c r="AS73" s="2">
        <f>SUM(AJ74:AJ106)</f>
      </c>
      <c r="AT73" s="2">
        <f>SUM(AK74:AK106)</f>
      </c>
      <c r="AU73" s="2">
        <f>SUM(AL74:AL106)</f>
      </c>
    </row>
    <row r="74">
      <c r="A74" s="9" t="s">
        <v>249</v>
      </c>
      <c r="B74" s="10" t="s">
        <v>250</v>
      </c>
      <c r="C74" s="14" t="s">
        <v>251</v>
      </c>
      <c r="D74" s="10"/>
      <c r="E74" s="10" t="s">
        <v>69</v>
      </c>
      <c r="F74" s="45" t="n">
        <v>1142</v>
      </c>
      <c r="G74" s="45" t="n">
        <v>0</v>
      </c>
      <c r="H74" s="45">
        <f>F74*AO74</f>
      </c>
      <c r="I74" s="45">
        <f>F74*AP74</f>
      </c>
      <c r="J74" s="45">
        <f>F74*G74</f>
      </c>
      <c r="K74" s="46" t="s">
        <v>62</v>
      </c>
      <c r="Z74" s="45">
        <f>IF(AQ74="5",BJ74,0)</f>
      </c>
      <c r="AB74" s="45">
        <f>IF(AQ74="1",BH74,0)</f>
      </c>
      <c r="AC74" s="45">
        <f>IF(AQ74="1",BI74,0)</f>
      </c>
      <c r="AD74" s="45">
        <f>IF(AQ74="7",BH74,0)</f>
      </c>
      <c r="AE74" s="45">
        <f>IF(AQ74="7",BI74,0)</f>
      </c>
      <c r="AF74" s="45">
        <f>IF(AQ74="2",BH74,0)</f>
      </c>
      <c r="AG74" s="45">
        <f>IF(AQ74="2",BI74,0)</f>
      </c>
      <c r="AH74" s="45">
        <f>IF(AQ74="0",BJ74,0)</f>
      </c>
      <c r="AI74" s="28" t="s">
        <v>55</v>
      </c>
      <c r="AJ74" s="45">
        <f>IF(AN74=0,J74,0)</f>
      </c>
      <c r="AK74" s="45">
        <f>IF(AN74=12,J74,0)</f>
      </c>
      <c r="AL74" s="45">
        <f>IF(AN74=21,J74,0)</f>
      </c>
      <c r="AN74" s="45" t="n">
        <v>21</v>
      </c>
      <c r="AO74" s="45">
        <f>G74*1</f>
      </c>
      <c r="AP74" s="45">
        <f>G74*(1-1)</f>
      </c>
      <c r="AQ74" s="47" t="s">
        <v>252</v>
      </c>
      <c r="AV74" s="45">
        <f>AW74+AX74</f>
      </c>
      <c r="AW74" s="45">
        <f>F74*AO74</f>
      </c>
      <c r="AX74" s="45">
        <f>F74*AP74</f>
      </c>
      <c r="AY74" s="47" t="s">
        <v>253</v>
      </c>
      <c r="AZ74" s="47" t="s">
        <v>254</v>
      </c>
      <c r="BA74" s="28" t="s">
        <v>65</v>
      </c>
      <c r="BC74" s="45">
        <f>AW74+AX74</f>
      </c>
      <c r="BD74" s="45">
        <f>G74/(100-BE74)*100</f>
      </c>
      <c r="BE74" s="45" t="n">
        <v>0</v>
      </c>
      <c r="BF74" s="45">
        <f>74</f>
      </c>
      <c r="BH74" s="45">
        <f>F74*AO74</f>
      </c>
      <c r="BI74" s="45">
        <f>F74*AP74</f>
      </c>
      <c r="BJ74" s="45">
        <f>F74*G74</f>
      </c>
      <c r="BK74" s="45"/>
      <c r="BL74" s="45"/>
      <c r="BW74" s="45" t="n">
        <v>21</v>
      </c>
      <c r="BX74" s="14" t="s">
        <v>251</v>
      </c>
    </row>
    <row r="75">
      <c r="A75" s="9" t="s">
        <v>128</v>
      </c>
      <c r="B75" s="10" t="s">
        <v>255</v>
      </c>
      <c r="C75" s="14" t="s">
        <v>256</v>
      </c>
      <c r="D75" s="10"/>
      <c r="E75" s="10" t="s">
        <v>160</v>
      </c>
      <c r="F75" s="45" t="n">
        <v>20</v>
      </c>
      <c r="G75" s="45" t="n">
        <v>0</v>
      </c>
      <c r="H75" s="45">
        <f>F75*AO75</f>
      </c>
      <c r="I75" s="45">
        <f>F75*AP75</f>
      </c>
      <c r="J75" s="45">
        <f>F75*G75</f>
      </c>
      <c r="K75" s="46" t="s">
        <v>62</v>
      </c>
      <c r="Z75" s="45">
        <f>IF(AQ75="5",BJ75,0)</f>
      </c>
      <c r="AB75" s="45">
        <f>IF(AQ75="1",BH75,0)</f>
      </c>
      <c r="AC75" s="45">
        <f>IF(AQ75="1",BI75,0)</f>
      </c>
      <c r="AD75" s="45">
        <f>IF(AQ75="7",BH75,0)</f>
      </c>
      <c r="AE75" s="45">
        <f>IF(AQ75="7",BI75,0)</f>
      </c>
      <c r="AF75" s="45">
        <f>IF(AQ75="2",BH75,0)</f>
      </c>
      <c r="AG75" s="45">
        <f>IF(AQ75="2",BI75,0)</f>
      </c>
      <c r="AH75" s="45">
        <f>IF(AQ75="0",BJ75,0)</f>
      </c>
      <c r="AI75" s="28" t="s">
        <v>55</v>
      </c>
      <c r="AJ75" s="45">
        <f>IF(AN75=0,J75,0)</f>
      </c>
      <c r="AK75" s="45">
        <f>IF(AN75=12,J75,0)</f>
      </c>
      <c r="AL75" s="45">
        <f>IF(AN75=21,J75,0)</f>
      </c>
      <c r="AN75" s="45" t="n">
        <v>21</v>
      </c>
      <c r="AO75" s="45">
        <f>G75*1</f>
      </c>
      <c r="AP75" s="45">
        <f>G75*(1-1)</f>
      </c>
      <c r="AQ75" s="47" t="s">
        <v>252</v>
      </c>
      <c r="AV75" s="45">
        <f>AW75+AX75</f>
      </c>
      <c r="AW75" s="45">
        <f>F75*AO75</f>
      </c>
      <c r="AX75" s="45">
        <f>F75*AP75</f>
      </c>
      <c r="AY75" s="47" t="s">
        <v>253</v>
      </c>
      <c r="AZ75" s="47" t="s">
        <v>254</v>
      </c>
      <c r="BA75" s="28" t="s">
        <v>65</v>
      </c>
      <c r="BC75" s="45">
        <f>AW75+AX75</f>
      </c>
      <c r="BD75" s="45">
        <f>G75/(100-BE75)*100</f>
      </c>
      <c r="BE75" s="45" t="n">
        <v>0</v>
      </c>
      <c r="BF75" s="45">
        <f>75</f>
      </c>
      <c r="BH75" s="45">
        <f>F75*AO75</f>
      </c>
      <c r="BI75" s="45">
        <f>F75*AP75</f>
      </c>
      <c r="BJ75" s="45">
        <f>F75*G75</f>
      </c>
      <c r="BK75" s="45"/>
      <c r="BL75" s="45"/>
      <c r="BW75" s="45" t="n">
        <v>21</v>
      </c>
      <c r="BX75" s="14" t="s">
        <v>256</v>
      </c>
    </row>
    <row r="76">
      <c r="A76" s="9" t="s">
        <v>257</v>
      </c>
      <c r="B76" s="10" t="s">
        <v>258</v>
      </c>
      <c r="C76" s="14" t="s">
        <v>259</v>
      </c>
      <c r="D76" s="10"/>
      <c r="E76" s="10" t="s">
        <v>160</v>
      </c>
      <c r="F76" s="45" t="n">
        <v>1</v>
      </c>
      <c r="G76" s="45" t="n">
        <v>0</v>
      </c>
      <c r="H76" s="45">
        <f>F76*AO76</f>
      </c>
      <c r="I76" s="45">
        <f>F76*AP76</f>
      </c>
      <c r="J76" s="45">
        <f>F76*G76</f>
      </c>
      <c r="K76" s="46" t="s">
        <v>62</v>
      </c>
      <c r="Z76" s="45">
        <f>IF(AQ76="5",BJ76,0)</f>
      </c>
      <c r="AB76" s="45">
        <f>IF(AQ76="1",BH76,0)</f>
      </c>
      <c r="AC76" s="45">
        <f>IF(AQ76="1",BI76,0)</f>
      </c>
      <c r="AD76" s="45">
        <f>IF(AQ76="7",BH76,0)</f>
      </c>
      <c r="AE76" s="45">
        <f>IF(AQ76="7",BI76,0)</f>
      </c>
      <c r="AF76" s="45">
        <f>IF(AQ76="2",BH76,0)</f>
      </c>
      <c r="AG76" s="45">
        <f>IF(AQ76="2",BI76,0)</f>
      </c>
      <c r="AH76" s="45">
        <f>IF(AQ76="0",BJ76,0)</f>
      </c>
      <c r="AI76" s="28" t="s">
        <v>55</v>
      </c>
      <c r="AJ76" s="45">
        <f>IF(AN76=0,J76,0)</f>
      </c>
      <c r="AK76" s="45">
        <f>IF(AN76=12,J76,0)</f>
      </c>
      <c r="AL76" s="45">
        <f>IF(AN76=21,J76,0)</f>
      </c>
      <c r="AN76" s="45" t="n">
        <v>21</v>
      </c>
      <c r="AO76" s="45">
        <f>G76*1</f>
      </c>
      <c r="AP76" s="45">
        <f>G76*(1-1)</f>
      </c>
      <c r="AQ76" s="47" t="s">
        <v>252</v>
      </c>
      <c r="AV76" s="45">
        <f>AW76+AX76</f>
      </c>
      <c r="AW76" s="45">
        <f>F76*AO76</f>
      </c>
      <c r="AX76" s="45">
        <f>F76*AP76</f>
      </c>
      <c r="AY76" s="47" t="s">
        <v>253</v>
      </c>
      <c r="AZ76" s="47" t="s">
        <v>254</v>
      </c>
      <c r="BA76" s="28" t="s">
        <v>65</v>
      </c>
      <c r="BC76" s="45">
        <f>AW76+AX76</f>
      </c>
      <c r="BD76" s="45">
        <f>G76/(100-BE76)*100</f>
      </c>
      <c r="BE76" s="45" t="n">
        <v>0</v>
      </c>
      <c r="BF76" s="45">
        <f>76</f>
      </c>
      <c r="BH76" s="45">
        <f>F76*AO76</f>
      </c>
      <c r="BI76" s="45">
        <f>F76*AP76</f>
      </c>
      <c r="BJ76" s="45">
        <f>F76*G76</f>
      </c>
      <c r="BK76" s="45"/>
      <c r="BL76" s="45"/>
      <c r="BW76" s="45" t="n">
        <v>21</v>
      </c>
      <c r="BX76" s="14" t="s">
        <v>259</v>
      </c>
    </row>
    <row r="77">
      <c r="A77" s="9" t="s">
        <v>260</v>
      </c>
      <c r="B77" s="10" t="s">
        <v>261</v>
      </c>
      <c r="C77" s="14" t="s">
        <v>262</v>
      </c>
      <c r="D77" s="10"/>
      <c r="E77" s="10" t="s">
        <v>160</v>
      </c>
      <c r="F77" s="45" t="n">
        <v>6</v>
      </c>
      <c r="G77" s="45" t="n">
        <v>0</v>
      </c>
      <c r="H77" s="45">
        <f>F77*AO77</f>
      </c>
      <c r="I77" s="45">
        <f>F77*AP77</f>
      </c>
      <c r="J77" s="45">
        <f>F77*G77</f>
      </c>
      <c r="K77" s="46" t="s">
        <v>62</v>
      </c>
      <c r="Z77" s="45">
        <f>IF(AQ77="5",BJ77,0)</f>
      </c>
      <c r="AB77" s="45">
        <f>IF(AQ77="1",BH77,0)</f>
      </c>
      <c r="AC77" s="45">
        <f>IF(AQ77="1",BI77,0)</f>
      </c>
      <c r="AD77" s="45">
        <f>IF(AQ77="7",BH77,0)</f>
      </c>
      <c r="AE77" s="45">
        <f>IF(AQ77="7",BI77,0)</f>
      </c>
      <c r="AF77" s="45">
        <f>IF(AQ77="2",BH77,0)</f>
      </c>
      <c r="AG77" s="45">
        <f>IF(AQ77="2",BI77,0)</f>
      </c>
      <c r="AH77" s="45">
        <f>IF(AQ77="0",BJ77,0)</f>
      </c>
      <c r="AI77" s="28" t="s">
        <v>55</v>
      </c>
      <c r="AJ77" s="45">
        <f>IF(AN77=0,J77,0)</f>
      </c>
      <c r="AK77" s="45">
        <f>IF(AN77=12,J77,0)</f>
      </c>
      <c r="AL77" s="45">
        <f>IF(AN77=21,J77,0)</f>
      </c>
      <c r="AN77" s="45" t="n">
        <v>21</v>
      </c>
      <c r="AO77" s="45">
        <f>G77*1</f>
      </c>
      <c r="AP77" s="45">
        <f>G77*(1-1)</f>
      </c>
      <c r="AQ77" s="47" t="s">
        <v>252</v>
      </c>
      <c r="AV77" s="45">
        <f>AW77+AX77</f>
      </c>
      <c r="AW77" s="45">
        <f>F77*AO77</f>
      </c>
      <c r="AX77" s="45">
        <f>F77*AP77</f>
      </c>
      <c r="AY77" s="47" t="s">
        <v>253</v>
      </c>
      <c r="AZ77" s="47" t="s">
        <v>254</v>
      </c>
      <c r="BA77" s="28" t="s">
        <v>65</v>
      </c>
      <c r="BC77" s="45">
        <f>AW77+AX77</f>
      </c>
      <c r="BD77" s="45">
        <f>G77/(100-BE77)*100</f>
      </c>
      <c r="BE77" s="45" t="n">
        <v>0</v>
      </c>
      <c r="BF77" s="45">
        <f>77</f>
      </c>
      <c r="BH77" s="45">
        <f>F77*AO77</f>
      </c>
      <c r="BI77" s="45">
        <f>F77*AP77</f>
      </c>
      <c r="BJ77" s="45">
        <f>F77*G77</f>
      </c>
      <c r="BK77" s="45"/>
      <c r="BL77" s="45"/>
      <c r="BW77" s="45" t="n">
        <v>21</v>
      </c>
      <c r="BX77" s="14" t="s">
        <v>262</v>
      </c>
    </row>
    <row r="78">
      <c r="A78" s="9" t="s">
        <v>263</v>
      </c>
      <c r="B78" s="10" t="s">
        <v>264</v>
      </c>
      <c r="C78" s="14" t="s">
        <v>265</v>
      </c>
      <c r="D78" s="10"/>
      <c r="E78" s="10" t="s">
        <v>160</v>
      </c>
      <c r="F78" s="45" t="n">
        <v>1</v>
      </c>
      <c r="G78" s="45" t="n">
        <v>0</v>
      </c>
      <c r="H78" s="45">
        <f>F78*AO78</f>
      </c>
      <c r="I78" s="45">
        <f>F78*AP78</f>
      </c>
      <c r="J78" s="45">
        <f>F78*G78</f>
      </c>
      <c r="K78" s="46" t="s">
        <v>62</v>
      </c>
      <c r="Z78" s="45">
        <f>IF(AQ78="5",BJ78,0)</f>
      </c>
      <c r="AB78" s="45">
        <f>IF(AQ78="1",BH78,0)</f>
      </c>
      <c r="AC78" s="45">
        <f>IF(AQ78="1",BI78,0)</f>
      </c>
      <c r="AD78" s="45">
        <f>IF(AQ78="7",BH78,0)</f>
      </c>
      <c r="AE78" s="45">
        <f>IF(AQ78="7",BI78,0)</f>
      </c>
      <c r="AF78" s="45">
        <f>IF(AQ78="2",BH78,0)</f>
      </c>
      <c r="AG78" s="45">
        <f>IF(AQ78="2",BI78,0)</f>
      </c>
      <c r="AH78" s="45">
        <f>IF(AQ78="0",BJ78,0)</f>
      </c>
      <c r="AI78" s="28" t="s">
        <v>55</v>
      </c>
      <c r="AJ78" s="45">
        <f>IF(AN78=0,J78,0)</f>
      </c>
      <c r="AK78" s="45">
        <f>IF(AN78=12,J78,0)</f>
      </c>
      <c r="AL78" s="45">
        <f>IF(AN78=21,J78,0)</f>
      </c>
      <c r="AN78" s="45" t="n">
        <v>21</v>
      </c>
      <c r="AO78" s="45">
        <f>G78*1</f>
      </c>
      <c r="AP78" s="45">
        <f>G78*(1-1)</f>
      </c>
      <c r="AQ78" s="47" t="s">
        <v>252</v>
      </c>
      <c r="AV78" s="45">
        <f>AW78+AX78</f>
      </c>
      <c r="AW78" s="45">
        <f>F78*AO78</f>
      </c>
      <c r="AX78" s="45">
        <f>F78*AP78</f>
      </c>
      <c r="AY78" s="47" t="s">
        <v>253</v>
      </c>
      <c r="AZ78" s="47" t="s">
        <v>254</v>
      </c>
      <c r="BA78" s="28" t="s">
        <v>65</v>
      </c>
      <c r="BC78" s="45">
        <f>AW78+AX78</f>
      </c>
      <c r="BD78" s="45">
        <f>G78/(100-BE78)*100</f>
      </c>
      <c r="BE78" s="45" t="n">
        <v>0</v>
      </c>
      <c r="BF78" s="45">
        <f>78</f>
      </c>
      <c r="BH78" s="45">
        <f>F78*AO78</f>
      </c>
      <c r="BI78" s="45">
        <f>F78*AP78</f>
      </c>
      <c r="BJ78" s="45">
        <f>F78*G78</f>
      </c>
      <c r="BK78" s="45"/>
      <c r="BL78" s="45"/>
      <c r="BW78" s="45" t="n">
        <v>21</v>
      </c>
      <c r="BX78" s="14" t="s">
        <v>265</v>
      </c>
    </row>
    <row r="79">
      <c r="A79" s="9" t="s">
        <v>266</v>
      </c>
      <c r="B79" s="10" t="s">
        <v>267</v>
      </c>
      <c r="C79" s="14" t="s">
        <v>268</v>
      </c>
      <c r="D79" s="10"/>
      <c r="E79" s="10" t="s">
        <v>160</v>
      </c>
      <c r="F79" s="45" t="n">
        <v>4</v>
      </c>
      <c r="G79" s="45" t="n">
        <v>0</v>
      </c>
      <c r="H79" s="45">
        <f>F79*AO79</f>
      </c>
      <c r="I79" s="45">
        <f>F79*AP79</f>
      </c>
      <c r="J79" s="45">
        <f>F79*G79</f>
      </c>
      <c r="K79" s="46" t="s">
        <v>62</v>
      </c>
      <c r="Z79" s="45">
        <f>IF(AQ79="5",BJ79,0)</f>
      </c>
      <c r="AB79" s="45">
        <f>IF(AQ79="1",BH79,0)</f>
      </c>
      <c r="AC79" s="45">
        <f>IF(AQ79="1",BI79,0)</f>
      </c>
      <c r="AD79" s="45">
        <f>IF(AQ79="7",BH79,0)</f>
      </c>
      <c r="AE79" s="45">
        <f>IF(AQ79="7",BI79,0)</f>
      </c>
      <c r="AF79" s="45">
        <f>IF(AQ79="2",BH79,0)</f>
      </c>
      <c r="AG79" s="45">
        <f>IF(AQ79="2",BI79,0)</f>
      </c>
      <c r="AH79" s="45">
        <f>IF(AQ79="0",BJ79,0)</f>
      </c>
      <c r="AI79" s="28" t="s">
        <v>55</v>
      </c>
      <c r="AJ79" s="45">
        <f>IF(AN79=0,J79,0)</f>
      </c>
      <c r="AK79" s="45">
        <f>IF(AN79=12,J79,0)</f>
      </c>
      <c r="AL79" s="45">
        <f>IF(AN79=21,J79,0)</f>
      </c>
      <c r="AN79" s="45" t="n">
        <v>21</v>
      </c>
      <c r="AO79" s="45">
        <f>G79*1</f>
      </c>
      <c r="AP79" s="45">
        <f>G79*(1-1)</f>
      </c>
      <c r="AQ79" s="47" t="s">
        <v>252</v>
      </c>
      <c r="AV79" s="45">
        <f>AW79+AX79</f>
      </c>
      <c r="AW79" s="45">
        <f>F79*AO79</f>
      </c>
      <c r="AX79" s="45">
        <f>F79*AP79</f>
      </c>
      <c r="AY79" s="47" t="s">
        <v>253</v>
      </c>
      <c r="AZ79" s="47" t="s">
        <v>254</v>
      </c>
      <c r="BA79" s="28" t="s">
        <v>65</v>
      </c>
      <c r="BC79" s="45">
        <f>AW79+AX79</f>
      </c>
      <c r="BD79" s="45">
        <f>G79/(100-BE79)*100</f>
      </c>
      <c r="BE79" s="45" t="n">
        <v>0</v>
      </c>
      <c r="BF79" s="45">
        <f>79</f>
      </c>
      <c r="BH79" s="45">
        <f>F79*AO79</f>
      </c>
      <c r="BI79" s="45">
        <f>F79*AP79</f>
      </c>
      <c r="BJ79" s="45">
        <f>F79*G79</f>
      </c>
      <c r="BK79" s="45"/>
      <c r="BL79" s="45"/>
      <c r="BW79" s="45" t="n">
        <v>21</v>
      </c>
      <c r="BX79" s="14" t="s">
        <v>268</v>
      </c>
    </row>
    <row r="80" ht="24.75">
      <c r="A80" s="9" t="s">
        <v>269</v>
      </c>
      <c r="B80" s="10" t="s">
        <v>270</v>
      </c>
      <c r="C80" s="14" t="s">
        <v>271</v>
      </c>
      <c r="D80" s="10"/>
      <c r="E80" s="10" t="s">
        <v>160</v>
      </c>
      <c r="F80" s="45" t="n">
        <v>1</v>
      </c>
      <c r="G80" s="45" t="n">
        <v>0</v>
      </c>
      <c r="H80" s="45">
        <f>F80*AO80</f>
      </c>
      <c r="I80" s="45">
        <f>F80*AP80</f>
      </c>
      <c r="J80" s="45">
        <f>F80*G80</f>
      </c>
      <c r="K80" s="46" t="s">
        <v>62</v>
      </c>
      <c r="Z80" s="45">
        <f>IF(AQ80="5",BJ80,0)</f>
      </c>
      <c r="AB80" s="45">
        <f>IF(AQ80="1",BH80,0)</f>
      </c>
      <c r="AC80" s="45">
        <f>IF(AQ80="1",BI80,0)</f>
      </c>
      <c r="AD80" s="45">
        <f>IF(AQ80="7",BH80,0)</f>
      </c>
      <c r="AE80" s="45">
        <f>IF(AQ80="7",BI80,0)</f>
      </c>
      <c r="AF80" s="45">
        <f>IF(AQ80="2",BH80,0)</f>
      </c>
      <c r="AG80" s="45">
        <f>IF(AQ80="2",BI80,0)</f>
      </c>
      <c r="AH80" s="45">
        <f>IF(AQ80="0",BJ80,0)</f>
      </c>
      <c r="AI80" s="28" t="s">
        <v>55</v>
      </c>
      <c r="AJ80" s="45">
        <f>IF(AN80=0,J80,0)</f>
      </c>
      <c r="AK80" s="45">
        <f>IF(AN80=12,J80,0)</f>
      </c>
      <c r="AL80" s="45">
        <f>IF(AN80=21,J80,0)</f>
      </c>
      <c r="AN80" s="45" t="n">
        <v>21</v>
      </c>
      <c r="AO80" s="45">
        <f>G80*1</f>
      </c>
      <c r="AP80" s="45">
        <f>G80*(1-1)</f>
      </c>
      <c r="AQ80" s="47" t="s">
        <v>252</v>
      </c>
      <c r="AV80" s="45">
        <f>AW80+AX80</f>
      </c>
      <c r="AW80" s="45">
        <f>F80*AO80</f>
      </c>
      <c r="AX80" s="45">
        <f>F80*AP80</f>
      </c>
      <c r="AY80" s="47" t="s">
        <v>253</v>
      </c>
      <c r="AZ80" s="47" t="s">
        <v>254</v>
      </c>
      <c r="BA80" s="28" t="s">
        <v>65</v>
      </c>
      <c r="BC80" s="45">
        <f>AW80+AX80</f>
      </c>
      <c r="BD80" s="45">
        <f>G80/(100-BE80)*100</f>
      </c>
      <c r="BE80" s="45" t="n">
        <v>0</v>
      </c>
      <c r="BF80" s="45">
        <f>80</f>
      </c>
      <c r="BH80" s="45">
        <f>F80*AO80</f>
      </c>
      <c r="BI80" s="45">
        <f>F80*AP80</f>
      </c>
      <c r="BJ80" s="45">
        <f>F80*G80</f>
      </c>
      <c r="BK80" s="45"/>
      <c r="BL80" s="45"/>
      <c r="BW80" s="45" t="n">
        <v>21</v>
      </c>
      <c r="BX80" s="14" t="s">
        <v>271</v>
      </c>
    </row>
    <row r="81">
      <c r="A81" s="9" t="s">
        <v>272</v>
      </c>
      <c r="B81" s="10" t="s">
        <v>273</v>
      </c>
      <c r="C81" s="14" t="s">
        <v>274</v>
      </c>
      <c r="D81" s="10"/>
      <c r="E81" s="10" t="s">
        <v>160</v>
      </c>
      <c r="F81" s="45" t="n">
        <v>2</v>
      </c>
      <c r="G81" s="45" t="n">
        <v>0</v>
      </c>
      <c r="H81" s="45">
        <f>F81*AO81</f>
      </c>
      <c r="I81" s="45">
        <f>F81*AP81</f>
      </c>
      <c r="J81" s="45">
        <f>F81*G81</f>
      </c>
      <c r="K81" s="46" t="s">
        <v>62</v>
      </c>
      <c r="Z81" s="45">
        <f>IF(AQ81="5",BJ81,0)</f>
      </c>
      <c r="AB81" s="45">
        <f>IF(AQ81="1",BH81,0)</f>
      </c>
      <c r="AC81" s="45">
        <f>IF(AQ81="1",BI81,0)</f>
      </c>
      <c r="AD81" s="45">
        <f>IF(AQ81="7",BH81,0)</f>
      </c>
      <c r="AE81" s="45">
        <f>IF(AQ81="7",BI81,0)</f>
      </c>
      <c r="AF81" s="45">
        <f>IF(AQ81="2",BH81,0)</f>
      </c>
      <c r="AG81" s="45">
        <f>IF(AQ81="2",BI81,0)</f>
      </c>
      <c r="AH81" s="45">
        <f>IF(AQ81="0",BJ81,0)</f>
      </c>
      <c r="AI81" s="28" t="s">
        <v>55</v>
      </c>
      <c r="AJ81" s="45">
        <f>IF(AN81=0,J81,0)</f>
      </c>
      <c r="AK81" s="45">
        <f>IF(AN81=12,J81,0)</f>
      </c>
      <c r="AL81" s="45">
        <f>IF(AN81=21,J81,0)</f>
      </c>
      <c r="AN81" s="45" t="n">
        <v>21</v>
      </c>
      <c r="AO81" s="45">
        <f>G81*1</f>
      </c>
      <c r="AP81" s="45">
        <f>G81*(1-1)</f>
      </c>
      <c r="AQ81" s="47" t="s">
        <v>252</v>
      </c>
      <c r="AV81" s="45">
        <f>AW81+AX81</f>
      </c>
      <c r="AW81" s="45">
        <f>F81*AO81</f>
      </c>
      <c r="AX81" s="45">
        <f>F81*AP81</f>
      </c>
      <c r="AY81" s="47" t="s">
        <v>253</v>
      </c>
      <c r="AZ81" s="47" t="s">
        <v>254</v>
      </c>
      <c r="BA81" s="28" t="s">
        <v>65</v>
      </c>
      <c r="BC81" s="45">
        <f>AW81+AX81</f>
      </c>
      <c r="BD81" s="45">
        <f>G81/(100-BE81)*100</f>
      </c>
      <c r="BE81" s="45" t="n">
        <v>0</v>
      </c>
      <c r="BF81" s="45">
        <f>81</f>
      </c>
      <c r="BH81" s="45">
        <f>F81*AO81</f>
      </c>
      <c r="BI81" s="45">
        <f>F81*AP81</f>
      </c>
      <c r="BJ81" s="45">
        <f>F81*G81</f>
      </c>
      <c r="BK81" s="45"/>
      <c r="BL81" s="45"/>
      <c r="BW81" s="45" t="n">
        <v>21</v>
      </c>
      <c r="BX81" s="14" t="s">
        <v>274</v>
      </c>
    </row>
    <row r="82" ht="24.75">
      <c r="A82" s="9" t="s">
        <v>275</v>
      </c>
      <c r="B82" s="10" t="s">
        <v>276</v>
      </c>
      <c r="C82" s="14" t="s">
        <v>277</v>
      </c>
      <c r="D82" s="10"/>
      <c r="E82" s="10" t="s">
        <v>160</v>
      </c>
      <c r="F82" s="45" t="n">
        <v>1</v>
      </c>
      <c r="G82" s="45" t="n">
        <v>0</v>
      </c>
      <c r="H82" s="45">
        <f>F82*AO82</f>
      </c>
      <c r="I82" s="45">
        <f>F82*AP82</f>
      </c>
      <c r="J82" s="45">
        <f>F82*G82</f>
      </c>
      <c r="K82" s="46" t="s">
        <v>62</v>
      </c>
      <c r="Z82" s="45">
        <f>IF(AQ82="5",BJ82,0)</f>
      </c>
      <c r="AB82" s="45">
        <f>IF(AQ82="1",BH82,0)</f>
      </c>
      <c r="AC82" s="45">
        <f>IF(AQ82="1",BI82,0)</f>
      </c>
      <c r="AD82" s="45">
        <f>IF(AQ82="7",BH82,0)</f>
      </c>
      <c r="AE82" s="45">
        <f>IF(AQ82="7",BI82,0)</f>
      </c>
      <c r="AF82" s="45">
        <f>IF(AQ82="2",BH82,0)</f>
      </c>
      <c r="AG82" s="45">
        <f>IF(AQ82="2",BI82,0)</f>
      </c>
      <c r="AH82" s="45">
        <f>IF(AQ82="0",BJ82,0)</f>
      </c>
      <c r="AI82" s="28" t="s">
        <v>55</v>
      </c>
      <c r="AJ82" s="45">
        <f>IF(AN82=0,J82,0)</f>
      </c>
      <c r="AK82" s="45">
        <f>IF(AN82=12,J82,0)</f>
      </c>
      <c r="AL82" s="45">
        <f>IF(AN82=21,J82,0)</f>
      </c>
      <c r="AN82" s="45" t="n">
        <v>21</v>
      </c>
      <c r="AO82" s="45">
        <f>G82*1</f>
      </c>
      <c r="AP82" s="45">
        <f>G82*(1-1)</f>
      </c>
      <c r="AQ82" s="47" t="s">
        <v>252</v>
      </c>
      <c r="AV82" s="45">
        <f>AW82+AX82</f>
      </c>
      <c r="AW82" s="45">
        <f>F82*AO82</f>
      </c>
      <c r="AX82" s="45">
        <f>F82*AP82</f>
      </c>
      <c r="AY82" s="47" t="s">
        <v>253</v>
      </c>
      <c r="AZ82" s="47" t="s">
        <v>254</v>
      </c>
      <c r="BA82" s="28" t="s">
        <v>65</v>
      </c>
      <c r="BC82" s="45">
        <f>AW82+AX82</f>
      </c>
      <c r="BD82" s="45">
        <f>G82/(100-BE82)*100</f>
      </c>
      <c r="BE82" s="45" t="n">
        <v>0</v>
      </c>
      <c r="BF82" s="45">
        <f>82</f>
      </c>
      <c r="BH82" s="45">
        <f>F82*AO82</f>
      </c>
      <c r="BI82" s="45">
        <f>F82*AP82</f>
      </c>
      <c r="BJ82" s="45">
        <f>F82*G82</f>
      </c>
      <c r="BK82" s="45"/>
      <c r="BL82" s="45"/>
      <c r="BW82" s="45" t="n">
        <v>21</v>
      </c>
      <c r="BX82" s="14" t="s">
        <v>277</v>
      </c>
    </row>
    <row r="83">
      <c r="A83" s="9" t="s">
        <v>278</v>
      </c>
      <c r="B83" s="10" t="s">
        <v>279</v>
      </c>
      <c r="C83" s="14" t="s">
        <v>280</v>
      </c>
      <c r="D83" s="10"/>
      <c r="E83" s="10" t="s">
        <v>160</v>
      </c>
      <c r="F83" s="45" t="n">
        <v>1</v>
      </c>
      <c r="G83" s="45" t="n">
        <v>0</v>
      </c>
      <c r="H83" s="45">
        <f>F83*AO83</f>
      </c>
      <c r="I83" s="45">
        <f>F83*AP83</f>
      </c>
      <c r="J83" s="45">
        <f>F83*G83</f>
      </c>
      <c r="K83" s="46" t="s">
        <v>62</v>
      </c>
      <c r="Z83" s="45">
        <f>IF(AQ83="5",BJ83,0)</f>
      </c>
      <c r="AB83" s="45">
        <f>IF(AQ83="1",BH83,0)</f>
      </c>
      <c r="AC83" s="45">
        <f>IF(AQ83="1",BI83,0)</f>
      </c>
      <c r="AD83" s="45">
        <f>IF(AQ83="7",BH83,0)</f>
      </c>
      <c r="AE83" s="45">
        <f>IF(AQ83="7",BI83,0)</f>
      </c>
      <c r="AF83" s="45">
        <f>IF(AQ83="2",BH83,0)</f>
      </c>
      <c r="AG83" s="45">
        <f>IF(AQ83="2",BI83,0)</f>
      </c>
      <c r="AH83" s="45">
        <f>IF(AQ83="0",BJ83,0)</f>
      </c>
      <c r="AI83" s="28" t="s">
        <v>55</v>
      </c>
      <c r="AJ83" s="45">
        <f>IF(AN83=0,J83,0)</f>
      </c>
      <c r="AK83" s="45">
        <f>IF(AN83=12,J83,0)</f>
      </c>
      <c r="AL83" s="45">
        <f>IF(AN83=21,J83,0)</f>
      </c>
      <c r="AN83" s="45" t="n">
        <v>21</v>
      </c>
      <c r="AO83" s="45">
        <f>G83*1</f>
      </c>
      <c r="AP83" s="45">
        <f>G83*(1-1)</f>
      </c>
      <c r="AQ83" s="47" t="s">
        <v>252</v>
      </c>
      <c r="AV83" s="45">
        <f>AW83+AX83</f>
      </c>
      <c r="AW83" s="45">
        <f>F83*AO83</f>
      </c>
      <c r="AX83" s="45">
        <f>F83*AP83</f>
      </c>
      <c r="AY83" s="47" t="s">
        <v>253</v>
      </c>
      <c r="AZ83" s="47" t="s">
        <v>254</v>
      </c>
      <c r="BA83" s="28" t="s">
        <v>65</v>
      </c>
      <c r="BC83" s="45">
        <f>AW83+AX83</f>
      </c>
      <c r="BD83" s="45">
        <f>G83/(100-BE83)*100</f>
      </c>
      <c r="BE83" s="45" t="n">
        <v>0</v>
      </c>
      <c r="BF83" s="45">
        <f>83</f>
      </c>
      <c r="BH83" s="45">
        <f>F83*AO83</f>
      </c>
      <c r="BI83" s="45">
        <f>F83*AP83</f>
      </c>
      <c r="BJ83" s="45">
        <f>F83*G83</f>
      </c>
      <c r="BK83" s="45"/>
      <c r="BL83" s="45"/>
      <c r="BW83" s="45" t="n">
        <v>21</v>
      </c>
      <c r="BX83" s="14" t="s">
        <v>280</v>
      </c>
    </row>
    <row r="84">
      <c r="A84" s="9" t="s">
        <v>281</v>
      </c>
      <c r="B84" s="10" t="s">
        <v>282</v>
      </c>
      <c r="C84" s="14" t="s">
        <v>283</v>
      </c>
      <c r="D84" s="10"/>
      <c r="E84" s="10" t="s">
        <v>160</v>
      </c>
      <c r="F84" s="45" t="n">
        <v>1</v>
      </c>
      <c r="G84" s="45" t="n">
        <v>0</v>
      </c>
      <c r="H84" s="45">
        <f>F84*AO84</f>
      </c>
      <c r="I84" s="45">
        <f>F84*AP84</f>
      </c>
      <c r="J84" s="45">
        <f>F84*G84</f>
      </c>
      <c r="K84" s="46" t="s">
        <v>62</v>
      </c>
      <c r="Z84" s="45">
        <f>IF(AQ84="5",BJ84,0)</f>
      </c>
      <c r="AB84" s="45">
        <f>IF(AQ84="1",BH84,0)</f>
      </c>
      <c r="AC84" s="45">
        <f>IF(AQ84="1",BI84,0)</f>
      </c>
      <c r="AD84" s="45">
        <f>IF(AQ84="7",BH84,0)</f>
      </c>
      <c r="AE84" s="45">
        <f>IF(AQ84="7",BI84,0)</f>
      </c>
      <c r="AF84" s="45">
        <f>IF(AQ84="2",BH84,0)</f>
      </c>
      <c r="AG84" s="45">
        <f>IF(AQ84="2",BI84,0)</f>
      </c>
      <c r="AH84" s="45">
        <f>IF(AQ84="0",BJ84,0)</f>
      </c>
      <c r="AI84" s="28" t="s">
        <v>55</v>
      </c>
      <c r="AJ84" s="45">
        <f>IF(AN84=0,J84,0)</f>
      </c>
      <c r="AK84" s="45">
        <f>IF(AN84=12,J84,0)</f>
      </c>
      <c r="AL84" s="45">
        <f>IF(AN84=21,J84,0)</f>
      </c>
      <c r="AN84" s="45" t="n">
        <v>21</v>
      </c>
      <c r="AO84" s="45">
        <f>G84*1</f>
      </c>
      <c r="AP84" s="45">
        <f>G84*(1-1)</f>
      </c>
      <c r="AQ84" s="47" t="s">
        <v>252</v>
      </c>
      <c r="AV84" s="45">
        <f>AW84+AX84</f>
      </c>
      <c r="AW84" s="45">
        <f>F84*AO84</f>
      </c>
      <c r="AX84" s="45">
        <f>F84*AP84</f>
      </c>
      <c r="AY84" s="47" t="s">
        <v>253</v>
      </c>
      <c r="AZ84" s="47" t="s">
        <v>254</v>
      </c>
      <c r="BA84" s="28" t="s">
        <v>65</v>
      </c>
      <c r="BC84" s="45">
        <f>AW84+AX84</f>
      </c>
      <c r="BD84" s="45">
        <f>G84/(100-BE84)*100</f>
      </c>
      <c r="BE84" s="45" t="n">
        <v>0</v>
      </c>
      <c r="BF84" s="45">
        <f>84</f>
      </c>
      <c r="BH84" s="45">
        <f>F84*AO84</f>
      </c>
      <c r="BI84" s="45">
        <f>F84*AP84</f>
      </c>
      <c r="BJ84" s="45">
        <f>F84*G84</f>
      </c>
      <c r="BK84" s="45"/>
      <c r="BL84" s="45"/>
      <c r="BW84" s="45" t="n">
        <v>21</v>
      </c>
      <c r="BX84" s="14" t="s">
        <v>283</v>
      </c>
    </row>
    <row r="85">
      <c r="A85" s="9" t="s">
        <v>284</v>
      </c>
      <c r="B85" s="10" t="s">
        <v>285</v>
      </c>
      <c r="C85" s="14" t="s">
        <v>286</v>
      </c>
      <c r="D85" s="10"/>
      <c r="E85" s="10" t="s">
        <v>160</v>
      </c>
      <c r="F85" s="45" t="n">
        <v>1</v>
      </c>
      <c r="G85" s="45" t="n">
        <v>0</v>
      </c>
      <c r="H85" s="45">
        <f>F85*AO85</f>
      </c>
      <c r="I85" s="45">
        <f>F85*AP85</f>
      </c>
      <c r="J85" s="45">
        <f>F85*G85</f>
      </c>
      <c r="K85" s="46" t="s">
        <v>62</v>
      </c>
      <c r="Z85" s="45">
        <f>IF(AQ85="5",BJ85,0)</f>
      </c>
      <c r="AB85" s="45">
        <f>IF(AQ85="1",BH85,0)</f>
      </c>
      <c r="AC85" s="45">
        <f>IF(AQ85="1",BI85,0)</f>
      </c>
      <c r="AD85" s="45">
        <f>IF(AQ85="7",BH85,0)</f>
      </c>
      <c r="AE85" s="45">
        <f>IF(AQ85="7",BI85,0)</f>
      </c>
      <c r="AF85" s="45">
        <f>IF(AQ85="2",BH85,0)</f>
      </c>
      <c r="AG85" s="45">
        <f>IF(AQ85="2",BI85,0)</f>
      </c>
      <c r="AH85" s="45">
        <f>IF(AQ85="0",BJ85,0)</f>
      </c>
      <c r="AI85" s="28" t="s">
        <v>55</v>
      </c>
      <c r="AJ85" s="45">
        <f>IF(AN85=0,J85,0)</f>
      </c>
      <c r="AK85" s="45">
        <f>IF(AN85=12,J85,0)</f>
      </c>
      <c r="AL85" s="45">
        <f>IF(AN85=21,J85,0)</f>
      </c>
      <c r="AN85" s="45" t="n">
        <v>21</v>
      </c>
      <c r="AO85" s="45">
        <f>G85*1</f>
      </c>
      <c r="AP85" s="45">
        <f>G85*(1-1)</f>
      </c>
      <c r="AQ85" s="47" t="s">
        <v>252</v>
      </c>
      <c r="AV85" s="45">
        <f>AW85+AX85</f>
      </c>
      <c r="AW85" s="45">
        <f>F85*AO85</f>
      </c>
      <c r="AX85" s="45">
        <f>F85*AP85</f>
      </c>
      <c r="AY85" s="47" t="s">
        <v>253</v>
      </c>
      <c r="AZ85" s="47" t="s">
        <v>254</v>
      </c>
      <c r="BA85" s="28" t="s">
        <v>65</v>
      </c>
      <c r="BC85" s="45">
        <f>AW85+AX85</f>
      </c>
      <c r="BD85" s="45">
        <f>G85/(100-BE85)*100</f>
      </c>
      <c r="BE85" s="45" t="n">
        <v>0</v>
      </c>
      <c r="BF85" s="45">
        <f>85</f>
      </c>
      <c r="BH85" s="45">
        <f>F85*AO85</f>
      </c>
      <c r="BI85" s="45">
        <f>F85*AP85</f>
      </c>
      <c r="BJ85" s="45">
        <f>F85*G85</f>
      </c>
      <c r="BK85" s="45"/>
      <c r="BL85" s="45"/>
      <c r="BW85" s="45" t="n">
        <v>21</v>
      </c>
      <c r="BX85" s="14" t="s">
        <v>286</v>
      </c>
    </row>
    <row r="86">
      <c r="A86" s="9" t="s">
        <v>136</v>
      </c>
      <c r="B86" s="10" t="s">
        <v>287</v>
      </c>
      <c r="C86" s="14" t="s">
        <v>288</v>
      </c>
      <c r="D86" s="10"/>
      <c r="E86" s="10" t="s">
        <v>160</v>
      </c>
      <c r="F86" s="45" t="n">
        <v>2</v>
      </c>
      <c r="G86" s="45" t="n">
        <v>0</v>
      </c>
      <c r="H86" s="45">
        <f>F86*AO86</f>
      </c>
      <c r="I86" s="45">
        <f>F86*AP86</f>
      </c>
      <c r="J86" s="45">
        <f>F86*G86</f>
      </c>
      <c r="K86" s="46" t="s">
        <v>62</v>
      </c>
      <c r="Z86" s="45">
        <f>IF(AQ86="5",BJ86,0)</f>
      </c>
      <c r="AB86" s="45">
        <f>IF(AQ86="1",BH86,0)</f>
      </c>
      <c r="AC86" s="45">
        <f>IF(AQ86="1",BI86,0)</f>
      </c>
      <c r="AD86" s="45">
        <f>IF(AQ86="7",BH86,0)</f>
      </c>
      <c r="AE86" s="45">
        <f>IF(AQ86="7",BI86,0)</f>
      </c>
      <c r="AF86" s="45">
        <f>IF(AQ86="2",BH86,0)</f>
      </c>
      <c r="AG86" s="45">
        <f>IF(AQ86="2",BI86,0)</f>
      </c>
      <c r="AH86" s="45">
        <f>IF(AQ86="0",BJ86,0)</f>
      </c>
      <c r="AI86" s="28" t="s">
        <v>55</v>
      </c>
      <c r="AJ86" s="45">
        <f>IF(AN86=0,J86,0)</f>
      </c>
      <c r="AK86" s="45">
        <f>IF(AN86=12,J86,0)</f>
      </c>
      <c r="AL86" s="45">
        <f>IF(AN86=21,J86,0)</f>
      </c>
      <c r="AN86" s="45" t="n">
        <v>21</v>
      </c>
      <c r="AO86" s="45">
        <f>G86*1</f>
      </c>
      <c r="AP86" s="45">
        <f>G86*(1-1)</f>
      </c>
      <c r="AQ86" s="47" t="s">
        <v>252</v>
      </c>
      <c r="AV86" s="45">
        <f>AW86+AX86</f>
      </c>
      <c r="AW86" s="45">
        <f>F86*AO86</f>
      </c>
      <c r="AX86" s="45">
        <f>F86*AP86</f>
      </c>
      <c r="AY86" s="47" t="s">
        <v>253</v>
      </c>
      <c r="AZ86" s="47" t="s">
        <v>254</v>
      </c>
      <c r="BA86" s="28" t="s">
        <v>65</v>
      </c>
      <c r="BC86" s="45">
        <f>AW86+AX86</f>
      </c>
      <c r="BD86" s="45">
        <f>G86/(100-BE86)*100</f>
      </c>
      <c r="BE86" s="45" t="n">
        <v>0</v>
      </c>
      <c r="BF86" s="45">
        <f>86</f>
      </c>
      <c r="BH86" s="45">
        <f>F86*AO86</f>
      </c>
      <c r="BI86" s="45">
        <f>F86*AP86</f>
      </c>
      <c r="BJ86" s="45">
        <f>F86*G86</f>
      </c>
      <c r="BK86" s="45"/>
      <c r="BL86" s="45"/>
      <c r="BW86" s="45" t="n">
        <v>21</v>
      </c>
      <c r="BX86" s="14" t="s">
        <v>288</v>
      </c>
    </row>
    <row r="87">
      <c r="A87" s="9" t="s">
        <v>146</v>
      </c>
      <c r="B87" s="10" t="s">
        <v>289</v>
      </c>
      <c r="C87" s="14" t="s">
        <v>290</v>
      </c>
      <c r="D87" s="10"/>
      <c r="E87" s="10" t="s">
        <v>160</v>
      </c>
      <c r="F87" s="45" t="n">
        <v>3</v>
      </c>
      <c r="G87" s="45" t="n">
        <v>0</v>
      </c>
      <c r="H87" s="45">
        <f>F87*AO87</f>
      </c>
      <c r="I87" s="45">
        <f>F87*AP87</f>
      </c>
      <c r="J87" s="45">
        <f>F87*G87</f>
      </c>
      <c r="K87" s="46" t="s">
        <v>62</v>
      </c>
      <c r="Z87" s="45">
        <f>IF(AQ87="5",BJ87,0)</f>
      </c>
      <c r="AB87" s="45">
        <f>IF(AQ87="1",BH87,0)</f>
      </c>
      <c r="AC87" s="45">
        <f>IF(AQ87="1",BI87,0)</f>
      </c>
      <c r="AD87" s="45">
        <f>IF(AQ87="7",BH87,0)</f>
      </c>
      <c r="AE87" s="45">
        <f>IF(AQ87="7",BI87,0)</f>
      </c>
      <c r="AF87" s="45">
        <f>IF(AQ87="2",BH87,0)</f>
      </c>
      <c r="AG87" s="45">
        <f>IF(AQ87="2",BI87,0)</f>
      </c>
      <c r="AH87" s="45">
        <f>IF(AQ87="0",BJ87,0)</f>
      </c>
      <c r="AI87" s="28" t="s">
        <v>55</v>
      </c>
      <c r="AJ87" s="45">
        <f>IF(AN87=0,J87,0)</f>
      </c>
      <c r="AK87" s="45">
        <f>IF(AN87=12,J87,0)</f>
      </c>
      <c r="AL87" s="45">
        <f>IF(AN87=21,J87,0)</f>
      </c>
      <c r="AN87" s="45" t="n">
        <v>21</v>
      </c>
      <c r="AO87" s="45">
        <f>G87*1</f>
      </c>
      <c r="AP87" s="45">
        <f>G87*(1-1)</f>
      </c>
      <c r="AQ87" s="47" t="s">
        <v>252</v>
      </c>
      <c r="AV87" s="45">
        <f>AW87+AX87</f>
      </c>
      <c r="AW87" s="45">
        <f>F87*AO87</f>
      </c>
      <c r="AX87" s="45">
        <f>F87*AP87</f>
      </c>
      <c r="AY87" s="47" t="s">
        <v>253</v>
      </c>
      <c r="AZ87" s="47" t="s">
        <v>254</v>
      </c>
      <c r="BA87" s="28" t="s">
        <v>65</v>
      </c>
      <c r="BC87" s="45">
        <f>AW87+AX87</f>
      </c>
      <c r="BD87" s="45">
        <f>G87/(100-BE87)*100</f>
      </c>
      <c r="BE87" s="45" t="n">
        <v>0</v>
      </c>
      <c r="BF87" s="45">
        <f>87</f>
      </c>
      <c r="BH87" s="45">
        <f>F87*AO87</f>
      </c>
      <c r="BI87" s="45">
        <f>F87*AP87</f>
      </c>
      <c r="BJ87" s="45">
        <f>F87*G87</f>
      </c>
      <c r="BK87" s="45"/>
      <c r="BL87" s="45"/>
      <c r="BW87" s="45" t="n">
        <v>21</v>
      </c>
      <c r="BX87" s="14" t="s">
        <v>290</v>
      </c>
    </row>
    <row r="88">
      <c r="A88" s="9" t="s">
        <v>291</v>
      </c>
      <c r="B88" s="10" t="s">
        <v>292</v>
      </c>
      <c r="C88" s="14" t="s">
        <v>293</v>
      </c>
      <c r="D88" s="10"/>
      <c r="E88" s="10" t="s">
        <v>160</v>
      </c>
      <c r="F88" s="45" t="n">
        <v>3</v>
      </c>
      <c r="G88" s="45" t="n">
        <v>0</v>
      </c>
      <c r="H88" s="45">
        <f>F88*AO88</f>
      </c>
      <c r="I88" s="45">
        <f>F88*AP88</f>
      </c>
      <c r="J88" s="45">
        <f>F88*G88</f>
      </c>
      <c r="K88" s="46" t="s">
        <v>62</v>
      </c>
      <c r="Z88" s="45">
        <f>IF(AQ88="5",BJ88,0)</f>
      </c>
      <c r="AB88" s="45">
        <f>IF(AQ88="1",BH88,0)</f>
      </c>
      <c r="AC88" s="45">
        <f>IF(AQ88="1",BI88,0)</f>
      </c>
      <c r="AD88" s="45">
        <f>IF(AQ88="7",BH88,0)</f>
      </c>
      <c r="AE88" s="45">
        <f>IF(AQ88="7",BI88,0)</f>
      </c>
      <c r="AF88" s="45">
        <f>IF(AQ88="2",BH88,0)</f>
      </c>
      <c r="AG88" s="45">
        <f>IF(AQ88="2",BI88,0)</f>
      </c>
      <c r="AH88" s="45">
        <f>IF(AQ88="0",BJ88,0)</f>
      </c>
      <c r="AI88" s="28" t="s">
        <v>55</v>
      </c>
      <c r="AJ88" s="45">
        <f>IF(AN88=0,J88,0)</f>
      </c>
      <c r="AK88" s="45">
        <f>IF(AN88=12,J88,0)</f>
      </c>
      <c r="AL88" s="45">
        <f>IF(AN88=21,J88,0)</f>
      </c>
      <c r="AN88" s="45" t="n">
        <v>21</v>
      </c>
      <c r="AO88" s="45">
        <f>G88*1</f>
      </c>
      <c r="AP88" s="45">
        <f>G88*(1-1)</f>
      </c>
      <c r="AQ88" s="47" t="s">
        <v>252</v>
      </c>
      <c r="AV88" s="45">
        <f>AW88+AX88</f>
      </c>
      <c r="AW88" s="45">
        <f>F88*AO88</f>
      </c>
      <c r="AX88" s="45">
        <f>F88*AP88</f>
      </c>
      <c r="AY88" s="47" t="s">
        <v>253</v>
      </c>
      <c r="AZ88" s="47" t="s">
        <v>254</v>
      </c>
      <c r="BA88" s="28" t="s">
        <v>65</v>
      </c>
      <c r="BC88" s="45">
        <f>AW88+AX88</f>
      </c>
      <c r="BD88" s="45">
        <f>G88/(100-BE88)*100</f>
      </c>
      <c r="BE88" s="45" t="n">
        <v>0</v>
      </c>
      <c r="BF88" s="45">
        <f>88</f>
      </c>
      <c r="BH88" s="45">
        <f>F88*AO88</f>
      </c>
      <c r="BI88" s="45">
        <f>F88*AP88</f>
      </c>
      <c r="BJ88" s="45">
        <f>F88*G88</f>
      </c>
      <c r="BK88" s="45"/>
      <c r="BL88" s="45"/>
      <c r="BW88" s="45" t="n">
        <v>21</v>
      </c>
      <c r="BX88" s="14" t="s">
        <v>293</v>
      </c>
    </row>
    <row r="89">
      <c r="A89" s="9" t="s">
        <v>294</v>
      </c>
      <c r="B89" s="10" t="s">
        <v>295</v>
      </c>
      <c r="C89" s="14" t="s">
        <v>296</v>
      </c>
      <c r="D89" s="10"/>
      <c r="E89" s="10" t="s">
        <v>160</v>
      </c>
      <c r="F89" s="45" t="n">
        <v>1</v>
      </c>
      <c r="G89" s="45" t="n">
        <v>0</v>
      </c>
      <c r="H89" s="45">
        <f>F89*AO89</f>
      </c>
      <c r="I89" s="45">
        <f>F89*AP89</f>
      </c>
      <c r="J89" s="45">
        <f>F89*G89</f>
      </c>
      <c r="K89" s="46" t="s">
        <v>62</v>
      </c>
      <c r="Z89" s="45">
        <f>IF(AQ89="5",BJ89,0)</f>
      </c>
      <c r="AB89" s="45">
        <f>IF(AQ89="1",BH89,0)</f>
      </c>
      <c r="AC89" s="45">
        <f>IF(AQ89="1",BI89,0)</f>
      </c>
      <c r="AD89" s="45">
        <f>IF(AQ89="7",BH89,0)</f>
      </c>
      <c r="AE89" s="45">
        <f>IF(AQ89="7",BI89,0)</f>
      </c>
      <c r="AF89" s="45">
        <f>IF(AQ89="2",BH89,0)</f>
      </c>
      <c r="AG89" s="45">
        <f>IF(AQ89="2",BI89,0)</f>
      </c>
      <c r="AH89" s="45">
        <f>IF(AQ89="0",BJ89,0)</f>
      </c>
      <c r="AI89" s="28" t="s">
        <v>55</v>
      </c>
      <c r="AJ89" s="45">
        <f>IF(AN89=0,J89,0)</f>
      </c>
      <c r="AK89" s="45">
        <f>IF(AN89=12,J89,0)</f>
      </c>
      <c r="AL89" s="45">
        <f>IF(AN89=21,J89,0)</f>
      </c>
      <c r="AN89" s="45" t="n">
        <v>21</v>
      </c>
      <c r="AO89" s="45">
        <f>G89*1</f>
      </c>
      <c r="AP89" s="45">
        <f>G89*(1-1)</f>
      </c>
      <c r="AQ89" s="47" t="s">
        <v>252</v>
      </c>
      <c r="AV89" s="45">
        <f>AW89+AX89</f>
      </c>
      <c r="AW89" s="45">
        <f>F89*AO89</f>
      </c>
      <c r="AX89" s="45">
        <f>F89*AP89</f>
      </c>
      <c r="AY89" s="47" t="s">
        <v>253</v>
      </c>
      <c r="AZ89" s="47" t="s">
        <v>254</v>
      </c>
      <c r="BA89" s="28" t="s">
        <v>65</v>
      </c>
      <c r="BC89" s="45">
        <f>AW89+AX89</f>
      </c>
      <c r="BD89" s="45">
        <f>G89/(100-BE89)*100</f>
      </c>
      <c r="BE89" s="45" t="n">
        <v>0</v>
      </c>
      <c r="BF89" s="45">
        <f>89</f>
      </c>
      <c r="BH89" s="45">
        <f>F89*AO89</f>
      </c>
      <c r="BI89" s="45">
        <f>F89*AP89</f>
      </c>
      <c r="BJ89" s="45">
        <f>F89*G89</f>
      </c>
      <c r="BK89" s="45"/>
      <c r="BL89" s="45"/>
      <c r="BW89" s="45" t="n">
        <v>21</v>
      </c>
      <c r="BX89" s="14" t="s">
        <v>296</v>
      </c>
    </row>
    <row r="90">
      <c r="A90" s="9" t="s">
        <v>297</v>
      </c>
      <c r="B90" s="10" t="s">
        <v>295</v>
      </c>
      <c r="C90" s="14" t="s">
        <v>298</v>
      </c>
      <c r="D90" s="10"/>
      <c r="E90" s="10" t="s">
        <v>160</v>
      </c>
      <c r="F90" s="45" t="n">
        <v>2</v>
      </c>
      <c r="G90" s="45" t="n">
        <v>0</v>
      </c>
      <c r="H90" s="45">
        <f>F90*AO90</f>
      </c>
      <c r="I90" s="45">
        <f>F90*AP90</f>
      </c>
      <c r="J90" s="45">
        <f>F90*G90</f>
      </c>
      <c r="K90" s="46" t="s">
        <v>62</v>
      </c>
      <c r="Z90" s="45">
        <f>IF(AQ90="5",BJ90,0)</f>
      </c>
      <c r="AB90" s="45">
        <f>IF(AQ90="1",BH90,0)</f>
      </c>
      <c r="AC90" s="45">
        <f>IF(AQ90="1",BI90,0)</f>
      </c>
      <c r="AD90" s="45">
        <f>IF(AQ90="7",BH90,0)</f>
      </c>
      <c r="AE90" s="45">
        <f>IF(AQ90="7",BI90,0)</f>
      </c>
      <c r="AF90" s="45">
        <f>IF(AQ90="2",BH90,0)</f>
      </c>
      <c r="AG90" s="45">
        <f>IF(AQ90="2",BI90,0)</f>
      </c>
      <c r="AH90" s="45">
        <f>IF(AQ90="0",BJ90,0)</f>
      </c>
      <c r="AI90" s="28" t="s">
        <v>55</v>
      </c>
      <c r="AJ90" s="45">
        <f>IF(AN90=0,J90,0)</f>
      </c>
      <c r="AK90" s="45">
        <f>IF(AN90=12,J90,0)</f>
      </c>
      <c r="AL90" s="45">
        <f>IF(AN90=21,J90,0)</f>
      </c>
      <c r="AN90" s="45" t="n">
        <v>21</v>
      </c>
      <c r="AO90" s="45">
        <f>G90*1</f>
      </c>
      <c r="AP90" s="45">
        <f>G90*(1-1)</f>
      </c>
      <c r="AQ90" s="47" t="s">
        <v>252</v>
      </c>
      <c r="AV90" s="45">
        <f>AW90+AX90</f>
      </c>
      <c r="AW90" s="45">
        <f>F90*AO90</f>
      </c>
      <c r="AX90" s="45">
        <f>F90*AP90</f>
      </c>
      <c r="AY90" s="47" t="s">
        <v>253</v>
      </c>
      <c r="AZ90" s="47" t="s">
        <v>254</v>
      </c>
      <c r="BA90" s="28" t="s">
        <v>65</v>
      </c>
      <c r="BC90" s="45">
        <f>AW90+AX90</f>
      </c>
      <c r="BD90" s="45">
        <f>G90/(100-BE90)*100</f>
      </c>
      <c r="BE90" s="45" t="n">
        <v>0</v>
      </c>
      <c r="BF90" s="45">
        <f>90</f>
      </c>
      <c r="BH90" s="45">
        <f>F90*AO90</f>
      </c>
      <c r="BI90" s="45">
        <f>F90*AP90</f>
      </c>
      <c r="BJ90" s="45">
        <f>F90*G90</f>
      </c>
      <c r="BK90" s="45"/>
      <c r="BL90" s="45"/>
      <c r="BW90" s="45" t="n">
        <v>21</v>
      </c>
      <c r="BX90" s="14" t="s">
        <v>298</v>
      </c>
    </row>
    <row r="91">
      <c r="A91" s="9" t="s">
        <v>299</v>
      </c>
      <c r="B91" s="10" t="s">
        <v>300</v>
      </c>
      <c r="C91" s="14" t="s">
        <v>301</v>
      </c>
      <c r="D91" s="10"/>
      <c r="E91" s="10" t="s">
        <v>160</v>
      </c>
      <c r="F91" s="45" t="n">
        <v>3</v>
      </c>
      <c r="G91" s="45" t="n">
        <v>0</v>
      </c>
      <c r="H91" s="45">
        <f>F91*AO91</f>
      </c>
      <c r="I91" s="45">
        <f>F91*AP91</f>
      </c>
      <c r="J91" s="45">
        <f>F91*G91</f>
      </c>
      <c r="K91" s="46" t="s">
        <v>62</v>
      </c>
      <c r="Z91" s="45">
        <f>IF(AQ91="5",BJ91,0)</f>
      </c>
      <c r="AB91" s="45">
        <f>IF(AQ91="1",BH91,0)</f>
      </c>
      <c r="AC91" s="45">
        <f>IF(AQ91="1",BI91,0)</f>
      </c>
      <c r="AD91" s="45">
        <f>IF(AQ91="7",BH91,0)</f>
      </c>
      <c r="AE91" s="45">
        <f>IF(AQ91="7",BI91,0)</f>
      </c>
      <c r="AF91" s="45">
        <f>IF(AQ91="2",BH91,0)</f>
      </c>
      <c r="AG91" s="45">
        <f>IF(AQ91="2",BI91,0)</f>
      </c>
      <c r="AH91" s="45">
        <f>IF(AQ91="0",BJ91,0)</f>
      </c>
      <c r="AI91" s="28" t="s">
        <v>55</v>
      </c>
      <c r="AJ91" s="45">
        <f>IF(AN91=0,J91,0)</f>
      </c>
      <c r="AK91" s="45">
        <f>IF(AN91=12,J91,0)</f>
      </c>
      <c r="AL91" s="45">
        <f>IF(AN91=21,J91,0)</f>
      </c>
      <c r="AN91" s="45" t="n">
        <v>21</v>
      </c>
      <c r="AO91" s="45">
        <f>G91*1</f>
      </c>
      <c r="AP91" s="45">
        <f>G91*(1-1)</f>
      </c>
      <c r="AQ91" s="47" t="s">
        <v>252</v>
      </c>
      <c r="AV91" s="45">
        <f>AW91+AX91</f>
      </c>
      <c r="AW91" s="45">
        <f>F91*AO91</f>
      </c>
      <c r="AX91" s="45">
        <f>F91*AP91</f>
      </c>
      <c r="AY91" s="47" t="s">
        <v>253</v>
      </c>
      <c r="AZ91" s="47" t="s">
        <v>254</v>
      </c>
      <c r="BA91" s="28" t="s">
        <v>65</v>
      </c>
      <c r="BC91" s="45">
        <f>AW91+AX91</f>
      </c>
      <c r="BD91" s="45">
        <f>G91/(100-BE91)*100</f>
      </c>
      <c r="BE91" s="45" t="n">
        <v>0</v>
      </c>
      <c r="BF91" s="45">
        <f>91</f>
      </c>
      <c r="BH91" s="45">
        <f>F91*AO91</f>
      </c>
      <c r="BI91" s="45">
        <f>F91*AP91</f>
      </c>
      <c r="BJ91" s="45">
        <f>F91*G91</f>
      </c>
      <c r="BK91" s="45"/>
      <c r="BL91" s="45"/>
      <c r="BW91" s="45" t="n">
        <v>21</v>
      </c>
      <c r="BX91" s="14" t="s">
        <v>301</v>
      </c>
    </row>
    <row r="92">
      <c r="A92" s="9" t="s">
        <v>302</v>
      </c>
      <c r="B92" s="10" t="s">
        <v>303</v>
      </c>
      <c r="C92" s="14" t="s">
        <v>304</v>
      </c>
      <c r="D92" s="10"/>
      <c r="E92" s="10" t="s">
        <v>160</v>
      </c>
      <c r="F92" s="45" t="n">
        <v>4</v>
      </c>
      <c r="G92" s="45" t="n">
        <v>0</v>
      </c>
      <c r="H92" s="45">
        <f>F92*AO92</f>
      </c>
      <c r="I92" s="45">
        <f>F92*AP92</f>
      </c>
      <c r="J92" s="45">
        <f>F92*G92</f>
      </c>
      <c r="K92" s="46" t="s">
        <v>62</v>
      </c>
      <c r="Z92" s="45">
        <f>IF(AQ92="5",BJ92,0)</f>
      </c>
      <c r="AB92" s="45">
        <f>IF(AQ92="1",BH92,0)</f>
      </c>
      <c r="AC92" s="45">
        <f>IF(AQ92="1",BI92,0)</f>
      </c>
      <c r="AD92" s="45">
        <f>IF(AQ92="7",BH92,0)</f>
      </c>
      <c r="AE92" s="45">
        <f>IF(AQ92="7",BI92,0)</f>
      </c>
      <c r="AF92" s="45">
        <f>IF(AQ92="2",BH92,0)</f>
      </c>
      <c r="AG92" s="45">
        <f>IF(AQ92="2",BI92,0)</f>
      </c>
      <c r="AH92" s="45">
        <f>IF(AQ92="0",BJ92,0)</f>
      </c>
      <c r="AI92" s="28" t="s">
        <v>55</v>
      </c>
      <c r="AJ92" s="45">
        <f>IF(AN92=0,J92,0)</f>
      </c>
      <c r="AK92" s="45">
        <f>IF(AN92=12,J92,0)</f>
      </c>
      <c r="AL92" s="45">
        <f>IF(AN92=21,J92,0)</f>
      </c>
      <c r="AN92" s="45" t="n">
        <v>21</v>
      </c>
      <c r="AO92" s="45">
        <f>G92*1</f>
      </c>
      <c r="AP92" s="45">
        <f>G92*(1-1)</f>
      </c>
      <c r="AQ92" s="47" t="s">
        <v>252</v>
      </c>
      <c r="AV92" s="45">
        <f>AW92+AX92</f>
      </c>
      <c r="AW92" s="45">
        <f>F92*AO92</f>
      </c>
      <c r="AX92" s="45">
        <f>F92*AP92</f>
      </c>
      <c r="AY92" s="47" t="s">
        <v>253</v>
      </c>
      <c r="AZ92" s="47" t="s">
        <v>254</v>
      </c>
      <c r="BA92" s="28" t="s">
        <v>65</v>
      </c>
      <c r="BC92" s="45">
        <f>AW92+AX92</f>
      </c>
      <c r="BD92" s="45">
        <f>G92/(100-BE92)*100</f>
      </c>
      <c r="BE92" s="45" t="n">
        <v>0</v>
      </c>
      <c r="BF92" s="45">
        <f>92</f>
      </c>
      <c r="BH92" s="45">
        <f>F92*AO92</f>
      </c>
      <c r="BI92" s="45">
        <f>F92*AP92</f>
      </c>
      <c r="BJ92" s="45">
        <f>F92*G92</f>
      </c>
      <c r="BK92" s="45"/>
      <c r="BL92" s="45"/>
      <c r="BW92" s="45" t="n">
        <v>21</v>
      </c>
      <c r="BX92" s="14" t="s">
        <v>304</v>
      </c>
    </row>
    <row r="93">
      <c r="A93" s="9" t="s">
        <v>305</v>
      </c>
      <c r="B93" s="10" t="s">
        <v>306</v>
      </c>
      <c r="C93" s="14" t="s">
        <v>307</v>
      </c>
      <c r="D93" s="10"/>
      <c r="E93" s="10" t="s">
        <v>160</v>
      </c>
      <c r="F93" s="45" t="n">
        <v>1</v>
      </c>
      <c r="G93" s="45" t="n">
        <v>0</v>
      </c>
      <c r="H93" s="45">
        <f>F93*AO93</f>
      </c>
      <c r="I93" s="45">
        <f>F93*AP93</f>
      </c>
      <c r="J93" s="45">
        <f>F93*G93</f>
      </c>
      <c r="K93" s="46" t="s">
        <v>62</v>
      </c>
      <c r="Z93" s="45">
        <f>IF(AQ93="5",BJ93,0)</f>
      </c>
      <c r="AB93" s="45">
        <f>IF(AQ93="1",BH93,0)</f>
      </c>
      <c r="AC93" s="45">
        <f>IF(AQ93="1",BI93,0)</f>
      </c>
      <c r="AD93" s="45">
        <f>IF(AQ93="7",BH93,0)</f>
      </c>
      <c r="AE93" s="45">
        <f>IF(AQ93="7",BI93,0)</f>
      </c>
      <c r="AF93" s="45">
        <f>IF(AQ93="2",BH93,0)</f>
      </c>
      <c r="AG93" s="45">
        <f>IF(AQ93="2",BI93,0)</f>
      </c>
      <c r="AH93" s="45">
        <f>IF(AQ93="0",BJ93,0)</f>
      </c>
      <c r="AI93" s="28" t="s">
        <v>55</v>
      </c>
      <c r="AJ93" s="45">
        <f>IF(AN93=0,J93,0)</f>
      </c>
      <c r="AK93" s="45">
        <f>IF(AN93=12,J93,0)</f>
      </c>
      <c r="AL93" s="45">
        <f>IF(AN93=21,J93,0)</f>
      </c>
      <c r="AN93" s="45" t="n">
        <v>21</v>
      </c>
      <c r="AO93" s="45">
        <f>G93*1</f>
      </c>
      <c r="AP93" s="45">
        <f>G93*(1-1)</f>
      </c>
      <c r="AQ93" s="47" t="s">
        <v>252</v>
      </c>
      <c r="AV93" s="45">
        <f>AW93+AX93</f>
      </c>
      <c r="AW93" s="45">
        <f>F93*AO93</f>
      </c>
      <c r="AX93" s="45">
        <f>F93*AP93</f>
      </c>
      <c r="AY93" s="47" t="s">
        <v>253</v>
      </c>
      <c r="AZ93" s="47" t="s">
        <v>254</v>
      </c>
      <c r="BA93" s="28" t="s">
        <v>65</v>
      </c>
      <c r="BC93" s="45">
        <f>AW93+AX93</f>
      </c>
      <c r="BD93" s="45">
        <f>G93/(100-BE93)*100</f>
      </c>
      <c r="BE93" s="45" t="n">
        <v>0</v>
      </c>
      <c r="BF93" s="45">
        <f>93</f>
      </c>
      <c r="BH93" s="45">
        <f>F93*AO93</f>
      </c>
      <c r="BI93" s="45">
        <f>F93*AP93</f>
      </c>
      <c r="BJ93" s="45">
        <f>F93*G93</f>
      </c>
      <c r="BK93" s="45"/>
      <c r="BL93" s="45"/>
      <c r="BW93" s="45" t="n">
        <v>21</v>
      </c>
      <c r="BX93" s="14" t="s">
        <v>307</v>
      </c>
    </row>
    <row r="94">
      <c r="A94" s="9" t="s">
        <v>308</v>
      </c>
      <c r="B94" s="10" t="s">
        <v>309</v>
      </c>
      <c r="C94" s="14" t="s">
        <v>310</v>
      </c>
      <c r="D94" s="10"/>
      <c r="E94" s="10" t="s">
        <v>160</v>
      </c>
      <c r="F94" s="45" t="n">
        <v>2</v>
      </c>
      <c r="G94" s="45" t="n">
        <v>0</v>
      </c>
      <c r="H94" s="45">
        <f>F94*AO94</f>
      </c>
      <c r="I94" s="45">
        <f>F94*AP94</f>
      </c>
      <c r="J94" s="45">
        <f>F94*G94</f>
      </c>
      <c r="K94" s="46" t="s">
        <v>62</v>
      </c>
      <c r="Z94" s="45">
        <f>IF(AQ94="5",BJ94,0)</f>
      </c>
      <c r="AB94" s="45">
        <f>IF(AQ94="1",BH94,0)</f>
      </c>
      <c r="AC94" s="45">
        <f>IF(AQ94="1",BI94,0)</f>
      </c>
      <c r="AD94" s="45">
        <f>IF(AQ94="7",BH94,0)</f>
      </c>
      <c r="AE94" s="45">
        <f>IF(AQ94="7",BI94,0)</f>
      </c>
      <c r="AF94" s="45">
        <f>IF(AQ94="2",BH94,0)</f>
      </c>
      <c r="AG94" s="45">
        <f>IF(AQ94="2",BI94,0)</f>
      </c>
      <c r="AH94" s="45">
        <f>IF(AQ94="0",BJ94,0)</f>
      </c>
      <c r="AI94" s="28" t="s">
        <v>55</v>
      </c>
      <c r="AJ94" s="45">
        <f>IF(AN94=0,J94,0)</f>
      </c>
      <c r="AK94" s="45">
        <f>IF(AN94=12,J94,0)</f>
      </c>
      <c r="AL94" s="45">
        <f>IF(AN94=21,J94,0)</f>
      </c>
      <c r="AN94" s="45" t="n">
        <v>21</v>
      </c>
      <c r="AO94" s="45">
        <f>G94*1</f>
      </c>
      <c r="AP94" s="45">
        <f>G94*(1-1)</f>
      </c>
      <c r="AQ94" s="47" t="s">
        <v>252</v>
      </c>
      <c r="AV94" s="45">
        <f>AW94+AX94</f>
      </c>
      <c r="AW94" s="45">
        <f>F94*AO94</f>
      </c>
      <c r="AX94" s="45">
        <f>F94*AP94</f>
      </c>
      <c r="AY94" s="47" t="s">
        <v>253</v>
      </c>
      <c r="AZ94" s="47" t="s">
        <v>254</v>
      </c>
      <c r="BA94" s="28" t="s">
        <v>65</v>
      </c>
      <c r="BC94" s="45">
        <f>AW94+AX94</f>
      </c>
      <c r="BD94" s="45">
        <f>G94/(100-BE94)*100</f>
      </c>
      <c r="BE94" s="45" t="n">
        <v>0</v>
      </c>
      <c r="BF94" s="45">
        <f>94</f>
      </c>
      <c r="BH94" s="45">
        <f>F94*AO94</f>
      </c>
      <c r="BI94" s="45">
        <f>F94*AP94</f>
      </c>
      <c r="BJ94" s="45">
        <f>F94*G94</f>
      </c>
      <c r="BK94" s="45"/>
      <c r="BL94" s="45"/>
      <c r="BW94" s="45" t="n">
        <v>21</v>
      </c>
      <c r="BX94" s="14" t="s">
        <v>310</v>
      </c>
    </row>
    <row r="95">
      <c r="A95" s="9" t="s">
        <v>311</v>
      </c>
      <c r="B95" s="10" t="s">
        <v>312</v>
      </c>
      <c r="C95" s="14" t="s">
        <v>313</v>
      </c>
      <c r="D95" s="10"/>
      <c r="E95" s="10" t="s">
        <v>160</v>
      </c>
      <c r="F95" s="45" t="n">
        <v>3</v>
      </c>
      <c r="G95" s="45" t="n">
        <v>0</v>
      </c>
      <c r="H95" s="45">
        <f>F95*AO95</f>
      </c>
      <c r="I95" s="45">
        <f>F95*AP95</f>
      </c>
      <c r="J95" s="45">
        <f>F95*G95</f>
      </c>
      <c r="K95" s="46" t="s">
        <v>62</v>
      </c>
      <c r="Z95" s="45">
        <f>IF(AQ95="5",BJ95,0)</f>
      </c>
      <c r="AB95" s="45">
        <f>IF(AQ95="1",BH95,0)</f>
      </c>
      <c r="AC95" s="45">
        <f>IF(AQ95="1",BI95,0)</f>
      </c>
      <c r="AD95" s="45">
        <f>IF(AQ95="7",BH95,0)</f>
      </c>
      <c r="AE95" s="45">
        <f>IF(AQ95="7",BI95,0)</f>
      </c>
      <c r="AF95" s="45">
        <f>IF(AQ95="2",BH95,0)</f>
      </c>
      <c r="AG95" s="45">
        <f>IF(AQ95="2",BI95,0)</f>
      </c>
      <c r="AH95" s="45">
        <f>IF(AQ95="0",BJ95,0)</f>
      </c>
      <c r="AI95" s="28" t="s">
        <v>55</v>
      </c>
      <c r="AJ95" s="45">
        <f>IF(AN95=0,J95,0)</f>
      </c>
      <c r="AK95" s="45">
        <f>IF(AN95=12,J95,0)</f>
      </c>
      <c r="AL95" s="45">
        <f>IF(AN95=21,J95,0)</f>
      </c>
      <c r="AN95" s="45" t="n">
        <v>21</v>
      </c>
      <c r="AO95" s="45">
        <f>G95*1</f>
      </c>
      <c r="AP95" s="45">
        <f>G95*(1-1)</f>
      </c>
      <c r="AQ95" s="47" t="s">
        <v>252</v>
      </c>
      <c r="AV95" s="45">
        <f>AW95+AX95</f>
      </c>
      <c r="AW95" s="45">
        <f>F95*AO95</f>
      </c>
      <c r="AX95" s="45">
        <f>F95*AP95</f>
      </c>
      <c r="AY95" s="47" t="s">
        <v>253</v>
      </c>
      <c r="AZ95" s="47" t="s">
        <v>254</v>
      </c>
      <c r="BA95" s="28" t="s">
        <v>65</v>
      </c>
      <c r="BC95" s="45">
        <f>AW95+AX95</f>
      </c>
      <c r="BD95" s="45">
        <f>G95/(100-BE95)*100</f>
      </c>
      <c r="BE95" s="45" t="n">
        <v>0</v>
      </c>
      <c r="BF95" s="45">
        <f>95</f>
      </c>
      <c r="BH95" s="45">
        <f>F95*AO95</f>
      </c>
      <c r="BI95" s="45">
        <f>F95*AP95</f>
      </c>
      <c r="BJ95" s="45">
        <f>F95*G95</f>
      </c>
      <c r="BK95" s="45"/>
      <c r="BL95" s="45"/>
      <c r="BW95" s="45" t="n">
        <v>21</v>
      </c>
      <c r="BX95" s="14" t="s">
        <v>313</v>
      </c>
    </row>
    <row r="96">
      <c r="A96" s="9" t="s">
        <v>314</v>
      </c>
      <c r="B96" s="10" t="s">
        <v>315</v>
      </c>
      <c r="C96" s="14" t="s">
        <v>316</v>
      </c>
      <c r="D96" s="10"/>
      <c r="E96" s="10" t="s">
        <v>160</v>
      </c>
      <c r="F96" s="45" t="n">
        <v>3</v>
      </c>
      <c r="G96" s="45" t="n">
        <v>0</v>
      </c>
      <c r="H96" s="45">
        <f>F96*AO96</f>
      </c>
      <c r="I96" s="45">
        <f>F96*AP96</f>
      </c>
      <c r="J96" s="45">
        <f>F96*G96</f>
      </c>
      <c r="K96" s="46" t="s">
        <v>62</v>
      </c>
      <c r="Z96" s="45">
        <f>IF(AQ96="5",BJ96,0)</f>
      </c>
      <c r="AB96" s="45">
        <f>IF(AQ96="1",BH96,0)</f>
      </c>
      <c r="AC96" s="45">
        <f>IF(AQ96="1",BI96,0)</f>
      </c>
      <c r="AD96" s="45">
        <f>IF(AQ96="7",BH96,0)</f>
      </c>
      <c r="AE96" s="45">
        <f>IF(AQ96="7",BI96,0)</f>
      </c>
      <c r="AF96" s="45">
        <f>IF(AQ96="2",BH96,0)</f>
      </c>
      <c r="AG96" s="45">
        <f>IF(AQ96="2",BI96,0)</f>
      </c>
      <c r="AH96" s="45">
        <f>IF(AQ96="0",BJ96,0)</f>
      </c>
      <c r="AI96" s="28" t="s">
        <v>55</v>
      </c>
      <c r="AJ96" s="45">
        <f>IF(AN96=0,J96,0)</f>
      </c>
      <c r="AK96" s="45">
        <f>IF(AN96=12,J96,0)</f>
      </c>
      <c r="AL96" s="45">
        <f>IF(AN96=21,J96,0)</f>
      </c>
      <c r="AN96" s="45" t="n">
        <v>21</v>
      </c>
      <c r="AO96" s="45">
        <f>G96*1</f>
      </c>
      <c r="AP96" s="45">
        <f>G96*(1-1)</f>
      </c>
      <c r="AQ96" s="47" t="s">
        <v>252</v>
      </c>
      <c r="AV96" s="45">
        <f>AW96+AX96</f>
      </c>
      <c r="AW96" s="45">
        <f>F96*AO96</f>
      </c>
      <c r="AX96" s="45">
        <f>F96*AP96</f>
      </c>
      <c r="AY96" s="47" t="s">
        <v>253</v>
      </c>
      <c r="AZ96" s="47" t="s">
        <v>254</v>
      </c>
      <c r="BA96" s="28" t="s">
        <v>65</v>
      </c>
      <c r="BC96" s="45">
        <f>AW96+AX96</f>
      </c>
      <c r="BD96" s="45">
        <f>G96/(100-BE96)*100</f>
      </c>
      <c r="BE96" s="45" t="n">
        <v>0</v>
      </c>
      <c r="BF96" s="45">
        <f>96</f>
      </c>
      <c r="BH96" s="45">
        <f>F96*AO96</f>
      </c>
      <c r="BI96" s="45">
        <f>F96*AP96</f>
      </c>
      <c r="BJ96" s="45">
        <f>F96*G96</f>
      </c>
      <c r="BK96" s="45"/>
      <c r="BL96" s="45"/>
      <c r="BW96" s="45" t="n">
        <v>21</v>
      </c>
      <c r="BX96" s="14" t="s">
        <v>316</v>
      </c>
    </row>
    <row r="97">
      <c r="A97" s="9" t="s">
        <v>317</v>
      </c>
      <c r="B97" s="10" t="s">
        <v>318</v>
      </c>
      <c r="C97" s="14" t="s">
        <v>319</v>
      </c>
      <c r="D97" s="10"/>
      <c r="E97" s="10" t="s">
        <v>160</v>
      </c>
      <c r="F97" s="45" t="n">
        <v>1</v>
      </c>
      <c r="G97" s="45" t="n">
        <v>0</v>
      </c>
      <c r="H97" s="45">
        <f>F97*AO97</f>
      </c>
      <c r="I97" s="45">
        <f>F97*AP97</f>
      </c>
      <c r="J97" s="45">
        <f>F97*G97</f>
      </c>
      <c r="K97" s="46" t="s">
        <v>62</v>
      </c>
      <c r="Z97" s="45">
        <f>IF(AQ97="5",BJ97,0)</f>
      </c>
      <c r="AB97" s="45">
        <f>IF(AQ97="1",BH97,0)</f>
      </c>
      <c r="AC97" s="45">
        <f>IF(AQ97="1",BI97,0)</f>
      </c>
      <c r="AD97" s="45">
        <f>IF(AQ97="7",BH97,0)</f>
      </c>
      <c r="AE97" s="45">
        <f>IF(AQ97="7",BI97,0)</f>
      </c>
      <c r="AF97" s="45">
        <f>IF(AQ97="2",BH97,0)</f>
      </c>
      <c r="AG97" s="45">
        <f>IF(AQ97="2",BI97,0)</f>
      </c>
      <c r="AH97" s="45">
        <f>IF(AQ97="0",BJ97,0)</f>
      </c>
      <c r="AI97" s="28" t="s">
        <v>55</v>
      </c>
      <c r="AJ97" s="45">
        <f>IF(AN97=0,J97,0)</f>
      </c>
      <c r="AK97" s="45">
        <f>IF(AN97=12,J97,0)</f>
      </c>
      <c r="AL97" s="45">
        <f>IF(AN97=21,J97,0)</f>
      </c>
      <c r="AN97" s="45" t="n">
        <v>21</v>
      </c>
      <c r="AO97" s="45">
        <f>G97*1</f>
      </c>
      <c r="AP97" s="45">
        <f>G97*(1-1)</f>
      </c>
      <c r="AQ97" s="47" t="s">
        <v>252</v>
      </c>
      <c r="AV97" s="45">
        <f>AW97+AX97</f>
      </c>
      <c r="AW97" s="45">
        <f>F97*AO97</f>
      </c>
      <c r="AX97" s="45">
        <f>F97*AP97</f>
      </c>
      <c r="AY97" s="47" t="s">
        <v>253</v>
      </c>
      <c r="AZ97" s="47" t="s">
        <v>254</v>
      </c>
      <c r="BA97" s="28" t="s">
        <v>65</v>
      </c>
      <c r="BC97" s="45">
        <f>AW97+AX97</f>
      </c>
      <c r="BD97" s="45">
        <f>G97/(100-BE97)*100</f>
      </c>
      <c r="BE97" s="45" t="n">
        <v>0</v>
      </c>
      <c r="BF97" s="45">
        <f>97</f>
      </c>
      <c r="BH97" s="45">
        <f>F97*AO97</f>
      </c>
      <c r="BI97" s="45">
        <f>F97*AP97</f>
      </c>
      <c r="BJ97" s="45">
        <f>F97*G97</f>
      </c>
      <c r="BK97" s="45"/>
      <c r="BL97" s="45"/>
      <c r="BW97" s="45" t="n">
        <v>21</v>
      </c>
      <c r="BX97" s="14" t="s">
        <v>319</v>
      </c>
    </row>
    <row r="98">
      <c r="A98" s="9" t="s">
        <v>320</v>
      </c>
      <c r="B98" s="10" t="s">
        <v>321</v>
      </c>
      <c r="C98" s="14" t="s">
        <v>322</v>
      </c>
      <c r="D98" s="10"/>
      <c r="E98" s="10" t="s">
        <v>160</v>
      </c>
      <c r="F98" s="45" t="n">
        <v>2</v>
      </c>
      <c r="G98" s="45" t="n">
        <v>0</v>
      </c>
      <c r="H98" s="45">
        <f>F98*AO98</f>
      </c>
      <c r="I98" s="45">
        <f>F98*AP98</f>
      </c>
      <c r="J98" s="45">
        <f>F98*G98</f>
      </c>
      <c r="K98" s="46" t="s">
        <v>62</v>
      </c>
      <c r="Z98" s="45">
        <f>IF(AQ98="5",BJ98,0)</f>
      </c>
      <c r="AB98" s="45">
        <f>IF(AQ98="1",BH98,0)</f>
      </c>
      <c r="AC98" s="45">
        <f>IF(AQ98="1",BI98,0)</f>
      </c>
      <c r="AD98" s="45">
        <f>IF(AQ98="7",BH98,0)</f>
      </c>
      <c r="AE98" s="45">
        <f>IF(AQ98="7",BI98,0)</f>
      </c>
      <c r="AF98" s="45">
        <f>IF(AQ98="2",BH98,0)</f>
      </c>
      <c r="AG98" s="45">
        <f>IF(AQ98="2",BI98,0)</f>
      </c>
      <c r="AH98" s="45">
        <f>IF(AQ98="0",BJ98,0)</f>
      </c>
      <c r="AI98" s="28" t="s">
        <v>55</v>
      </c>
      <c r="AJ98" s="45">
        <f>IF(AN98=0,J98,0)</f>
      </c>
      <c r="AK98" s="45">
        <f>IF(AN98=12,J98,0)</f>
      </c>
      <c r="AL98" s="45">
        <f>IF(AN98=21,J98,0)</f>
      </c>
      <c r="AN98" s="45" t="n">
        <v>21</v>
      </c>
      <c r="AO98" s="45">
        <f>G98*1</f>
      </c>
      <c r="AP98" s="45">
        <f>G98*(1-1)</f>
      </c>
      <c r="AQ98" s="47" t="s">
        <v>252</v>
      </c>
      <c r="AV98" s="45">
        <f>AW98+AX98</f>
      </c>
      <c r="AW98" s="45">
        <f>F98*AO98</f>
      </c>
      <c r="AX98" s="45">
        <f>F98*AP98</f>
      </c>
      <c r="AY98" s="47" t="s">
        <v>253</v>
      </c>
      <c r="AZ98" s="47" t="s">
        <v>254</v>
      </c>
      <c r="BA98" s="28" t="s">
        <v>65</v>
      </c>
      <c r="BC98" s="45">
        <f>AW98+AX98</f>
      </c>
      <c r="BD98" s="45">
        <f>G98/(100-BE98)*100</f>
      </c>
      <c r="BE98" s="45" t="n">
        <v>0</v>
      </c>
      <c r="BF98" s="45">
        <f>98</f>
      </c>
      <c r="BH98" s="45">
        <f>F98*AO98</f>
      </c>
      <c r="BI98" s="45">
        <f>F98*AP98</f>
      </c>
      <c r="BJ98" s="45">
        <f>F98*G98</f>
      </c>
      <c r="BK98" s="45"/>
      <c r="BL98" s="45"/>
      <c r="BW98" s="45" t="n">
        <v>21</v>
      </c>
      <c r="BX98" s="14" t="s">
        <v>322</v>
      </c>
    </row>
    <row r="99">
      <c r="A99" s="9" t="s">
        <v>323</v>
      </c>
      <c r="B99" s="10" t="s">
        <v>324</v>
      </c>
      <c r="C99" s="14" t="s">
        <v>325</v>
      </c>
      <c r="D99" s="10"/>
      <c r="E99" s="10" t="s">
        <v>160</v>
      </c>
      <c r="F99" s="45" t="n">
        <v>2</v>
      </c>
      <c r="G99" s="45" t="n">
        <v>0</v>
      </c>
      <c r="H99" s="45">
        <f>F99*AO99</f>
      </c>
      <c r="I99" s="45">
        <f>F99*AP99</f>
      </c>
      <c r="J99" s="45">
        <f>F99*G99</f>
      </c>
      <c r="K99" s="46" t="s">
        <v>62</v>
      </c>
      <c r="Z99" s="45">
        <f>IF(AQ99="5",BJ99,0)</f>
      </c>
      <c r="AB99" s="45">
        <f>IF(AQ99="1",BH99,0)</f>
      </c>
      <c r="AC99" s="45">
        <f>IF(AQ99="1",BI99,0)</f>
      </c>
      <c r="AD99" s="45">
        <f>IF(AQ99="7",BH99,0)</f>
      </c>
      <c r="AE99" s="45">
        <f>IF(AQ99="7",BI99,0)</f>
      </c>
      <c r="AF99" s="45">
        <f>IF(AQ99="2",BH99,0)</f>
      </c>
      <c r="AG99" s="45">
        <f>IF(AQ99="2",BI99,0)</f>
      </c>
      <c r="AH99" s="45">
        <f>IF(AQ99="0",BJ99,0)</f>
      </c>
      <c r="AI99" s="28" t="s">
        <v>55</v>
      </c>
      <c r="AJ99" s="45">
        <f>IF(AN99=0,J99,0)</f>
      </c>
      <c r="AK99" s="45">
        <f>IF(AN99=12,J99,0)</f>
      </c>
      <c r="AL99" s="45">
        <f>IF(AN99=21,J99,0)</f>
      </c>
      <c r="AN99" s="45" t="n">
        <v>21</v>
      </c>
      <c r="AO99" s="45">
        <f>G99*1</f>
      </c>
      <c r="AP99" s="45">
        <f>G99*(1-1)</f>
      </c>
      <c r="AQ99" s="47" t="s">
        <v>252</v>
      </c>
      <c r="AV99" s="45">
        <f>AW99+AX99</f>
      </c>
      <c r="AW99" s="45">
        <f>F99*AO99</f>
      </c>
      <c r="AX99" s="45">
        <f>F99*AP99</f>
      </c>
      <c r="AY99" s="47" t="s">
        <v>253</v>
      </c>
      <c r="AZ99" s="47" t="s">
        <v>254</v>
      </c>
      <c r="BA99" s="28" t="s">
        <v>65</v>
      </c>
      <c r="BC99" s="45">
        <f>AW99+AX99</f>
      </c>
      <c r="BD99" s="45">
        <f>G99/(100-BE99)*100</f>
      </c>
      <c r="BE99" s="45" t="n">
        <v>0</v>
      </c>
      <c r="BF99" s="45">
        <f>99</f>
      </c>
      <c r="BH99" s="45">
        <f>F99*AO99</f>
      </c>
      <c r="BI99" s="45">
        <f>F99*AP99</f>
      </c>
      <c r="BJ99" s="45">
        <f>F99*G99</f>
      </c>
      <c r="BK99" s="45"/>
      <c r="BL99" s="45"/>
      <c r="BW99" s="45" t="n">
        <v>21</v>
      </c>
      <c r="BX99" s="14" t="s">
        <v>325</v>
      </c>
    </row>
    <row r="100">
      <c r="A100" s="9" t="s">
        <v>326</v>
      </c>
      <c r="B100" s="10" t="s">
        <v>327</v>
      </c>
      <c r="C100" s="14" t="s">
        <v>328</v>
      </c>
      <c r="D100" s="10"/>
      <c r="E100" s="10" t="s">
        <v>160</v>
      </c>
      <c r="F100" s="45" t="n">
        <v>14</v>
      </c>
      <c r="G100" s="45" t="n">
        <v>0</v>
      </c>
      <c r="H100" s="45">
        <f>F100*AO100</f>
      </c>
      <c r="I100" s="45">
        <f>F100*AP100</f>
      </c>
      <c r="J100" s="45">
        <f>F100*G100</f>
      </c>
      <c r="K100" s="46" t="s">
        <v>62</v>
      </c>
      <c r="Z100" s="45">
        <f>IF(AQ100="5",BJ100,0)</f>
      </c>
      <c r="AB100" s="45">
        <f>IF(AQ100="1",BH100,0)</f>
      </c>
      <c r="AC100" s="45">
        <f>IF(AQ100="1",BI100,0)</f>
      </c>
      <c r="AD100" s="45">
        <f>IF(AQ100="7",BH100,0)</f>
      </c>
      <c r="AE100" s="45">
        <f>IF(AQ100="7",BI100,0)</f>
      </c>
      <c r="AF100" s="45">
        <f>IF(AQ100="2",BH100,0)</f>
      </c>
      <c r="AG100" s="45">
        <f>IF(AQ100="2",BI100,0)</f>
      </c>
      <c r="AH100" s="45">
        <f>IF(AQ100="0",BJ100,0)</f>
      </c>
      <c r="AI100" s="28" t="s">
        <v>55</v>
      </c>
      <c r="AJ100" s="45">
        <f>IF(AN100=0,J100,0)</f>
      </c>
      <c r="AK100" s="45">
        <f>IF(AN100=12,J100,0)</f>
      </c>
      <c r="AL100" s="45">
        <f>IF(AN100=21,J100,0)</f>
      </c>
      <c r="AN100" s="45" t="n">
        <v>21</v>
      </c>
      <c r="AO100" s="45">
        <f>G100*1</f>
      </c>
      <c r="AP100" s="45">
        <f>G100*(1-1)</f>
      </c>
      <c r="AQ100" s="47" t="s">
        <v>252</v>
      </c>
      <c r="AV100" s="45">
        <f>AW100+AX100</f>
      </c>
      <c r="AW100" s="45">
        <f>F100*AO100</f>
      </c>
      <c r="AX100" s="45">
        <f>F100*AP100</f>
      </c>
      <c r="AY100" s="47" t="s">
        <v>253</v>
      </c>
      <c r="AZ100" s="47" t="s">
        <v>254</v>
      </c>
      <c r="BA100" s="28" t="s">
        <v>65</v>
      </c>
      <c r="BC100" s="45">
        <f>AW100+AX100</f>
      </c>
      <c r="BD100" s="45">
        <f>G100/(100-BE100)*100</f>
      </c>
      <c r="BE100" s="45" t="n">
        <v>0</v>
      </c>
      <c r="BF100" s="45">
        <f>100</f>
      </c>
      <c r="BH100" s="45">
        <f>F100*AO100</f>
      </c>
      <c r="BI100" s="45">
        <f>F100*AP100</f>
      </c>
      <c r="BJ100" s="45">
        <f>F100*G100</f>
      </c>
      <c r="BK100" s="45"/>
      <c r="BL100" s="45"/>
      <c r="BW100" s="45" t="n">
        <v>21</v>
      </c>
      <c r="BX100" s="14" t="s">
        <v>328</v>
      </c>
    </row>
    <row r="101">
      <c r="A101" s="9" t="s">
        <v>329</v>
      </c>
      <c r="B101" s="10" t="s">
        <v>330</v>
      </c>
      <c r="C101" s="14" t="s">
        <v>331</v>
      </c>
      <c r="D101" s="10"/>
      <c r="E101" s="10" t="s">
        <v>160</v>
      </c>
      <c r="F101" s="45" t="n">
        <v>6</v>
      </c>
      <c r="G101" s="45" t="n">
        <v>0</v>
      </c>
      <c r="H101" s="45">
        <f>F101*AO101</f>
      </c>
      <c r="I101" s="45">
        <f>F101*AP101</f>
      </c>
      <c r="J101" s="45">
        <f>F101*G101</f>
      </c>
      <c r="K101" s="46" t="s">
        <v>62</v>
      </c>
      <c r="Z101" s="45">
        <f>IF(AQ101="5",BJ101,0)</f>
      </c>
      <c r="AB101" s="45">
        <f>IF(AQ101="1",BH101,0)</f>
      </c>
      <c r="AC101" s="45">
        <f>IF(AQ101="1",BI101,0)</f>
      </c>
      <c r="AD101" s="45">
        <f>IF(AQ101="7",BH101,0)</f>
      </c>
      <c r="AE101" s="45">
        <f>IF(AQ101="7",BI101,0)</f>
      </c>
      <c r="AF101" s="45">
        <f>IF(AQ101="2",BH101,0)</f>
      </c>
      <c r="AG101" s="45">
        <f>IF(AQ101="2",BI101,0)</f>
      </c>
      <c r="AH101" s="45">
        <f>IF(AQ101="0",BJ101,0)</f>
      </c>
      <c r="AI101" s="28" t="s">
        <v>55</v>
      </c>
      <c r="AJ101" s="45">
        <f>IF(AN101=0,J101,0)</f>
      </c>
      <c r="AK101" s="45">
        <f>IF(AN101=12,J101,0)</f>
      </c>
      <c r="AL101" s="45">
        <f>IF(AN101=21,J101,0)</f>
      </c>
      <c r="AN101" s="45" t="n">
        <v>21</v>
      </c>
      <c r="AO101" s="45">
        <f>G101*1</f>
      </c>
      <c r="AP101" s="45">
        <f>G101*(1-1)</f>
      </c>
      <c r="AQ101" s="47" t="s">
        <v>252</v>
      </c>
      <c r="AV101" s="45">
        <f>AW101+AX101</f>
      </c>
      <c r="AW101" s="45">
        <f>F101*AO101</f>
      </c>
      <c r="AX101" s="45">
        <f>F101*AP101</f>
      </c>
      <c r="AY101" s="47" t="s">
        <v>253</v>
      </c>
      <c r="AZ101" s="47" t="s">
        <v>254</v>
      </c>
      <c r="BA101" s="28" t="s">
        <v>65</v>
      </c>
      <c r="BC101" s="45">
        <f>AW101+AX101</f>
      </c>
      <c r="BD101" s="45">
        <f>G101/(100-BE101)*100</f>
      </c>
      <c r="BE101" s="45" t="n">
        <v>0</v>
      </c>
      <c r="BF101" s="45">
        <f>101</f>
      </c>
      <c r="BH101" s="45">
        <f>F101*AO101</f>
      </c>
      <c r="BI101" s="45">
        <f>F101*AP101</f>
      </c>
      <c r="BJ101" s="45">
        <f>F101*G101</f>
      </c>
      <c r="BK101" s="45"/>
      <c r="BL101" s="45"/>
      <c r="BW101" s="45" t="n">
        <v>21</v>
      </c>
      <c r="BX101" s="14" t="s">
        <v>331</v>
      </c>
    </row>
    <row r="102">
      <c r="A102" s="9" t="s">
        <v>332</v>
      </c>
      <c r="B102" s="10" t="s">
        <v>333</v>
      </c>
      <c r="C102" s="14" t="s">
        <v>334</v>
      </c>
      <c r="D102" s="10"/>
      <c r="E102" s="10" t="s">
        <v>160</v>
      </c>
      <c r="F102" s="45" t="n">
        <v>112</v>
      </c>
      <c r="G102" s="45" t="n">
        <v>0</v>
      </c>
      <c r="H102" s="45">
        <f>F102*AO102</f>
      </c>
      <c r="I102" s="45">
        <f>F102*AP102</f>
      </c>
      <c r="J102" s="45">
        <f>F102*G102</f>
      </c>
      <c r="K102" s="46" t="s">
        <v>62</v>
      </c>
      <c r="Z102" s="45">
        <f>IF(AQ102="5",BJ102,0)</f>
      </c>
      <c r="AB102" s="45">
        <f>IF(AQ102="1",BH102,0)</f>
      </c>
      <c r="AC102" s="45">
        <f>IF(AQ102="1",BI102,0)</f>
      </c>
      <c r="AD102" s="45">
        <f>IF(AQ102="7",BH102,0)</f>
      </c>
      <c r="AE102" s="45">
        <f>IF(AQ102="7",BI102,0)</f>
      </c>
      <c r="AF102" s="45">
        <f>IF(AQ102="2",BH102,0)</f>
      </c>
      <c r="AG102" s="45">
        <f>IF(AQ102="2",BI102,0)</f>
      </c>
      <c r="AH102" s="45">
        <f>IF(AQ102="0",BJ102,0)</f>
      </c>
      <c r="AI102" s="28" t="s">
        <v>55</v>
      </c>
      <c r="AJ102" s="45">
        <f>IF(AN102=0,J102,0)</f>
      </c>
      <c r="AK102" s="45">
        <f>IF(AN102=12,J102,0)</f>
      </c>
      <c r="AL102" s="45">
        <f>IF(AN102=21,J102,0)</f>
      </c>
      <c r="AN102" s="45" t="n">
        <v>21</v>
      </c>
      <c r="AO102" s="45">
        <f>G102*1</f>
      </c>
      <c r="AP102" s="45">
        <f>G102*(1-1)</f>
      </c>
      <c r="AQ102" s="47" t="s">
        <v>252</v>
      </c>
      <c r="AV102" s="45">
        <f>AW102+AX102</f>
      </c>
      <c r="AW102" s="45">
        <f>F102*AO102</f>
      </c>
      <c r="AX102" s="45">
        <f>F102*AP102</f>
      </c>
      <c r="AY102" s="47" t="s">
        <v>253</v>
      </c>
      <c r="AZ102" s="47" t="s">
        <v>254</v>
      </c>
      <c r="BA102" s="28" t="s">
        <v>65</v>
      </c>
      <c r="BC102" s="45">
        <f>AW102+AX102</f>
      </c>
      <c r="BD102" s="45">
        <f>G102/(100-BE102)*100</f>
      </c>
      <c r="BE102" s="45" t="n">
        <v>0</v>
      </c>
      <c r="BF102" s="45">
        <f>102</f>
      </c>
      <c r="BH102" s="45">
        <f>F102*AO102</f>
      </c>
      <c r="BI102" s="45">
        <f>F102*AP102</f>
      </c>
      <c r="BJ102" s="45">
        <f>F102*G102</f>
      </c>
      <c r="BK102" s="45"/>
      <c r="BL102" s="45"/>
      <c r="BW102" s="45" t="n">
        <v>21</v>
      </c>
      <c r="BX102" s="14" t="s">
        <v>334</v>
      </c>
    </row>
    <row r="103">
      <c r="A103" s="9" t="s">
        <v>335</v>
      </c>
      <c r="B103" s="10" t="s">
        <v>336</v>
      </c>
      <c r="C103" s="14" t="s">
        <v>337</v>
      </c>
      <c r="D103" s="10"/>
      <c r="E103" s="10" t="s">
        <v>160</v>
      </c>
      <c r="F103" s="45" t="n">
        <v>224</v>
      </c>
      <c r="G103" s="45" t="n">
        <v>0</v>
      </c>
      <c r="H103" s="45">
        <f>F103*AO103</f>
      </c>
      <c r="I103" s="45">
        <f>F103*AP103</f>
      </c>
      <c r="J103" s="45">
        <f>F103*G103</f>
      </c>
      <c r="K103" s="46" t="s">
        <v>62</v>
      </c>
      <c r="Z103" s="45">
        <f>IF(AQ103="5",BJ103,0)</f>
      </c>
      <c r="AB103" s="45">
        <f>IF(AQ103="1",BH103,0)</f>
      </c>
      <c r="AC103" s="45">
        <f>IF(AQ103="1",BI103,0)</f>
      </c>
      <c r="AD103" s="45">
        <f>IF(AQ103="7",BH103,0)</f>
      </c>
      <c r="AE103" s="45">
        <f>IF(AQ103="7",BI103,0)</f>
      </c>
      <c r="AF103" s="45">
        <f>IF(AQ103="2",BH103,0)</f>
      </c>
      <c r="AG103" s="45">
        <f>IF(AQ103="2",BI103,0)</f>
      </c>
      <c r="AH103" s="45">
        <f>IF(AQ103="0",BJ103,0)</f>
      </c>
      <c r="AI103" s="28" t="s">
        <v>55</v>
      </c>
      <c r="AJ103" s="45">
        <f>IF(AN103=0,J103,0)</f>
      </c>
      <c r="AK103" s="45">
        <f>IF(AN103=12,J103,0)</f>
      </c>
      <c r="AL103" s="45">
        <f>IF(AN103=21,J103,0)</f>
      </c>
      <c r="AN103" s="45" t="n">
        <v>21</v>
      </c>
      <c r="AO103" s="45">
        <f>G103*1</f>
      </c>
      <c r="AP103" s="45">
        <f>G103*(1-1)</f>
      </c>
      <c r="AQ103" s="47" t="s">
        <v>252</v>
      </c>
      <c r="AV103" s="45">
        <f>AW103+AX103</f>
      </c>
      <c r="AW103" s="45">
        <f>F103*AO103</f>
      </c>
      <c r="AX103" s="45">
        <f>F103*AP103</f>
      </c>
      <c r="AY103" s="47" t="s">
        <v>253</v>
      </c>
      <c r="AZ103" s="47" t="s">
        <v>254</v>
      </c>
      <c r="BA103" s="28" t="s">
        <v>65</v>
      </c>
      <c r="BC103" s="45">
        <f>AW103+AX103</f>
      </c>
      <c r="BD103" s="45">
        <f>G103/(100-BE103)*100</f>
      </c>
      <c r="BE103" s="45" t="n">
        <v>0</v>
      </c>
      <c r="BF103" s="45">
        <f>103</f>
      </c>
      <c r="BH103" s="45">
        <f>F103*AO103</f>
      </c>
      <c r="BI103" s="45">
        <f>F103*AP103</f>
      </c>
      <c r="BJ103" s="45">
        <f>F103*G103</f>
      </c>
      <c r="BK103" s="45"/>
      <c r="BL103" s="45"/>
      <c r="BW103" s="45" t="n">
        <v>21</v>
      </c>
      <c r="BX103" s="14" t="s">
        <v>337</v>
      </c>
    </row>
    <row r="104">
      <c r="A104" s="9" t="s">
        <v>338</v>
      </c>
      <c r="B104" s="10" t="s">
        <v>339</v>
      </c>
      <c r="C104" s="14" t="s">
        <v>340</v>
      </c>
      <c r="D104" s="10"/>
      <c r="E104" s="10" t="s">
        <v>160</v>
      </c>
      <c r="F104" s="45" t="n">
        <v>1</v>
      </c>
      <c r="G104" s="45" t="n">
        <v>0</v>
      </c>
      <c r="H104" s="45">
        <f>F104*AO104</f>
      </c>
      <c r="I104" s="45">
        <f>F104*AP104</f>
      </c>
      <c r="J104" s="45">
        <f>F104*G104</f>
      </c>
      <c r="K104" s="46" t="s">
        <v>62</v>
      </c>
      <c r="Z104" s="45">
        <f>IF(AQ104="5",BJ104,0)</f>
      </c>
      <c r="AB104" s="45">
        <f>IF(AQ104="1",BH104,0)</f>
      </c>
      <c r="AC104" s="45">
        <f>IF(AQ104="1",BI104,0)</f>
      </c>
      <c r="AD104" s="45">
        <f>IF(AQ104="7",BH104,0)</f>
      </c>
      <c r="AE104" s="45">
        <f>IF(AQ104="7",BI104,0)</f>
      </c>
      <c r="AF104" s="45">
        <f>IF(AQ104="2",BH104,0)</f>
      </c>
      <c r="AG104" s="45">
        <f>IF(AQ104="2",BI104,0)</f>
      </c>
      <c r="AH104" s="45">
        <f>IF(AQ104="0",BJ104,0)</f>
      </c>
      <c r="AI104" s="28" t="s">
        <v>55</v>
      </c>
      <c r="AJ104" s="45">
        <f>IF(AN104=0,J104,0)</f>
      </c>
      <c r="AK104" s="45">
        <f>IF(AN104=12,J104,0)</f>
      </c>
      <c r="AL104" s="45">
        <f>IF(AN104=21,J104,0)</f>
      </c>
      <c r="AN104" s="45" t="n">
        <v>21</v>
      </c>
      <c r="AO104" s="45">
        <f>G104*1</f>
      </c>
      <c r="AP104" s="45">
        <f>G104*(1-1)</f>
      </c>
      <c r="AQ104" s="47" t="s">
        <v>252</v>
      </c>
      <c r="AV104" s="45">
        <f>AW104+AX104</f>
      </c>
      <c r="AW104" s="45">
        <f>F104*AO104</f>
      </c>
      <c r="AX104" s="45">
        <f>F104*AP104</f>
      </c>
      <c r="AY104" s="47" t="s">
        <v>253</v>
      </c>
      <c r="AZ104" s="47" t="s">
        <v>254</v>
      </c>
      <c r="BA104" s="28" t="s">
        <v>65</v>
      </c>
      <c r="BC104" s="45">
        <f>AW104+AX104</f>
      </c>
      <c r="BD104" s="45">
        <f>G104/(100-BE104)*100</f>
      </c>
      <c r="BE104" s="45" t="n">
        <v>0</v>
      </c>
      <c r="BF104" s="45">
        <f>104</f>
      </c>
      <c r="BH104" s="45">
        <f>F104*AO104</f>
      </c>
      <c r="BI104" s="45">
        <f>F104*AP104</f>
      </c>
      <c r="BJ104" s="45">
        <f>F104*G104</f>
      </c>
      <c r="BK104" s="45"/>
      <c r="BL104" s="45"/>
      <c r="BW104" s="45" t="n">
        <v>21</v>
      </c>
      <c r="BX104" s="14" t="s">
        <v>340</v>
      </c>
    </row>
    <row r="105">
      <c r="A105" s="9" t="s">
        <v>341</v>
      </c>
      <c r="B105" s="10" t="s">
        <v>342</v>
      </c>
      <c r="C105" s="14" t="s">
        <v>343</v>
      </c>
      <c r="D105" s="10"/>
      <c r="E105" s="10" t="s">
        <v>160</v>
      </c>
      <c r="F105" s="45" t="n">
        <v>3</v>
      </c>
      <c r="G105" s="45" t="n">
        <v>0</v>
      </c>
      <c r="H105" s="45">
        <f>F105*AO105</f>
      </c>
      <c r="I105" s="45">
        <f>F105*AP105</f>
      </c>
      <c r="J105" s="45">
        <f>F105*G105</f>
      </c>
      <c r="K105" s="46" t="s">
        <v>62</v>
      </c>
      <c r="Z105" s="45">
        <f>IF(AQ105="5",BJ105,0)</f>
      </c>
      <c r="AB105" s="45">
        <f>IF(AQ105="1",BH105,0)</f>
      </c>
      <c r="AC105" s="45">
        <f>IF(AQ105="1",BI105,0)</f>
      </c>
      <c r="AD105" s="45">
        <f>IF(AQ105="7",BH105,0)</f>
      </c>
      <c r="AE105" s="45">
        <f>IF(AQ105="7",BI105,0)</f>
      </c>
      <c r="AF105" s="45">
        <f>IF(AQ105="2",BH105,0)</f>
      </c>
      <c r="AG105" s="45">
        <f>IF(AQ105="2",BI105,0)</f>
      </c>
      <c r="AH105" s="45">
        <f>IF(AQ105="0",BJ105,0)</f>
      </c>
      <c r="AI105" s="28" t="s">
        <v>55</v>
      </c>
      <c r="AJ105" s="45">
        <f>IF(AN105=0,J105,0)</f>
      </c>
      <c r="AK105" s="45">
        <f>IF(AN105=12,J105,0)</f>
      </c>
      <c r="AL105" s="45">
        <f>IF(AN105=21,J105,0)</f>
      </c>
      <c r="AN105" s="45" t="n">
        <v>21</v>
      </c>
      <c r="AO105" s="45">
        <f>G105*1</f>
      </c>
      <c r="AP105" s="45">
        <f>G105*(1-1)</f>
      </c>
      <c r="AQ105" s="47" t="s">
        <v>252</v>
      </c>
      <c r="AV105" s="45">
        <f>AW105+AX105</f>
      </c>
      <c r="AW105" s="45">
        <f>F105*AO105</f>
      </c>
      <c r="AX105" s="45">
        <f>F105*AP105</f>
      </c>
      <c r="AY105" s="47" t="s">
        <v>253</v>
      </c>
      <c r="AZ105" s="47" t="s">
        <v>254</v>
      </c>
      <c r="BA105" s="28" t="s">
        <v>65</v>
      </c>
      <c r="BC105" s="45">
        <f>AW105+AX105</f>
      </c>
      <c r="BD105" s="45">
        <f>G105/(100-BE105)*100</f>
      </c>
      <c r="BE105" s="45" t="n">
        <v>0</v>
      </c>
      <c r="BF105" s="45">
        <f>105</f>
      </c>
      <c r="BH105" s="45">
        <f>F105*AO105</f>
      </c>
      <c r="BI105" s="45">
        <f>F105*AP105</f>
      </c>
      <c r="BJ105" s="45">
        <f>F105*G105</f>
      </c>
      <c r="BK105" s="45"/>
      <c r="BL105" s="45"/>
      <c r="BW105" s="45" t="n">
        <v>21</v>
      </c>
      <c r="BX105" s="14" t="s">
        <v>343</v>
      </c>
    </row>
    <row r="106">
      <c r="A106" s="9" t="s">
        <v>344</v>
      </c>
      <c r="B106" s="10" t="s">
        <v>345</v>
      </c>
      <c r="C106" s="14" t="s">
        <v>346</v>
      </c>
      <c r="D106" s="10"/>
      <c r="E106" s="10" t="s">
        <v>347</v>
      </c>
      <c r="F106" s="45" t="n">
        <v>5.04</v>
      </c>
      <c r="G106" s="45" t="n">
        <v>0</v>
      </c>
      <c r="H106" s="45">
        <f>F106*AO106</f>
      </c>
      <c r="I106" s="45">
        <f>F106*AP106</f>
      </c>
      <c r="J106" s="45">
        <f>F106*G106</f>
      </c>
      <c r="K106" s="46" t="s">
        <v>62</v>
      </c>
      <c r="Z106" s="45">
        <f>IF(AQ106="5",BJ106,0)</f>
      </c>
      <c r="AB106" s="45">
        <f>IF(AQ106="1",BH106,0)</f>
      </c>
      <c r="AC106" s="45">
        <f>IF(AQ106="1",BI106,0)</f>
      </c>
      <c r="AD106" s="45">
        <f>IF(AQ106="7",BH106,0)</f>
      </c>
      <c r="AE106" s="45">
        <f>IF(AQ106="7",BI106,0)</f>
      </c>
      <c r="AF106" s="45">
        <f>IF(AQ106="2",BH106,0)</f>
      </c>
      <c r="AG106" s="45">
        <f>IF(AQ106="2",BI106,0)</f>
      </c>
      <c r="AH106" s="45">
        <f>IF(AQ106="0",BJ106,0)</f>
      </c>
      <c r="AI106" s="28" t="s">
        <v>55</v>
      </c>
      <c r="AJ106" s="45">
        <f>IF(AN106=0,J106,0)</f>
      </c>
      <c r="AK106" s="45">
        <f>IF(AN106=12,J106,0)</f>
      </c>
      <c r="AL106" s="45">
        <f>IF(AN106=21,J106,0)</f>
      </c>
      <c r="AN106" s="45" t="n">
        <v>21</v>
      </c>
      <c r="AO106" s="45">
        <f>G106*1</f>
      </c>
      <c r="AP106" s="45">
        <f>G106*(1-1)</f>
      </c>
      <c r="AQ106" s="47" t="s">
        <v>252</v>
      </c>
      <c r="AV106" s="45">
        <f>AW106+AX106</f>
      </c>
      <c r="AW106" s="45">
        <f>F106*AO106</f>
      </c>
      <c r="AX106" s="45">
        <f>F106*AP106</f>
      </c>
      <c r="AY106" s="47" t="s">
        <v>253</v>
      </c>
      <c r="AZ106" s="47" t="s">
        <v>254</v>
      </c>
      <c r="BA106" s="28" t="s">
        <v>65</v>
      </c>
      <c r="BC106" s="45">
        <f>AW106+AX106</f>
      </c>
      <c r="BD106" s="45">
        <f>G106/(100-BE106)*100</f>
      </c>
      <c r="BE106" s="45" t="n">
        <v>0</v>
      </c>
      <c r="BF106" s="45">
        <f>106</f>
      </c>
      <c r="BH106" s="45">
        <f>F106*AO106</f>
      </c>
      <c r="BI106" s="45">
        <f>F106*AP106</f>
      </c>
      <c r="BJ106" s="45">
        <f>F106*G106</f>
      </c>
      <c r="BK106" s="45"/>
      <c r="BL106" s="45"/>
      <c r="BW106" s="45" t="n">
        <v>21</v>
      </c>
      <c r="BX106" s="14" t="s">
        <v>346</v>
      </c>
    </row>
    <row r="107">
      <c r="A107" s="48" t="s">
        <v>55</v>
      </c>
      <c r="B107" s="49" t="s">
        <v>348</v>
      </c>
      <c r="C107" s="50" t="s">
        <v>349</v>
      </c>
      <c r="D107" s="49"/>
      <c r="E107" s="51" t="s">
        <v>36</v>
      </c>
      <c r="F107" s="51" t="s">
        <v>36</v>
      </c>
      <c r="G107" s="51" t="s">
        <v>36</v>
      </c>
      <c r="H107" s="2">
        <f>H108+H110+H112</f>
      </c>
      <c r="I107" s="2">
        <f>I108+I110+I112</f>
      </c>
      <c r="J107" s="2">
        <f>J108+J110+J112</f>
      </c>
      <c r="K107" s="52" t="s">
        <v>55</v>
      </c>
      <c r="AI107" s="28" t="s">
        <v>55</v>
      </c>
    </row>
    <row r="108">
      <c r="A108" s="48" t="s">
        <v>55</v>
      </c>
      <c r="B108" s="49" t="s">
        <v>350</v>
      </c>
      <c r="C108" s="50" t="s">
        <v>351</v>
      </c>
      <c r="D108" s="49"/>
      <c r="E108" s="51" t="s">
        <v>36</v>
      </c>
      <c r="F108" s="51" t="s">
        <v>36</v>
      </c>
      <c r="G108" s="51" t="s">
        <v>36</v>
      </c>
      <c r="H108" s="2">
        <f>SUM(H109:H109)</f>
      </c>
      <c r="I108" s="2">
        <f>SUM(I109:I109)</f>
      </c>
      <c r="J108" s="2">
        <f>SUM(J109:J109)</f>
      </c>
      <c r="K108" s="52" t="s">
        <v>55</v>
      </c>
      <c r="AI108" s="28" t="s">
        <v>55</v>
      </c>
      <c r="AS108" s="2">
        <f>SUM(AJ109:AJ109)</f>
      </c>
      <c r="AT108" s="2">
        <f>SUM(AK109:AK109)</f>
      </c>
      <c r="AU108" s="2">
        <f>SUM(AL109:AL109)</f>
      </c>
    </row>
    <row r="109">
      <c r="A109" s="9" t="s">
        <v>352</v>
      </c>
      <c r="B109" s="10" t="s">
        <v>353</v>
      </c>
      <c r="C109" s="14" t="s">
        <v>354</v>
      </c>
      <c r="D109" s="10"/>
      <c r="E109" s="10" t="s">
        <v>355</v>
      </c>
      <c r="F109" s="45" t="n">
        <v>1</v>
      </c>
      <c r="G109" s="45" t="n">
        <v>0</v>
      </c>
      <c r="H109" s="45">
        <f>F109*AO109</f>
      </c>
      <c r="I109" s="45">
        <f>F109*AP109</f>
      </c>
      <c r="J109" s="45">
        <f>F109*G109</f>
      </c>
      <c r="K109" s="46" t="s">
        <v>356</v>
      </c>
      <c r="Z109" s="45">
        <f>IF(AQ109="5",BJ109,0)</f>
      </c>
      <c r="AB109" s="45">
        <f>IF(AQ109="1",BH109,0)</f>
      </c>
      <c r="AC109" s="45">
        <f>IF(AQ109="1",BI109,0)</f>
      </c>
      <c r="AD109" s="45">
        <f>IF(AQ109="7",BH109,0)</f>
      </c>
      <c r="AE109" s="45">
        <f>IF(AQ109="7",BI109,0)</f>
      </c>
      <c r="AF109" s="45">
        <f>IF(AQ109="2",BH109,0)</f>
      </c>
      <c r="AG109" s="45">
        <f>IF(AQ109="2",BI109,0)</f>
      </c>
      <c r="AH109" s="45">
        <f>IF(AQ109="0",BJ109,0)</f>
      </c>
      <c r="AI109" s="28" t="s">
        <v>55</v>
      </c>
      <c r="AJ109" s="45">
        <f>IF(AN109=0,J109,0)</f>
      </c>
      <c r="AK109" s="45">
        <f>IF(AN109=12,J109,0)</f>
      </c>
      <c r="AL109" s="45">
        <f>IF(AN109=21,J109,0)</f>
      </c>
      <c r="AN109" s="45" t="n">
        <v>21</v>
      </c>
      <c r="AO109" s="45">
        <f>G109*0</f>
      </c>
      <c r="AP109" s="45">
        <f>G109*(1-0)</f>
      </c>
      <c r="AQ109" s="47" t="s">
        <v>357</v>
      </c>
      <c r="AV109" s="45">
        <f>AW109+AX109</f>
      </c>
      <c r="AW109" s="45">
        <f>F109*AO109</f>
      </c>
      <c r="AX109" s="45">
        <f>F109*AP109</f>
      </c>
      <c r="AY109" s="47" t="s">
        <v>358</v>
      </c>
      <c r="AZ109" s="47" t="s">
        <v>359</v>
      </c>
      <c r="BA109" s="28" t="s">
        <v>65</v>
      </c>
      <c r="BC109" s="45">
        <f>AW109+AX109</f>
      </c>
      <c r="BD109" s="45">
        <f>G109/(100-BE109)*100</f>
      </c>
      <c r="BE109" s="45" t="n">
        <v>0</v>
      </c>
      <c r="BF109" s="45">
        <f>109</f>
      </c>
      <c r="BH109" s="45">
        <f>F109*AO109</f>
      </c>
      <c r="BI109" s="45">
        <f>F109*AP109</f>
      </c>
      <c r="BJ109" s="45">
        <f>F109*G109</f>
      </c>
      <c r="BK109" s="45"/>
      <c r="BL109" s="45"/>
      <c r="BM109" s="45">
        <f>F109*G109</f>
      </c>
      <c r="BW109" s="45" t="n">
        <v>21</v>
      </c>
      <c r="BX109" s="14" t="s">
        <v>354</v>
      </c>
    </row>
    <row r="110">
      <c r="A110" s="48" t="s">
        <v>55</v>
      </c>
      <c r="B110" s="49" t="s">
        <v>360</v>
      </c>
      <c r="C110" s="50" t="s">
        <v>361</v>
      </c>
      <c r="D110" s="49"/>
      <c r="E110" s="51" t="s">
        <v>36</v>
      </c>
      <c r="F110" s="51" t="s">
        <v>36</v>
      </c>
      <c r="G110" s="51" t="s">
        <v>36</v>
      </c>
      <c r="H110" s="2">
        <f>SUM(H111:H111)</f>
      </c>
      <c r="I110" s="2">
        <f>SUM(I111:I111)</f>
      </c>
      <c r="J110" s="2">
        <f>SUM(J111:J111)</f>
      </c>
      <c r="K110" s="52" t="s">
        <v>55</v>
      </c>
      <c r="AI110" s="28" t="s">
        <v>55</v>
      </c>
      <c r="AS110" s="2">
        <f>SUM(AJ111:AJ111)</f>
      </c>
      <c r="AT110" s="2">
        <f>SUM(AK111:AK111)</f>
      </c>
      <c r="AU110" s="2">
        <f>SUM(AL111:AL111)</f>
      </c>
    </row>
    <row r="111">
      <c r="A111" s="9" t="s">
        <v>362</v>
      </c>
      <c r="B111" s="10" t="s">
        <v>363</v>
      </c>
      <c r="C111" s="14" t="s">
        <v>361</v>
      </c>
      <c r="D111" s="10"/>
      <c r="E111" s="10" t="s">
        <v>355</v>
      </c>
      <c r="F111" s="45" t="n">
        <v>1</v>
      </c>
      <c r="G111" s="45" t="n">
        <v>0</v>
      </c>
      <c r="H111" s="45">
        <f>F111*AO111</f>
      </c>
      <c r="I111" s="45">
        <f>F111*AP111</f>
      </c>
      <c r="J111" s="45">
        <f>F111*G111</f>
      </c>
      <c r="K111" s="46" t="s">
        <v>356</v>
      </c>
      <c r="Z111" s="45">
        <f>IF(AQ111="5",BJ111,0)</f>
      </c>
      <c r="AB111" s="45">
        <f>IF(AQ111="1",BH111,0)</f>
      </c>
      <c r="AC111" s="45">
        <f>IF(AQ111="1",BI111,0)</f>
      </c>
      <c r="AD111" s="45">
        <f>IF(AQ111="7",BH111,0)</f>
      </c>
      <c r="AE111" s="45">
        <f>IF(AQ111="7",BI111,0)</f>
      </c>
      <c r="AF111" s="45">
        <f>IF(AQ111="2",BH111,0)</f>
      </c>
      <c r="AG111" s="45">
        <f>IF(AQ111="2",BI111,0)</f>
      </c>
      <c r="AH111" s="45">
        <f>IF(AQ111="0",BJ111,0)</f>
      </c>
      <c r="AI111" s="28" t="s">
        <v>55</v>
      </c>
      <c r="AJ111" s="45">
        <f>IF(AN111=0,J111,0)</f>
      </c>
      <c r="AK111" s="45">
        <f>IF(AN111=12,J111,0)</f>
      </c>
      <c r="AL111" s="45">
        <f>IF(AN111=21,J111,0)</f>
      </c>
      <c r="AN111" s="45" t="n">
        <v>21</v>
      </c>
      <c r="AO111" s="45">
        <f>G111*0</f>
      </c>
      <c r="AP111" s="45">
        <f>G111*(1-0)</f>
      </c>
      <c r="AQ111" s="47" t="s">
        <v>357</v>
      </c>
      <c r="AV111" s="45">
        <f>AW111+AX111</f>
      </c>
      <c r="AW111" s="45">
        <f>F111*AO111</f>
      </c>
      <c r="AX111" s="45">
        <f>F111*AP111</f>
      </c>
      <c r="AY111" s="47" t="s">
        <v>364</v>
      </c>
      <c r="AZ111" s="47" t="s">
        <v>359</v>
      </c>
      <c r="BA111" s="28" t="s">
        <v>65</v>
      </c>
      <c r="BC111" s="45">
        <f>AW111+AX111</f>
      </c>
      <c r="BD111" s="45">
        <f>G111/(100-BE111)*100</f>
      </c>
      <c r="BE111" s="45" t="n">
        <v>0</v>
      </c>
      <c r="BF111" s="45">
        <f>111</f>
      </c>
      <c r="BH111" s="45">
        <f>F111*AO111</f>
      </c>
      <c r="BI111" s="45">
        <f>F111*AP111</f>
      </c>
      <c r="BJ111" s="45">
        <f>F111*G111</f>
      </c>
      <c r="BK111" s="45"/>
      <c r="BL111" s="45"/>
      <c r="BO111" s="45">
        <f>F111*G111</f>
      </c>
      <c r="BW111" s="45" t="n">
        <v>21</v>
      </c>
      <c r="BX111" s="14" t="s">
        <v>361</v>
      </c>
    </row>
    <row r="112">
      <c r="A112" s="48" t="s">
        <v>55</v>
      </c>
      <c r="B112" s="49" t="s">
        <v>365</v>
      </c>
      <c r="C112" s="50" t="s">
        <v>366</v>
      </c>
      <c r="D112" s="49"/>
      <c r="E112" s="51" t="s">
        <v>36</v>
      </c>
      <c r="F112" s="51" t="s">
        <v>36</v>
      </c>
      <c r="G112" s="51" t="s">
        <v>36</v>
      </c>
      <c r="H112" s="2">
        <f>SUM(H113:H113)</f>
      </c>
      <c r="I112" s="2">
        <f>SUM(I113:I113)</f>
      </c>
      <c r="J112" s="2">
        <f>SUM(J113:J113)</f>
      </c>
      <c r="K112" s="52" t="s">
        <v>55</v>
      </c>
      <c r="AI112" s="28" t="s">
        <v>55</v>
      </c>
      <c r="AS112" s="2">
        <f>SUM(AJ113:AJ113)</f>
      </c>
      <c r="AT112" s="2">
        <f>SUM(AK113:AK113)</f>
      </c>
      <c r="AU112" s="2">
        <f>SUM(AL113:AL113)</f>
      </c>
    </row>
    <row r="113">
      <c r="A113" s="53" t="s">
        <v>367</v>
      </c>
      <c r="B113" s="54" t="s">
        <v>368</v>
      </c>
      <c r="C113" s="55" t="s">
        <v>369</v>
      </c>
      <c r="D113" s="54"/>
      <c r="E113" s="54" t="s">
        <v>355</v>
      </c>
      <c r="F113" s="56" t="n">
        <v>1</v>
      </c>
      <c r="G113" s="56" t="n">
        <v>0</v>
      </c>
      <c r="H113" s="56">
        <f>F113*AO113</f>
      </c>
      <c r="I113" s="56">
        <f>F113*AP113</f>
      </c>
      <c r="J113" s="56">
        <f>F113*G113</f>
      </c>
      <c r="K113" s="57" t="s">
        <v>356</v>
      </c>
      <c r="Z113" s="45">
        <f>IF(AQ113="5",BJ113,0)</f>
      </c>
      <c r="AB113" s="45">
        <f>IF(AQ113="1",BH113,0)</f>
      </c>
      <c r="AC113" s="45">
        <f>IF(AQ113="1",BI113,0)</f>
      </c>
      <c r="AD113" s="45">
        <f>IF(AQ113="7",BH113,0)</f>
      </c>
      <c r="AE113" s="45">
        <f>IF(AQ113="7",BI113,0)</f>
      </c>
      <c r="AF113" s="45">
        <f>IF(AQ113="2",BH113,0)</f>
      </c>
      <c r="AG113" s="45">
        <f>IF(AQ113="2",BI113,0)</f>
      </c>
      <c r="AH113" s="45">
        <f>IF(AQ113="0",BJ113,0)</f>
      </c>
      <c r="AI113" s="28" t="s">
        <v>55</v>
      </c>
      <c r="AJ113" s="45">
        <f>IF(AN113=0,J113,0)</f>
      </c>
      <c r="AK113" s="45">
        <f>IF(AN113=12,J113,0)</f>
      </c>
      <c r="AL113" s="45">
        <f>IF(AN113=21,J113,0)</f>
      </c>
      <c r="AN113" s="45" t="n">
        <v>21</v>
      </c>
      <c r="AO113" s="45">
        <f>G113*0</f>
      </c>
      <c r="AP113" s="45">
        <f>G113*(1-0)</f>
      </c>
      <c r="AQ113" s="47" t="s">
        <v>357</v>
      </c>
      <c r="AV113" s="45">
        <f>AW113+AX113</f>
      </c>
      <c r="AW113" s="45">
        <f>F113*AO113</f>
      </c>
      <c r="AX113" s="45">
        <f>F113*AP113</f>
      </c>
      <c r="AY113" s="47" t="s">
        <v>370</v>
      </c>
      <c r="AZ113" s="47" t="s">
        <v>359</v>
      </c>
      <c r="BA113" s="28" t="s">
        <v>65</v>
      </c>
      <c r="BC113" s="45">
        <f>AW113+AX113</f>
      </c>
      <c r="BD113" s="45">
        <f>G113/(100-BE113)*100</f>
      </c>
      <c r="BE113" s="45" t="n">
        <v>0</v>
      </c>
      <c r="BF113" s="45">
        <f>113</f>
      </c>
      <c r="BH113" s="45">
        <f>F113*AO113</f>
      </c>
      <c r="BI113" s="45">
        <f>F113*AP113</f>
      </c>
      <c r="BJ113" s="45">
        <f>F113*G113</f>
      </c>
      <c r="BK113" s="45"/>
      <c r="BL113" s="45"/>
      <c r="BR113" s="45">
        <f>F113*G113</f>
      </c>
      <c r="BW113" s="45" t="n">
        <v>21</v>
      </c>
      <c r="BX113" s="14" t="s">
        <v>369</v>
      </c>
    </row>
    <row r="114">
      <c r="H114" s="58" t="s">
        <v>371</v>
      </c>
      <c r="I114" s="58"/>
      <c r="J114" s="59">
        <f>ROUND(J12+J17+J19+J23+J25+J28+J31+J35+J38+J41+J44+J46+J48+J51+J64+J67+J69+J71+J73+J108+J110+J112,-1)</f>
      </c>
    </row>
    <row r="115">
      <c r="A115" s="60" t="s">
        <v>372</v>
      </c>
    </row>
    <row r="116" customHeight="true" ht="12.75">
      <c r="A116" s="14" t="s">
        <v>55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</sheetData>
  <mergeCells>
    <mergeCell ref="A1:K1"/>
    <mergeCell ref="A2:B3"/>
    <mergeCell ref="A4:B5"/>
    <mergeCell ref="A6:B7"/>
    <mergeCell ref="A8:B9"/>
    <mergeCell ref="E2:F3"/>
    <mergeCell ref="E4:F5"/>
    <mergeCell ref="E6:F7"/>
    <mergeCell ref="E8:F9"/>
    <mergeCell ref="H2:H3"/>
    <mergeCell ref="H4:H5"/>
    <mergeCell ref="H6:H7"/>
    <mergeCell ref="H8:H9"/>
    <mergeCell ref="C2:D3"/>
    <mergeCell ref="C4:D5"/>
    <mergeCell ref="C6:D7"/>
    <mergeCell ref="C8:D9"/>
    <mergeCell ref="G2:G3"/>
    <mergeCell ref="G4:G5"/>
    <mergeCell ref="G6:G7"/>
    <mergeCell ref="G8:G9"/>
    <mergeCell ref="I2:K3"/>
    <mergeCell ref="I4:K5"/>
    <mergeCell ref="I6:K7"/>
    <mergeCell ref="I8:K9"/>
    <mergeCell ref="C10:D10"/>
    <mergeCell ref="C11:D11"/>
    <mergeCell ref="H10:J10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H114:I114"/>
    <mergeCell ref="A116:K116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H171"/>
  <sheetViews>
    <sheetView workbookViewId="0" showZeros="true" showFormulas="false" showGridLines="true" showRowColHeaders="true">
      <selection sqref="A171:G171" activeCell="A171"/>
    </sheetView>
  </sheetViews>
  <sheetFormatPr defaultColWidth="12.140625" customHeight="true" defaultRowHeight="15"/>
  <cols>
    <col max="2" min="1" style="0" width="9.140625" customWidth="true"/>
    <col max="3" min="3" style="0" width="14.28515625" customWidth="true"/>
    <col max="4" min="4" style="0" width="42.85546875" customWidth="true"/>
    <col max="5" min="5" style="0" width="47.85546875" customWidth="true"/>
    <col max="6" min="6" style="0" width="24.140625" customWidth="true"/>
    <col max="7" min="7" style="0" width="15.7109375" customWidth="true"/>
    <col max="8" min="8" style="0" width="19.99609375" customWidth="true"/>
  </cols>
  <sheetData>
    <row r="1" customHeight="true" ht="54.75">
      <c r="A1" s="1" t="s">
        <v>373</v>
      </c>
      <c r="B1" s="1"/>
      <c r="C1" s="1"/>
      <c r="D1" s="1"/>
      <c r="E1" s="1"/>
      <c r="F1" s="1"/>
      <c r="G1" s="1"/>
      <c r="H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8"/>
    </row>
    <row r="3" customHeight="true" ht="15">
      <c r="A3" s="9"/>
      <c r="B3" s="10"/>
      <c r="C3" s="11"/>
      <c r="D3" s="11"/>
      <c r="E3" s="10"/>
      <c r="F3" s="10"/>
      <c r="G3" s="10"/>
      <c r="H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2"/>
    </row>
    <row r="5" customHeight="true" ht="15">
      <c r="A5" s="9"/>
      <c r="B5" s="10"/>
      <c r="C5" s="10"/>
      <c r="D5" s="10"/>
      <c r="E5" s="10"/>
      <c r="F5" s="10"/>
      <c r="G5" s="10"/>
      <c r="H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2"/>
    </row>
    <row r="7" customHeight="true" ht="15">
      <c r="A7" s="9"/>
      <c r="B7" s="10"/>
      <c r="C7" s="10"/>
      <c r="D7" s="10"/>
      <c r="E7" s="10"/>
      <c r="F7" s="10"/>
      <c r="G7" s="10"/>
      <c r="H7" s="12"/>
    </row>
    <row r="8">
      <c r="A8" s="13" t="s">
        <v>23</v>
      </c>
      <c r="B8" s="10"/>
      <c r="C8" s="14">
        <f>'Stavební rozpočet'!I8</f>
      </c>
      <c r="D8" s="10"/>
      <c r="E8" s="14" t="s">
        <v>21</v>
      </c>
      <c r="F8" s="14">
        <f>'Stavební rozpočet'!G8</f>
      </c>
      <c r="G8" s="10"/>
      <c r="H8" s="12"/>
    </row>
    <row r="9">
      <c r="A9" s="15"/>
      <c r="B9" s="16"/>
      <c r="C9" s="16"/>
      <c r="D9" s="16"/>
      <c r="E9" s="16"/>
      <c r="F9" s="16"/>
      <c r="G9" s="16"/>
      <c r="H9" s="17"/>
    </row>
    <row r="10">
      <c r="A10" s="61" t="s">
        <v>25</v>
      </c>
      <c r="B10" s="62" t="s">
        <v>374</v>
      </c>
      <c r="C10" s="62" t="s">
        <v>26</v>
      </c>
      <c r="D10" s="63" t="s">
        <v>27</v>
      </c>
      <c r="E10" s="64"/>
      <c r="F10" s="62" t="s">
        <v>28</v>
      </c>
      <c r="G10" s="65" t="s">
        <v>29</v>
      </c>
      <c r="H10" s="66" t="s">
        <v>375</v>
      </c>
    </row>
    <row r="11">
      <c r="A11" s="67" t="s">
        <v>58</v>
      </c>
      <c r="B11" s="68" t="s">
        <v>55</v>
      </c>
      <c r="C11" s="68" t="s">
        <v>59</v>
      </c>
      <c r="D11" s="68" t="s">
        <v>60</v>
      </c>
      <c r="E11" s="68"/>
      <c r="F11" s="68" t="s">
        <v>61</v>
      </c>
      <c r="G11" s="69" t="n">
        <v>8</v>
      </c>
      <c r="H11" s="70" t="n">
        <v>0</v>
      </c>
    </row>
    <row r="12">
      <c r="A12" s="71"/>
      <c r="D12" s="72" t="s">
        <v>93</v>
      </c>
      <c r="E12" s="72" t="s">
        <v>55</v>
      </c>
      <c r="F12" s="72"/>
      <c r="G12" s="73" t="n">
        <v>8</v>
      </c>
      <c r="H12" s="74"/>
    </row>
    <row r="13">
      <c r="A13" s="9" t="s">
        <v>66</v>
      </c>
      <c r="B13" s="10" t="s">
        <v>55</v>
      </c>
      <c r="C13" s="10" t="s">
        <v>67</v>
      </c>
      <c r="D13" s="10" t="s">
        <v>68</v>
      </c>
      <c r="E13" s="10"/>
      <c r="F13" s="10" t="s">
        <v>69</v>
      </c>
      <c r="G13" s="45" t="n">
        <v>3</v>
      </c>
      <c r="H13" s="75" t="n">
        <v>0</v>
      </c>
    </row>
    <row r="14">
      <c r="A14" s="71"/>
      <c r="D14" s="72" t="s">
        <v>70</v>
      </c>
      <c r="E14" s="72" t="s">
        <v>55</v>
      </c>
      <c r="F14" s="72"/>
      <c r="G14" s="73" t="n">
        <v>3</v>
      </c>
      <c r="H14" s="74"/>
    </row>
    <row r="15">
      <c r="A15" s="9" t="s">
        <v>70</v>
      </c>
      <c r="B15" s="10" t="s">
        <v>55</v>
      </c>
      <c r="C15" s="10" t="s">
        <v>71</v>
      </c>
      <c r="D15" s="10" t="s">
        <v>72</v>
      </c>
      <c r="E15" s="10"/>
      <c r="F15" s="10" t="s">
        <v>69</v>
      </c>
      <c r="G15" s="45" t="n">
        <v>3</v>
      </c>
      <c r="H15" s="75" t="n">
        <v>0</v>
      </c>
    </row>
    <row r="16">
      <c r="A16" s="71"/>
      <c r="D16" s="72" t="s">
        <v>70</v>
      </c>
      <c r="E16" s="72" t="s">
        <v>55</v>
      </c>
      <c r="F16" s="72"/>
      <c r="G16" s="73" t="n">
        <v>3</v>
      </c>
      <c r="H16" s="74"/>
    </row>
    <row r="17">
      <c r="A17" s="9" t="s">
        <v>73</v>
      </c>
      <c r="B17" s="10" t="s">
        <v>55</v>
      </c>
      <c r="C17" s="10" t="s">
        <v>74</v>
      </c>
      <c r="D17" s="10" t="s">
        <v>75</v>
      </c>
      <c r="E17" s="10"/>
      <c r="F17" s="10" t="s">
        <v>76</v>
      </c>
      <c r="G17" s="45" t="n">
        <v>2</v>
      </c>
      <c r="H17" s="75" t="n">
        <v>0</v>
      </c>
    </row>
    <row r="18">
      <c r="A18" s="71"/>
      <c r="D18" s="72" t="s">
        <v>376</v>
      </c>
      <c r="E18" s="72" t="s">
        <v>55</v>
      </c>
      <c r="F18" s="72"/>
      <c r="G18" s="73" t="n">
        <v>2</v>
      </c>
      <c r="H18" s="74"/>
    </row>
    <row r="19">
      <c r="A19" s="9" t="s">
        <v>79</v>
      </c>
      <c r="B19" s="10" t="s">
        <v>55</v>
      </c>
      <c r="C19" s="10" t="s">
        <v>80</v>
      </c>
      <c r="D19" s="10" t="s">
        <v>81</v>
      </c>
      <c r="E19" s="10"/>
      <c r="F19" s="10" t="s">
        <v>82</v>
      </c>
      <c r="G19" s="45" t="n">
        <v>6</v>
      </c>
      <c r="H19" s="75" t="n">
        <v>0</v>
      </c>
    </row>
    <row r="20">
      <c r="A20" s="71"/>
      <c r="D20" s="72" t="s">
        <v>377</v>
      </c>
      <c r="E20" s="72" t="s">
        <v>55</v>
      </c>
      <c r="F20" s="72"/>
      <c r="G20" s="73" t="n">
        <v>6</v>
      </c>
      <c r="H20" s="74"/>
    </row>
    <row r="21">
      <c r="A21" s="9" t="s">
        <v>86</v>
      </c>
      <c r="B21" s="10" t="s">
        <v>55</v>
      </c>
      <c r="C21" s="10" t="s">
        <v>87</v>
      </c>
      <c r="D21" s="10" t="s">
        <v>88</v>
      </c>
      <c r="E21" s="10"/>
      <c r="F21" s="10" t="s">
        <v>82</v>
      </c>
      <c r="G21" s="45" t="n">
        <v>21.12</v>
      </c>
      <c r="H21" s="75" t="n">
        <v>0</v>
      </c>
    </row>
    <row r="22">
      <c r="A22" s="71"/>
      <c r="D22" s="72" t="s">
        <v>378</v>
      </c>
      <c r="E22" s="72" t="s">
        <v>55</v>
      </c>
      <c r="F22" s="72"/>
      <c r="G22" s="73" t="n">
        <v>21.12</v>
      </c>
      <c r="H22" s="74"/>
    </row>
    <row r="23">
      <c r="A23" s="9" t="s">
        <v>90</v>
      </c>
      <c r="B23" s="10" t="s">
        <v>55</v>
      </c>
      <c r="C23" s="10" t="s">
        <v>91</v>
      </c>
      <c r="D23" s="10" t="s">
        <v>92</v>
      </c>
      <c r="E23" s="10"/>
      <c r="F23" s="10" t="s">
        <v>82</v>
      </c>
      <c r="G23" s="45" t="n">
        <v>31.68</v>
      </c>
      <c r="H23" s="75" t="n">
        <v>0</v>
      </c>
    </row>
    <row r="24">
      <c r="A24" s="71"/>
      <c r="D24" s="72" t="s">
        <v>379</v>
      </c>
      <c r="E24" s="72" t="s">
        <v>55</v>
      </c>
      <c r="F24" s="72"/>
      <c r="G24" s="73" t="n">
        <v>31.68</v>
      </c>
      <c r="H24" s="74"/>
    </row>
    <row r="25">
      <c r="A25" s="9" t="s">
        <v>93</v>
      </c>
      <c r="B25" s="10" t="s">
        <v>55</v>
      </c>
      <c r="C25" s="10" t="s">
        <v>94</v>
      </c>
      <c r="D25" s="10" t="s">
        <v>95</v>
      </c>
      <c r="E25" s="10"/>
      <c r="F25" s="10" t="s">
        <v>82</v>
      </c>
      <c r="G25" s="45" t="n">
        <v>4.5</v>
      </c>
      <c r="H25" s="75" t="n">
        <v>0</v>
      </c>
    </row>
    <row r="26">
      <c r="A26" s="71"/>
      <c r="D26" s="72" t="s">
        <v>380</v>
      </c>
      <c r="E26" s="72" t="s">
        <v>55</v>
      </c>
      <c r="F26" s="72"/>
      <c r="G26" s="73" t="n">
        <v>4.5</v>
      </c>
      <c r="H26" s="74"/>
    </row>
    <row r="27">
      <c r="A27" s="9" t="s">
        <v>98</v>
      </c>
      <c r="B27" s="10" t="s">
        <v>55</v>
      </c>
      <c r="C27" s="10" t="s">
        <v>99</v>
      </c>
      <c r="D27" s="10" t="s">
        <v>100</v>
      </c>
      <c r="E27" s="10"/>
      <c r="F27" s="10" t="s">
        <v>69</v>
      </c>
      <c r="G27" s="45" t="n">
        <v>1142</v>
      </c>
      <c r="H27" s="75" t="n">
        <v>0</v>
      </c>
    </row>
    <row r="28">
      <c r="A28" s="71"/>
      <c r="D28" s="72" t="s">
        <v>381</v>
      </c>
      <c r="E28" s="72" t="s">
        <v>55</v>
      </c>
      <c r="F28" s="72"/>
      <c r="G28" s="73" t="n">
        <v>1142</v>
      </c>
      <c r="H28" s="74"/>
    </row>
    <row r="29">
      <c r="A29" s="9" t="s">
        <v>104</v>
      </c>
      <c r="B29" s="10" t="s">
        <v>55</v>
      </c>
      <c r="C29" s="10" t="s">
        <v>105</v>
      </c>
      <c r="D29" s="10" t="s">
        <v>106</v>
      </c>
      <c r="E29" s="10"/>
      <c r="F29" s="10" t="s">
        <v>82</v>
      </c>
      <c r="G29" s="45" t="n">
        <v>0.3</v>
      </c>
      <c r="H29" s="75" t="n">
        <v>0</v>
      </c>
    </row>
    <row r="30">
      <c r="A30" s="71"/>
      <c r="D30" s="72" t="s">
        <v>382</v>
      </c>
      <c r="E30" s="72" t="s">
        <v>55</v>
      </c>
      <c r="F30" s="72"/>
      <c r="G30" s="73" t="n">
        <v>0.3</v>
      </c>
      <c r="H30" s="74"/>
    </row>
    <row r="31">
      <c r="A31" s="9" t="s">
        <v>56</v>
      </c>
      <c r="B31" s="10" t="s">
        <v>55</v>
      </c>
      <c r="C31" s="10" t="s">
        <v>108</v>
      </c>
      <c r="D31" s="10" t="s">
        <v>109</v>
      </c>
      <c r="E31" s="10"/>
      <c r="F31" s="10" t="s">
        <v>110</v>
      </c>
      <c r="G31" s="45" t="n">
        <v>0.75</v>
      </c>
      <c r="H31" s="75" t="n">
        <v>0</v>
      </c>
    </row>
    <row r="32">
      <c r="A32" s="71"/>
      <c r="D32" s="72" t="s">
        <v>383</v>
      </c>
      <c r="E32" s="72" t="s">
        <v>55</v>
      </c>
      <c r="F32" s="72"/>
      <c r="G32" s="73" t="n">
        <v>0.75</v>
      </c>
      <c r="H32" s="74"/>
    </row>
    <row r="33">
      <c r="A33" s="9" t="s">
        <v>77</v>
      </c>
      <c r="B33" s="10" t="s">
        <v>55</v>
      </c>
      <c r="C33" s="10" t="s">
        <v>113</v>
      </c>
      <c r="D33" s="10" t="s">
        <v>114</v>
      </c>
      <c r="E33" s="10"/>
      <c r="F33" s="10" t="s">
        <v>82</v>
      </c>
      <c r="G33" s="45" t="n">
        <v>48.6</v>
      </c>
      <c r="H33" s="75" t="n">
        <v>0</v>
      </c>
    </row>
    <row r="34">
      <c r="A34" s="71"/>
      <c r="D34" s="72" t="s">
        <v>384</v>
      </c>
      <c r="E34" s="72" t="s">
        <v>55</v>
      </c>
      <c r="F34" s="72"/>
      <c r="G34" s="73" t="n">
        <v>48.6</v>
      </c>
      <c r="H34" s="74"/>
    </row>
    <row r="35">
      <c r="A35" s="9" t="s">
        <v>84</v>
      </c>
      <c r="B35" s="10" t="s">
        <v>55</v>
      </c>
      <c r="C35" s="10" t="s">
        <v>116</v>
      </c>
      <c r="D35" s="10" t="s">
        <v>117</v>
      </c>
      <c r="E35" s="10"/>
      <c r="F35" s="10" t="s">
        <v>82</v>
      </c>
      <c r="G35" s="45" t="n">
        <v>2.8</v>
      </c>
      <c r="H35" s="75" t="n">
        <v>0</v>
      </c>
    </row>
    <row r="36">
      <c r="A36" s="71"/>
      <c r="D36" s="72" t="s">
        <v>385</v>
      </c>
      <c r="E36" s="72" t="s">
        <v>55</v>
      </c>
      <c r="F36" s="72"/>
      <c r="G36" s="73" t="n">
        <v>2.8</v>
      </c>
      <c r="H36" s="74"/>
    </row>
    <row r="37">
      <c r="A37" s="9" t="s">
        <v>96</v>
      </c>
      <c r="B37" s="10" t="s">
        <v>55</v>
      </c>
      <c r="C37" s="10" t="s">
        <v>120</v>
      </c>
      <c r="D37" s="10" t="s">
        <v>121</v>
      </c>
      <c r="E37" s="10"/>
      <c r="F37" s="10" t="s">
        <v>76</v>
      </c>
      <c r="G37" s="45" t="n">
        <v>40</v>
      </c>
      <c r="H37" s="75" t="n">
        <v>0</v>
      </c>
    </row>
    <row r="38">
      <c r="A38" s="71"/>
      <c r="D38" s="72" t="s">
        <v>386</v>
      </c>
      <c r="E38" s="72" t="s">
        <v>55</v>
      </c>
      <c r="F38" s="72"/>
      <c r="G38" s="73" t="n">
        <v>40</v>
      </c>
      <c r="H38" s="74"/>
    </row>
    <row r="39">
      <c r="A39" s="9" t="s">
        <v>123</v>
      </c>
      <c r="B39" s="10" t="s">
        <v>55</v>
      </c>
      <c r="C39" s="10" t="s">
        <v>124</v>
      </c>
      <c r="D39" s="10" t="s">
        <v>125</v>
      </c>
      <c r="E39" s="10"/>
      <c r="F39" s="10" t="s">
        <v>76</v>
      </c>
      <c r="G39" s="45" t="n">
        <v>40</v>
      </c>
      <c r="H39" s="75" t="n">
        <v>0</v>
      </c>
    </row>
    <row r="40">
      <c r="A40" s="71"/>
      <c r="D40" s="72" t="s">
        <v>226</v>
      </c>
      <c r="E40" s="72" t="s">
        <v>55</v>
      </c>
      <c r="F40" s="72"/>
      <c r="G40" s="73" t="n">
        <v>40</v>
      </c>
      <c r="H40" s="74"/>
    </row>
    <row r="41">
      <c r="A41" s="9" t="s">
        <v>102</v>
      </c>
      <c r="B41" s="10" t="s">
        <v>55</v>
      </c>
      <c r="C41" s="10" t="s">
        <v>126</v>
      </c>
      <c r="D41" s="10" t="s">
        <v>127</v>
      </c>
      <c r="E41" s="10"/>
      <c r="F41" s="10" t="s">
        <v>76</v>
      </c>
      <c r="G41" s="45" t="n">
        <v>21</v>
      </c>
      <c r="H41" s="75" t="n">
        <v>0</v>
      </c>
    </row>
    <row r="42">
      <c r="A42" s="71"/>
      <c r="D42" s="72" t="s">
        <v>387</v>
      </c>
      <c r="E42" s="72" t="s">
        <v>55</v>
      </c>
      <c r="F42" s="72"/>
      <c r="G42" s="73" t="n">
        <v>21</v>
      </c>
      <c r="H42" s="74"/>
    </row>
    <row r="43">
      <c r="A43" s="9" t="s">
        <v>111</v>
      </c>
      <c r="B43" s="10" t="s">
        <v>55</v>
      </c>
      <c r="C43" s="10" t="s">
        <v>130</v>
      </c>
      <c r="D43" s="10" t="s">
        <v>131</v>
      </c>
      <c r="E43" s="10"/>
      <c r="F43" s="10" t="s">
        <v>82</v>
      </c>
      <c r="G43" s="45" t="n">
        <v>1.4</v>
      </c>
      <c r="H43" s="75" t="n">
        <v>0</v>
      </c>
    </row>
    <row r="44">
      <c r="A44" s="71"/>
      <c r="D44" s="72" t="s">
        <v>388</v>
      </c>
      <c r="E44" s="72" t="s">
        <v>55</v>
      </c>
      <c r="F44" s="72"/>
      <c r="G44" s="73" t="n">
        <v>1.4</v>
      </c>
      <c r="H44" s="74"/>
    </row>
    <row r="45">
      <c r="A45" s="9" t="s">
        <v>118</v>
      </c>
      <c r="B45" s="10" t="s">
        <v>55</v>
      </c>
      <c r="C45" s="10" t="s">
        <v>134</v>
      </c>
      <c r="D45" s="10" t="s">
        <v>135</v>
      </c>
      <c r="E45" s="10"/>
      <c r="F45" s="10" t="s">
        <v>82</v>
      </c>
      <c r="G45" s="45" t="n">
        <v>1.01</v>
      </c>
      <c r="H45" s="75" t="n">
        <v>0</v>
      </c>
    </row>
    <row r="46">
      <c r="A46" s="71"/>
      <c r="D46" s="72" t="s">
        <v>389</v>
      </c>
      <c r="E46" s="72" t="s">
        <v>55</v>
      </c>
      <c r="F46" s="72"/>
      <c r="G46" s="73" t="n">
        <v>1.01</v>
      </c>
      <c r="H46" s="74"/>
    </row>
    <row r="47">
      <c r="A47" s="9" t="s">
        <v>138</v>
      </c>
      <c r="B47" s="10" t="s">
        <v>55</v>
      </c>
      <c r="C47" s="10" t="s">
        <v>139</v>
      </c>
      <c r="D47" s="10" t="s">
        <v>140</v>
      </c>
      <c r="E47" s="10"/>
      <c r="F47" s="10" t="s">
        <v>76</v>
      </c>
      <c r="G47" s="45" t="n">
        <v>2</v>
      </c>
      <c r="H47" s="75" t="n">
        <v>0</v>
      </c>
    </row>
    <row r="48">
      <c r="A48" s="71"/>
      <c r="D48" s="72" t="s">
        <v>66</v>
      </c>
      <c r="E48" s="72" t="s">
        <v>55</v>
      </c>
      <c r="F48" s="72"/>
      <c r="G48" s="73" t="n">
        <v>2</v>
      </c>
      <c r="H48" s="74"/>
    </row>
    <row r="49">
      <c r="A49" s="9" t="s">
        <v>143</v>
      </c>
      <c r="B49" s="10" t="s">
        <v>55</v>
      </c>
      <c r="C49" s="10" t="s">
        <v>144</v>
      </c>
      <c r="D49" s="10" t="s">
        <v>145</v>
      </c>
      <c r="E49" s="10"/>
      <c r="F49" s="10" t="s">
        <v>76</v>
      </c>
      <c r="G49" s="45" t="n">
        <v>2</v>
      </c>
      <c r="H49" s="75" t="n">
        <v>0</v>
      </c>
    </row>
    <row r="50">
      <c r="A50" s="71"/>
      <c r="D50" s="72" t="s">
        <v>66</v>
      </c>
      <c r="E50" s="72" t="s">
        <v>55</v>
      </c>
      <c r="F50" s="72"/>
      <c r="G50" s="73" t="n">
        <v>2</v>
      </c>
      <c r="H50" s="74"/>
    </row>
    <row r="51">
      <c r="A51" s="9" t="s">
        <v>148</v>
      </c>
      <c r="B51" s="10" t="s">
        <v>55</v>
      </c>
      <c r="C51" s="10" t="s">
        <v>149</v>
      </c>
      <c r="D51" s="10" t="s">
        <v>150</v>
      </c>
      <c r="E51" s="10"/>
      <c r="F51" s="10" t="s">
        <v>76</v>
      </c>
      <c r="G51" s="45" t="n">
        <v>3</v>
      </c>
      <c r="H51" s="75" t="n">
        <v>0</v>
      </c>
    </row>
    <row r="52">
      <c r="A52" s="71"/>
      <c r="D52" s="72" t="s">
        <v>390</v>
      </c>
      <c r="E52" s="72" t="s">
        <v>55</v>
      </c>
      <c r="F52" s="72"/>
      <c r="G52" s="73" t="n">
        <v>3</v>
      </c>
      <c r="H52" s="74"/>
    </row>
    <row r="53">
      <c r="A53" s="9" t="s">
        <v>152</v>
      </c>
      <c r="B53" s="10" t="s">
        <v>55</v>
      </c>
      <c r="C53" s="10" t="s">
        <v>153</v>
      </c>
      <c r="D53" s="10" t="s">
        <v>154</v>
      </c>
      <c r="E53" s="10"/>
      <c r="F53" s="10" t="s">
        <v>76</v>
      </c>
      <c r="G53" s="45" t="n">
        <v>2</v>
      </c>
      <c r="H53" s="75" t="n">
        <v>0</v>
      </c>
    </row>
    <row r="54">
      <c r="A54" s="71"/>
      <c r="D54" s="72" t="s">
        <v>66</v>
      </c>
      <c r="E54" s="72" t="s">
        <v>55</v>
      </c>
      <c r="F54" s="72"/>
      <c r="G54" s="73" t="n">
        <v>2</v>
      </c>
      <c r="H54" s="74"/>
    </row>
    <row r="55">
      <c r="A55" s="9" t="s">
        <v>157</v>
      </c>
      <c r="B55" s="10" t="s">
        <v>55</v>
      </c>
      <c r="C55" s="10" t="s">
        <v>158</v>
      </c>
      <c r="D55" s="10" t="s">
        <v>159</v>
      </c>
      <c r="E55" s="10"/>
      <c r="F55" s="10" t="s">
        <v>160</v>
      </c>
      <c r="G55" s="45" t="n">
        <v>1</v>
      </c>
      <c r="H55" s="75" t="n">
        <v>0</v>
      </c>
    </row>
    <row r="56">
      <c r="A56" s="71"/>
      <c r="D56" s="72" t="s">
        <v>58</v>
      </c>
      <c r="E56" s="72" t="s">
        <v>55</v>
      </c>
      <c r="F56" s="72"/>
      <c r="G56" s="73" t="n">
        <v>1</v>
      </c>
      <c r="H56" s="74"/>
    </row>
    <row r="57">
      <c r="A57" s="9" t="s">
        <v>165</v>
      </c>
      <c r="B57" s="10" t="s">
        <v>55</v>
      </c>
      <c r="C57" s="10" t="s">
        <v>166</v>
      </c>
      <c r="D57" s="10" t="s">
        <v>167</v>
      </c>
      <c r="E57" s="10"/>
      <c r="F57" s="10" t="s">
        <v>160</v>
      </c>
      <c r="G57" s="45" t="n">
        <v>1</v>
      </c>
      <c r="H57" s="75" t="n">
        <v>0</v>
      </c>
    </row>
    <row r="58">
      <c r="A58" s="71"/>
      <c r="D58" s="72" t="s">
        <v>58</v>
      </c>
      <c r="E58" s="72" t="s">
        <v>55</v>
      </c>
      <c r="F58" s="72"/>
      <c r="G58" s="73" t="n">
        <v>1</v>
      </c>
      <c r="H58" s="74"/>
    </row>
    <row r="59">
      <c r="A59" s="9" t="s">
        <v>172</v>
      </c>
      <c r="B59" s="10" t="s">
        <v>55</v>
      </c>
      <c r="C59" s="10" t="s">
        <v>173</v>
      </c>
      <c r="D59" s="10" t="s">
        <v>174</v>
      </c>
      <c r="E59" s="10"/>
      <c r="F59" s="10" t="s">
        <v>160</v>
      </c>
      <c r="G59" s="45" t="n">
        <v>6</v>
      </c>
      <c r="H59" s="75" t="n">
        <v>0</v>
      </c>
    </row>
    <row r="60">
      <c r="A60" s="71"/>
      <c r="D60" s="72" t="s">
        <v>86</v>
      </c>
      <c r="E60" s="72" t="s">
        <v>55</v>
      </c>
      <c r="F60" s="72"/>
      <c r="G60" s="73" t="n">
        <v>6</v>
      </c>
      <c r="H60" s="74"/>
    </row>
    <row r="61">
      <c r="A61" s="9" t="s">
        <v>177</v>
      </c>
      <c r="B61" s="10" t="s">
        <v>55</v>
      </c>
      <c r="C61" s="10" t="s">
        <v>178</v>
      </c>
      <c r="D61" s="10" t="s">
        <v>179</v>
      </c>
      <c r="E61" s="10"/>
      <c r="F61" s="10" t="s">
        <v>160</v>
      </c>
      <c r="G61" s="45" t="n">
        <v>3</v>
      </c>
      <c r="H61" s="75" t="n">
        <v>0</v>
      </c>
    </row>
    <row r="62">
      <c r="A62" s="71"/>
      <c r="D62" s="72" t="s">
        <v>70</v>
      </c>
      <c r="E62" s="72" t="s">
        <v>55</v>
      </c>
      <c r="F62" s="72"/>
      <c r="G62" s="73" t="n">
        <v>3</v>
      </c>
      <c r="H62" s="74"/>
    </row>
    <row r="63">
      <c r="A63" s="9" t="s">
        <v>182</v>
      </c>
      <c r="B63" s="10" t="s">
        <v>55</v>
      </c>
      <c r="C63" s="10" t="s">
        <v>183</v>
      </c>
      <c r="D63" s="10" t="s">
        <v>184</v>
      </c>
      <c r="E63" s="10"/>
      <c r="F63" s="10" t="s">
        <v>160</v>
      </c>
      <c r="G63" s="45" t="n">
        <v>1</v>
      </c>
      <c r="H63" s="75" t="n">
        <v>0</v>
      </c>
    </row>
    <row r="64">
      <c r="A64" s="71"/>
      <c r="D64" s="72" t="s">
        <v>58</v>
      </c>
      <c r="E64" s="72" t="s">
        <v>55</v>
      </c>
      <c r="F64" s="72"/>
      <c r="G64" s="73" t="n">
        <v>1</v>
      </c>
      <c r="H64" s="74"/>
    </row>
    <row r="65">
      <c r="A65" s="9" t="s">
        <v>186</v>
      </c>
      <c r="B65" s="10" t="s">
        <v>55</v>
      </c>
      <c r="C65" s="10" t="s">
        <v>187</v>
      </c>
      <c r="D65" s="10" t="s">
        <v>188</v>
      </c>
      <c r="E65" s="10"/>
      <c r="F65" s="10" t="s">
        <v>160</v>
      </c>
      <c r="G65" s="45" t="n">
        <v>1</v>
      </c>
      <c r="H65" s="75" t="n">
        <v>0</v>
      </c>
    </row>
    <row r="66">
      <c r="A66" s="71"/>
      <c r="D66" s="72" t="s">
        <v>58</v>
      </c>
      <c r="E66" s="72" t="s">
        <v>55</v>
      </c>
      <c r="F66" s="72"/>
      <c r="G66" s="73" t="n">
        <v>1</v>
      </c>
      <c r="H66" s="74"/>
    </row>
    <row r="67">
      <c r="A67" s="9" t="s">
        <v>189</v>
      </c>
      <c r="B67" s="10" t="s">
        <v>55</v>
      </c>
      <c r="C67" s="10" t="s">
        <v>190</v>
      </c>
      <c r="D67" s="10" t="s">
        <v>191</v>
      </c>
      <c r="E67" s="10"/>
      <c r="F67" s="10" t="s">
        <v>160</v>
      </c>
      <c r="G67" s="45" t="n">
        <v>3</v>
      </c>
      <c r="H67" s="75" t="n">
        <v>0</v>
      </c>
    </row>
    <row r="68">
      <c r="A68" s="71"/>
      <c r="D68" s="72" t="s">
        <v>70</v>
      </c>
      <c r="E68" s="72" t="s">
        <v>55</v>
      </c>
      <c r="F68" s="72"/>
      <c r="G68" s="73" t="n">
        <v>3</v>
      </c>
      <c r="H68" s="74"/>
    </row>
    <row r="69">
      <c r="A69" s="9" t="s">
        <v>192</v>
      </c>
      <c r="B69" s="10" t="s">
        <v>55</v>
      </c>
      <c r="C69" s="10" t="s">
        <v>193</v>
      </c>
      <c r="D69" s="10" t="s">
        <v>194</v>
      </c>
      <c r="E69" s="10"/>
      <c r="F69" s="10" t="s">
        <v>160</v>
      </c>
      <c r="G69" s="45" t="n">
        <v>3</v>
      </c>
      <c r="H69" s="75" t="n">
        <v>0</v>
      </c>
    </row>
    <row r="70">
      <c r="A70" s="71"/>
      <c r="D70" s="72" t="s">
        <v>391</v>
      </c>
      <c r="E70" s="72" t="s">
        <v>55</v>
      </c>
      <c r="F70" s="72"/>
      <c r="G70" s="73" t="n">
        <v>3</v>
      </c>
      <c r="H70" s="74"/>
    </row>
    <row r="71">
      <c r="A71" s="9" t="s">
        <v>195</v>
      </c>
      <c r="B71" s="10" t="s">
        <v>55</v>
      </c>
      <c r="C71" s="10" t="s">
        <v>196</v>
      </c>
      <c r="D71" s="10" t="s">
        <v>197</v>
      </c>
      <c r="E71" s="10"/>
      <c r="F71" s="10" t="s">
        <v>160</v>
      </c>
      <c r="G71" s="45" t="n">
        <v>3</v>
      </c>
      <c r="H71" s="75" t="n">
        <v>0</v>
      </c>
    </row>
    <row r="72">
      <c r="A72" s="71"/>
      <c r="D72" s="72" t="s">
        <v>70</v>
      </c>
      <c r="E72" s="72" t="s">
        <v>55</v>
      </c>
      <c r="F72" s="72"/>
      <c r="G72" s="73" t="n">
        <v>3</v>
      </c>
      <c r="H72" s="74"/>
    </row>
    <row r="73">
      <c r="A73" s="9" t="s">
        <v>198</v>
      </c>
      <c r="B73" s="10" t="s">
        <v>55</v>
      </c>
      <c r="C73" s="10" t="s">
        <v>199</v>
      </c>
      <c r="D73" s="10" t="s">
        <v>200</v>
      </c>
      <c r="E73" s="10"/>
      <c r="F73" s="10" t="s">
        <v>160</v>
      </c>
      <c r="G73" s="45" t="n">
        <v>3</v>
      </c>
      <c r="H73" s="75" t="n">
        <v>0</v>
      </c>
    </row>
    <row r="74">
      <c r="A74" s="71"/>
      <c r="D74" s="72" t="s">
        <v>391</v>
      </c>
      <c r="E74" s="72" t="s">
        <v>55</v>
      </c>
      <c r="F74" s="72"/>
      <c r="G74" s="73" t="n">
        <v>3</v>
      </c>
      <c r="H74" s="74"/>
    </row>
    <row r="75">
      <c r="A75" s="9" t="s">
        <v>201</v>
      </c>
      <c r="B75" s="10" t="s">
        <v>55</v>
      </c>
      <c r="C75" s="10" t="s">
        <v>202</v>
      </c>
      <c r="D75" s="10" t="s">
        <v>203</v>
      </c>
      <c r="E75" s="10"/>
      <c r="F75" s="10" t="s">
        <v>69</v>
      </c>
      <c r="G75" s="45" t="n">
        <v>1142</v>
      </c>
      <c r="H75" s="75" t="n">
        <v>0</v>
      </c>
    </row>
    <row r="76">
      <c r="A76" s="71"/>
      <c r="D76" s="72" t="s">
        <v>381</v>
      </c>
      <c r="E76" s="72" t="s">
        <v>55</v>
      </c>
      <c r="F76" s="72"/>
      <c r="G76" s="73" t="n">
        <v>1142</v>
      </c>
      <c r="H76" s="74"/>
    </row>
    <row r="77">
      <c r="A77" s="9" t="s">
        <v>204</v>
      </c>
      <c r="B77" s="10" t="s">
        <v>55</v>
      </c>
      <c r="C77" s="10" t="s">
        <v>205</v>
      </c>
      <c r="D77" s="10" t="s">
        <v>206</v>
      </c>
      <c r="E77" s="10"/>
      <c r="F77" s="10" t="s">
        <v>69</v>
      </c>
      <c r="G77" s="45" t="n">
        <v>1142</v>
      </c>
      <c r="H77" s="75" t="n">
        <v>0</v>
      </c>
    </row>
    <row r="78">
      <c r="A78" s="71"/>
      <c r="D78" s="72" t="s">
        <v>381</v>
      </c>
      <c r="E78" s="72" t="s">
        <v>55</v>
      </c>
      <c r="F78" s="72"/>
      <c r="G78" s="73" t="n">
        <v>1142</v>
      </c>
      <c r="H78" s="74"/>
    </row>
    <row r="79">
      <c r="A79" s="9" t="s">
        <v>207</v>
      </c>
      <c r="B79" s="10" t="s">
        <v>55</v>
      </c>
      <c r="C79" s="10" t="s">
        <v>208</v>
      </c>
      <c r="D79" s="10" t="s">
        <v>209</v>
      </c>
      <c r="E79" s="10"/>
      <c r="F79" s="10" t="s">
        <v>160</v>
      </c>
      <c r="G79" s="45" t="n">
        <v>1</v>
      </c>
      <c r="H79" s="75" t="n">
        <v>0</v>
      </c>
    </row>
    <row r="80">
      <c r="A80" s="71"/>
      <c r="D80" s="72" t="s">
        <v>58</v>
      </c>
      <c r="E80" s="72" t="s">
        <v>55</v>
      </c>
      <c r="F80" s="72"/>
      <c r="G80" s="73" t="n">
        <v>1</v>
      </c>
      <c r="H80" s="74"/>
    </row>
    <row r="81">
      <c r="A81" s="9" t="s">
        <v>210</v>
      </c>
      <c r="B81" s="10" t="s">
        <v>55</v>
      </c>
      <c r="C81" s="10" t="s">
        <v>211</v>
      </c>
      <c r="D81" s="10" t="s">
        <v>212</v>
      </c>
      <c r="E81" s="10"/>
      <c r="F81" s="10" t="s">
        <v>160</v>
      </c>
      <c r="G81" s="45" t="n">
        <v>1</v>
      </c>
      <c r="H81" s="75" t="n">
        <v>0</v>
      </c>
    </row>
    <row r="82">
      <c r="A82" s="71"/>
      <c r="D82" s="72" t="s">
        <v>58</v>
      </c>
      <c r="E82" s="72" t="s">
        <v>55</v>
      </c>
      <c r="F82" s="72"/>
      <c r="G82" s="73" t="n">
        <v>1</v>
      </c>
      <c r="H82" s="74"/>
    </row>
    <row r="83">
      <c r="A83" s="9" t="s">
        <v>213</v>
      </c>
      <c r="B83" s="10" t="s">
        <v>55</v>
      </c>
      <c r="C83" s="10" t="s">
        <v>214</v>
      </c>
      <c r="D83" s="10" t="s">
        <v>215</v>
      </c>
      <c r="E83" s="10"/>
      <c r="F83" s="10" t="s">
        <v>160</v>
      </c>
      <c r="G83" s="45" t="n">
        <v>4</v>
      </c>
      <c r="H83" s="75" t="n">
        <v>0</v>
      </c>
    </row>
    <row r="84">
      <c r="A84" s="71"/>
      <c r="D84" s="72" t="s">
        <v>73</v>
      </c>
      <c r="E84" s="72" t="s">
        <v>55</v>
      </c>
      <c r="F84" s="72"/>
      <c r="G84" s="73" t="n">
        <v>4</v>
      </c>
      <c r="H84" s="74"/>
    </row>
    <row r="85">
      <c r="A85" s="9" t="s">
        <v>216</v>
      </c>
      <c r="B85" s="10" t="s">
        <v>55</v>
      </c>
      <c r="C85" s="10" t="s">
        <v>217</v>
      </c>
      <c r="D85" s="10" t="s">
        <v>218</v>
      </c>
      <c r="E85" s="10"/>
      <c r="F85" s="10" t="s">
        <v>69</v>
      </c>
      <c r="G85" s="45" t="n">
        <v>1200</v>
      </c>
      <c r="H85" s="75" t="n">
        <v>0</v>
      </c>
    </row>
    <row r="86">
      <c r="A86" s="71"/>
      <c r="D86" s="72" t="s">
        <v>392</v>
      </c>
      <c r="E86" s="72" t="s">
        <v>55</v>
      </c>
      <c r="F86" s="72"/>
      <c r="G86" s="73" t="n">
        <v>1200</v>
      </c>
      <c r="H86" s="74"/>
    </row>
    <row r="87">
      <c r="A87" s="9" t="s">
        <v>221</v>
      </c>
      <c r="B87" s="10" t="s">
        <v>55</v>
      </c>
      <c r="C87" s="10" t="s">
        <v>222</v>
      </c>
      <c r="D87" s="10" t="s">
        <v>223</v>
      </c>
      <c r="E87" s="10"/>
      <c r="F87" s="10" t="s">
        <v>69</v>
      </c>
      <c r="G87" s="45" t="n">
        <v>3</v>
      </c>
      <c r="H87" s="75" t="n">
        <v>0</v>
      </c>
    </row>
    <row r="88">
      <c r="A88" s="71"/>
      <c r="D88" s="72" t="s">
        <v>70</v>
      </c>
      <c r="E88" s="72" t="s">
        <v>55</v>
      </c>
      <c r="F88" s="72"/>
      <c r="G88" s="73" t="n">
        <v>3</v>
      </c>
      <c r="H88" s="74"/>
    </row>
    <row r="89">
      <c r="A89" s="9" t="s">
        <v>226</v>
      </c>
      <c r="B89" s="10" t="s">
        <v>55</v>
      </c>
      <c r="C89" s="10" t="s">
        <v>227</v>
      </c>
      <c r="D89" s="10" t="s">
        <v>228</v>
      </c>
      <c r="E89" s="10"/>
      <c r="F89" s="10" t="s">
        <v>69</v>
      </c>
      <c r="G89" s="45" t="n">
        <v>3</v>
      </c>
      <c r="H89" s="75" t="n">
        <v>0</v>
      </c>
    </row>
    <row r="90">
      <c r="A90" s="71"/>
      <c r="D90" s="72" t="s">
        <v>70</v>
      </c>
      <c r="E90" s="72" t="s">
        <v>55</v>
      </c>
      <c r="F90" s="72"/>
      <c r="G90" s="73" t="n">
        <v>3</v>
      </c>
      <c r="H90" s="74"/>
    </row>
    <row r="91">
      <c r="A91" s="9" t="s">
        <v>231</v>
      </c>
      <c r="B91" s="10" t="s">
        <v>55</v>
      </c>
      <c r="C91" s="10" t="s">
        <v>232</v>
      </c>
      <c r="D91" s="10" t="s">
        <v>233</v>
      </c>
      <c r="E91" s="10"/>
      <c r="F91" s="10" t="s">
        <v>69</v>
      </c>
      <c r="G91" s="45" t="n">
        <v>2</v>
      </c>
      <c r="H91" s="75" t="n">
        <v>0</v>
      </c>
    </row>
    <row r="92">
      <c r="A92" s="71"/>
      <c r="D92" s="72" t="s">
        <v>66</v>
      </c>
      <c r="E92" s="72" t="s">
        <v>55</v>
      </c>
      <c r="F92" s="72"/>
      <c r="G92" s="73" t="n">
        <v>2</v>
      </c>
      <c r="H92" s="74"/>
    </row>
    <row r="93">
      <c r="A93" s="9" t="s">
        <v>237</v>
      </c>
      <c r="B93" s="10" t="s">
        <v>55</v>
      </c>
      <c r="C93" s="10" t="s">
        <v>238</v>
      </c>
      <c r="D93" s="10" t="s">
        <v>239</v>
      </c>
      <c r="E93" s="10"/>
      <c r="F93" s="10" t="s">
        <v>69</v>
      </c>
      <c r="G93" s="45" t="n">
        <v>2</v>
      </c>
      <c r="H93" s="75" t="n">
        <v>0</v>
      </c>
    </row>
    <row r="94">
      <c r="A94" s="71"/>
      <c r="D94" s="72" t="s">
        <v>66</v>
      </c>
      <c r="E94" s="72" t="s">
        <v>55</v>
      </c>
      <c r="F94" s="72"/>
      <c r="G94" s="73" t="n">
        <v>2</v>
      </c>
      <c r="H94" s="74"/>
    </row>
    <row r="95">
      <c r="A95" s="9" t="s">
        <v>243</v>
      </c>
      <c r="B95" s="10" t="s">
        <v>55</v>
      </c>
      <c r="C95" s="10" t="s">
        <v>244</v>
      </c>
      <c r="D95" s="10" t="s">
        <v>245</v>
      </c>
      <c r="E95" s="10"/>
      <c r="F95" s="10" t="s">
        <v>160</v>
      </c>
      <c r="G95" s="45" t="n">
        <v>1</v>
      </c>
      <c r="H95" s="75" t="n">
        <v>0</v>
      </c>
    </row>
    <row r="96">
      <c r="A96" s="71"/>
      <c r="D96" s="72" t="s">
        <v>58</v>
      </c>
      <c r="E96" s="72" t="s">
        <v>55</v>
      </c>
      <c r="F96" s="72"/>
      <c r="G96" s="73" t="n">
        <v>1</v>
      </c>
      <c r="H96" s="74"/>
    </row>
    <row r="97">
      <c r="A97" s="9" t="s">
        <v>249</v>
      </c>
      <c r="B97" s="10" t="s">
        <v>55</v>
      </c>
      <c r="C97" s="10" t="s">
        <v>250</v>
      </c>
      <c r="D97" s="10" t="s">
        <v>251</v>
      </c>
      <c r="E97" s="10"/>
      <c r="F97" s="10" t="s">
        <v>69</v>
      </c>
      <c r="G97" s="45" t="n">
        <v>1142</v>
      </c>
      <c r="H97" s="75" t="n">
        <v>0</v>
      </c>
    </row>
    <row r="98">
      <c r="A98" s="71"/>
      <c r="D98" s="72" t="s">
        <v>381</v>
      </c>
      <c r="E98" s="72" t="s">
        <v>55</v>
      </c>
      <c r="F98" s="72"/>
      <c r="G98" s="73" t="n">
        <v>1142</v>
      </c>
      <c r="H98" s="74"/>
    </row>
    <row r="99">
      <c r="A99" s="9" t="s">
        <v>128</v>
      </c>
      <c r="B99" s="10" t="s">
        <v>55</v>
      </c>
      <c r="C99" s="10" t="s">
        <v>255</v>
      </c>
      <c r="D99" s="10" t="s">
        <v>256</v>
      </c>
      <c r="E99" s="10"/>
      <c r="F99" s="10" t="s">
        <v>160</v>
      </c>
      <c r="G99" s="45" t="n">
        <v>20</v>
      </c>
      <c r="H99" s="75" t="n">
        <v>0</v>
      </c>
    </row>
    <row r="100">
      <c r="A100" s="71"/>
      <c r="D100" s="72" t="s">
        <v>143</v>
      </c>
      <c r="E100" s="72" t="s">
        <v>55</v>
      </c>
      <c r="F100" s="72"/>
      <c r="G100" s="73" t="n">
        <v>20</v>
      </c>
      <c r="H100" s="74"/>
    </row>
    <row r="101">
      <c r="A101" s="9" t="s">
        <v>257</v>
      </c>
      <c r="B101" s="10" t="s">
        <v>55</v>
      </c>
      <c r="C101" s="10" t="s">
        <v>258</v>
      </c>
      <c r="D101" s="10" t="s">
        <v>259</v>
      </c>
      <c r="E101" s="10"/>
      <c r="F101" s="10" t="s">
        <v>160</v>
      </c>
      <c r="G101" s="45" t="n">
        <v>1</v>
      </c>
      <c r="H101" s="75" t="n">
        <v>0</v>
      </c>
    </row>
    <row r="102">
      <c r="A102" s="71"/>
      <c r="D102" s="72" t="s">
        <v>58</v>
      </c>
      <c r="E102" s="72" t="s">
        <v>55</v>
      </c>
      <c r="F102" s="72"/>
      <c r="G102" s="73" t="n">
        <v>1</v>
      </c>
      <c r="H102" s="74"/>
    </row>
    <row r="103">
      <c r="A103" s="9" t="s">
        <v>260</v>
      </c>
      <c r="B103" s="10" t="s">
        <v>55</v>
      </c>
      <c r="C103" s="10" t="s">
        <v>261</v>
      </c>
      <c r="D103" s="10" t="s">
        <v>262</v>
      </c>
      <c r="E103" s="10"/>
      <c r="F103" s="10" t="s">
        <v>160</v>
      </c>
      <c r="G103" s="45" t="n">
        <v>6</v>
      </c>
      <c r="H103" s="75" t="n">
        <v>0</v>
      </c>
    </row>
    <row r="104">
      <c r="A104" s="71"/>
      <c r="D104" s="72" t="s">
        <v>86</v>
      </c>
      <c r="E104" s="72" t="s">
        <v>55</v>
      </c>
      <c r="F104" s="72"/>
      <c r="G104" s="73" t="n">
        <v>6</v>
      </c>
      <c r="H104" s="74"/>
    </row>
    <row r="105">
      <c r="A105" s="9" t="s">
        <v>263</v>
      </c>
      <c r="B105" s="10" t="s">
        <v>55</v>
      </c>
      <c r="C105" s="10" t="s">
        <v>264</v>
      </c>
      <c r="D105" s="10" t="s">
        <v>265</v>
      </c>
      <c r="E105" s="10"/>
      <c r="F105" s="10" t="s">
        <v>160</v>
      </c>
      <c r="G105" s="45" t="n">
        <v>1</v>
      </c>
      <c r="H105" s="75" t="n">
        <v>0</v>
      </c>
    </row>
    <row r="106">
      <c r="A106" s="71"/>
      <c r="D106" s="72" t="s">
        <v>58</v>
      </c>
      <c r="E106" s="72" t="s">
        <v>55</v>
      </c>
      <c r="F106" s="72"/>
      <c r="G106" s="73" t="n">
        <v>1</v>
      </c>
      <c r="H106" s="74"/>
    </row>
    <row r="107">
      <c r="A107" s="9" t="s">
        <v>266</v>
      </c>
      <c r="B107" s="10" t="s">
        <v>55</v>
      </c>
      <c r="C107" s="10" t="s">
        <v>267</v>
      </c>
      <c r="D107" s="10" t="s">
        <v>268</v>
      </c>
      <c r="E107" s="10"/>
      <c r="F107" s="10" t="s">
        <v>160</v>
      </c>
      <c r="G107" s="45" t="n">
        <v>4</v>
      </c>
      <c r="H107" s="75" t="n">
        <v>0</v>
      </c>
    </row>
    <row r="108">
      <c r="A108" s="71"/>
      <c r="D108" s="72" t="s">
        <v>73</v>
      </c>
      <c r="E108" s="72" t="s">
        <v>55</v>
      </c>
      <c r="F108" s="72"/>
      <c r="G108" s="73" t="n">
        <v>4</v>
      </c>
      <c r="H108" s="74"/>
    </row>
    <row r="109">
      <c r="A109" s="9" t="s">
        <v>269</v>
      </c>
      <c r="B109" s="10" t="s">
        <v>55</v>
      </c>
      <c r="C109" s="10" t="s">
        <v>270</v>
      </c>
      <c r="D109" s="10" t="s">
        <v>271</v>
      </c>
      <c r="E109" s="10"/>
      <c r="F109" s="10" t="s">
        <v>160</v>
      </c>
      <c r="G109" s="45" t="n">
        <v>1</v>
      </c>
      <c r="H109" s="75" t="n">
        <v>0</v>
      </c>
    </row>
    <row r="110">
      <c r="A110" s="71"/>
      <c r="D110" s="72" t="s">
        <v>58</v>
      </c>
      <c r="E110" s="72" t="s">
        <v>55</v>
      </c>
      <c r="F110" s="72"/>
      <c r="G110" s="73" t="n">
        <v>1</v>
      </c>
      <c r="H110" s="74"/>
    </row>
    <row r="111">
      <c r="A111" s="9" t="s">
        <v>272</v>
      </c>
      <c r="B111" s="10" t="s">
        <v>55</v>
      </c>
      <c r="C111" s="10" t="s">
        <v>273</v>
      </c>
      <c r="D111" s="10" t="s">
        <v>274</v>
      </c>
      <c r="E111" s="10"/>
      <c r="F111" s="10" t="s">
        <v>160</v>
      </c>
      <c r="G111" s="45" t="n">
        <v>2</v>
      </c>
      <c r="H111" s="75" t="n">
        <v>0</v>
      </c>
    </row>
    <row r="112">
      <c r="A112" s="71"/>
      <c r="D112" s="72" t="s">
        <v>66</v>
      </c>
      <c r="E112" s="72" t="s">
        <v>55</v>
      </c>
      <c r="F112" s="72"/>
      <c r="G112" s="73" t="n">
        <v>2</v>
      </c>
      <c r="H112" s="74"/>
    </row>
    <row r="113">
      <c r="A113" s="9" t="s">
        <v>275</v>
      </c>
      <c r="B113" s="10" t="s">
        <v>55</v>
      </c>
      <c r="C113" s="10" t="s">
        <v>276</v>
      </c>
      <c r="D113" s="10" t="s">
        <v>277</v>
      </c>
      <c r="E113" s="10"/>
      <c r="F113" s="10" t="s">
        <v>160</v>
      </c>
      <c r="G113" s="45" t="n">
        <v>1</v>
      </c>
      <c r="H113" s="75" t="n">
        <v>0</v>
      </c>
    </row>
    <row r="114">
      <c r="A114" s="71"/>
      <c r="D114" s="72" t="s">
        <v>58</v>
      </c>
      <c r="E114" s="72" t="s">
        <v>55</v>
      </c>
      <c r="F114" s="72"/>
      <c r="G114" s="73" t="n">
        <v>1</v>
      </c>
      <c r="H114" s="74"/>
    </row>
    <row r="115">
      <c r="A115" s="9" t="s">
        <v>278</v>
      </c>
      <c r="B115" s="10" t="s">
        <v>55</v>
      </c>
      <c r="C115" s="10" t="s">
        <v>279</v>
      </c>
      <c r="D115" s="10" t="s">
        <v>280</v>
      </c>
      <c r="E115" s="10"/>
      <c r="F115" s="10" t="s">
        <v>160</v>
      </c>
      <c r="G115" s="45" t="n">
        <v>1</v>
      </c>
      <c r="H115" s="75" t="n">
        <v>0</v>
      </c>
    </row>
    <row r="116">
      <c r="A116" s="71"/>
      <c r="D116" s="72" t="s">
        <v>58</v>
      </c>
      <c r="E116" s="72" t="s">
        <v>55</v>
      </c>
      <c r="F116" s="72"/>
      <c r="G116" s="73" t="n">
        <v>1</v>
      </c>
      <c r="H116" s="74"/>
    </row>
    <row r="117">
      <c r="A117" s="9" t="s">
        <v>281</v>
      </c>
      <c r="B117" s="10" t="s">
        <v>55</v>
      </c>
      <c r="C117" s="10" t="s">
        <v>282</v>
      </c>
      <c r="D117" s="10" t="s">
        <v>283</v>
      </c>
      <c r="E117" s="10"/>
      <c r="F117" s="10" t="s">
        <v>160</v>
      </c>
      <c r="G117" s="45" t="n">
        <v>1</v>
      </c>
      <c r="H117" s="75" t="n">
        <v>0</v>
      </c>
    </row>
    <row r="118">
      <c r="A118" s="71"/>
      <c r="D118" s="72" t="s">
        <v>58</v>
      </c>
      <c r="E118" s="72" t="s">
        <v>55</v>
      </c>
      <c r="F118" s="72"/>
      <c r="G118" s="73" t="n">
        <v>1</v>
      </c>
      <c r="H118" s="74"/>
    </row>
    <row r="119">
      <c r="A119" s="9" t="s">
        <v>284</v>
      </c>
      <c r="B119" s="10" t="s">
        <v>55</v>
      </c>
      <c r="C119" s="10" t="s">
        <v>285</v>
      </c>
      <c r="D119" s="10" t="s">
        <v>286</v>
      </c>
      <c r="E119" s="10"/>
      <c r="F119" s="10" t="s">
        <v>160</v>
      </c>
      <c r="G119" s="45" t="n">
        <v>1</v>
      </c>
      <c r="H119" s="75" t="n">
        <v>0</v>
      </c>
    </row>
    <row r="120">
      <c r="A120" s="71"/>
      <c r="D120" s="72" t="s">
        <v>58</v>
      </c>
      <c r="E120" s="72" t="s">
        <v>55</v>
      </c>
      <c r="F120" s="72"/>
      <c r="G120" s="73" t="n">
        <v>1</v>
      </c>
      <c r="H120" s="74"/>
    </row>
    <row r="121">
      <c r="A121" s="9" t="s">
        <v>136</v>
      </c>
      <c r="B121" s="10" t="s">
        <v>55</v>
      </c>
      <c r="C121" s="10" t="s">
        <v>287</v>
      </c>
      <c r="D121" s="10" t="s">
        <v>288</v>
      </c>
      <c r="E121" s="10"/>
      <c r="F121" s="10" t="s">
        <v>160</v>
      </c>
      <c r="G121" s="45" t="n">
        <v>2</v>
      </c>
      <c r="H121" s="75" t="n">
        <v>0</v>
      </c>
    </row>
    <row r="122">
      <c r="A122" s="71"/>
      <c r="D122" s="72" t="s">
        <v>66</v>
      </c>
      <c r="E122" s="72" t="s">
        <v>55</v>
      </c>
      <c r="F122" s="72"/>
      <c r="G122" s="73" t="n">
        <v>2</v>
      </c>
      <c r="H122" s="74"/>
    </row>
    <row r="123">
      <c r="A123" s="9" t="s">
        <v>146</v>
      </c>
      <c r="B123" s="10" t="s">
        <v>55</v>
      </c>
      <c r="C123" s="10" t="s">
        <v>289</v>
      </c>
      <c r="D123" s="10" t="s">
        <v>290</v>
      </c>
      <c r="E123" s="10"/>
      <c r="F123" s="10" t="s">
        <v>160</v>
      </c>
      <c r="G123" s="45" t="n">
        <v>3</v>
      </c>
      <c r="H123" s="75" t="n">
        <v>0</v>
      </c>
    </row>
    <row r="124">
      <c r="A124" s="71"/>
      <c r="D124" s="72" t="s">
        <v>70</v>
      </c>
      <c r="E124" s="72" t="s">
        <v>55</v>
      </c>
      <c r="F124" s="72"/>
      <c r="G124" s="73" t="n">
        <v>3</v>
      </c>
      <c r="H124" s="74"/>
    </row>
    <row r="125">
      <c r="A125" s="9" t="s">
        <v>291</v>
      </c>
      <c r="B125" s="10" t="s">
        <v>55</v>
      </c>
      <c r="C125" s="10" t="s">
        <v>292</v>
      </c>
      <c r="D125" s="10" t="s">
        <v>293</v>
      </c>
      <c r="E125" s="10"/>
      <c r="F125" s="10" t="s">
        <v>160</v>
      </c>
      <c r="G125" s="45" t="n">
        <v>3</v>
      </c>
      <c r="H125" s="75" t="n">
        <v>0</v>
      </c>
    </row>
    <row r="126">
      <c r="A126" s="71"/>
      <c r="D126" s="72" t="s">
        <v>70</v>
      </c>
      <c r="E126" s="72" t="s">
        <v>55</v>
      </c>
      <c r="F126" s="72"/>
      <c r="G126" s="73" t="n">
        <v>3</v>
      </c>
      <c r="H126" s="74"/>
    </row>
    <row r="127">
      <c r="A127" s="9" t="s">
        <v>294</v>
      </c>
      <c r="B127" s="10" t="s">
        <v>55</v>
      </c>
      <c r="C127" s="10" t="s">
        <v>295</v>
      </c>
      <c r="D127" s="10" t="s">
        <v>296</v>
      </c>
      <c r="E127" s="10"/>
      <c r="F127" s="10" t="s">
        <v>160</v>
      </c>
      <c r="G127" s="45" t="n">
        <v>1</v>
      </c>
      <c r="H127" s="75" t="n">
        <v>0</v>
      </c>
    </row>
    <row r="128">
      <c r="A128" s="71"/>
      <c r="D128" s="72" t="s">
        <v>58</v>
      </c>
      <c r="E128" s="72" t="s">
        <v>55</v>
      </c>
      <c r="F128" s="72"/>
      <c r="G128" s="73" t="n">
        <v>1</v>
      </c>
      <c r="H128" s="74"/>
    </row>
    <row r="129">
      <c r="A129" s="9" t="s">
        <v>297</v>
      </c>
      <c r="B129" s="10" t="s">
        <v>55</v>
      </c>
      <c r="C129" s="10" t="s">
        <v>295</v>
      </c>
      <c r="D129" s="10" t="s">
        <v>298</v>
      </c>
      <c r="E129" s="10"/>
      <c r="F129" s="10" t="s">
        <v>160</v>
      </c>
      <c r="G129" s="45" t="n">
        <v>2</v>
      </c>
      <c r="H129" s="75" t="n">
        <v>0</v>
      </c>
    </row>
    <row r="130">
      <c r="A130" s="71"/>
      <c r="D130" s="72" t="s">
        <v>66</v>
      </c>
      <c r="E130" s="72" t="s">
        <v>55</v>
      </c>
      <c r="F130" s="72"/>
      <c r="G130" s="73" t="n">
        <v>2</v>
      </c>
      <c r="H130" s="74"/>
    </row>
    <row r="131">
      <c r="A131" s="9" t="s">
        <v>299</v>
      </c>
      <c r="B131" s="10" t="s">
        <v>55</v>
      </c>
      <c r="C131" s="10" t="s">
        <v>300</v>
      </c>
      <c r="D131" s="10" t="s">
        <v>301</v>
      </c>
      <c r="E131" s="10"/>
      <c r="F131" s="10" t="s">
        <v>160</v>
      </c>
      <c r="G131" s="45" t="n">
        <v>3</v>
      </c>
      <c r="H131" s="75" t="n">
        <v>0</v>
      </c>
    </row>
    <row r="132">
      <c r="A132" s="71"/>
      <c r="D132" s="72" t="s">
        <v>70</v>
      </c>
      <c r="E132" s="72" t="s">
        <v>55</v>
      </c>
      <c r="F132" s="72"/>
      <c r="G132" s="73" t="n">
        <v>3</v>
      </c>
      <c r="H132" s="74"/>
    </row>
    <row r="133">
      <c r="A133" s="9" t="s">
        <v>302</v>
      </c>
      <c r="B133" s="10" t="s">
        <v>55</v>
      </c>
      <c r="C133" s="10" t="s">
        <v>303</v>
      </c>
      <c r="D133" s="10" t="s">
        <v>304</v>
      </c>
      <c r="E133" s="10"/>
      <c r="F133" s="10" t="s">
        <v>160</v>
      </c>
      <c r="G133" s="45" t="n">
        <v>4</v>
      </c>
      <c r="H133" s="75" t="n">
        <v>0</v>
      </c>
    </row>
    <row r="134">
      <c r="A134" s="71"/>
      <c r="D134" s="72" t="s">
        <v>393</v>
      </c>
      <c r="E134" s="72" t="s">
        <v>55</v>
      </c>
      <c r="F134" s="72"/>
      <c r="G134" s="73" t="n">
        <v>4</v>
      </c>
      <c r="H134" s="74"/>
    </row>
    <row r="135">
      <c r="A135" s="9" t="s">
        <v>305</v>
      </c>
      <c r="B135" s="10" t="s">
        <v>55</v>
      </c>
      <c r="C135" s="10" t="s">
        <v>306</v>
      </c>
      <c r="D135" s="10" t="s">
        <v>307</v>
      </c>
      <c r="E135" s="10"/>
      <c r="F135" s="10" t="s">
        <v>160</v>
      </c>
      <c r="G135" s="45" t="n">
        <v>1</v>
      </c>
      <c r="H135" s="75" t="n">
        <v>0</v>
      </c>
    </row>
    <row r="136">
      <c r="A136" s="71"/>
      <c r="D136" s="72" t="s">
        <v>58</v>
      </c>
      <c r="E136" s="72" t="s">
        <v>55</v>
      </c>
      <c r="F136" s="72"/>
      <c r="G136" s="73" t="n">
        <v>1</v>
      </c>
      <c r="H136" s="74"/>
    </row>
    <row r="137">
      <c r="A137" s="9" t="s">
        <v>308</v>
      </c>
      <c r="B137" s="10" t="s">
        <v>55</v>
      </c>
      <c r="C137" s="10" t="s">
        <v>309</v>
      </c>
      <c r="D137" s="10" t="s">
        <v>310</v>
      </c>
      <c r="E137" s="10"/>
      <c r="F137" s="10" t="s">
        <v>160</v>
      </c>
      <c r="G137" s="45" t="n">
        <v>2</v>
      </c>
      <c r="H137" s="75" t="n">
        <v>0</v>
      </c>
    </row>
    <row r="138">
      <c r="A138" s="71"/>
      <c r="D138" s="72" t="s">
        <v>66</v>
      </c>
      <c r="E138" s="72" t="s">
        <v>55</v>
      </c>
      <c r="F138" s="72"/>
      <c r="G138" s="73" t="n">
        <v>2</v>
      </c>
      <c r="H138" s="74"/>
    </row>
    <row r="139">
      <c r="A139" s="9" t="s">
        <v>311</v>
      </c>
      <c r="B139" s="10" t="s">
        <v>55</v>
      </c>
      <c r="C139" s="10" t="s">
        <v>312</v>
      </c>
      <c r="D139" s="10" t="s">
        <v>313</v>
      </c>
      <c r="E139" s="10"/>
      <c r="F139" s="10" t="s">
        <v>160</v>
      </c>
      <c r="G139" s="45" t="n">
        <v>3</v>
      </c>
      <c r="H139" s="75" t="n">
        <v>0</v>
      </c>
    </row>
    <row r="140">
      <c r="A140" s="71"/>
      <c r="D140" s="72" t="s">
        <v>70</v>
      </c>
      <c r="E140" s="72" t="s">
        <v>55</v>
      </c>
      <c r="F140" s="72"/>
      <c r="G140" s="73" t="n">
        <v>3</v>
      </c>
      <c r="H140" s="74"/>
    </row>
    <row r="141">
      <c r="A141" s="9" t="s">
        <v>314</v>
      </c>
      <c r="B141" s="10" t="s">
        <v>55</v>
      </c>
      <c r="C141" s="10" t="s">
        <v>315</v>
      </c>
      <c r="D141" s="10" t="s">
        <v>316</v>
      </c>
      <c r="E141" s="10"/>
      <c r="F141" s="10" t="s">
        <v>160</v>
      </c>
      <c r="G141" s="45" t="n">
        <v>3</v>
      </c>
      <c r="H141" s="75" t="n">
        <v>0</v>
      </c>
    </row>
    <row r="142">
      <c r="A142" s="71"/>
      <c r="D142" s="72" t="s">
        <v>70</v>
      </c>
      <c r="E142" s="72" t="s">
        <v>55</v>
      </c>
      <c r="F142" s="72"/>
      <c r="G142" s="73" t="n">
        <v>3</v>
      </c>
      <c r="H142" s="74"/>
    </row>
    <row r="143">
      <c r="A143" s="9" t="s">
        <v>317</v>
      </c>
      <c r="B143" s="10" t="s">
        <v>55</v>
      </c>
      <c r="C143" s="10" t="s">
        <v>318</v>
      </c>
      <c r="D143" s="10" t="s">
        <v>319</v>
      </c>
      <c r="E143" s="10"/>
      <c r="F143" s="10" t="s">
        <v>160</v>
      </c>
      <c r="G143" s="45" t="n">
        <v>1</v>
      </c>
      <c r="H143" s="75" t="n">
        <v>0</v>
      </c>
    </row>
    <row r="144">
      <c r="A144" s="71"/>
      <c r="D144" s="72" t="s">
        <v>58</v>
      </c>
      <c r="E144" s="72" t="s">
        <v>55</v>
      </c>
      <c r="F144" s="72"/>
      <c r="G144" s="73" t="n">
        <v>1</v>
      </c>
      <c r="H144" s="74"/>
    </row>
    <row r="145">
      <c r="A145" s="9" t="s">
        <v>320</v>
      </c>
      <c r="B145" s="10" t="s">
        <v>55</v>
      </c>
      <c r="C145" s="10" t="s">
        <v>321</v>
      </c>
      <c r="D145" s="10" t="s">
        <v>322</v>
      </c>
      <c r="E145" s="10"/>
      <c r="F145" s="10" t="s">
        <v>160</v>
      </c>
      <c r="G145" s="45" t="n">
        <v>2</v>
      </c>
      <c r="H145" s="75" t="n">
        <v>0</v>
      </c>
    </row>
    <row r="146">
      <c r="A146" s="71"/>
      <c r="D146" s="72" t="s">
        <v>66</v>
      </c>
      <c r="E146" s="72" t="s">
        <v>55</v>
      </c>
      <c r="F146" s="72"/>
      <c r="G146" s="73" t="n">
        <v>2</v>
      </c>
      <c r="H146" s="74"/>
    </row>
    <row r="147">
      <c r="A147" s="9" t="s">
        <v>323</v>
      </c>
      <c r="B147" s="10" t="s">
        <v>55</v>
      </c>
      <c r="C147" s="10" t="s">
        <v>324</v>
      </c>
      <c r="D147" s="10" t="s">
        <v>325</v>
      </c>
      <c r="E147" s="10"/>
      <c r="F147" s="10" t="s">
        <v>160</v>
      </c>
      <c r="G147" s="45" t="n">
        <v>2</v>
      </c>
      <c r="H147" s="75" t="n">
        <v>0</v>
      </c>
    </row>
    <row r="148">
      <c r="A148" s="71"/>
      <c r="D148" s="72" t="s">
        <v>66</v>
      </c>
      <c r="E148" s="72" t="s">
        <v>55</v>
      </c>
      <c r="F148" s="72"/>
      <c r="G148" s="73" t="n">
        <v>2</v>
      </c>
      <c r="H148" s="74"/>
    </row>
    <row r="149">
      <c r="A149" s="9" t="s">
        <v>326</v>
      </c>
      <c r="B149" s="10" t="s">
        <v>55</v>
      </c>
      <c r="C149" s="10" t="s">
        <v>327</v>
      </c>
      <c r="D149" s="10" t="s">
        <v>328</v>
      </c>
      <c r="E149" s="10"/>
      <c r="F149" s="10" t="s">
        <v>160</v>
      </c>
      <c r="G149" s="45" t="n">
        <v>14</v>
      </c>
      <c r="H149" s="75" t="n">
        <v>0</v>
      </c>
    </row>
    <row r="150">
      <c r="A150" s="71"/>
      <c r="D150" s="72" t="s">
        <v>96</v>
      </c>
      <c r="E150" s="72" t="s">
        <v>55</v>
      </c>
      <c r="F150" s="72"/>
      <c r="G150" s="73" t="n">
        <v>14</v>
      </c>
      <c r="H150" s="74"/>
    </row>
    <row r="151">
      <c r="A151" s="9" t="s">
        <v>329</v>
      </c>
      <c r="B151" s="10" t="s">
        <v>55</v>
      </c>
      <c r="C151" s="10" t="s">
        <v>330</v>
      </c>
      <c r="D151" s="10" t="s">
        <v>331</v>
      </c>
      <c r="E151" s="10"/>
      <c r="F151" s="10" t="s">
        <v>160</v>
      </c>
      <c r="G151" s="45" t="n">
        <v>6</v>
      </c>
      <c r="H151" s="75" t="n">
        <v>0</v>
      </c>
    </row>
    <row r="152">
      <c r="A152" s="71"/>
      <c r="D152" s="72" t="s">
        <v>86</v>
      </c>
      <c r="E152" s="72" t="s">
        <v>55</v>
      </c>
      <c r="F152" s="72"/>
      <c r="G152" s="73" t="n">
        <v>6</v>
      </c>
      <c r="H152" s="74"/>
    </row>
    <row r="153">
      <c r="A153" s="9" t="s">
        <v>332</v>
      </c>
      <c r="B153" s="10" t="s">
        <v>55</v>
      </c>
      <c r="C153" s="10" t="s">
        <v>333</v>
      </c>
      <c r="D153" s="10" t="s">
        <v>334</v>
      </c>
      <c r="E153" s="10"/>
      <c r="F153" s="10" t="s">
        <v>160</v>
      </c>
      <c r="G153" s="45" t="n">
        <v>112</v>
      </c>
      <c r="H153" s="75" t="n">
        <v>0</v>
      </c>
    </row>
    <row r="154">
      <c r="A154" s="71"/>
      <c r="D154" s="72" t="s">
        <v>394</v>
      </c>
      <c r="E154" s="72" t="s">
        <v>55</v>
      </c>
      <c r="F154" s="72"/>
      <c r="G154" s="73" t="n">
        <v>112</v>
      </c>
      <c r="H154" s="74"/>
    </row>
    <row r="155">
      <c r="A155" s="9" t="s">
        <v>335</v>
      </c>
      <c r="B155" s="10" t="s">
        <v>55</v>
      </c>
      <c r="C155" s="10" t="s">
        <v>336</v>
      </c>
      <c r="D155" s="10" t="s">
        <v>337</v>
      </c>
      <c r="E155" s="10"/>
      <c r="F155" s="10" t="s">
        <v>160</v>
      </c>
      <c r="G155" s="45" t="n">
        <v>224</v>
      </c>
      <c r="H155" s="75" t="n">
        <v>0</v>
      </c>
    </row>
    <row r="156">
      <c r="A156" s="71"/>
      <c r="D156" s="72" t="s">
        <v>395</v>
      </c>
      <c r="E156" s="72" t="s">
        <v>55</v>
      </c>
      <c r="F156" s="72"/>
      <c r="G156" s="73" t="n">
        <v>224</v>
      </c>
      <c r="H156" s="74"/>
    </row>
    <row r="157">
      <c r="A157" s="9" t="s">
        <v>338</v>
      </c>
      <c r="B157" s="10" t="s">
        <v>55</v>
      </c>
      <c r="C157" s="10" t="s">
        <v>339</v>
      </c>
      <c r="D157" s="10" t="s">
        <v>340</v>
      </c>
      <c r="E157" s="10"/>
      <c r="F157" s="10" t="s">
        <v>160</v>
      </c>
      <c r="G157" s="45" t="n">
        <v>1</v>
      </c>
      <c r="H157" s="75" t="n">
        <v>0</v>
      </c>
    </row>
    <row r="158">
      <c r="A158" s="71"/>
      <c r="D158" s="72" t="s">
        <v>58</v>
      </c>
      <c r="E158" s="72" t="s">
        <v>55</v>
      </c>
      <c r="F158" s="72"/>
      <c r="G158" s="73" t="n">
        <v>1</v>
      </c>
      <c r="H158" s="74"/>
    </row>
    <row r="159">
      <c r="A159" s="9" t="s">
        <v>341</v>
      </c>
      <c r="B159" s="10" t="s">
        <v>55</v>
      </c>
      <c r="C159" s="10" t="s">
        <v>342</v>
      </c>
      <c r="D159" s="10" t="s">
        <v>343</v>
      </c>
      <c r="E159" s="10"/>
      <c r="F159" s="10" t="s">
        <v>160</v>
      </c>
      <c r="G159" s="45" t="n">
        <v>3</v>
      </c>
      <c r="H159" s="75" t="n">
        <v>0</v>
      </c>
    </row>
    <row r="160">
      <c r="A160" s="71"/>
      <c r="D160" s="72" t="s">
        <v>70</v>
      </c>
      <c r="E160" s="72" t="s">
        <v>55</v>
      </c>
      <c r="F160" s="72"/>
      <c r="G160" s="73" t="n">
        <v>3</v>
      </c>
      <c r="H160" s="74"/>
    </row>
    <row r="161">
      <c r="A161" s="9" t="s">
        <v>344</v>
      </c>
      <c r="B161" s="10" t="s">
        <v>55</v>
      </c>
      <c r="C161" s="10" t="s">
        <v>345</v>
      </c>
      <c r="D161" s="10" t="s">
        <v>346</v>
      </c>
      <c r="E161" s="10"/>
      <c r="F161" s="10" t="s">
        <v>347</v>
      </c>
      <c r="G161" s="45" t="n">
        <v>5.04</v>
      </c>
      <c r="H161" s="75" t="n">
        <v>0</v>
      </c>
    </row>
    <row r="162">
      <c r="A162" s="71"/>
      <c r="D162" s="72" t="s">
        <v>396</v>
      </c>
      <c r="E162" s="72" t="s">
        <v>55</v>
      </c>
      <c r="F162" s="72"/>
      <c r="G162" s="73" t="n">
        <v>5.04</v>
      </c>
      <c r="H162" s="74"/>
    </row>
    <row r="163">
      <c r="A163" s="9" t="s">
        <v>352</v>
      </c>
      <c r="B163" s="10" t="s">
        <v>55</v>
      </c>
      <c r="C163" s="10" t="s">
        <v>353</v>
      </c>
      <c r="D163" s="10" t="s">
        <v>354</v>
      </c>
      <c r="E163" s="10"/>
      <c r="F163" s="10" t="s">
        <v>355</v>
      </c>
      <c r="G163" s="45" t="n">
        <v>1</v>
      </c>
      <c r="H163" s="75" t="n">
        <v>0</v>
      </c>
    </row>
    <row r="164">
      <c r="A164" s="71"/>
      <c r="D164" s="72" t="s">
        <v>58</v>
      </c>
      <c r="E164" s="72" t="s">
        <v>55</v>
      </c>
      <c r="F164" s="72"/>
      <c r="G164" s="73" t="n">
        <v>1</v>
      </c>
      <c r="H164" s="74"/>
    </row>
    <row r="165">
      <c r="A165" s="9" t="s">
        <v>362</v>
      </c>
      <c r="B165" s="10" t="s">
        <v>55</v>
      </c>
      <c r="C165" s="10" t="s">
        <v>363</v>
      </c>
      <c r="D165" s="10" t="s">
        <v>361</v>
      </c>
      <c r="E165" s="10"/>
      <c r="F165" s="10" t="s">
        <v>355</v>
      </c>
      <c r="G165" s="45" t="n">
        <v>1</v>
      </c>
      <c r="H165" s="75" t="n">
        <v>0</v>
      </c>
    </row>
    <row r="166">
      <c r="A166" s="71"/>
      <c r="D166" s="72" t="s">
        <v>58</v>
      </c>
      <c r="E166" s="72" t="s">
        <v>55</v>
      </c>
      <c r="F166" s="72"/>
      <c r="G166" s="73" t="n">
        <v>1</v>
      </c>
      <c r="H166" s="74"/>
    </row>
    <row r="167">
      <c r="A167" s="9" t="s">
        <v>367</v>
      </c>
      <c r="B167" s="10" t="s">
        <v>55</v>
      </c>
      <c r="C167" s="10" t="s">
        <v>368</v>
      </c>
      <c r="D167" s="10" t="s">
        <v>369</v>
      </c>
      <c r="E167" s="10"/>
      <c r="F167" s="10" t="s">
        <v>355</v>
      </c>
      <c r="G167" s="45" t="n">
        <v>1</v>
      </c>
      <c r="H167" s="75" t="n">
        <v>0</v>
      </c>
    </row>
    <row r="168">
      <c r="A168" s="76"/>
      <c r="B168" s="77"/>
      <c r="C168" s="77"/>
      <c r="D168" s="78" t="s">
        <v>58</v>
      </c>
      <c r="E168" s="78" t="s">
        <v>55</v>
      </c>
      <c r="F168" s="78"/>
      <c r="G168" s="79" t="n">
        <v>1</v>
      </c>
      <c r="H168" s="80"/>
    </row>
    <row r="170">
      <c r="A170" s="60" t="s">
        <v>372</v>
      </c>
    </row>
    <row r="171" customHeight="true" ht="12.75">
      <c r="A171" s="14" t="s">
        <v>55</v>
      </c>
      <c r="B171" s="10"/>
      <c r="C171" s="10"/>
      <c r="D171" s="10"/>
      <c r="E171" s="10"/>
      <c r="F171" s="10"/>
      <c r="G171" s="10"/>
    </row>
  </sheetData>
  <mergeCells>
    <mergeCell ref="A1:H1"/>
    <mergeCell ref="A2:B3"/>
    <mergeCell ref="A4:B5"/>
    <mergeCell ref="A6:B7"/>
    <mergeCell ref="A8:B9"/>
    <mergeCell ref="E2:E3"/>
    <mergeCell ref="E4:E5"/>
    <mergeCell ref="E6:E7"/>
    <mergeCell ref="E8:E9"/>
    <mergeCell ref="C2:D3"/>
    <mergeCell ref="C4:D5"/>
    <mergeCell ref="C6:D7"/>
    <mergeCell ref="C8:D9"/>
    <mergeCell ref="F2:H3"/>
    <mergeCell ref="F4:H5"/>
    <mergeCell ref="F6:H7"/>
    <mergeCell ref="F8:H9"/>
    <mergeCell ref="D10:E10"/>
    <mergeCell ref="D11:E11"/>
    <mergeCell ref="E12:F12"/>
    <mergeCell ref="D13:E13"/>
    <mergeCell ref="E14:F14"/>
    <mergeCell ref="D15:E15"/>
    <mergeCell ref="E16:F16"/>
    <mergeCell ref="D17:E17"/>
    <mergeCell ref="E18:F18"/>
    <mergeCell ref="D19:E19"/>
    <mergeCell ref="E20:F20"/>
    <mergeCell ref="D21:E21"/>
    <mergeCell ref="E22:F22"/>
    <mergeCell ref="D23:E23"/>
    <mergeCell ref="E24:F24"/>
    <mergeCell ref="D25:E25"/>
    <mergeCell ref="E26:F26"/>
    <mergeCell ref="D27:E27"/>
    <mergeCell ref="E28:F28"/>
    <mergeCell ref="D29:E29"/>
    <mergeCell ref="E30:F30"/>
    <mergeCell ref="D31:E31"/>
    <mergeCell ref="E32:F32"/>
    <mergeCell ref="D33:E33"/>
    <mergeCell ref="E34:F34"/>
    <mergeCell ref="D35:E35"/>
    <mergeCell ref="E36:F36"/>
    <mergeCell ref="D37:E37"/>
    <mergeCell ref="E38:F38"/>
    <mergeCell ref="D39:E39"/>
    <mergeCell ref="E40:F40"/>
    <mergeCell ref="D41:E41"/>
    <mergeCell ref="E42:F42"/>
    <mergeCell ref="D43:E43"/>
    <mergeCell ref="E44:F44"/>
    <mergeCell ref="D45:E45"/>
    <mergeCell ref="E46:F46"/>
    <mergeCell ref="D47:E47"/>
    <mergeCell ref="E48:F48"/>
    <mergeCell ref="D49:E49"/>
    <mergeCell ref="E50:F50"/>
    <mergeCell ref="D51:E51"/>
    <mergeCell ref="E52:F52"/>
    <mergeCell ref="D53:E53"/>
    <mergeCell ref="E54:F54"/>
    <mergeCell ref="D55:E55"/>
    <mergeCell ref="E56:F56"/>
    <mergeCell ref="D57:E57"/>
    <mergeCell ref="E58:F58"/>
    <mergeCell ref="D59:E59"/>
    <mergeCell ref="E60:F60"/>
    <mergeCell ref="D61:E61"/>
    <mergeCell ref="E62:F62"/>
    <mergeCell ref="D63:E63"/>
    <mergeCell ref="E64:F64"/>
    <mergeCell ref="D65:E65"/>
    <mergeCell ref="E66:F66"/>
    <mergeCell ref="D67:E67"/>
    <mergeCell ref="E68:F68"/>
    <mergeCell ref="D69:E69"/>
    <mergeCell ref="E70:F70"/>
    <mergeCell ref="D71:E71"/>
    <mergeCell ref="E72:F72"/>
    <mergeCell ref="D73:E73"/>
    <mergeCell ref="E74:F74"/>
    <mergeCell ref="D75:E75"/>
    <mergeCell ref="E76:F76"/>
    <mergeCell ref="D77:E77"/>
    <mergeCell ref="E78:F78"/>
    <mergeCell ref="D79:E79"/>
    <mergeCell ref="E80:F80"/>
    <mergeCell ref="D81:E81"/>
    <mergeCell ref="E82:F82"/>
    <mergeCell ref="D83:E83"/>
    <mergeCell ref="E84:F84"/>
    <mergeCell ref="D85:E85"/>
    <mergeCell ref="E86:F86"/>
    <mergeCell ref="D87:E87"/>
    <mergeCell ref="E88:F88"/>
    <mergeCell ref="D89:E89"/>
    <mergeCell ref="E90:F90"/>
    <mergeCell ref="D91:E91"/>
    <mergeCell ref="E92:F92"/>
    <mergeCell ref="D93:E93"/>
    <mergeCell ref="E94:F94"/>
    <mergeCell ref="D95:E95"/>
    <mergeCell ref="E96:F96"/>
    <mergeCell ref="D97:E97"/>
    <mergeCell ref="E98:F98"/>
    <mergeCell ref="D99:E99"/>
    <mergeCell ref="E100:F100"/>
    <mergeCell ref="D101:E101"/>
    <mergeCell ref="E102:F102"/>
    <mergeCell ref="D103:E103"/>
    <mergeCell ref="E104:F104"/>
    <mergeCell ref="D105:E105"/>
    <mergeCell ref="E106:F106"/>
    <mergeCell ref="D107:E107"/>
    <mergeCell ref="E108:F108"/>
    <mergeCell ref="D109:E109"/>
    <mergeCell ref="E110:F110"/>
    <mergeCell ref="D111:E111"/>
    <mergeCell ref="E112:F112"/>
    <mergeCell ref="D113:E113"/>
    <mergeCell ref="E114:F114"/>
    <mergeCell ref="D115:E115"/>
    <mergeCell ref="E116:F116"/>
    <mergeCell ref="D117:E117"/>
    <mergeCell ref="E118:F118"/>
    <mergeCell ref="D119:E119"/>
    <mergeCell ref="E120:F120"/>
    <mergeCell ref="D121:E121"/>
    <mergeCell ref="E122:F122"/>
    <mergeCell ref="D123:E123"/>
    <mergeCell ref="E124:F124"/>
    <mergeCell ref="D125:E125"/>
    <mergeCell ref="E126:F126"/>
    <mergeCell ref="D127:E127"/>
    <mergeCell ref="E128:F128"/>
    <mergeCell ref="D129:E129"/>
    <mergeCell ref="E130:F130"/>
    <mergeCell ref="D131:E131"/>
    <mergeCell ref="E132:F132"/>
    <mergeCell ref="D133:E133"/>
    <mergeCell ref="E134:F134"/>
    <mergeCell ref="D135:E135"/>
    <mergeCell ref="E136:F136"/>
    <mergeCell ref="D137:E137"/>
    <mergeCell ref="E138:F138"/>
    <mergeCell ref="D139:E139"/>
    <mergeCell ref="E140:F140"/>
    <mergeCell ref="D141:E141"/>
    <mergeCell ref="E142:F142"/>
    <mergeCell ref="D143:E143"/>
    <mergeCell ref="E144:F144"/>
    <mergeCell ref="D145:E145"/>
    <mergeCell ref="E146:F146"/>
    <mergeCell ref="D147:E147"/>
    <mergeCell ref="E148:F148"/>
    <mergeCell ref="D149:E149"/>
    <mergeCell ref="E150:F150"/>
    <mergeCell ref="D151:E151"/>
    <mergeCell ref="E152:F152"/>
    <mergeCell ref="D153:E153"/>
    <mergeCell ref="E154:F154"/>
    <mergeCell ref="D155:E155"/>
    <mergeCell ref="E156:F156"/>
    <mergeCell ref="D157:E157"/>
    <mergeCell ref="E158:F158"/>
    <mergeCell ref="D159:E159"/>
    <mergeCell ref="E160:F160"/>
    <mergeCell ref="D161:E161"/>
    <mergeCell ref="E162:F162"/>
    <mergeCell ref="D163:E163"/>
    <mergeCell ref="E164:F164"/>
    <mergeCell ref="D165:E165"/>
    <mergeCell ref="E166:F166"/>
    <mergeCell ref="D167:E167"/>
    <mergeCell ref="E168:F168"/>
    <mergeCell ref="A171:G171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I37"/>
  <sheetViews>
    <sheetView workbookViewId="0" showZeros="true" showFormulas="false" showGridLines="true" showRowColHeaders="true">
      <selection sqref="A37:I37" activeCell="A37"/>
    </sheetView>
  </sheetViews>
  <sheetFormatPr defaultColWidth="12.140625" customHeight="true" defaultRowHeight="15"/>
  <cols>
    <col max="1" min="1" style="0" width="9.140625" customWidth="true"/>
    <col max="2" min="2" style="0" width="12.85546875" customWidth="true"/>
    <col max="3" min="3" style="0" width="27.140625" customWidth="true"/>
    <col max="4" min="4" style="0" width="10" customWidth="true"/>
    <col max="5" min="5" style="0" width="14" customWidth="true"/>
    <col max="6" min="6" style="0" width="27.140625" customWidth="true"/>
    <col max="7" min="7" style="0" width="9.140625" customWidth="true"/>
    <col max="8" min="8" style="0" width="12.85546875" customWidth="true"/>
    <col max="9" min="9" style="0" width="27.140625" customWidth="true"/>
  </cols>
  <sheetData>
    <row r="1" customHeight="true" ht="54.75">
      <c r="A1" s="81" t="s">
        <v>397</v>
      </c>
      <c r="B1" s="1"/>
      <c r="C1" s="1"/>
      <c r="D1" s="1"/>
      <c r="E1" s="1"/>
      <c r="F1" s="1"/>
      <c r="G1" s="1"/>
      <c r="H1" s="1"/>
      <c r="I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7" t="s">
        <v>398</v>
      </c>
      <c r="I2" s="8" t="s">
        <v>399</v>
      </c>
    </row>
    <row r="3" customHeight="true" ht="15">
      <c r="A3" s="9"/>
      <c r="B3" s="10"/>
      <c r="C3" s="11"/>
      <c r="D3" s="11"/>
      <c r="E3" s="10"/>
      <c r="F3" s="10"/>
      <c r="G3" s="10"/>
      <c r="H3" s="10"/>
      <c r="I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4" t="s">
        <v>398</v>
      </c>
      <c r="I4" s="12" t="s">
        <v>400</v>
      </c>
    </row>
    <row r="5" customHeight="true" ht="15">
      <c r="A5" s="9"/>
      <c r="B5" s="10"/>
      <c r="C5" s="10"/>
      <c r="D5" s="10"/>
      <c r="E5" s="10"/>
      <c r="F5" s="10"/>
      <c r="G5" s="10"/>
      <c r="H5" s="10"/>
      <c r="I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4" t="s">
        <v>398</v>
      </c>
      <c r="I6" s="12" t="s">
        <v>55</v>
      </c>
    </row>
    <row r="7" customHeight="true" ht="15">
      <c r="A7" s="9"/>
      <c r="B7" s="10"/>
      <c r="C7" s="10"/>
      <c r="D7" s="10"/>
      <c r="E7" s="10"/>
      <c r="F7" s="10"/>
      <c r="G7" s="10"/>
      <c r="H7" s="10"/>
      <c r="I7" s="12"/>
    </row>
    <row r="8">
      <c r="A8" s="13" t="s">
        <v>9</v>
      </c>
      <c r="B8" s="10"/>
      <c r="C8" s="14">
        <f>'Stavební rozpočet'!G4</f>
      </c>
      <c r="D8" s="10"/>
      <c r="E8" s="14" t="s">
        <v>15</v>
      </c>
      <c r="F8" s="14">
        <f>'Stavební rozpočet'!G6</f>
      </c>
      <c r="G8" s="10"/>
      <c r="H8" s="10" t="s">
        <v>401</v>
      </c>
      <c r="I8" s="82" t="n">
        <v>79</v>
      </c>
    </row>
    <row r="9">
      <c r="A9" s="9"/>
      <c r="B9" s="10"/>
      <c r="C9" s="10"/>
      <c r="D9" s="10"/>
      <c r="E9" s="10"/>
      <c r="F9" s="10"/>
      <c r="G9" s="10"/>
      <c r="H9" s="10"/>
      <c r="I9" s="12"/>
    </row>
    <row r="10">
      <c r="A10" s="13" t="s">
        <v>19</v>
      </c>
      <c r="B10" s="10"/>
      <c r="C10" s="14">
        <f>'Stavební rozpočet'!C8</f>
      </c>
      <c r="D10" s="10"/>
      <c r="E10" s="14" t="s">
        <v>23</v>
      </c>
      <c r="F10" s="14">
        <f>'Stavební rozpočet'!I8</f>
      </c>
      <c r="G10" s="10"/>
      <c r="H10" s="10" t="s">
        <v>402</v>
      </c>
      <c r="I10" s="83">
        <f>'Stavební rozpočet'!G8</f>
      </c>
    </row>
    <row r="11">
      <c r="A11" s="53"/>
      <c r="B11" s="54"/>
      <c r="C11" s="54"/>
      <c r="D11" s="54"/>
      <c r="E11" s="54"/>
      <c r="F11" s="54"/>
      <c r="G11" s="54"/>
      <c r="H11" s="54"/>
      <c r="I11" s="84"/>
    </row>
    <row r="12">
      <c r="A12" s="85" t="s">
        <v>403</v>
      </c>
      <c r="B12" s="85"/>
      <c r="C12" s="85"/>
      <c r="D12" s="85"/>
      <c r="E12" s="85"/>
      <c r="F12" s="85"/>
      <c r="G12" s="85"/>
      <c r="H12" s="85"/>
      <c r="I12" s="85"/>
    </row>
    <row r="13" customHeight="true" ht="26.25">
      <c r="A13" s="86" t="s">
        <v>404</v>
      </c>
      <c r="B13" s="87" t="s">
        <v>405</v>
      </c>
      <c r="C13" s="88"/>
      <c r="D13" s="89" t="s">
        <v>406</v>
      </c>
      <c r="E13" s="87" t="s">
        <v>407</v>
      </c>
      <c r="F13" s="88"/>
      <c r="G13" s="89" t="s">
        <v>408</v>
      </c>
      <c r="H13" s="87" t="s">
        <v>409</v>
      </c>
      <c r="I13" s="88"/>
    </row>
    <row r="14">
      <c r="A14" s="90" t="s">
        <v>410</v>
      </c>
      <c r="B14" s="91" t="s">
        <v>411</v>
      </c>
      <c r="C14" s="92">
        <f>SUM('Stavební rozpočet'!AB12:AB113)</f>
      </c>
      <c r="D14" s="93" t="s">
        <v>412</v>
      </c>
      <c r="E14" s="94"/>
      <c r="F14" s="92">
        <f>VORN!I15</f>
      </c>
      <c r="G14" s="93" t="s">
        <v>361</v>
      </c>
      <c r="H14" s="94"/>
      <c r="I14" s="95">
        <f>VORN!I21</f>
      </c>
    </row>
    <row r="15">
      <c r="A15" s="96" t="s">
        <v>55</v>
      </c>
      <c r="B15" s="91" t="s">
        <v>40</v>
      </c>
      <c r="C15" s="92">
        <f>SUM('Stavební rozpočet'!AC12:AC113)</f>
      </c>
      <c r="D15" s="93" t="s">
        <v>413</v>
      </c>
      <c r="E15" s="94"/>
      <c r="F15" s="92">
        <f>VORN!I16</f>
      </c>
      <c r="G15" s="93" t="s">
        <v>414</v>
      </c>
      <c r="H15" s="94"/>
      <c r="I15" s="95">
        <f>VORN!I22</f>
      </c>
    </row>
    <row r="16">
      <c r="A16" s="90" t="s">
        <v>415</v>
      </c>
      <c r="B16" s="91" t="s">
        <v>411</v>
      </c>
      <c r="C16" s="92">
        <f>SUM('Stavební rozpočet'!AD12:AD113)</f>
      </c>
      <c r="D16" s="93" t="s">
        <v>416</v>
      </c>
      <c r="E16" s="94"/>
      <c r="F16" s="92">
        <f>VORN!I17</f>
      </c>
      <c r="G16" s="93" t="s">
        <v>366</v>
      </c>
      <c r="H16" s="94"/>
      <c r="I16" s="95">
        <f>VORN!I23</f>
      </c>
    </row>
    <row r="17">
      <c r="A17" s="96" t="s">
        <v>55</v>
      </c>
      <c r="B17" s="91" t="s">
        <v>40</v>
      </c>
      <c r="C17" s="92">
        <f>SUM('Stavební rozpočet'!AE12:AE113)</f>
      </c>
      <c r="D17" s="93" t="s">
        <v>55</v>
      </c>
      <c r="E17" s="94"/>
      <c r="F17" s="95" t="s">
        <v>55</v>
      </c>
      <c r="G17" s="93" t="s">
        <v>417</v>
      </c>
      <c r="H17" s="94"/>
      <c r="I17" s="95">
        <f>VORN!I24</f>
      </c>
    </row>
    <row r="18">
      <c r="A18" s="90" t="s">
        <v>418</v>
      </c>
      <c r="B18" s="91" t="s">
        <v>411</v>
      </c>
      <c r="C18" s="92">
        <f>SUM('Stavební rozpočet'!AF12:AF113)</f>
      </c>
      <c r="D18" s="93" t="s">
        <v>55</v>
      </c>
      <c r="E18" s="94"/>
      <c r="F18" s="95" t="s">
        <v>55</v>
      </c>
      <c r="G18" s="93" t="s">
        <v>419</v>
      </c>
      <c r="H18" s="94"/>
      <c r="I18" s="95">
        <f>VORN!I25</f>
      </c>
    </row>
    <row r="19">
      <c r="A19" s="96" t="s">
        <v>55</v>
      </c>
      <c r="B19" s="91" t="s">
        <v>40</v>
      </c>
      <c r="C19" s="92">
        <f>SUM('Stavební rozpočet'!AG12:AG113)</f>
      </c>
      <c r="D19" s="93" t="s">
        <v>55</v>
      </c>
      <c r="E19" s="94"/>
      <c r="F19" s="95" t="s">
        <v>55</v>
      </c>
      <c r="G19" s="93" t="s">
        <v>420</v>
      </c>
      <c r="H19" s="94"/>
      <c r="I19" s="95">
        <f>VORN!I26</f>
      </c>
    </row>
    <row r="20">
      <c r="A20" s="97" t="s">
        <v>248</v>
      </c>
      <c r="B20" s="98"/>
      <c r="C20" s="92">
        <f>SUM('Stavební rozpočet'!AH12:AH113)</f>
      </c>
      <c r="D20" s="93" t="s">
        <v>55</v>
      </c>
      <c r="E20" s="94"/>
      <c r="F20" s="95" t="s">
        <v>55</v>
      </c>
      <c r="G20" s="93" t="s">
        <v>55</v>
      </c>
      <c r="H20" s="94"/>
      <c r="I20" s="95" t="s">
        <v>55</v>
      </c>
    </row>
    <row r="21">
      <c r="A21" s="99" t="s">
        <v>421</v>
      </c>
      <c r="B21" s="100"/>
      <c r="C21" s="101">
        <f>SUM('Stavební rozpočet'!Z12:Z113)</f>
      </c>
      <c r="D21" s="102" t="s">
        <v>55</v>
      </c>
      <c r="E21" s="103"/>
      <c r="F21" s="104" t="s">
        <v>55</v>
      </c>
      <c r="G21" s="102" t="s">
        <v>55</v>
      </c>
      <c r="H21" s="103"/>
      <c r="I21" s="104" t="s">
        <v>55</v>
      </c>
    </row>
    <row r="22" customHeight="true" ht="16.5">
      <c r="A22" s="105" t="s">
        <v>422</v>
      </c>
      <c r="B22" s="106"/>
      <c r="C22" s="107">
        <f>ROUND(SUM(C14:C21),-1)</f>
      </c>
      <c r="D22" s="108" t="s">
        <v>423</v>
      </c>
      <c r="E22" s="106"/>
      <c r="F22" s="107">
        <f>SUM(F14:F21)</f>
      </c>
      <c r="G22" s="108" t="s">
        <v>424</v>
      </c>
      <c r="H22" s="106"/>
      <c r="I22" s="107">
        <f>SUM(I14:I21)</f>
      </c>
    </row>
    <row r="23">
      <c r="D23" s="97" t="s">
        <v>425</v>
      </c>
      <c r="E23" s="98"/>
      <c r="F23" s="109" t="n">
        <v>0</v>
      </c>
      <c r="G23" s="110" t="s">
        <v>426</v>
      </c>
      <c r="H23" s="98"/>
      <c r="I23" s="92" t="n">
        <v>0</v>
      </c>
    </row>
    <row r="24">
      <c r="G24" s="97" t="s">
        <v>427</v>
      </c>
      <c r="H24" s="98"/>
      <c r="I24" s="101">
        <f>vorn_sum</f>
      </c>
    </row>
    <row r="25">
      <c r="G25" s="97" t="s">
        <v>428</v>
      </c>
      <c r="H25" s="98"/>
      <c r="I25" s="107" t="n">
        <v>0</v>
      </c>
    </row>
    <row r="27">
      <c r="A27" s="111" t="s">
        <v>429</v>
      </c>
      <c r="B27" s="112"/>
      <c r="C27" s="113">
        <f>ROUND(SUM('Stavební rozpočet'!AJ12:AJ113),-1)</f>
      </c>
    </row>
    <row r="28">
      <c r="A28" s="114" t="s">
        <v>430</v>
      </c>
      <c r="B28" s="115"/>
      <c r="C28" s="116">
        <f>ROUND(SUM('Stavební rozpočet'!AK12:AK113),-1)</f>
      </c>
      <c r="D28" s="117" t="s">
        <v>431</v>
      </c>
      <c r="E28" s="112"/>
      <c r="F28" s="113">
        <f>ROUND(C28*(12/100),2)</f>
      </c>
      <c r="G28" s="117" t="s">
        <v>432</v>
      </c>
      <c r="H28" s="112"/>
      <c r="I28" s="113">
        <f>ROUND(SUM(C27:C29),-1)</f>
      </c>
    </row>
    <row r="29">
      <c r="A29" s="114" t="s">
        <v>433</v>
      </c>
      <c r="B29" s="115"/>
      <c r="C29" s="116">
        <f>ROUND(SUM('Stavební rozpočet'!AL12:AL113),-1)</f>
      </c>
      <c r="D29" s="118" t="s">
        <v>434</v>
      </c>
      <c r="E29" s="115"/>
      <c r="F29" s="116">
        <f>ROUND(C29*(21/100),2)</f>
      </c>
      <c r="G29" s="118" t="s">
        <v>435</v>
      </c>
      <c r="H29" s="115"/>
      <c r="I29" s="116">
        <f>ROUND(SUM(F28:F29)+I28,-1)</f>
      </c>
    </row>
    <row r="31">
      <c r="A31" s="119" t="s">
        <v>436</v>
      </c>
      <c r="B31" s="120"/>
      <c r="C31" s="121"/>
      <c r="D31" s="122" t="s">
        <v>437</v>
      </c>
      <c r="E31" s="120"/>
      <c r="F31" s="121"/>
      <c r="G31" s="122" t="s">
        <v>438</v>
      </c>
      <c r="H31" s="120"/>
      <c r="I31" s="121"/>
    </row>
    <row r="32">
      <c r="A32" s="123" t="s">
        <v>55</v>
      </c>
      <c r="B32" s="124"/>
      <c r="C32" s="125"/>
      <c r="D32" s="126" t="s">
        <v>55</v>
      </c>
      <c r="E32" s="124"/>
      <c r="F32" s="125"/>
      <c r="G32" s="126" t="s">
        <v>55</v>
      </c>
      <c r="H32" s="124"/>
      <c r="I32" s="125"/>
    </row>
    <row r="33">
      <c r="A33" s="123" t="s">
        <v>55</v>
      </c>
      <c r="B33" s="124"/>
      <c r="C33" s="125"/>
      <c r="D33" s="126" t="s">
        <v>55</v>
      </c>
      <c r="E33" s="124"/>
      <c r="F33" s="125"/>
      <c r="G33" s="126" t="s">
        <v>55</v>
      </c>
      <c r="H33" s="124"/>
      <c r="I33" s="125"/>
    </row>
    <row r="34">
      <c r="A34" s="123" t="s">
        <v>55</v>
      </c>
      <c r="B34" s="124"/>
      <c r="C34" s="125"/>
      <c r="D34" s="126" t="s">
        <v>55</v>
      </c>
      <c r="E34" s="124"/>
      <c r="F34" s="125"/>
      <c r="G34" s="126" t="s">
        <v>55</v>
      </c>
      <c r="H34" s="124"/>
      <c r="I34" s="125"/>
    </row>
    <row r="35">
      <c r="A35" s="127" t="s">
        <v>439</v>
      </c>
      <c r="B35" s="128"/>
      <c r="C35" s="129"/>
      <c r="D35" s="130" t="s">
        <v>439</v>
      </c>
      <c r="E35" s="128"/>
      <c r="F35" s="129"/>
      <c r="G35" s="130" t="s">
        <v>439</v>
      </c>
      <c r="H35" s="128"/>
      <c r="I35" s="129"/>
    </row>
    <row r="36">
      <c r="A36" s="131" t="s">
        <v>372</v>
      </c>
    </row>
    <row r="37" customHeight="true" ht="12.75">
      <c r="A37" s="14" t="s">
        <v>55</v>
      </c>
      <c r="B37" s="10"/>
      <c r="C37" s="10"/>
      <c r="D37" s="10"/>
      <c r="E37" s="10"/>
      <c r="F37" s="10"/>
      <c r="G37" s="10"/>
      <c r="H37" s="10"/>
      <c r="I37" s="10"/>
    </row>
  </sheetData>
  <mergeCells>
    <mergeCell ref="A1:I1"/>
    <mergeCell ref="A2:B3"/>
    <mergeCell ref="A4:B5"/>
    <mergeCell ref="A6:B7"/>
    <mergeCell ref="A8:B9"/>
    <mergeCell ref="A10:B11"/>
    <mergeCell ref="E2:E3"/>
    <mergeCell ref="E4:E5"/>
    <mergeCell ref="E6:E7"/>
    <mergeCell ref="E8:E9"/>
    <mergeCell ref="E10:E11"/>
    <mergeCell ref="C2:D3"/>
    <mergeCell ref="C4:D5"/>
    <mergeCell ref="C6:D7"/>
    <mergeCell ref="C8:D9"/>
    <mergeCell ref="C10:D11"/>
    <mergeCell ref="F2:G3"/>
    <mergeCell ref="F4:G5"/>
    <mergeCell ref="F6:G7"/>
    <mergeCell ref="F8:G9"/>
    <mergeCell ref="F10:G11"/>
    <mergeCell ref="H2:H3"/>
    <mergeCell ref="H4:H5"/>
    <mergeCell ref="H6:H7"/>
    <mergeCell ref="H8:H9"/>
    <mergeCell ref="H10:H11"/>
    <mergeCell ref="I2:I3"/>
    <mergeCell ref="I4:I5"/>
    <mergeCell ref="I6:I7"/>
    <mergeCell ref="I8:I9"/>
    <mergeCell ref="I10:I11"/>
    <mergeCell ref="A12:I12"/>
    <mergeCell ref="B13:C13"/>
    <mergeCell ref="E13:F13"/>
    <mergeCell ref="H13:I13"/>
    <mergeCell ref="A20:B20"/>
    <mergeCell ref="A21:B21"/>
    <mergeCell ref="A22:B22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A27:B27"/>
    <mergeCell ref="A28:B28"/>
    <mergeCell ref="A29:B29"/>
    <mergeCell ref="D28:E28"/>
    <mergeCell ref="D29:E29"/>
    <mergeCell ref="G28:H28"/>
    <mergeCell ref="G29:H29"/>
    <mergeCell ref="A31:C31"/>
    <mergeCell ref="A32:C32"/>
    <mergeCell ref="A33:C33"/>
    <mergeCell ref="A34:C34"/>
    <mergeCell ref="A35:C35"/>
    <mergeCell ref="D31:F31"/>
    <mergeCell ref="D32:F32"/>
    <mergeCell ref="D33:F33"/>
    <mergeCell ref="D34:F34"/>
    <mergeCell ref="D35:F35"/>
    <mergeCell ref="G31:I31"/>
    <mergeCell ref="G32:I32"/>
    <mergeCell ref="G33:I33"/>
    <mergeCell ref="G34:I34"/>
    <mergeCell ref="G35:I35"/>
    <mergeCell ref="A37:I37"/>
  </mergeCells>
  <pageMargins left="0.393999993801117" top="0.591000020503998" right="0.393999993801117" bottom="0.591000020503998" header="0" footer="0"/>
  <pageSetup orientation="landscape" fitToHeight="1" fitToWidth="1" cellComments="non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I45"/>
  <sheetViews>
    <sheetView workbookViewId="0" showZeros="true" showFormulas="false" showGridLines="true" showRowColHeaders="true">
      <selection sqref="A45:E45" activeCell="A45"/>
    </sheetView>
  </sheetViews>
  <sheetFormatPr defaultColWidth="12.140625" customHeight="true" defaultRowHeight="15"/>
  <cols>
    <col max="1" min="1" style="0" width="9.140625" customWidth="true"/>
    <col max="2" min="2" style="0" width="12.85546875" customWidth="true"/>
    <col max="3" min="3" style="0" width="22.85546875" customWidth="true"/>
    <col max="4" min="4" style="0" width="10" customWidth="true"/>
    <col max="5" min="5" style="0" width="14" customWidth="true"/>
    <col max="6" min="6" style="0" width="22.85546875" customWidth="true"/>
    <col max="7" min="7" style="0" width="9.140625" customWidth="true"/>
    <col max="8" min="8" style="0" width="17.140625" customWidth="true"/>
    <col max="9" min="9" style="0" width="22.85546875" customWidth="true"/>
  </cols>
  <sheetData>
    <row r="1" customHeight="true" ht="54.75">
      <c r="A1" s="81" t="s">
        <v>349</v>
      </c>
      <c r="B1" s="1"/>
      <c r="C1" s="1"/>
      <c r="D1" s="1"/>
      <c r="E1" s="1"/>
      <c r="F1" s="1"/>
      <c r="G1" s="1"/>
      <c r="H1" s="1"/>
      <c r="I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7" t="s">
        <v>398</v>
      </c>
      <c r="I2" s="8" t="s">
        <v>399</v>
      </c>
    </row>
    <row r="3" customHeight="true" ht="15">
      <c r="A3" s="9"/>
      <c r="B3" s="10"/>
      <c r="C3" s="11"/>
      <c r="D3" s="11"/>
      <c r="E3" s="10"/>
      <c r="F3" s="10"/>
      <c r="G3" s="10"/>
      <c r="H3" s="10"/>
      <c r="I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4" t="s">
        <v>398</v>
      </c>
      <c r="I4" s="12" t="s">
        <v>400</v>
      </c>
    </row>
    <row r="5" customHeight="true" ht="15">
      <c r="A5" s="9"/>
      <c r="B5" s="10"/>
      <c r="C5" s="10"/>
      <c r="D5" s="10"/>
      <c r="E5" s="10"/>
      <c r="F5" s="10"/>
      <c r="G5" s="10"/>
      <c r="H5" s="10"/>
      <c r="I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4" t="s">
        <v>398</v>
      </c>
      <c r="I6" s="12" t="s">
        <v>55</v>
      </c>
    </row>
    <row r="7" customHeight="true" ht="15">
      <c r="A7" s="9"/>
      <c r="B7" s="10"/>
      <c r="C7" s="10"/>
      <c r="D7" s="10"/>
      <c r="E7" s="10"/>
      <c r="F7" s="10"/>
      <c r="G7" s="10"/>
      <c r="H7" s="10"/>
      <c r="I7" s="12"/>
    </row>
    <row r="8">
      <c r="A8" s="13" t="s">
        <v>9</v>
      </c>
      <c r="B8" s="10"/>
      <c r="C8" s="14">
        <f>'Stavební rozpočet'!G4</f>
      </c>
      <c r="D8" s="10"/>
      <c r="E8" s="14" t="s">
        <v>15</v>
      </c>
      <c r="F8" s="14">
        <f>'Stavební rozpočet'!G6</f>
      </c>
      <c r="G8" s="10"/>
      <c r="H8" s="10" t="s">
        <v>401</v>
      </c>
      <c r="I8" s="82" t="n">
        <v>79</v>
      </c>
    </row>
    <row r="9">
      <c r="A9" s="9"/>
      <c r="B9" s="10"/>
      <c r="C9" s="10"/>
      <c r="D9" s="10"/>
      <c r="E9" s="10"/>
      <c r="F9" s="10"/>
      <c r="G9" s="10"/>
      <c r="H9" s="10"/>
      <c r="I9" s="12"/>
    </row>
    <row r="10">
      <c r="A10" s="13" t="s">
        <v>19</v>
      </c>
      <c r="B10" s="10"/>
      <c r="C10" s="14">
        <f>'Stavební rozpočet'!C8</f>
      </c>
      <c r="D10" s="10"/>
      <c r="E10" s="14" t="s">
        <v>23</v>
      </c>
      <c r="F10" s="14">
        <f>'Stavební rozpočet'!I8</f>
      </c>
      <c r="G10" s="10"/>
      <c r="H10" s="10" t="s">
        <v>402</v>
      </c>
      <c r="I10" s="83">
        <f>'Stavební rozpočet'!G8</f>
      </c>
    </row>
    <row r="11">
      <c r="A11" s="53"/>
      <c r="B11" s="54"/>
      <c r="C11" s="54"/>
      <c r="D11" s="54"/>
      <c r="E11" s="54"/>
      <c r="F11" s="54"/>
      <c r="G11" s="54"/>
      <c r="H11" s="54"/>
      <c r="I11" s="84"/>
    </row>
    <row r="13">
      <c r="A13" s="132" t="s">
        <v>440</v>
      </c>
      <c r="B13" s="132"/>
      <c r="C13" s="132"/>
      <c r="D13" s="132"/>
      <c r="E13" s="132"/>
    </row>
    <row r="14">
      <c r="A14" s="133" t="s">
        <v>441</v>
      </c>
      <c r="B14" s="134"/>
      <c r="C14" s="134"/>
      <c r="D14" s="134"/>
      <c r="E14" s="135"/>
      <c r="F14" s="136" t="s">
        <v>442</v>
      </c>
      <c r="G14" s="136" t="s">
        <v>443</v>
      </c>
      <c r="H14" s="136" t="s">
        <v>444</v>
      </c>
      <c r="I14" s="136" t="s">
        <v>442</v>
      </c>
    </row>
    <row r="15">
      <c r="A15" s="137" t="s">
        <v>412</v>
      </c>
      <c r="B15" s="138"/>
      <c r="C15" s="138"/>
      <c r="D15" s="138"/>
      <c r="E15" s="139"/>
      <c r="F15" s="140" t="n">
        <v>0</v>
      </c>
      <c r="G15" s="141" t="s">
        <v>55</v>
      </c>
      <c r="H15" s="141" t="s">
        <v>55</v>
      </c>
      <c r="I15" s="140">
        <f>F15</f>
      </c>
    </row>
    <row r="16">
      <c r="A16" s="137" t="s">
        <v>413</v>
      </c>
      <c r="B16" s="138"/>
      <c r="C16" s="138"/>
      <c r="D16" s="138"/>
      <c r="E16" s="139"/>
      <c r="F16" s="140" t="n">
        <v>0</v>
      </c>
      <c r="G16" s="141" t="s">
        <v>55</v>
      </c>
      <c r="H16" s="141" t="s">
        <v>55</v>
      </c>
      <c r="I16" s="140">
        <f>F16</f>
      </c>
    </row>
    <row r="17">
      <c r="A17" s="142" t="s">
        <v>416</v>
      </c>
      <c r="B17" s="143"/>
      <c r="C17" s="143"/>
      <c r="D17" s="143"/>
      <c r="E17" s="144"/>
      <c r="F17" s="145" t="n">
        <v>0</v>
      </c>
      <c r="G17" s="146" t="s">
        <v>55</v>
      </c>
      <c r="H17" s="146" t="s">
        <v>55</v>
      </c>
      <c r="I17" s="145">
        <f>F17</f>
      </c>
    </row>
    <row r="18">
      <c r="A18" s="147" t="s">
        <v>445</v>
      </c>
      <c r="B18" s="148"/>
      <c r="C18" s="148"/>
      <c r="D18" s="148"/>
      <c r="E18" s="149"/>
      <c r="F18" s="150" t="s">
        <v>55</v>
      </c>
      <c r="G18" s="151" t="s">
        <v>55</v>
      </c>
      <c r="H18" s="151" t="s">
        <v>55</v>
      </c>
      <c r="I18" s="152">
        <f>SUM(I15:I17)</f>
      </c>
    </row>
    <row r="20">
      <c r="A20" s="133" t="s">
        <v>409</v>
      </c>
      <c r="B20" s="134"/>
      <c r="C20" s="134"/>
      <c r="D20" s="134"/>
      <c r="E20" s="135"/>
      <c r="F20" s="136" t="s">
        <v>442</v>
      </c>
      <c r="G20" s="136" t="s">
        <v>443</v>
      </c>
      <c r="H20" s="136" t="s">
        <v>444</v>
      </c>
      <c r="I20" s="136" t="s">
        <v>442</v>
      </c>
    </row>
    <row r="21">
      <c r="A21" s="137" t="s">
        <v>361</v>
      </c>
      <c r="B21" s="138"/>
      <c r="C21" s="138"/>
      <c r="D21" s="138"/>
      <c r="E21" s="139"/>
      <c r="F21" s="140" t="n">
        <v>0</v>
      </c>
      <c r="G21" s="141" t="s">
        <v>55</v>
      </c>
      <c r="H21" s="141" t="s">
        <v>55</v>
      </c>
      <c r="I21" s="140">
        <f>F21</f>
      </c>
    </row>
    <row r="22">
      <c r="A22" s="137" t="s">
        <v>414</v>
      </c>
      <c r="B22" s="138"/>
      <c r="C22" s="138"/>
      <c r="D22" s="138"/>
      <c r="E22" s="139"/>
      <c r="F22" s="140" t="n">
        <v>0</v>
      </c>
      <c r="G22" s="141" t="s">
        <v>55</v>
      </c>
      <c r="H22" s="141" t="s">
        <v>55</v>
      </c>
      <c r="I22" s="140">
        <f>F22</f>
      </c>
    </row>
    <row r="23">
      <c r="A23" s="137" t="s">
        <v>366</v>
      </c>
      <c r="B23" s="138"/>
      <c r="C23" s="138"/>
      <c r="D23" s="138"/>
      <c r="E23" s="139"/>
      <c r="F23" s="140" t="n">
        <v>0</v>
      </c>
      <c r="G23" s="141" t="s">
        <v>55</v>
      </c>
      <c r="H23" s="141" t="s">
        <v>55</v>
      </c>
      <c r="I23" s="140">
        <f>F23</f>
      </c>
    </row>
    <row r="24">
      <c r="A24" s="137" t="s">
        <v>417</v>
      </c>
      <c r="B24" s="138"/>
      <c r="C24" s="138"/>
      <c r="D24" s="138"/>
      <c r="E24" s="139"/>
      <c r="F24" s="140" t="n">
        <v>0</v>
      </c>
      <c r="G24" s="141" t="s">
        <v>55</v>
      </c>
      <c r="H24" s="141" t="s">
        <v>55</v>
      </c>
      <c r="I24" s="140">
        <f>F24</f>
      </c>
    </row>
    <row r="25">
      <c r="A25" s="137" t="s">
        <v>419</v>
      </c>
      <c r="B25" s="138"/>
      <c r="C25" s="138"/>
      <c r="D25" s="138"/>
      <c r="E25" s="139"/>
      <c r="F25" s="140" t="n">
        <v>0</v>
      </c>
      <c r="G25" s="141" t="s">
        <v>55</v>
      </c>
      <c r="H25" s="141" t="s">
        <v>55</v>
      </c>
      <c r="I25" s="140">
        <f>F25</f>
      </c>
    </row>
    <row r="26">
      <c r="A26" s="142" t="s">
        <v>420</v>
      </c>
      <c r="B26" s="143"/>
      <c r="C26" s="143"/>
      <c r="D26" s="143"/>
      <c r="E26" s="144"/>
      <c r="F26" s="145" t="n">
        <v>0</v>
      </c>
      <c r="G26" s="146" t="s">
        <v>55</v>
      </c>
      <c r="H26" s="146" t="s">
        <v>55</v>
      </c>
      <c r="I26" s="145">
        <f>F26</f>
      </c>
    </row>
    <row r="27">
      <c r="A27" s="147" t="s">
        <v>446</v>
      </c>
      <c r="B27" s="148"/>
      <c r="C27" s="148"/>
      <c r="D27" s="148"/>
      <c r="E27" s="149"/>
      <c r="F27" s="150" t="s">
        <v>55</v>
      </c>
      <c r="G27" s="151" t="s">
        <v>55</v>
      </c>
      <c r="H27" s="151" t="s">
        <v>55</v>
      </c>
      <c r="I27" s="152">
        <f>SUM(I21:I26)</f>
      </c>
    </row>
    <row r="29">
      <c r="A29" s="153" t="s">
        <v>447</v>
      </c>
      <c r="B29" s="154"/>
      <c r="C29" s="154"/>
      <c r="D29" s="154"/>
      <c r="E29" s="155"/>
      <c r="F29" s="156">
        <f>I18+I27</f>
      </c>
      <c r="G29" s="157"/>
      <c r="H29" s="157"/>
      <c r="I29" s="158"/>
    </row>
    <row r="33">
      <c r="A33" s="132" t="s">
        <v>448</v>
      </c>
      <c r="B33" s="132"/>
      <c r="C33" s="132"/>
      <c r="D33" s="132"/>
      <c r="E33" s="132"/>
    </row>
    <row r="34">
      <c r="A34" s="133" t="s">
        <v>449</v>
      </c>
      <c r="B34" s="134"/>
      <c r="C34" s="134"/>
      <c r="D34" s="134"/>
      <c r="E34" s="135"/>
      <c r="F34" s="136" t="s">
        <v>442</v>
      </c>
      <c r="G34" s="136" t="s">
        <v>443</v>
      </c>
      <c r="H34" s="136" t="s">
        <v>444</v>
      </c>
      <c r="I34" s="136" t="s">
        <v>442</v>
      </c>
    </row>
    <row r="35">
      <c r="A35" s="137" t="s">
        <v>351</v>
      </c>
      <c r="B35" s="138"/>
      <c r="C35" s="138"/>
      <c r="D35" s="138"/>
      <c r="E35" s="139"/>
      <c r="F35" s="140">
        <f>SUM('Stavební rozpočet'!BM12:BM113)</f>
      </c>
      <c r="G35" s="141" t="s">
        <v>55</v>
      </c>
      <c r="H35" s="141" t="s">
        <v>55</v>
      </c>
      <c r="I35" s="140">
        <f>F35</f>
      </c>
    </row>
    <row r="36">
      <c r="A36" s="137" t="s">
        <v>450</v>
      </c>
      <c r="B36" s="138"/>
      <c r="C36" s="138"/>
      <c r="D36" s="138"/>
      <c r="E36" s="139"/>
      <c r="F36" s="140">
        <f>SUM('Stavební rozpočet'!BN12:BN113)</f>
      </c>
      <c r="G36" s="141" t="s">
        <v>55</v>
      </c>
      <c r="H36" s="141" t="s">
        <v>55</v>
      </c>
      <c r="I36" s="140">
        <f>F36</f>
      </c>
    </row>
    <row r="37">
      <c r="A37" s="137" t="s">
        <v>361</v>
      </c>
      <c r="B37" s="138"/>
      <c r="C37" s="138"/>
      <c r="D37" s="138"/>
      <c r="E37" s="139"/>
      <c r="F37" s="140">
        <f>SUM('Stavební rozpočet'!BO12:BO113)</f>
      </c>
      <c r="G37" s="141" t="s">
        <v>55</v>
      </c>
      <c r="H37" s="141" t="s">
        <v>55</v>
      </c>
      <c r="I37" s="140">
        <f>F37</f>
      </c>
    </row>
    <row r="38">
      <c r="A38" s="137" t="s">
        <v>451</v>
      </c>
      <c r="B38" s="138"/>
      <c r="C38" s="138"/>
      <c r="D38" s="138"/>
      <c r="E38" s="139"/>
      <c r="F38" s="140">
        <f>SUM('Stavební rozpočet'!BP12:BP113)</f>
      </c>
      <c r="G38" s="141" t="s">
        <v>55</v>
      </c>
      <c r="H38" s="141" t="s">
        <v>55</v>
      </c>
      <c r="I38" s="140">
        <f>F38</f>
      </c>
    </row>
    <row r="39">
      <c r="A39" s="137" t="s">
        <v>452</v>
      </c>
      <c r="B39" s="138"/>
      <c r="C39" s="138"/>
      <c r="D39" s="138"/>
      <c r="E39" s="139"/>
      <c r="F39" s="140">
        <f>SUM('Stavební rozpočet'!BQ12:BQ113)</f>
      </c>
      <c r="G39" s="141" t="s">
        <v>55</v>
      </c>
      <c r="H39" s="141" t="s">
        <v>55</v>
      </c>
      <c r="I39" s="140">
        <f>F39</f>
      </c>
    </row>
    <row r="40">
      <c r="A40" s="137" t="s">
        <v>366</v>
      </c>
      <c r="B40" s="138"/>
      <c r="C40" s="138"/>
      <c r="D40" s="138"/>
      <c r="E40" s="139"/>
      <c r="F40" s="140">
        <f>SUM('Stavební rozpočet'!BR12:BR113)</f>
      </c>
      <c r="G40" s="141" t="s">
        <v>55</v>
      </c>
      <c r="H40" s="141" t="s">
        <v>55</v>
      </c>
      <c r="I40" s="140">
        <f>F40</f>
      </c>
    </row>
    <row r="41">
      <c r="A41" s="137" t="s">
        <v>417</v>
      </c>
      <c r="B41" s="138"/>
      <c r="C41" s="138"/>
      <c r="D41" s="138"/>
      <c r="E41" s="139"/>
      <c r="F41" s="140">
        <f>SUM('Stavební rozpočet'!BS12:BS113)</f>
      </c>
      <c r="G41" s="141" t="s">
        <v>55</v>
      </c>
      <c r="H41" s="141" t="s">
        <v>55</v>
      </c>
      <c r="I41" s="140">
        <f>F41</f>
      </c>
    </row>
    <row r="42">
      <c r="A42" s="137" t="s">
        <v>453</v>
      </c>
      <c r="B42" s="138"/>
      <c r="C42" s="138"/>
      <c r="D42" s="138"/>
      <c r="E42" s="139"/>
      <c r="F42" s="140">
        <f>SUM('Stavební rozpočet'!BT12:BT113)</f>
      </c>
      <c r="G42" s="141" t="s">
        <v>55</v>
      </c>
      <c r="H42" s="141" t="s">
        <v>55</v>
      </c>
      <c r="I42" s="140">
        <f>F42</f>
      </c>
    </row>
    <row r="43">
      <c r="A43" s="137" t="s">
        <v>454</v>
      </c>
      <c r="B43" s="138"/>
      <c r="C43" s="138"/>
      <c r="D43" s="138"/>
      <c r="E43" s="139"/>
      <c r="F43" s="140">
        <f>SUM('Stavební rozpočet'!BU12:BU113)</f>
      </c>
      <c r="G43" s="141" t="s">
        <v>55</v>
      </c>
      <c r="H43" s="141" t="s">
        <v>55</v>
      </c>
      <c r="I43" s="140">
        <f>F43</f>
      </c>
    </row>
    <row r="44">
      <c r="A44" s="142" t="s">
        <v>455</v>
      </c>
      <c r="B44" s="143"/>
      <c r="C44" s="143"/>
      <c r="D44" s="143"/>
      <c r="E44" s="144"/>
      <c r="F44" s="145">
        <f>SUM('Stavební rozpočet'!BV12:BV113)</f>
      </c>
      <c r="G44" s="146" t="s">
        <v>55</v>
      </c>
      <c r="H44" s="146" t="s">
        <v>55</v>
      </c>
      <c r="I44" s="145">
        <f>F44</f>
      </c>
    </row>
    <row r="45">
      <c r="A45" s="147" t="s">
        <v>456</v>
      </c>
      <c r="B45" s="148"/>
      <c r="C45" s="148"/>
      <c r="D45" s="148"/>
      <c r="E45" s="149"/>
      <c r="F45" s="150" t="s">
        <v>55</v>
      </c>
      <c r="G45" s="151" t="s">
        <v>55</v>
      </c>
      <c r="H45" s="151" t="s">
        <v>55</v>
      </c>
      <c r="I45" s="152">
        <f>SUM(I35:I44)</f>
      </c>
    </row>
  </sheetData>
  <mergeCells>
    <mergeCell ref="A1:I1"/>
    <mergeCell ref="A2:B3"/>
    <mergeCell ref="A4:B5"/>
    <mergeCell ref="A6:B7"/>
    <mergeCell ref="A8:B9"/>
    <mergeCell ref="A10:B11"/>
    <mergeCell ref="E2:E3"/>
    <mergeCell ref="E4:E5"/>
    <mergeCell ref="E6:E7"/>
    <mergeCell ref="E8:E9"/>
    <mergeCell ref="E10:E11"/>
    <mergeCell ref="H2:H3"/>
    <mergeCell ref="H4:H5"/>
    <mergeCell ref="H6:H7"/>
    <mergeCell ref="H8:H9"/>
    <mergeCell ref="H10:H11"/>
    <mergeCell ref="C2:D3"/>
    <mergeCell ref="C4:D5"/>
    <mergeCell ref="C6:D7"/>
    <mergeCell ref="C8:D9"/>
    <mergeCell ref="C10:D11"/>
    <mergeCell ref="F2:G3"/>
    <mergeCell ref="F4:G5"/>
    <mergeCell ref="F6:G7"/>
    <mergeCell ref="F8:G9"/>
    <mergeCell ref="F10:G11"/>
    <mergeCell ref="I2:I3"/>
    <mergeCell ref="I4:I5"/>
    <mergeCell ref="I6:I7"/>
    <mergeCell ref="I8:I9"/>
    <mergeCell ref="I10:I11"/>
    <mergeCell ref="A13:E13"/>
    <mergeCell ref="A14:E14"/>
    <mergeCell ref="A15:E15"/>
    <mergeCell ref="A16:E16"/>
    <mergeCell ref="A17:E17"/>
    <mergeCell ref="A18:E18"/>
    <mergeCell ref="A20:E20"/>
    <mergeCell ref="A21:E21"/>
    <mergeCell ref="A22:E22"/>
    <mergeCell ref="A23:E23"/>
    <mergeCell ref="A24:E24"/>
    <mergeCell ref="A25:E25"/>
    <mergeCell ref="A26:E26"/>
    <mergeCell ref="A27:E27"/>
    <mergeCell ref="A29:E29"/>
    <mergeCell ref="F29:I29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creator>HP</dc:creator>
  <cp:lastModifiedBy>HP</cp:lastModifiedBy>
  <dcterms:created xsi:type="dcterms:W3CDTF">2021-06-10T20:06:38.031Z</dcterms:created>
  <dcterms:modified xsi:type="dcterms:W3CDTF">2021-06-10T20:06:38.351Z</dcterms:modified>
</cp:coreProperties>
</file>