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zisek\Desktop\ZS - Vše\Výměna střešního pláště zimního stadionu V Táboře\PD Čížek\DPS\DPS ZŘ\"/>
    </mc:Choice>
  </mc:AlternateContent>
  <xr:revisionPtr revIDLastSave="0" documentId="13_ncr:1_{24EB9882-BD01-434F-9F31-C57EDC3ABB7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VORN!$I$45</definedName>
  </definedNames>
  <calcPr calcId="181029"/>
</workbook>
</file>

<file path=xl/calcChain.xml><?xml version="1.0" encoding="utf-8"?>
<calcChain xmlns="http://schemas.openxmlformats.org/spreadsheetml/2006/main">
  <c r="F44" i="3" l="1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7" i="3"/>
  <c r="I37" i="3" s="1"/>
  <c r="F35" i="3"/>
  <c r="I35" i="3" s="1"/>
  <c r="I45" i="3" s="1"/>
  <c r="I24" i="2" s="1"/>
  <c r="I26" i="3"/>
  <c r="I19" i="2" s="1"/>
  <c r="I25" i="3"/>
  <c r="I18" i="2" s="1"/>
  <c r="I24" i="3"/>
  <c r="I17" i="2" s="1"/>
  <c r="I23" i="3"/>
  <c r="I16" i="2" s="1"/>
  <c r="I22" i="3"/>
  <c r="I15" i="2" s="1"/>
  <c r="I21" i="3"/>
  <c r="I27" i="3" s="1"/>
  <c r="I17" i="3"/>
  <c r="F16" i="2" s="1"/>
  <c r="I16" i="3"/>
  <c r="F15" i="2" s="1"/>
  <c r="I15" i="3"/>
  <c r="I18" i="3" s="1"/>
  <c r="I10" i="3"/>
  <c r="F10" i="3"/>
  <c r="C10" i="3"/>
  <c r="F8" i="3"/>
  <c r="C8" i="3"/>
  <c r="F6" i="3"/>
  <c r="C6" i="3"/>
  <c r="F4" i="3"/>
  <c r="C4" i="3"/>
  <c r="F2" i="3"/>
  <c r="C2" i="3"/>
  <c r="I10" i="2"/>
  <c r="F10" i="2"/>
  <c r="C10" i="2"/>
  <c r="F8" i="2"/>
  <c r="C8" i="2"/>
  <c r="F6" i="2"/>
  <c r="C6" i="2"/>
  <c r="F4" i="2"/>
  <c r="C4" i="2"/>
  <c r="F2" i="2"/>
  <c r="C2" i="2"/>
  <c r="BN65" i="1"/>
  <c r="BJ65" i="1"/>
  <c r="BF65" i="1"/>
  <c r="BD65" i="1"/>
  <c r="AP65" i="1"/>
  <c r="BI65" i="1" s="1"/>
  <c r="AO65" i="1"/>
  <c r="BH65" i="1" s="1"/>
  <c r="AL65" i="1"/>
  <c r="AK65" i="1"/>
  <c r="AJ65" i="1"/>
  <c r="AH65" i="1"/>
  <c r="AG65" i="1"/>
  <c r="AF65" i="1"/>
  <c r="AE65" i="1"/>
  <c r="AD65" i="1"/>
  <c r="AC65" i="1"/>
  <c r="AB65" i="1"/>
  <c r="Z65" i="1"/>
  <c r="J65" i="1"/>
  <c r="BN64" i="1"/>
  <c r="BJ64" i="1"/>
  <c r="BF64" i="1"/>
  <c r="BD64" i="1"/>
  <c r="AP64" i="1"/>
  <c r="BI64" i="1" s="1"/>
  <c r="AO64" i="1"/>
  <c r="AW64" i="1" s="1"/>
  <c r="AK64" i="1"/>
  <c r="AJ64" i="1"/>
  <c r="AH64" i="1"/>
  <c r="AG64" i="1"/>
  <c r="AF64" i="1"/>
  <c r="AE64" i="1"/>
  <c r="AD64" i="1"/>
  <c r="AC64" i="1"/>
  <c r="AB64" i="1"/>
  <c r="Z64" i="1"/>
  <c r="J64" i="1"/>
  <c r="AL64" i="1" s="1"/>
  <c r="I64" i="1"/>
  <c r="H64" i="1"/>
  <c r="BN63" i="1"/>
  <c r="BJ63" i="1"/>
  <c r="BI63" i="1"/>
  <c r="BH63" i="1"/>
  <c r="BF63" i="1"/>
  <c r="BD63" i="1"/>
  <c r="AP63" i="1"/>
  <c r="I63" i="1" s="1"/>
  <c r="AO63" i="1"/>
  <c r="H63" i="1" s="1"/>
  <c r="AK63" i="1"/>
  <c r="AJ63" i="1"/>
  <c r="AH63" i="1"/>
  <c r="AG63" i="1"/>
  <c r="AF63" i="1"/>
  <c r="AE63" i="1"/>
  <c r="AD63" i="1"/>
  <c r="AC63" i="1"/>
  <c r="AB63" i="1"/>
  <c r="Z63" i="1"/>
  <c r="J63" i="1"/>
  <c r="AL63" i="1" s="1"/>
  <c r="BN62" i="1"/>
  <c r="F36" i="3" s="1"/>
  <c r="I36" i="3" s="1"/>
  <c r="BJ62" i="1"/>
  <c r="BF62" i="1"/>
  <c r="BD62" i="1"/>
  <c r="AP62" i="1"/>
  <c r="I62" i="1" s="1"/>
  <c r="AO62" i="1"/>
  <c r="H62" i="1" s="1"/>
  <c r="AK62" i="1"/>
  <c r="AJ62" i="1"/>
  <c r="AH62" i="1"/>
  <c r="AG62" i="1"/>
  <c r="AF62" i="1"/>
  <c r="AE62" i="1"/>
  <c r="AD62" i="1"/>
  <c r="AC62" i="1"/>
  <c r="AB62" i="1"/>
  <c r="Z62" i="1"/>
  <c r="J62" i="1"/>
  <c r="AL62" i="1" s="1"/>
  <c r="AU61" i="1" s="1"/>
  <c r="BJ59" i="1"/>
  <c r="BF59" i="1"/>
  <c r="BD59" i="1"/>
  <c r="AP59" i="1"/>
  <c r="I59" i="1" s="1"/>
  <c r="AO59" i="1"/>
  <c r="H59" i="1" s="1"/>
  <c r="AK59" i="1"/>
  <c r="AJ59" i="1"/>
  <c r="AH59" i="1"/>
  <c r="AG59" i="1"/>
  <c r="AF59" i="1"/>
  <c r="AE59" i="1"/>
  <c r="AD59" i="1"/>
  <c r="AC59" i="1"/>
  <c r="AB59" i="1"/>
  <c r="Z59" i="1"/>
  <c r="J59" i="1"/>
  <c r="AL59" i="1" s="1"/>
  <c r="BJ58" i="1"/>
  <c r="Z58" i="1" s="1"/>
  <c r="BF58" i="1"/>
  <c r="BD58" i="1"/>
  <c r="AP58" i="1"/>
  <c r="BI58" i="1" s="1"/>
  <c r="AO58" i="1"/>
  <c r="H58" i="1" s="1"/>
  <c r="AL58" i="1"/>
  <c r="AK58" i="1"/>
  <c r="AJ58" i="1"/>
  <c r="AH58" i="1"/>
  <c r="AG58" i="1"/>
  <c r="AF58" i="1"/>
  <c r="AE58" i="1"/>
  <c r="AD58" i="1"/>
  <c r="AC58" i="1"/>
  <c r="AB58" i="1"/>
  <c r="J58" i="1"/>
  <c r="BJ57" i="1"/>
  <c r="BF57" i="1"/>
  <c r="BD57" i="1"/>
  <c r="AP57" i="1"/>
  <c r="BI57" i="1" s="1"/>
  <c r="AO57" i="1"/>
  <c r="BH57" i="1" s="1"/>
  <c r="AK57" i="1"/>
  <c r="AJ57" i="1"/>
  <c r="AH57" i="1"/>
  <c r="AG57" i="1"/>
  <c r="AF57" i="1"/>
  <c r="AE57" i="1"/>
  <c r="AD57" i="1"/>
  <c r="AC57" i="1"/>
  <c r="AB57" i="1"/>
  <c r="Z57" i="1"/>
  <c r="J57" i="1"/>
  <c r="AL57" i="1" s="1"/>
  <c r="BJ56" i="1"/>
  <c r="Z56" i="1" s="1"/>
  <c r="BF56" i="1"/>
  <c r="BD56" i="1"/>
  <c r="AP56" i="1"/>
  <c r="BI56" i="1" s="1"/>
  <c r="AO56" i="1"/>
  <c r="H56" i="1" s="1"/>
  <c r="AK56" i="1"/>
  <c r="AJ56" i="1"/>
  <c r="AH56" i="1"/>
  <c r="AG56" i="1"/>
  <c r="AF56" i="1"/>
  <c r="AE56" i="1"/>
  <c r="AD56" i="1"/>
  <c r="AC56" i="1"/>
  <c r="AB56" i="1"/>
  <c r="J56" i="1"/>
  <c r="AL56" i="1" s="1"/>
  <c r="BJ55" i="1"/>
  <c r="BF55" i="1"/>
  <c r="BD55" i="1"/>
  <c r="AP55" i="1"/>
  <c r="I55" i="1" s="1"/>
  <c r="AO55" i="1"/>
  <c r="H55" i="1" s="1"/>
  <c r="AK55" i="1"/>
  <c r="AJ55" i="1"/>
  <c r="AH55" i="1"/>
  <c r="AG55" i="1"/>
  <c r="AF55" i="1"/>
  <c r="AE55" i="1"/>
  <c r="AD55" i="1"/>
  <c r="AC55" i="1"/>
  <c r="AB55" i="1"/>
  <c r="Z55" i="1"/>
  <c r="J55" i="1"/>
  <c r="AL55" i="1" s="1"/>
  <c r="BJ54" i="1"/>
  <c r="Z54" i="1" s="1"/>
  <c r="BF54" i="1"/>
  <c r="BD54" i="1"/>
  <c r="AX54" i="1"/>
  <c r="AP54" i="1"/>
  <c r="I54" i="1" s="1"/>
  <c r="AO54" i="1"/>
  <c r="H54" i="1" s="1"/>
  <c r="AK54" i="1"/>
  <c r="AJ54" i="1"/>
  <c r="AH54" i="1"/>
  <c r="AG54" i="1"/>
  <c r="AF54" i="1"/>
  <c r="AE54" i="1"/>
  <c r="AD54" i="1"/>
  <c r="AC54" i="1"/>
  <c r="AB54" i="1"/>
  <c r="J54" i="1"/>
  <c r="AL54" i="1" s="1"/>
  <c r="BJ53" i="1"/>
  <c r="BF53" i="1"/>
  <c r="BD53" i="1"/>
  <c r="AP53" i="1"/>
  <c r="BI53" i="1" s="1"/>
  <c r="AO53" i="1"/>
  <c r="AW53" i="1" s="1"/>
  <c r="AK53" i="1"/>
  <c r="AJ53" i="1"/>
  <c r="AH53" i="1"/>
  <c r="AG53" i="1"/>
  <c r="AF53" i="1"/>
  <c r="AE53" i="1"/>
  <c r="AD53" i="1"/>
  <c r="AC53" i="1"/>
  <c r="AB53" i="1"/>
  <c r="Z53" i="1"/>
  <c r="J53" i="1"/>
  <c r="AL53" i="1" s="1"/>
  <c r="BJ52" i="1"/>
  <c r="Z52" i="1" s="1"/>
  <c r="BI52" i="1"/>
  <c r="BF52" i="1"/>
  <c r="BD52" i="1"/>
  <c r="AP52" i="1"/>
  <c r="AX52" i="1" s="1"/>
  <c r="AO52" i="1"/>
  <c r="BH52" i="1" s="1"/>
  <c r="AK52" i="1"/>
  <c r="AJ52" i="1"/>
  <c r="AH52" i="1"/>
  <c r="AG52" i="1"/>
  <c r="AF52" i="1"/>
  <c r="AE52" i="1"/>
  <c r="AD52" i="1"/>
  <c r="AC52" i="1"/>
  <c r="AB52" i="1"/>
  <c r="J52" i="1"/>
  <c r="AL52" i="1" s="1"/>
  <c r="I52" i="1"/>
  <c r="H52" i="1"/>
  <c r="BJ51" i="1"/>
  <c r="Z51" i="1" s="1"/>
  <c r="BF51" i="1"/>
  <c r="BD51" i="1"/>
  <c r="AP51" i="1"/>
  <c r="I51" i="1" s="1"/>
  <c r="AO51" i="1"/>
  <c r="H51" i="1" s="1"/>
  <c r="AK51" i="1"/>
  <c r="AJ51" i="1"/>
  <c r="AH51" i="1"/>
  <c r="AG51" i="1"/>
  <c r="AF51" i="1"/>
  <c r="AE51" i="1"/>
  <c r="AD51" i="1"/>
  <c r="AC51" i="1"/>
  <c r="AB51" i="1"/>
  <c r="J51" i="1"/>
  <c r="BJ49" i="1"/>
  <c r="BF49" i="1"/>
  <c r="BD49" i="1"/>
  <c r="AP49" i="1"/>
  <c r="BI49" i="1" s="1"/>
  <c r="AG49" i="1" s="1"/>
  <c r="AO49" i="1"/>
  <c r="AW49" i="1" s="1"/>
  <c r="AK49" i="1"/>
  <c r="AJ49" i="1"/>
  <c r="AH49" i="1"/>
  <c r="AE49" i="1"/>
  <c r="AD49" i="1"/>
  <c r="AC49" i="1"/>
  <c r="AB49" i="1"/>
  <c r="Z49" i="1"/>
  <c r="J49" i="1"/>
  <c r="AL49" i="1" s="1"/>
  <c r="BJ48" i="1"/>
  <c r="BF48" i="1"/>
  <c r="BD48" i="1"/>
  <c r="AP48" i="1"/>
  <c r="I48" i="1" s="1"/>
  <c r="AO48" i="1"/>
  <c r="AW48" i="1" s="1"/>
  <c r="AK48" i="1"/>
  <c r="AT47" i="1" s="1"/>
  <c r="AJ48" i="1"/>
  <c r="AS47" i="1" s="1"/>
  <c r="AH48" i="1"/>
  <c r="AE48" i="1"/>
  <c r="AD48" i="1"/>
  <c r="AC48" i="1"/>
  <c r="AB48" i="1"/>
  <c r="Z48" i="1"/>
  <c r="J48" i="1"/>
  <c r="AL48" i="1" s="1"/>
  <c r="BJ46" i="1"/>
  <c r="BF46" i="1"/>
  <c r="BD46" i="1"/>
  <c r="AP46" i="1"/>
  <c r="BI46" i="1" s="1"/>
  <c r="AO46" i="1"/>
  <c r="BH46" i="1" s="1"/>
  <c r="AK46" i="1"/>
  <c r="AT45" i="1" s="1"/>
  <c r="AJ46" i="1"/>
  <c r="AS45" i="1" s="1"/>
  <c r="AH46" i="1"/>
  <c r="AG46" i="1"/>
  <c r="AF46" i="1"/>
  <c r="AE46" i="1"/>
  <c r="AD46" i="1"/>
  <c r="AC46" i="1"/>
  <c r="AB46" i="1"/>
  <c r="Z46" i="1"/>
  <c r="J46" i="1"/>
  <c r="AL46" i="1" s="1"/>
  <c r="AU45" i="1" s="1"/>
  <c r="J45" i="1"/>
  <c r="BJ44" i="1"/>
  <c r="BI44" i="1"/>
  <c r="AC44" i="1" s="1"/>
  <c r="BH44" i="1"/>
  <c r="AB44" i="1" s="1"/>
  <c r="BF44" i="1"/>
  <c r="BD44" i="1"/>
  <c r="AP44" i="1"/>
  <c r="AX44" i="1" s="1"/>
  <c r="AO44" i="1"/>
  <c r="AW44" i="1" s="1"/>
  <c r="AK44" i="1"/>
  <c r="AJ44" i="1"/>
  <c r="AH44" i="1"/>
  <c r="AG44" i="1"/>
  <c r="AF44" i="1"/>
  <c r="AE44" i="1"/>
  <c r="AD44" i="1"/>
  <c r="Z44" i="1"/>
  <c r="J44" i="1"/>
  <c r="AL44" i="1" s="1"/>
  <c r="I44" i="1"/>
  <c r="H44" i="1"/>
  <c r="BJ43" i="1"/>
  <c r="BF43" i="1"/>
  <c r="BD43" i="1"/>
  <c r="AP43" i="1"/>
  <c r="BI43" i="1" s="1"/>
  <c r="AC43" i="1" s="1"/>
  <c r="AO43" i="1"/>
  <c r="BH43" i="1" s="1"/>
  <c r="AB43" i="1" s="1"/>
  <c r="AK43" i="1"/>
  <c r="AJ43" i="1"/>
  <c r="AH43" i="1"/>
  <c r="AG43" i="1"/>
  <c r="AF43" i="1"/>
  <c r="AE43" i="1"/>
  <c r="AD43" i="1"/>
  <c r="Z43" i="1"/>
  <c r="J43" i="1"/>
  <c r="AL43" i="1" s="1"/>
  <c r="BJ42" i="1"/>
  <c r="BF42" i="1"/>
  <c r="BD42" i="1"/>
  <c r="AP42" i="1"/>
  <c r="I42" i="1" s="1"/>
  <c r="AO42" i="1"/>
  <c r="BH42" i="1" s="1"/>
  <c r="AB42" i="1" s="1"/>
  <c r="AK42" i="1"/>
  <c r="AJ42" i="1"/>
  <c r="AH42" i="1"/>
  <c r="AG42" i="1"/>
  <c r="AF42" i="1"/>
  <c r="AE42" i="1"/>
  <c r="AD42" i="1"/>
  <c r="Z42" i="1"/>
  <c r="J42" i="1"/>
  <c r="AL42" i="1" s="1"/>
  <c r="AU41" i="1" s="1"/>
  <c r="BJ40" i="1"/>
  <c r="BF40" i="1"/>
  <c r="BD40" i="1"/>
  <c r="AP40" i="1"/>
  <c r="AX40" i="1" s="1"/>
  <c r="AO40" i="1"/>
  <c r="H40" i="1" s="1"/>
  <c r="H39" i="1" s="1"/>
  <c r="AK40" i="1"/>
  <c r="AT39" i="1" s="1"/>
  <c r="AJ40" i="1"/>
  <c r="AS39" i="1" s="1"/>
  <c r="AH40" i="1"/>
  <c r="AG40" i="1"/>
  <c r="AF40" i="1"/>
  <c r="AC40" i="1"/>
  <c r="AB40" i="1"/>
  <c r="Z40" i="1"/>
  <c r="J40" i="1"/>
  <c r="AL40" i="1" s="1"/>
  <c r="AU39" i="1" s="1"/>
  <c r="I40" i="1"/>
  <c r="I39" i="1" s="1"/>
  <c r="BJ38" i="1"/>
  <c r="Z38" i="1" s="1"/>
  <c r="BF38" i="1"/>
  <c r="BD38" i="1"/>
  <c r="AP38" i="1"/>
  <c r="BI38" i="1" s="1"/>
  <c r="AO38" i="1"/>
  <c r="AW38" i="1" s="1"/>
  <c r="AK38" i="1"/>
  <c r="AJ38" i="1"/>
  <c r="AH38" i="1"/>
  <c r="AG38" i="1"/>
  <c r="AF38" i="1"/>
  <c r="AE38" i="1"/>
  <c r="AD38" i="1"/>
  <c r="AC38" i="1"/>
  <c r="AB38" i="1"/>
  <c r="J38" i="1"/>
  <c r="AL38" i="1" s="1"/>
  <c r="BJ37" i="1"/>
  <c r="BF37" i="1"/>
  <c r="BD37" i="1"/>
  <c r="AP37" i="1"/>
  <c r="I37" i="1" s="1"/>
  <c r="AO37" i="1"/>
  <c r="H37" i="1" s="1"/>
  <c r="AK37" i="1"/>
  <c r="AJ37" i="1"/>
  <c r="AH37" i="1"/>
  <c r="AG37" i="1"/>
  <c r="AF37" i="1"/>
  <c r="AC37" i="1"/>
  <c r="AB37" i="1"/>
  <c r="Z37" i="1"/>
  <c r="J37" i="1"/>
  <c r="AL37" i="1" s="1"/>
  <c r="BJ36" i="1"/>
  <c r="BF36" i="1"/>
  <c r="BD36" i="1"/>
  <c r="AP36" i="1"/>
  <c r="I36" i="1" s="1"/>
  <c r="AO36" i="1"/>
  <c r="H36" i="1" s="1"/>
  <c r="AK36" i="1"/>
  <c r="AJ36" i="1"/>
  <c r="AH36" i="1"/>
  <c r="AG36" i="1"/>
  <c r="AF36" i="1"/>
  <c r="AC36" i="1"/>
  <c r="AB36" i="1"/>
  <c r="Z36" i="1"/>
  <c r="J36" i="1"/>
  <c r="AL36" i="1" s="1"/>
  <c r="BJ35" i="1"/>
  <c r="BF35" i="1"/>
  <c r="BD35" i="1"/>
  <c r="AP35" i="1"/>
  <c r="I35" i="1" s="1"/>
  <c r="AO35" i="1"/>
  <c r="BH35" i="1" s="1"/>
  <c r="AD35" i="1" s="1"/>
  <c r="AL35" i="1"/>
  <c r="AK35" i="1"/>
  <c r="AJ35" i="1"/>
  <c r="AH35" i="1"/>
  <c r="AG35" i="1"/>
  <c r="AF35" i="1"/>
  <c r="AC35" i="1"/>
  <c r="AB35" i="1"/>
  <c r="Z35" i="1"/>
  <c r="J35" i="1"/>
  <c r="BJ34" i="1"/>
  <c r="BF34" i="1"/>
  <c r="BD34" i="1"/>
  <c r="AP34" i="1"/>
  <c r="BI34" i="1" s="1"/>
  <c r="AE34" i="1" s="1"/>
  <c r="AO34" i="1"/>
  <c r="AW34" i="1" s="1"/>
  <c r="AK34" i="1"/>
  <c r="AJ34" i="1"/>
  <c r="AH34" i="1"/>
  <c r="AG34" i="1"/>
  <c r="AF34" i="1"/>
  <c r="AC34" i="1"/>
  <c r="AB34" i="1"/>
  <c r="Z34" i="1"/>
  <c r="J34" i="1"/>
  <c r="AL34" i="1" s="1"/>
  <c r="BJ33" i="1"/>
  <c r="BF33" i="1"/>
  <c r="BD33" i="1"/>
  <c r="AP33" i="1"/>
  <c r="I33" i="1" s="1"/>
  <c r="AO33" i="1"/>
  <c r="H33" i="1" s="1"/>
  <c r="AK33" i="1"/>
  <c r="AJ33" i="1"/>
  <c r="AH33" i="1"/>
  <c r="AG33" i="1"/>
  <c r="AF33" i="1"/>
  <c r="AC33" i="1"/>
  <c r="AB33" i="1"/>
  <c r="Z33" i="1"/>
  <c r="J33" i="1"/>
  <c r="AL33" i="1" s="1"/>
  <c r="BJ32" i="1"/>
  <c r="BF32" i="1"/>
  <c r="BD32" i="1"/>
  <c r="AP32" i="1"/>
  <c r="I32" i="1" s="1"/>
  <c r="AO32" i="1"/>
  <c r="AW32" i="1" s="1"/>
  <c r="AK32" i="1"/>
  <c r="AJ32" i="1"/>
  <c r="AH32" i="1"/>
  <c r="AG32" i="1"/>
  <c r="AF32" i="1"/>
  <c r="AC32" i="1"/>
  <c r="AB32" i="1"/>
  <c r="Z32" i="1"/>
  <c r="J32" i="1"/>
  <c r="AL32" i="1" s="1"/>
  <c r="BJ31" i="1"/>
  <c r="BF31" i="1"/>
  <c r="BD31" i="1"/>
  <c r="AP31" i="1"/>
  <c r="I31" i="1" s="1"/>
  <c r="AO31" i="1"/>
  <c r="BH31" i="1" s="1"/>
  <c r="AD31" i="1" s="1"/>
  <c r="AL31" i="1"/>
  <c r="AK31" i="1"/>
  <c r="AT30" i="1" s="1"/>
  <c r="AJ31" i="1"/>
  <c r="AH31" i="1"/>
  <c r="AG31" i="1"/>
  <c r="AF31" i="1"/>
  <c r="AC31" i="1"/>
  <c r="AB31" i="1"/>
  <c r="Z31" i="1"/>
  <c r="J31" i="1"/>
  <c r="BJ29" i="1"/>
  <c r="BF29" i="1"/>
  <c r="BD29" i="1"/>
  <c r="AP29" i="1"/>
  <c r="BI29" i="1" s="1"/>
  <c r="AE29" i="1" s="1"/>
  <c r="AO29" i="1"/>
  <c r="AW29" i="1" s="1"/>
  <c r="AK29" i="1"/>
  <c r="AJ29" i="1"/>
  <c r="AH29" i="1"/>
  <c r="AG29" i="1"/>
  <c r="AF29" i="1"/>
  <c r="AC29" i="1"/>
  <c r="AB29" i="1"/>
  <c r="Z29" i="1"/>
  <c r="J29" i="1"/>
  <c r="AL29" i="1" s="1"/>
  <c r="I29" i="1"/>
  <c r="H29" i="1"/>
  <c r="BJ28" i="1"/>
  <c r="BF28" i="1"/>
  <c r="BD28" i="1"/>
  <c r="AP28" i="1"/>
  <c r="AX28" i="1" s="1"/>
  <c r="AO28" i="1"/>
  <c r="BH28" i="1" s="1"/>
  <c r="AD28" i="1" s="1"/>
  <c r="AK28" i="1"/>
  <c r="AJ28" i="1"/>
  <c r="AH28" i="1"/>
  <c r="AG28" i="1"/>
  <c r="AF28" i="1"/>
  <c r="AC28" i="1"/>
  <c r="AB28" i="1"/>
  <c r="Z28" i="1"/>
  <c r="J28" i="1"/>
  <c r="AL28" i="1" s="1"/>
  <c r="BJ27" i="1"/>
  <c r="BF27" i="1"/>
  <c r="BD27" i="1"/>
  <c r="AP27" i="1"/>
  <c r="I27" i="1" s="1"/>
  <c r="AO27" i="1"/>
  <c r="H27" i="1" s="1"/>
  <c r="AK27" i="1"/>
  <c r="AJ27" i="1"/>
  <c r="AH27" i="1"/>
  <c r="AG27" i="1"/>
  <c r="AF27" i="1"/>
  <c r="AC27" i="1"/>
  <c r="AB27" i="1"/>
  <c r="Z27" i="1"/>
  <c r="J27" i="1"/>
  <c r="AL27" i="1" s="1"/>
  <c r="BJ26" i="1"/>
  <c r="BF26" i="1"/>
  <c r="BD26" i="1"/>
  <c r="AP26" i="1"/>
  <c r="BI26" i="1" s="1"/>
  <c r="AE26" i="1" s="1"/>
  <c r="AO26" i="1"/>
  <c r="AW26" i="1" s="1"/>
  <c r="AK26" i="1"/>
  <c r="AJ26" i="1"/>
  <c r="AH26" i="1"/>
  <c r="AG26" i="1"/>
  <c r="AF26" i="1"/>
  <c r="AC26" i="1"/>
  <c r="AB26" i="1"/>
  <c r="Z26" i="1"/>
  <c r="J26" i="1"/>
  <c r="AL26" i="1" s="1"/>
  <c r="BJ25" i="1"/>
  <c r="BF25" i="1"/>
  <c r="BD25" i="1"/>
  <c r="AP25" i="1"/>
  <c r="BI25" i="1" s="1"/>
  <c r="AE25" i="1" s="1"/>
  <c r="AO25" i="1"/>
  <c r="BH25" i="1" s="1"/>
  <c r="AD25" i="1" s="1"/>
  <c r="AK25" i="1"/>
  <c r="AJ25" i="1"/>
  <c r="AH25" i="1"/>
  <c r="AG25" i="1"/>
  <c r="AF25" i="1"/>
  <c r="AC25" i="1"/>
  <c r="AB25" i="1"/>
  <c r="Z25" i="1"/>
  <c r="J25" i="1"/>
  <c r="AL25" i="1" s="1"/>
  <c r="I25" i="1"/>
  <c r="H25" i="1"/>
  <c r="BJ24" i="1"/>
  <c r="BI24" i="1"/>
  <c r="AE24" i="1" s="1"/>
  <c r="BF24" i="1"/>
  <c r="BD24" i="1"/>
  <c r="AP24" i="1"/>
  <c r="AX24" i="1" s="1"/>
  <c r="AO24" i="1"/>
  <c r="BH24" i="1" s="1"/>
  <c r="AD24" i="1" s="1"/>
  <c r="AK24" i="1"/>
  <c r="AJ24" i="1"/>
  <c r="AH24" i="1"/>
  <c r="AG24" i="1"/>
  <c r="AF24" i="1"/>
  <c r="AC24" i="1"/>
  <c r="AB24" i="1"/>
  <c r="Z24" i="1"/>
  <c r="J24" i="1"/>
  <c r="AL24" i="1" s="1"/>
  <c r="BJ23" i="1"/>
  <c r="BF23" i="1"/>
  <c r="BD23" i="1"/>
  <c r="AP23" i="1"/>
  <c r="I23" i="1" s="1"/>
  <c r="AO23" i="1"/>
  <c r="H23" i="1" s="1"/>
  <c r="AK23" i="1"/>
  <c r="AT22" i="1" s="1"/>
  <c r="AJ23" i="1"/>
  <c r="AS22" i="1" s="1"/>
  <c r="AH23" i="1"/>
  <c r="AG23" i="1"/>
  <c r="AF23" i="1"/>
  <c r="AC23" i="1"/>
  <c r="AB23" i="1"/>
  <c r="Z23" i="1"/>
  <c r="J23" i="1"/>
  <c r="AL23" i="1" s="1"/>
  <c r="BJ21" i="1"/>
  <c r="BI21" i="1"/>
  <c r="AE21" i="1" s="1"/>
  <c r="BF21" i="1"/>
  <c r="BD21" i="1"/>
  <c r="AP21" i="1"/>
  <c r="AX21" i="1" s="1"/>
  <c r="AO21" i="1"/>
  <c r="AW21" i="1" s="1"/>
  <c r="AK21" i="1"/>
  <c r="AJ21" i="1"/>
  <c r="AH21" i="1"/>
  <c r="AG21" i="1"/>
  <c r="AF21" i="1"/>
  <c r="AC21" i="1"/>
  <c r="AB21" i="1"/>
  <c r="Z21" i="1"/>
  <c r="J21" i="1"/>
  <c r="AL21" i="1" s="1"/>
  <c r="I21" i="1"/>
  <c r="H21" i="1"/>
  <c r="BJ20" i="1"/>
  <c r="BF20" i="1"/>
  <c r="BD20" i="1"/>
  <c r="AP20" i="1"/>
  <c r="BI20" i="1" s="1"/>
  <c r="AE20" i="1" s="1"/>
  <c r="AO20" i="1"/>
  <c r="BH20" i="1" s="1"/>
  <c r="AD20" i="1" s="1"/>
  <c r="AK20" i="1"/>
  <c r="AJ20" i="1"/>
  <c r="AH20" i="1"/>
  <c r="AG20" i="1"/>
  <c r="AF20" i="1"/>
  <c r="AC20" i="1"/>
  <c r="AB20" i="1"/>
  <c r="Z20" i="1"/>
  <c r="J20" i="1"/>
  <c r="AL20" i="1" s="1"/>
  <c r="BJ19" i="1"/>
  <c r="BF19" i="1"/>
  <c r="BD19" i="1"/>
  <c r="AP19" i="1"/>
  <c r="BI19" i="1" s="1"/>
  <c r="AE19" i="1" s="1"/>
  <c r="AO19" i="1"/>
  <c r="H19" i="1" s="1"/>
  <c r="AK19" i="1"/>
  <c r="AJ19" i="1"/>
  <c r="AH19" i="1"/>
  <c r="AG19" i="1"/>
  <c r="AF19" i="1"/>
  <c r="AC19" i="1"/>
  <c r="AB19" i="1"/>
  <c r="Z19" i="1"/>
  <c r="J19" i="1"/>
  <c r="AL19" i="1" s="1"/>
  <c r="BJ18" i="1"/>
  <c r="BF18" i="1"/>
  <c r="BD18" i="1"/>
  <c r="AP18" i="1"/>
  <c r="AX18" i="1" s="1"/>
  <c r="AO18" i="1"/>
  <c r="H18" i="1" s="1"/>
  <c r="AK18" i="1"/>
  <c r="AJ18" i="1"/>
  <c r="AH18" i="1"/>
  <c r="AG18" i="1"/>
  <c r="AF18" i="1"/>
  <c r="AC18" i="1"/>
  <c r="AB18" i="1"/>
  <c r="Z18" i="1"/>
  <c r="J18" i="1"/>
  <c r="AL18" i="1" s="1"/>
  <c r="BJ17" i="1"/>
  <c r="BI17" i="1"/>
  <c r="AE17" i="1" s="1"/>
  <c r="BH17" i="1"/>
  <c r="AD17" i="1" s="1"/>
  <c r="BF17" i="1"/>
  <c r="BD17" i="1"/>
  <c r="AP17" i="1"/>
  <c r="AX17" i="1" s="1"/>
  <c r="AO17" i="1"/>
  <c r="AW17" i="1" s="1"/>
  <c r="AK17" i="1"/>
  <c r="AJ17" i="1"/>
  <c r="AH17" i="1"/>
  <c r="AG17" i="1"/>
  <c r="AF17" i="1"/>
  <c r="AC17" i="1"/>
  <c r="AB17" i="1"/>
  <c r="Z17" i="1"/>
  <c r="J17" i="1"/>
  <c r="AL17" i="1" s="1"/>
  <c r="I17" i="1"/>
  <c r="H17" i="1"/>
  <c r="BJ16" i="1"/>
  <c r="BF16" i="1"/>
  <c r="BD16" i="1"/>
  <c r="AP16" i="1"/>
  <c r="BI16" i="1" s="1"/>
  <c r="AE16" i="1" s="1"/>
  <c r="AO16" i="1"/>
  <c r="AW16" i="1" s="1"/>
  <c r="AK16" i="1"/>
  <c r="AJ16" i="1"/>
  <c r="AH16" i="1"/>
  <c r="AG16" i="1"/>
  <c r="AF16" i="1"/>
  <c r="AC16" i="1"/>
  <c r="AB16" i="1"/>
  <c r="Z16" i="1"/>
  <c r="J16" i="1"/>
  <c r="AL16" i="1" s="1"/>
  <c r="BJ15" i="1"/>
  <c r="BF15" i="1"/>
  <c r="BD15" i="1"/>
  <c r="AP15" i="1"/>
  <c r="I15" i="1" s="1"/>
  <c r="AO15" i="1"/>
  <c r="BH15" i="1" s="1"/>
  <c r="AD15" i="1" s="1"/>
  <c r="AK15" i="1"/>
  <c r="AJ15" i="1"/>
  <c r="AH15" i="1"/>
  <c r="AG15" i="1"/>
  <c r="AF15" i="1"/>
  <c r="AC15" i="1"/>
  <c r="AB15" i="1"/>
  <c r="Z15" i="1"/>
  <c r="J15" i="1"/>
  <c r="AL15" i="1" s="1"/>
  <c r="BJ14" i="1"/>
  <c r="BF14" i="1"/>
  <c r="BD14" i="1"/>
  <c r="AP14" i="1"/>
  <c r="AX14" i="1" s="1"/>
  <c r="AO14" i="1"/>
  <c r="AW14" i="1" s="1"/>
  <c r="AK14" i="1"/>
  <c r="AJ14" i="1"/>
  <c r="AH14" i="1"/>
  <c r="AG14" i="1"/>
  <c r="AF14" i="1"/>
  <c r="AC14" i="1"/>
  <c r="AB14" i="1"/>
  <c r="Z14" i="1"/>
  <c r="J14" i="1"/>
  <c r="AL14" i="1" s="1"/>
  <c r="BJ13" i="1"/>
  <c r="BI13" i="1"/>
  <c r="AE13" i="1" s="1"/>
  <c r="BH13" i="1"/>
  <c r="AD13" i="1" s="1"/>
  <c r="BF13" i="1"/>
  <c r="BD13" i="1"/>
  <c r="AP13" i="1"/>
  <c r="AX13" i="1" s="1"/>
  <c r="AO13" i="1"/>
  <c r="AW13" i="1" s="1"/>
  <c r="AK13" i="1"/>
  <c r="AJ13" i="1"/>
  <c r="AH13" i="1"/>
  <c r="AG13" i="1"/>
  <c r="AF13" i="1"/>
  <c r="AC13" i="1"/>
  <c r="AB13" i="1"/>
  <c r="Z13" i="1"/>
  <c r="J13" i="1"/>
  <c r="AL13" i="1" s="1"/>
  <c r="I13" i="1"/>
  <c r="H13" i="1"/>
  <c r="AU1" i="1"/>
  <c r="AT1" i="1"/>
  <c r="AS1" i="1"/>
  <c r="AS50" i="1" l="1"/>
  <c r="AW31" i="1"/>
  <c r="AX31" i="1"/>
  <c r="AX33" i="1"/>
  <c r="AW35" i="1"/>
  <c r="BH33" i="1"/>
  <c r="AD33" i="1" s="1"/>
  <c r="AX58" i="1"/>
  <c r="AX37" i="1"/>
  <c r="BI40" i="1"/>
  <c r="AE40" i="1" s="1"/>
  <c r="AX29" i="1"/>
  <c r="AV29" i="1" s="1"/>
  <c r="BH51" i="1"/>
  <c r="BH56" i="1"/>
  <c r="AW43" i="1"/>
  <c r="BI37" i="1"/>
  <c r="AE37" i="1" s="1"/>
  <c r="BH29" i="1"/>
  <c r="AD29" i="1" s="1"/>
  <c r="AX64" i="1"/>
  <c r="BC64" i="1" s="1"/>
  <c r="I56" i="1"/>
  <c r="BH64" i="1"/>
  <c r="AT50" i="1"/>
  <c r="AW33" i="1"/>
  <c r="AV33" i="1" s="1"/>
  <c r="AX56" i="1"/>
  <c r="BH48" i="1"/>
  <c r="AF48" i="1" s="1"/>
  <c r="BI48" i="1"/>
  <c r="AG48" i="1" s="1"/>
  <c r="C19" i="2" s="1"/>
  <c r="AW37" i="1"/>
  <c r="AV37" i="1" s="1"/>
  <c r="AX23" i="1"/>
  <c r="BH37" i="1"/>
  <c r="AD37" i="1" s="1"/>
  <c r="AW25" i="1"/>
  <c r="AV25" i="1" s="1"/>
  <c r="AX25" i="1"/>
  <c r="BC25" i="1" s="1"/>
  <c r="AX27" i="1"/>
  <c r="BI55" i="1"/>
  <c r="BI32" i="1"/>
  <c r="AE32" i="1" s="1"/>
  <c r="H48" i="1"/>
  <c r="AS12" i="1"/>
  <c r="AU47" i="1"/>
  <c r="AT12" i="1"/>
  <c r="AT41" i="1"/>
  <c r="BI59" i="1"/>
  <c r="BI28" i="1"/>
  <c r="AE28" i="1" s="1"/>
  <c r="AX48" i="1"/>
  <c r="AW56" i="1"/>
  <c r="AX35" i="1"/>
  <c r="AS61" i="1"/>
  <c r="BI51" i="1"/>
  <c r="AT61" i="1"/>
  <c r="BI33" i="1"/>
  <c r="AE33" i="1" s="1"/>
  <c r="BH40" i="1"/>
  <c r="AD40" i="1" s="1"/>
  <c r="BH55" i="1"/>
  <c r="C21" i="2"/>
  <c r="BH32" i="1"/>
  <c r="AD32" i="1" s="1"/>
  <c r="C20" i="2"/>
  <c r="BH36" i="1"/>
  <c r="AD36" i="1" s="1"/>
  <c r="AS41" i="1"/>
  <c r="J50" i="1"/>
  <c r="BI36" i="1"/>
  <c r="AE36" i="1" s="1"/>
  <c r="AW52" i="1"/>
  <c r="AV52" i="1" s="1"/>
  <c r="BH59" i="1"/>
  <c r="BH21" i="1"/>
  <c r="AD21" i="1" s="1"/>
  <c r="AS30" i="1"/>
  <c r="BC48" i="1"/>
  <c r="AV48" i="1"/>
  <c r="C14" i="2"/>
  <c r="AV34" i="1"/>
  <c r="AV49" i="1"/>
  <c r="BC44" i="1"/>
  <c r="AV44" i="1"/>
  <c r="BC14" i="1"/>
  <c r="AV14" i="1"/>
  <c r="AV21" i="1"/>
  <c r="BC21" i="1"/>
  <c r="AV16" i="1"/>
  <c r="AU12" i="1"/>
  <c r="AV13" i="1"/>
  <c r="BC13" i="1"/>
  <c r="AU30" i="1"/>
  <c r="F29" i="3"/>
  <c r="AV17" i="1"/>
  <c r="BC17" i="1"/>
  <c r="AU22" i="1"/>
  <c r="BC33" i="1"/>
  <c r="BC37" i="1"/>
  <c r="BC52" i="1"/>
  <c r="BC56" i="1"/>
  <c r="AX38" i="1"/>
  <c r="AV38" i="1" s="1"/>
  <c r="J41" i="1"/>
  <c r="AX53" i="1"/>
  <c r="AV53" i="1" s="1"/>
  <c r="AX57" i="1"/>
  <c r="AW65" i="1"/>
  <c r="AX49" i="1"/>
  <c r="BC49" i="1" s="1"/>
  <c r="AX34" i="1"/>
  <c r="BC34" i="1" s="1"/>
  <c r="I14" i="1"/>
  <c r="AW57" i="1"/>
  <c r="I18" i="1"/>
  <c r="H26" i="1"/>
  <c r="AW42" i="1"/>
  <c r="H49" i="1"/>
  <c r="H47" i="1" s="1"/>
  <c r="BH14" i="1"/>
  <c r="AD14" i="1" s="1"/>
  <c r="AW15" i="1"/>
  <c r="BH18" i="1"/>
  <c r="AD18" i="1" s="1"/>
  <c r="AW19" i="1"/>
  <c r="J22" i="1"/>
  <c r="I26" i="1"/>
  <c r="I22" i="1" s="1"/>
  <c r="H34" i="1"/>
  <c r="H38" i="1"/>
  <c r="AX42" i="1"/>
  <c r="AW46" i="1"/>
  <c r="I49" i="1"/>
  <c r="I47" i="1" s="1"/>
  <c r="H53" i="1"/>
  <c r="H50" i="1" s="1"/>
  <c r="H57" i="1"/>
  <c r="J61" i="1"/>
  <c r="J60" i="1" s="1"/>
  <c r="AX65" i="1"/>
  <c r="BI14" i="1"/>
  <c r="AE14" i="1" s="1"/>
  <c r="AX15" i="1"/>
  <c r="BI18" i="1"/>
  <c r="AE18" i="1" s="1"/>
  <c r="AX19" i="1"/>
  <c r="AW23" i="1"/>
  <c r="BH26" i="1"/>
  <c r="AD26" i="1" s="1"/>
  <c r="AW27" i="1"/>
  <c r="J30" i="1"/>
  <c r="I34" i="1"/>
  <c r="I38" i="1"/>
  <c r="AX46" i="1"/>
  <c r="BH49" i="1"/>
  <c r="AF49" i="1" s="1"/>
  <c r="I53" i="1"/>
  <c r="I57" i="1"/>
  <c r="AW62" i="1"/>
  <c r="F14" i="2"/>
  <c r="F22" i="2" s="1"/>
  <c r="C27" i="2"/>
  <c r="AX26" i="1"/>
  <c r="AV26" i="1" s="1"/>
  <c r="H14" i="1"/>
  <c r="BH34" i="1"/>
  <c r="AD34" i="1" s="1"/>
  <c r="BH38" i="1"/>
  <c r="H42" i="1"/>
  <c r="BH53" i="1"/>
  <c r="AW54" i="1"/>
  <c r="AW58" i="1"/>
  <c r="AX62" i="1"/>
  <c r="H65" i="1"/>
  <c r="H61" i="1" s="1"/>
  <c r="H60" i="1" s="1"/>
  <c r="I14" i="2"/>
  <c r="I22" i="2" s="1"/>
  <c r="C28" i="2"/>
  <c r="F28" i="2" s="1"/>
  <c r="I65" i="1"/>
  <c r="I61" i="1" s="1"/>
  <c r="I60" i="1" s="1"/>
  <c r="H15" i="1"/>
  <c r="BH19" i="1"/>
  <c r="AD19" i="1" s="1"/>
  <c r="AW18" i="1"/>
  <c r="BI27" i="1"/>
  <c r="AE27" i="1" s="1"/>
  <c r="C17" i="2" s="1"/>
  <c r="AL51" i="1"/>
  <c r="AU50" i="1" s="1"/>
  <c r="I19" i="1"/>
  <c r="I46" i="1"/>
  <c r="I45" i="1" s="1"/>
  <c r="H31" i="1"/>
  <c r="BI42" i="1"/>
  <c r="AC42" i="1" s="1"/>
  <c r="C15" i="2" s="1"/>
  <c r="I58" i="1"/>
  <c r="BH62" i="1"/>
  <c r="BI23" i="1"/>
  <c r="AE23" i="1" s="1"/>
  <c r="AW36" i="1"/>
  <c r="H43" i="1"/>
  <c r="AW51" i="1"/>
  <c r="BH54" i="1"/>
  <c r="AW55" i="1"/>
  <c r="BH58" i="1"/>
  <c r="AW59" i="1"/>
  <c r="BI62" i="1"/>
  <c r="AW63" i="1"/>
  <c r="H16" i="1"/>
  <c r="H20" i="1"/>
  <c r="BI31" i="1"/>
  <c r="AE31" i="1" s="1"/>
  <c r="AX32" i="1"/>
  <c r="AV32" i="1" s="1"/>
  <c r="BI35" i="1"/>
  <c r="AE35" i="1" s="1"/>
  <c r="AX36" i="1"/>
  <c r="AW40" i="1"/>
  <c r="I43" i="1"/>
  <c r="I41" i="1" s="1"/>
  <c r="AX51" i="1"/>
  <c r="BI54" i="1"/>
  <c r="AX55" i="1"/>
  <c r="AX59" i="1"/>
  <c r="AX63" i="1"/>
  <c r="H46" i="1"/>
  <c r="H45" i="1" s="1"/>
  <c r="AW20" i="1"/>
  <c r="H35" i="1"/>
  <c r="AX43" i="1"/>
  <c r="AV43" i="1" s="1"/>
  <c r="BI15" i="1"/>
  <c r="AE15" i="1" s="1"/>
  <c r="BH27" i="1"/>
  <c r="AD27" i="1" s="1"/>
  <c r="AX20" i="1"/>
  <c r="BH23" i="1"/>
  <c r="AD23" i="1" s="1"/>
  <c r="J39" i="1"/>
  <c r="J12" i="1"/>
  <c r="I16" i="1"/>
  <c r="I20" i="1"/>
  <c r="H24" i="1"/>
  <c r="BH16" i="1"/>
  <c r="AD16" i="1" s="1"/>
  <c r="I24" i="1"/>
  <c r="I28" i="1"/>
  <c r="H32" i="1"/>
  <c r="J47" i="1"/>
  <c r="AX16" i="1"/>
  <c r="BC16" i="1" s="1"/>
  <c r="AW24" i="1"/>
  <c r="AW28" i="1"/>
  <c r="H28" i="1"/>
  <c r="C16" i="2" l="1"/>
  <c r="H12" i="1"/>
  <c r="BC32" i="1"/>
  <c r="AV56" i="1"/>
  <c r="H22" i="1"/>
  <c r="I50" i="1"/>
  <c r="C18" i="2"/>
  <c r="I12" i="1"/>
  <c r="BC35" i="1"/>
  <c r="J66" i="1"/>
  <c r="AV35" i="1"/>
  <c r="I30" i="1"/>
  <c r="BC31" i="1"/>
  <c r="AV31" i="1"/>
  <c r="BC29" i="1"/>
  <c r="AV64" i="1"/>
  <c r="BC46" i="1"/>
  <c r="AV46" i="1"/>
  <c r="BC59" i="1"/>
  <c r="AV59" i="1"/>
  <c r="AV20" i="1"/>
  <c r="BC20" i="1"/>
  <c r="BC53" i="1"/>
  <c r="BC18" i="1"/>
  <c r="AV18" i="1"/>
  <c r="BC63" i="1"/>
  <c r="AV63" i="1"/>
  <c r="AV24" i="1"/>
  <c r="BC24" i="1"/>
  <c r="BC58" i="1"/>
  <c r="AV58" i="1"/>
  <c r="BC15" i="1"/>
  <c r="AV15" i="1"/>
  <c r="BC54" i="1"/>
  <c r="AV54" i="1"/>
  <c r="BC36" i="1"/>
  <c r="AV36" i="1"/>
  <c r="BC23" i="1"/>
  <c r="AV23" i="1"/>
  <c r="H41" i="1"/>
  <c r="BC42" i="1"/>
  <c r="AV42" i="1"/>
  <c r="BC40" i="1"/>
  <c r="AV40" i="1"/>
  <c r="BC26" i="1"/>
  <c r="BC43" i="1"/>
  <c r="BC38" i="1"/>
  <c r="BC55" i="1"/>
  <c r="AV55" i="1"/>
  <c r="BC19" i="1"/>
  <c r="AV19" i="1"/>
  <c r="BC28" i="1"/>
  <c r="AV28" i="1"/>
  <c r="AV51" i="1"/>
  <c r="BC51" i="1"/>
  <c r="BC27" i="1"/>
  <c r="AV27" i="1"/>
  <c r="C22" i="2"/>
  <c r="AV57" i="1"/>
  <c r="BC57" i="1"/>
  <c r="H30" i="1"/>
  <c r="BC62" i="1"/>
  <c r="AV62" i="1"/>
  <c r="BC65" i="1"/>
  <c r="AV65" i="1"/>
  <c r="C29" i="2"/>
  <c r="F29" i="2" s="1"/>
  <c r="I28" i="2" l="1"/>
  <c r="I29" i="2" s="1"/>
</calcChain>
</file>

<file path=xl/sharedStrings.xml><?xml version="1.0" encoding="utf-8"?>
<sst xmlns="http://schemas.openxmlformats.org/spreadsheetml/2006/main" count="824" uniqueCount="283">
  <si>
    <t>Slepý stavební rozpočet</t>
  </si>
  <si>
    <t>Název stavby:</t>
  </si>
  <si>
    <t>Výměna konstrukce střešního pláště zimního stadionu v Táboře</t>
  </si>
  <si>
    <t>Doba výstavby:</t>
  </si>
  <si>
    <t xml:space="preserve"> </t>
  </si>
  <si>
    <t>Objednatel:</t>
  </si>
  <si>
    <t>Tělovýchovná zařízení města Tábora s. r.o.</t>
  </si>
  <si>
    <t>Druh stavby:</t>
  </si>
  <si>
    <t>Začátek výstavby:</t>
  </si>
  <si>
    <t>17.01.2025</t>
  </si>
  <si>
    <t>Projektant:</t>
  </si>
  <si>
    <t>Ing. Jan Čížek</t>
  </si>
  <si>
    <t>Lokalita:</t>
  </si>
  <si>
    <t>k.ú. Tábor</t>
  </si>
  <si>
    <t>Konec výstavby:</t>
  </si>
  <si>
    <t>Zhotovitel:</t>
  </si>
  <si>
    <t> 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</si>
  <si>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</si>
  <si>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</si>
  <si>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</si>
  <si>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</si>
  <si>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</si>
  <si>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</si>
  <si>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</si>
  <si>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</si>
  <si>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</si>
  <si>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</si>
  <si>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</si>
  <si>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</si>
  <si>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</si>
  <si>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</si>
  <si>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</si>
  <si>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</si>
  <si>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</si>
  <si>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</si>
  <si>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</si>
  <si>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</si>
  <si>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</si>
  <si>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</si>
  <si>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</si>
  <si>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</si>
  <si>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</si>
  <si>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</si>
  <si>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</si>
  <si>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</si>
  <si>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</si>
  <si>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</si>
  <si>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</si>
  <si>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</si>
  <si>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</si>
  <si>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712</t>
  </si>
  <si>
    <t>Izolace střech (živičné krytiny)</t>
  </si>
  <si>
    <t>1</t>
  </si>
  <si>
    <t>712300831R00</t>
  </si>
  <si>
    <t>Odstranění povlakové krytiny střech do 10° z fólií přilepených v plné ploše</t>
  </si>
  <si>
    <t>m2</t>
  </si>
  <si>
    <t>RTS I / 2024</t>
  </si>
  <si>
    <t>7</t>
  </si>
  <si>
    <t>712_</t>
  </si>
  <si>
    <t>71_</t>
  </si>
  <si>
    <t>_</t>
  </si>
  <si>
    <t>2</t>
  </si>
  <si>
    <t>712500831R00</t>
  </si>
  <si>
    <t>Odstranění separační textílie</t>
  </si>
  <si>
    <t>3</t>
  </si>
  <si>
    <t>440351204R00</t>
  </si>
  <si>
    <t>Odstranění bednění z překližky tl. 18 mm vč. odvětrávané mezery z hranolů</t>
  </si>
  <si>
    <t>4</t>
  </si>
  <si>
    <t>Odstranění parozábrany z PE fólie vyšší pevnosti</t>
  </si>
  <si>
    <t>5</t>
  </si>
  <si>
    <t>Odstranění parozábrany z PE fólie</t>
  </si>
  <si>
    <t>6</t>
  </si>
  <si>
    <t>712370010RAB</t>
  </si>
  <si>
    <t>Povlaková krytina střech do 10°, např. Dekplan 76 vč. podložky a systémového kotvení</t>
  </si>
  <si>
    <t>712391172RZ7</t>
  </si>
  <si>
    <t>Položení ochranné textilie na střechách do 10°</t>
  </si>
  <si>
    <t>8</t>
  </si>
  <si>
    <t>R</t>
  </si>
  <si>
    <t>Dokotvení trapézového plechu v celé ploše</t>
  </si>
  <si>
    <t>9</t>
  </si>
  <si>
    <t>712310911RZ1</t>
  </si>
  <si>
    <t>Nátěr podkladní asfaltový, např. DEKPRIMER</t>
  </si>
  <si>
    <t>713</t>
  </si>
  <si>
    <t>Izolace tepelné</t>
  </si>
  <si>
    <t>10</t>
  </si>
  <si>
    <t>713104222R00</t>
  </si>
  <si>
    <t>Odstranění tepelné izolace střech plochých, kotvené, z desek minerálních, tl. 100 - 200 mm</t>
  </si>
  <si>
    <t>713_</t>
  </si>
  <si>
    <t>11</t>
  </si>
  <si>
    <t>713100040RAB</t>
  </si>
  <si>
    <t>Izolace tepelné volně položené, např. Isover xh, 80 mm</t>
  </si>
  <si>
    <t>12</t>
  </si>
  <si>
    <t>713100040RAD</t>
  </si>
  <si>
    <t>Izolace tepelné volně položené, např. Isover T, 2x60 mm</t>
  </si>
  <si>
    <t>13</t>
  </si>
  <si>
    <t>713141221RP6</t>
  </si>
  <si>
    <t>Montáž parozábrany, z modif. asfalt pásů s hliníkovou vložkou</t>
  </si>
  <si>
    <t>14</t>
  </si>
  <si>
    <t>Doplnění minerální vlny pod oplechováním (v šířce 50 cm) vč. kotvení</t>
  </si>
  <si>
    <t>15</t>
  </si>
  <si>
    <t>Izolace z minerální vaty pro izolaci atiky vč. kotvení</t>
  </si>
  <si>
    <t>16</t>
  </si>
  <si>
    <t>Izolace z minerální vaty nad stávajícím impregnovaným dřevěným trámem</t>
  </si>
  <si>
    <t>m</t>
  </si>
  <si>
    <t>764</t>
  </si>
  <si>
    <t>Konstrukce klempířské</t>
  </si>
  <si>
    <t>17</t>
  </si>
  <si>
    <t>764352811R00</t>
  </si>
  <si>
    <t>Demontáž žlabů půlkruh. rovných, rš 330 mm, do 45°</t>
  </si>
  <si>
    <t>764_</t>
  </si>
  <si>
    <t>76_</t>
  </si>
  <si>
    <t>18</t>
  </si>
  <si>
    <t>764225450R00</t>
  </si>
  <si>
    <t>Oplechování okapů Ti-Zn, ŽK, segm.přes 0,5 m, rš 250 mm</t>
  </si>
  <si>
    <t>19</t>
  </si>
  <si>
    <t>764225460R00</t>
  </si>
  <si>
    <t>Oplechování okapů Ti-Zn, ŽK, segm.přes 0,5 m, rš 330 mm</t>
  </si>
  <si>
    <t>20</t>
  </si>
  <si>
    <t>764337830R00</t>
  </si>
  <si>
    <t>Demontáž lemování zdí ze segmentů,rš do 330 mm</t>
  </si>
  <si>
    <t>21</t>
  </si>
  <si>
    <t>764231430R00</t>
  </si>
  <si>
    <t>Lemování Ti Zn plechem zdí,tvrdá krytina,rš 330 mm</t>
  </si>
  <si>
    <t>22</t>
  </si>
  <si>
    <t>764251205R00</t>
  </si>
  <si>
    <t>Žlaby z Cu plechu, podokapní čtyřhrané, rš 400 mm</t>
  </si>
  <si>
    <t>23</t>
  </si>
  <si>
    <t>Oprava a utěsnění prostupu svodu</t>
  </si>
  <si>
    <t>kpl</t>
  </si>
  <si>
    <t>24</t>
  </si>
  <si>
    <t>998764203R00</t>
  </si>
  <si>
    <t>Přesun hmot pro klempířské konstr., výšky do 24 m</t>
  </si>
  <si>
    <t>%</t>
  </si>
  <si>
    <t>783</t>
  </si>
  <si>
    <t>Nátěry</t>
  </si>
  <si>
    <t>25</t>
  </si>
  <si>
    <t>783222110RT1</t>
  </si>
  <si>
    <t>Nátěr syntetický kovových konstrukcí 2 x (1/3 plochy - odhad)</t>
  </si>
  <si>
    <t>783_</t>
  </si>
  <si>
    <t>78_</t>
  </si>
  <si>
    <t>94</t>
  </si>
  <si>
    <t>Lešení a stavební výtahy</t>
  </si>
  <si>
    <t>26</t>
  </si>
  <si>
    <t>941941031R00</t>
  </si>
  <si>
    <t>Montáž lešení leh.řad.s podlahami,š.do 1 m, H 10 m</t>
  </si>
  <si>
    <t>94_</t>
  </si>
  <si>
    <t>9_</t>
  </si>
  <si>
    <t>27</t>
  </si>
  <si>
    <t>941941191R00</t>
  </si>
  <si>
    <t>Příplatek za každý měsíc použití lešení k pol.1031</t>
  </si>
  <si>
    <t>28</t>
  </si>
  <si>
    <t>941941831R00</t>
  </si>
  <si>
    <t>Demontáž lešení leh.řad.s podlahami,š.1 m, H 10 m</t>
  </si>
  <si>
    <t>H712</t>
  </si>
  <si>
    <t>29</t>
  </si>
  <si>
    <t>998712103R00</t>
  </si>
  <si>
    <t>Přesun hmot pro povlakové krytiny, výšky do 24 m</t>
  </si>
  <si>
    <t>t</t>
  </si>
  <si>
    <t>H712_</t>
  </si>
  <si>
    <t>M65</t>
  </si>
  <si>
    <t>Elektroinstalace</t>
  </si>
  <si>
    <t>30</t>
  </si>
  <si>
    <t>650811126R00</t>
  </si>
  <si>
    <t>Demontáž hromosvodu</t>
  </si>
  <si>
    <t>M65_</t>
  </si>
  <si>
    <t>31</t>
  </si>
  <si>
    <t>Zpětná montáž hromosvodu</t>
  </si>
  <si>
    <t>S</t>
  </si>
  <si>
    <t>Přesuny sutí</t>
  </si>
  <si>
    <t>32</t>
  </si>
  <si>
    <t>979990144R00</t>
  </si>
  <si>
    <t>Poplatek za uložení suti - minerální vata, skupina odpadu 170604</t>
  </si>
  <si>
    <t>S_</t>
  </si>
  <si>
    <t>33</t>
  </si>
  <si>
    <t>979990161R00</t>
  </si>
  <si>
    <t>Poplatek za uložení - dřevo, skupina odpadu 170201</t>
  </si>
  <si>
    <t>34</t>
  </si>
  <si>
    <t>979990181R00</t>
  </si>
  <si>
    <t>Poplatek za uložení suti - krytina, skupina odpadu 200307</t>
  </si>
  <si>
    <t>35</t>
  </si>
  <si>
    <t>979083117R00</t>
  </si>
  <si>
    <t>Vodorovné přemístění suti na skládku do 6000 m</t>
  </si>
  <si>
    <t>36</t>
  </si>
  <si>
    <t>979083191R00</t>
  </si>
  <si>
    <t>Příplatek za dalších započatých 1000 m nad 6000 m</t>
  </si>
  <si>
    <t>37</t>
  </si>
  <si>
    <t>979011111R00</t>
  </si>
  <si>
    <t>Svislá doprava suti a vybour. hmot za 2.NP a 1.PP</t>
  </si>
  <si>
    <t>38</t>
  </si>
  <si>
    <t>979095312R00</t>
  </si>
  <si>
    <t>Naložení a složení suti</t>
  </si>
  <si>
    <t>39</t>
  </si>
  <si>
    <t>979087312R00</t>
  </si>
  <si>
    <t>Vodorovné přemístění vyb. hmot nošením do 10 m</t>
  </si>
  <si>
    <t>40</t>
  </si>
  <si>
    <t>979087391R00</t>
  </si>
  <si>
    <t>Příplatek za nošení suti každých dalších 10 m</t>
  </si>
  <si>
    <t>VORN</t>
  </si>
  <si>
    <t>Vedlejší a ostatní rozpočtové náklady</t>
  </si>
  <si>
    <t>02VRN</t>
  </si>
  <si>
    <t>Příprava staveniště</t>
  </si>
  <si>
    <t>41</t>
  </si>
  <si>
    <t>021002VRN</t>
  </si>
  <si>
    <t>Zabezpečovací práce, záchytný systém</t>
  </si>
  <si>
    <t>Soubor</t>
  </si>
  <si>
    <t>99</t>
  </si>
  <si>
    <t>02VRN_</t>
  </si>
  <si>
    <t>Â _</t>
  </si>
  <si>
    <t>42</t>
  </si>
  <si>
    <t>010001VRN</t>
  </si>
  <si>
    <t>Průzkumy, projektové práce, zábor</t>
  </si>
  <si>
    <t>43</t>
  </si>
  <si>
    <t>022002VRN</t>
  </si>
  <si>
    <t>Zkoušky a revize</t>
  </si>
  <si>
    <t>44</t>
  </si>
  <si>
    <t>023002VRN</t>
  </si>
  <si>
    <t>Zařízení staveniště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</si>
  <si>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</si>
  <si>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</si>
  <si>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</si>
  <si>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</si>
  <si>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</si>
  <si>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</si>
  <si>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</si>
  <si>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</si>
  <si>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</si>
  <si>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</si>
  <si>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</si>
  <si>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</si>
  <si>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</si>
  <si>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</si>
  <si>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</si>
  <si>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</si>
  <si>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</si>
  <si>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</si>
  <si>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</si>
  <si>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</si>
  <si>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</si>
  <si>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</si>
  <si>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</si>
  <si>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</si>
  <si>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</si>
  <si>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</si>
  <si>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</si>
  <si>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</si>
  <si>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</si>
  <si>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</si>
  <si>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</si>
  <si>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</si>
  <si>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</si>
  <si>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</si>
  <si>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</si>
  <si>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</si>
  <si>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</si>
  <si>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</si>
  <si>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</si>
  <si>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</si>
  <si>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</si>
  <si>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</si>
  <si>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</si>
  <si>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</si>
  <si>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</si>
  <si>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</si>
  <si>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</si>
  <si>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</si>
  <si>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</si>
  <si>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</si>
  <si>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</si>
  <si>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</si>
  <si>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</si>
  <si>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</si>
  <si>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</si>
  <si>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</si>
  <si>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</si>
  <si>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</si>
  <si>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</si>
  <si>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</si>
  <si>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</si>
  <si>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 Ing. Jan Čížek</t>
  </si>
  <si>
    <t>Povlaková krytina střech do 10°, vč. podložky a systémového kotvení</t>
  </si>
  <si>
    <t>Nátěr podkladní asfaltový</t>
  </si>
  <si>
    <t>Izolace tepelné volně položené, 80 mm</t>
  </si>
  <si>
    <t>Izolace tepelné volně položené, 2x60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</si>
</sst>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4" fontId="9" fillId="0" borderId="41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8" fillId="0" borderId="44" xfId="0" applyFont="1" applyBorder="1" applyAlignment="1">
      <alignment horizontal="left" vertical="center"/>
    </xf>
    <xf numFmtId="4" fontId="9" fillId="0" borderId="4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4" fontId="9" fillId="0" borderId="39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8" fillId="2" borderId="38" xfId="0" applyNumberFormat="1" applyFont="1" applyFill="1" applyBorder="1" applyAlignment="1">
      <alignment horizontal="right" vertical="center"/>
    </xf>
    <xf numFmtId="4" fontId="8" fillId="2" borderId="43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2" fillId="0" borderId="64" xfId="0" applyFont="1" applyBorder="1" applyAlignment="1">
      <alignment horizontal="right" vertical="center"/>
    </xf>
    <xf numFmtId="4" fontId="3" fillId="0" borderId="41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left" vertical="center"/>
    </xf>
    <xf numFmtId="4" fontId="3" fillId="0" borderId="68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2" xfId="0" applyFont="1" applyBorder="1" applyAlignment="1">
      <alignment horizontal="right" vertical="center"/>
    </xf>
    <xf numFmtId="4" fontId="2" fillId="0" borderId="7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2" borderId="50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8" fillId="0" borderId="6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4" fontId="8" fillId="0" borderId="73" xfId="0" applyNumberFormat="1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0" fontId="8" fillId="0" borderId="71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8"/>
  <sheetViews>
    <sheetView workbookViewId="0">
      <pane ySplit="11" topLeftCell="A57" activePane="bottomLeft" state="frozen"/>
      <selection pane="bottomLeft" activeCell="C20" sqref="C20:D20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28.570312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64.28515625" hidden="1" customWidth="1"/>
    <col min="77" max="78" width="12.140625" hidden="1"/>
  </cols>
  <sheetData>
    <row r="1" spans="1:76" ht="54.7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60" t="s">
        <v>1</v>
      </c>
      <c r="B2" s="61"/>
      <c r="C2" s="69" t="s">
        <v>2</v>
      </c>
      <c r="D2" s="70"/>
      <c r="E2" s="61" t="s">
        <v>3</v>
      </c>
      <c r="F2" s="61"/>
      <c r="G2" s="61" t="s">
        <v>4</v>
      </c>
      <c r="H2" s="67" t="s">
        <v>5</v>
      </c>
      <c r="I2" s="67" t="s">
        <v>6</v>
      </c>
      <c r="J2" s="61"/>
      <c r="K2" s="72"/>
    </row>
    <row r="3" spans="1:76" x14ac:dyDescent="0.25">
      <c r="A3" s="62"/>
      <c r="B3" s="63"/>
      <c r="C3" s="71"/>
      <c r="D3" s="71"/>
      <c r="E3" s="63"/>
      <c r="F3" s="63"/>
      <c r="G3" s="63"/>
      <c r="H3" s="63"/>
      <c r="I3" s="63"/>
      <c r="J3" s="63"/>
      <c r="K3" s="73"/>
    </row>
    <row r="4" spans="1:76" x14ac:dyDescent="0.25">
      <c r="A4" s="64" t="s">
        <v>7</v>
      </c>
      <c r="B4" s="63"/>
      <c r="C4" s="68" t="s">
        <v>4</v>
      </c>
      <c r="D4" s="63"/>
      <c r="E4" s="63" t="s">
        <v>8</v>
      </c>
      <c r="F4" s="63"/>
      <c r="G4" s="63"/>
      <c r="H4" s="68" t="s">
        <v>10</v>
      </c>
      <c r="I4" s="68" t="s">
        <v>11</v>
      </c>
      <c r="J4" s="63"/>
      <c r="K4" s="73"/>
    </row>
    <row r="5" spans="1:76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73"/>
    </row>
    <row r="6" spans="1:76" x14ac:dyDescent="0.25">
      <c r="A6" s="64" t="s">
        <v>12</v>
      </c>
      <c r="B6" s="63"/>
      <c r="C6" s="68" t="s">
        <v>13</v>
      </c>
      <c r="D6" s="63"/>
      <c r="E6" s="63" t="s">
        <v>14</v>
      </c>
      <c r="F6" s="63"/>
      <c r="G6" s="63" t="s">
        <v>4</v>
      </c>
      <c r="H6" s="68" t="s">
        <v>15</v>
      </c>
      <c r="I6" s="63" t="s">
        <v>16</v>
      </c>
      <c r="J6" s="63"/>
      <c r="K6" s="73"/>
    </row>
    <row r="7" spans="1:76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73"/>
    </row>
    <row r="8" spans="1:76" x14ac:dyDescent="0.25">
      <c r="A8" s="64" t="s">
        <v>17</v>
      </c>
      <c r="B8" s="63"/>
      <c r="C8" s="68" t="s">
        <v>4</v>
      </c>
      <c r="D8" s="63"/>
      <c r="E8" s="63" t="s">
        <v>18</v>
      </c>
      <c r="F8" s="63"/>
      <c r="G8" s="63" t="s">
        <v>9</v>
      </c>
      <c r="H8" s="68" t="s">
        <v>19</v>
      </c>
      <c r="I8" s="63" t="s">
        <v>278</v>
      </c>
      <c r="J8" s="63"/>
      <c r="K8" s="73"/>
    </row>
    <row r="9" spans="1:76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74"/>
    </row>
    <row r="10" spans="1:76" x14ac:dyDescent="0.25">
      <c r="A10" s="5" t="s">
        <v>20</v>
      </c>
      <c r="B10" s="6" t="s">
        <v>21</v>
      </c>
      <c r="C10" s="75" t="s">
        <v>22</v>
      </c>
      <c r="D10" s="76"/>
      <c r="E10" s="6" t="s">
        <v>23</v>
      </c>
      <c r="F10" s="7" t="s">
        <v>24</v>
      </c>
      <c r="G10" s="8" t="s">
        <v>25</v>
      </c>
      <c r="H10" s="79" t="s">
        <v>26</v>
      </c>
      <c r="I10" s="80"/>
      <c r="J10" s="81"/>
      <c r="K10" s="9" t="s">
        <v>27</v>
      </c>
      <c r="BK10" s="10" t="s">
        <v>28</v>
      </c>
      <c r="BL10" s="11" t="s">
        <v>29</v>
      </c>
      <c r="BW10" s="11" t="s">
        <v>30</v>
      </c>
    </row>
    <row r="11" spans="1:76" x14ac:dyDescent="0.25">
      <c r="A11" s="12" t="s">
        <v>4</v>
      </c>
      <c r="B11" s="13" t="s">
        <v>4</v>
      </c>
      <c r="C11" s="77" t="s">
        <v>31</v>
      </c>
      <c r="D11" s="78"/>
      <c r="E11" s="13" t="s">
        <v>4</v>
      </c>
      <c r="F11" s="13" t="s">
        <v>4</v>
      </c>
      <c r="G11" s="14" t="s">
        <v>32</v>
      </c>
      <c r="H11" s="15" t="s">
        <v>33</v>
      </c>
      <c r="I11" s="16" t="s">
        <v>34</v>
      </c>
      <c r="J11" s="17" t="s">
        <v>35</v>
      </c>
      <c r="K11" s="18" t="s">
        <v>36</v>
      </c>
      <c r="Z11" s="10" t="s">
        <v>37</v>
      </c>
      <c r="AA11" s="10" t="s">
        <v>38</v>
      </c>
      <c r="AB11" s="10" t="s">
        <v>39</v>
      </c>
      <c r="AC11" s="10" t="s">
        <v>40</v>
      </c>
      <c r="AD11" s="10" t="s">
        <v>41</v>
      </c>
      <c r="AE11" s="10" t="s">
        <v>42</v>
      </c>
      <c r="AF11" s="10" t="s">
        <v>43</v>
      </c>
      <c r="AG11" s="10" t="s">
        <v>44</v>
      </c>
      <c r="AH11" s="10" t="s">
        <v>45</v>
      </c>
      <c r="BH11" s="10" t="s">
        <v>46</v>
      </c>
      <c r="BI11" s="10" t="s">
        <v>47</v>
      </c>
      <c r="BJ11" s="10" t="s">
        <v>48</v>
      </c>
    </row>
    <row r="12" spans="1:76" x14ac:dyDescent="0.25">
      <c r="A12" s="19" t="s">
        <v>49</v>
      </c>
      <c r="B12" s="20" t="s">
        <v>50</v>
      </c>
      <c r="C12" s="82" t="s">
        <v>51</v>
      </c>
      <c r="D12" s="83"/>
      <c r="E12" s="21" t="s">
        <v>4</v>
      </c>
      <c r="F12" s="21" t="s">
        <v>4</v>
      </c>
      <c r="G12" s="21" t="s">
        <v>4</v>
      </c>
      <c r="H12" s="22">
        <f>SUM(H13:H21)</f>
        <v>0</v>
      </c>
      <c r="I12" s="22">
        <f>SUM(I13:I21)</f>
        <v>0</v>
      </c>
      <c r="J12" s="22">
        <f>SUM(J13:J21)</f>
        <v>0</v>
      </c>
      <c r="K12" s="23" t="s">
        <v>49</v>
      </c>
      <c r="AI12" s="10" t="s">
        <v>49</v>
      </c>
      <c r="AS12" s="1">
        <f>SUM(AJ13:AJ21)</f>
        <v>0</v>
      </c>
      <c r="AT12" s="1">
        <f>SUM(AK13:AK21)</f>
        <v>0</v>
      </c>
      <c r="AU12" s="1">
        <f>SUM(AL13:AL21)</f>
        <v>0</v>
      </c>
    </row>
    <row r="13" spans="1:76" x14ac:dyDescent="0.25">
      <c r="A13" s="2" t="s">
        <v>52</v>
      </c>
      <c r="B13" s="3" t="s">
        <v>53</v>
      </c>
      <c r="C13" s="68" t="s">
        <v>54</v>
      </c>
      <c r="D13" s="63"/>
      <c r="E13" s="3" t="s">
        <v>55</v>
      </c>
      <c r="F13" s="24">
        <v>4480.6000000000004</v>
      </c>
      <c r="G13" s="24">
        <v>0</v>
      </c>
      <c r="H13" s="24">
        <f t="shared" ref="H13:H21" si="0">F13*AO13</f>
        <v>0</v>
      </c>
      <c r="I13" s="24">
        <f t="shared" ref="I13:I21" si="1">F13*AP13</f>
        <v>0</v>
      </c>
      <c r="J13" s="24">
        <f t="shared" ref="J13:J21" si="2">F13*G13</f>
        <v>0</v>
      </c>
      <c r="K13" s="25" t="s">
        <v>56</v>
      </c>
      <c r="Z13" s="24">
        <f t="shared" ref="Z13:Z21" si="3">IF(AQ13="5",BJ13,0)</f>
        <v>0</v>
      </c>
      <c r="AB13" s="24">
        <f t="shared" ref="AB13:AB21" si="4">IF(AQ13="1",BH13,0)</f>
        <v>0</v>
      </c>
      <c r="AC13" s="24">
        <f t="shared" ref="AC13:AC21" si="5">IF(AQ13="1",BI13,0)</f>
        <v>0</v>
      </c>
      <c r="AD13" s="24">
        <f t="shared" ref="AD13:AD21" si="6">IF(AQ13="7",BH13,0)</f>
        <v>0</v>
      </c>
      <c r="AE13" s="24">
        <f t="shared" ref="AE13:AE21" si="7">IF(AQ13="7",BI13,0)</f>
        <v>0</v>
      </c>
      <c r="AF13" s="24">
        <f t="shared" ref="AF13:AF21" si="8">IF(AQ13="2",BH13,0)</f>
        <v>0</v>
      </c>
      <c r="AG13" s="24">
        <f t="shared" ref="AG13:AG21" si="9">IF(AQ13="2",BI13,0)</f>
        <v>0</v>
      </c>
      <c r="AH13" s="24">
        <f t="shared" ref="AH13:AH21" si="10">IF(AQ13="0",BJ13,0)</f>
        <v>0</v>
      </c>
      <c r="AI13" s="10" t="s">
        <v>49</v>
      </c>
      <c r="AJ13" s="24">
        <f t="shared" ref="AJ13:AJ21" si="11">IF(AN13=0,J13,0)</f>
        <v>0</v>
      </c>
      <c r="AK13" s="24">
        <f t="shared" ref="AK13:AK21" si="12">IF(AN13=12,J13,0)</f>
        <v>0</v>
      </c>
      <c r="AL13" s="24">
        <f t="shared" ref="AL13:AL21" si="13">IF(AN13=21,J13,0)</f>
        <v>0</v>
      </c>
      <c r="AN13" s="24">
        <v>21</v>
      </c>
      <c r="AO13" s="24">
        <f>G13*0</f>
        <v>0</v>
      </c>
      <c r="AP13" s="24">
        <f>G13*(1-0)</f>
        <v>0</v>
      </c>
      <c r="AQ13" s="26" t="s">
        <v>57</v>
      </c>
      <c r="AV13" s="24">
        <f t="shared" ref="AV13:AV21" si="14">AW13+AX13</f>
        <v>0</v>
      </c>
      <c r="AW13" s="24">
        <f t="shared" ref="AW13:AW21" si="15">F13*AO13</f>
        <v>0</v>
      </c>
      <c r="AX13" s="24">
        <f t="shared" ref="AX13:AX21" si="16">F13*AP13</f>
        <v>0</v>
      </c>
      <c r="AY13" s="26" t="s">
        <v>58</v>
      </c>
      <c r="AZ13" s="26" t="s">
        <v>59</v>
      </c>
      <c r="BA13" s="10" t="s">
        <v>60</v>
      </c>
      <c r="BC13" s="24">
        <f t="shared" ref="BC13:BC21" si="17">AW13+AX13</f>
        <v>0</v>
      </c>
      <c r="BD13" s="24">
        <f t="shared" ref="BD13:BD21" si="18">G13/(100-BE13)*100</f>
        <v>0</v>
      </c>
      <c r="BE13" s="24">
        <v>0</v>
      </c>
      <c r="BF13" s="24">
        <f>13</f>
        <v>13</v>
      </c>
      <c r="BH13" s="24">
        <f t="shared" ref="BH13:BH21" si="19">F13*AO13</f>
        <v>0</v>
      </c>
      <c r="BI13" s="24">
        <f t="shared" ref="BI13:BI21" si="20">F13*AP13</f>
        <v>0</v>
      </c>
      <c r="BJ13" s="24">
        <f t="shared" ref="BJ13:BJ21" si="21">F13*G13</f>
        <v>0</v>
      </c>
      <c r="BK13" s="24"/>
      <c r="BL13" s="24">
        <v>712</v>
      </c>
      <c r="BW13" s="24">
        <v>21</v>
      </c>
      <c r="BX13" s="4" t="s">
        <v>54</v>
      </c>
    </row>
    <row r="14" spans="1:76" x14ac:dyDescent="0.25">
      <c r="A14" s="2" t="s">
        <v>61</v>
      </c>
      <c r="B14" s="3" t="s">
        <v>62</v>
      </c>
      <c r="C14" s="68" t="s">
        <v>63</v>
      </c>
      <c r="D14" s="63"/>
      <c r="E14" s="3" t="s">
        <v>55</v>
      </c>
      <c r="F14" s="24">
        <v>4480.6000000000004</v>
      </c>
      <c r="G14" s="24">
        <v>0</v>
      </c>
      <c r="H14" s="24">
        <f t="shared" si="0"/>
        <v>0</v>
      </c>
      <c r="I14" s="24">
        <f t="shared" si="1"/>
        <v>0</v>
      </c>
      <c r="J14" s="24">
        <f t="shared" si="2"/>
        <v>0</v>
      </c>
      <c r="K14" s="25" t="s">
        <v>56</v>
      </c>
      <c r="Z14" s="24">
        <f t="shared" si="3"/>
        <v>0</v>
      </c>
      <c r="AB14" s="24">
        <f t="shared" si="4"/>
        <v>0</v>
      </c>
      <c r="AC14" s="24">
        <f t="shared" si="5"/>
        <v>0</v>
      </c>
      <c r="AD14" s="24">
        <f t="shared" si="6"/>
        <v>0</v>
      </c>
      <c r="AE14" s="24">
        <f t="shared" si="7"/>
        <v>0</v>
      </c>
      <c r="AF14" s="24">
        <f t="shared" si="8"/>
        <v>0</v>
      </c>
      <c r="AG14" s="24">
        <f t="shared" si="9"/>
        <v>0</v>
      </c>
      <c r="AH14" s="24">
        <f t="shared" si="10"/>
        <v>0</v>
      </c>
      <c r="AI14" s="10" t="s">
        <v>49</v>
      </c>
      <c r="AJ14" s="24">
        <f t="shared" si="11"/>
        <v>0</v>
      </c>
      <c r="AK14" s="24">
        <f t="shared" si="12"/>
        <v>0</v>
      </c>
      <c r="AL14" s="24">
        <f t="shared" si="13"/>
        <v>0</v>
      </c>
      <c r="AN14" s="24">
        <v>21</v>
      </c>
      <c r="AO14" s="24">
        <f>G14*0</f>
        <v>0</v>
      </c>
      <c r="AP14" s="24">
        <f>G14*(1-0)</f>
        <v>0</v>
      </c>
      <c r="AQ14" s="26" t="s">
        <v>57</v>
      </c>
      <c r="AV14" s="24">
        <f t="shared" si="14"/>
        <v>0</v>
      </c>
      <c r="AW14" s="24">
        <f t="shared" si="15"/>
        <v>0</v>
      </c>
      <c r="AX14" s="24">
        <f t="shared" si="16"/>
        <v>0</v>
      </c>
      <c r="AY14" s="26" t="s">
        <v>58</v>
      </c>
      <c r="AZ14" s="26" t="s">
        <v>59</v>
      </c>
      <c r="BA14" s="10" t="s">
        <v>60</v>
      </c>
      <c r="BC14" s="24">
        <f t="shared" si="17"/>
        <v>0</v>
      </c>
      <c r="BD14" s="24">
        <f t="shared" si="18"/>
        <v>0</v>
      </c>
      <c r="BE14" s="24">
        <v>0</v>
      </c>
      <c r="BF14" s="24">
        <f>14</f>
        <v>14</v>
      </c>
      <c r="BH14" s="24">
        <f t="shared" si="19"/>
        <v>0</v>
      </c>
      <c r="BI14" s="24">
        <f t="shared" si="20"/>
        <v>0</v>
      </c>
      <c r="BJ14" s="24">
        <f t="shared" si="21"/>
        <v>0</v>
      </c>
      <c r="BK14" s="24"/>
      <c r="BL14" s="24">
        <v>712</v>
      </c>
      <c r="BW14" s="24">
        <v>21</v>
      </c>
      <c r="BX14" s="4" t="s">
        <v>63</v>
      </c>
    </row>
    <row r="15" spans="1:76" ht="25.5" x14ac:dyDescent="0.25">
      <c r="A15" s="2" t="s">
        <v>64</v>
      </c>
      <c r="B15" s="3" t="s">
        <v>65</v>
      </c>
      <c r="C15" s="68" t="s">
        <v>66</v>
      </c>
      <c r="D15" s="63"/>
      <c r="E15" s="3" t="s">
        <v>55</v>
      </c>
      <c r="F15" s="24">
        <v>4480.6000000000004</v>
      </c>
      <c r="G15" s="24">
        <v>0</v>
      </c>
      <c r="H15" s="24">
        <f t="shared" si="0"/>
        <v>0</v>
      </c>
      <c r="I15" s="24">
        <f t="shared" si="1"/>
        <v>0</v>
      </c>
      <c r="J15" s="24">
        <f t="shared" si="2"/>
        <v>0</v>
      </c>
      <c r="K15" s="25" t="s">
        <v>56</v>
      </c>
      <c r="Z15" s="24">
        <f t="shared" si="3"/>
        <v>0</v>
      </c>
      <c r="AB15" s="24">
        <f t="shared" si="4"/>
        <v>0</v>
      </c>
      <c r="AC15" s="24">
        <f t="shared" si="5"/>
        <v>0</v>
      </c>
      <c r="AD15" s="24">
        <f t="shared" si="6"/>
        <v>0</v>
      </c>
      <c r="AE15" s="24">
        <f t="shared" si="7"/>
        <v>0</v>
      </c>
      <c r="AF15" s="24">
        <f t="shared" si="8"/>
        <v>0</v>
      </c>
      <c r="AG15" s="24">
        <f t="shared" si="9"/>
        <v>0</v>
      </c>
      <c r="AH15" s="24">
        <f t="shared" si="10"/>
        <v>0</v>
      </c>
      <c r="AI15" s="10" t="s">
        <v>49</v>
      </c>
      <c r="AJ15" s="24">
        <f t="shared" si="11"/>
        <v>0</v>
      </c>
      <c r="AK15" s="24">
        <f t="shared" si="12"/>
        <v>0</v>
      </c>
      <c r="AL15" s="24">
        <f t="shared" si="13"/>
        <v>0</v>
      </c>
      <c r="AN15" s="24">
        <v>21</v>
      </c>
      <c r="AO15" s="24">
        <f>G15*0</f>
        <v>0</v>
      </c>
      <c r="AP15" s="24">
        <f>G15*(1-0)</f>
        <v>0</v>
      </c>
      <c r="AQ15" s="26" t="s">
        <v>57</v>
      </c>
      <c r="AV15" s="24">
        <f t="shared" si="14"/>
        <v>0</v>
      </c>
      <c r="AW15" s="24">
        <f t="shared" si="15"/>
        <v>0</v>
      </c>
      <c r="AX15" s="24">
        <f t="shared" si="16"/>
        <v>0</v>
      </c>
      <c r="AY15" s="26" t="s">
        <v>58</v>
      </c>
      <c r="AZ15" s="26" t="s">
        <v>59</v>
      </c>
      <c r="BA15" s="10" t="s">
        <v>60</v>
      </c>
      <c r="BC15" s="24">
        <f t="shared" si="17"/>
        <v>0</v>
      </c>
      <c r="BD15" s="24">
        <f t="shared" si="18"/>
        <v>0</v>
      </c>
      <c r="BE15" s="24">
        <v>0</v>
      </c>
      <c r="BF15" s="24">
        <f>15</f>
        <v>15</v>
      </c>
      <c r="BH15" s="24">
        <f t="shared" si="19"/>
        <v>0</v>
      </c>
      <c r="BI15" s="24">
        <f t="shared" si="20"/>
        <v>0</v>
      </c>
      <c r="BJ15" s="24">
        <f t="shared" si="21"/>
        <v>0</v>
      </c>
      <c r="BK15" s="24"/>
      <c r="BL15" s="24">
        <v>712</v>
      </c>
      <c r="BW15" s="24">
        <v>21</v>
      </c>
      <c r="BX15" s="4" t="s">
        <v>66</v>
      </c>
    </row>
    <row r="16" spans="1:76" x14ac:dyDescent="0.25">
      <c r="A16" s="2" t="s">
        <v>67</v>
      </c>
      <c r="B16" s="3" t="s">
        <v>53</v>
      </c>
      <c r="C16" s="68" t="s">
        <v>68</v>
      </c>
      <c r="D16" s="63"/>
      <c r="E16" s="3" t="s">
        <v>55</v>
      </c>
      <c r="F16" s="24">
        <v>4480.6000000000004</v>
      </c>
      <c r="G16" s="24">
        <v>0</v>
      </c>
      <c r="H16" s="24">
        <f t="shared" si="0"/>
        <v>0</v>
      </c>
      <c r="I16" s="24">
        <f t="shared" si="1"/>
        <v>0</v>
      </c>
      <c r="J16" s="24">
        <f t="shared" si="2"/>
        <v>0</v>
      </c>
      <c r="K16" s="25" t="s">
        <v>56</v>
      </c>
      <c r="Z16" s="24">
        <f t="shared" si="3"/>
        <v>0</v>
      </c>
      <c r="AB16" s="24">
        <f t="shared" si="4"/>
        <v>0</v>
      </c>
      <c r="AC16" s="24">
        <f t="shared" si="5"/>
        <v>0</v>
      </c>
      <c r="AD16" s="24">
        <f t="shared" si="6"/>
        <v>0</v>
      </c>
      <c r="AE16" s="24">
        <f t="shared" si="7"/>
        <v>0</v>
      </c>
      <c r="AF16" s="24">
        <f t="shared" si="8"/>
        <v>0</v>
      </c>
      <c r="AG16" s="24">
        <f t="shared" si="9"/>
        <v>0</v>
      </c>
      <c r="AH16" s="24">
        <f t="shared" si="10"/>
        <v>0</v>
      </c>
      <c r="AI16" s="10" t="s">
        <v>49</v>
      </c>
      <c r="AJ16" s="24">
        <f t="shared" si="11"/>
        <v>0</v>
      </c>
      <c r="AK16" s="24">
        <f t="shared" si="12"/>
        <v>0</v>
      </c>
      <c r="AL16" s="24">
        <f t="shared" si="13"/>
        <v>0</v>
      </c>
      <c r="AN16" s="24">
        <v>21</v>
      </c>
      <c r="AO16" s="24">
        <f>G16*0</f>
        <v>0</v>
      </c>
      <c r="AP16" s="24">
        <f>G16*(1-0)</f>
        <v>0</v>
      </c>
      <c r="AQ16" s="26" t="s">
        <v>57</v>
      </c>
      <c r="AV16" s="24">
        <f t="shared" si="14"/>
        <v>0</v>
      </c>
      <c r="AW16" s="24">
        <f t="shared" si="15"/>
        <v>0</v>
      </c>
      <c r="AX16" s="24">
        <f t="shared" si="16"/>
        <v>0</v>
      </c>
      <c r="AY16" s="26" t="s">
        <v>58</v>
      </c>
      <c r="AZ16" s="26" t="s">
        <v>59</v>
      </c>
      <c r="BA16" s="10" t="s">
        <v>60</v>
      </c>
      <c r="BC16" s="24">
        <f t="shared" si="17"/>
        <v>0</v>
      </c>
      <c r="BD16" s="24">
        <f t="shared" si="18"/>
        <v>0</v>
      </c>
      <c r="BE16" s="24">
        <v>0</v>
      </c>
      <c r="BF16" s="24">
        <f>16</f>
        <v>16</v>
      </c>
      <c r="BH16" s="24">
        <f t="shared" si="19"/>
        <v>0</v>
      </c>
      <c r="BI16" s="24">
        <f t="shared" si="20"/>
        <v>0</v>
      </c>
      <c r="BJ16" s="24">
        <f t="shared" si="21"/>
        <v>0</v>
      </c>
      <c r="BK16" s="24"/>
      <c r="BL16" s="24">
        <v>712</v>
      </c>
      <c r="BW16" s="24">
        <v>21</v>
      </c>
      <c r="BX16" s="4" t="s">
        <v>68</v>
      </c>
    </row>
    <row r="17" spans="1:76" x14ac:dyDescent="0.25">
      <c r="A17" s="2" t="s">
        <v>69</v>
      </c>
      <c r="B17" s="3" t="s">
        <v>53</v>
      </c>
      <c r="C17" s="68" t="s">
        <v>70</v>
      </c>
      <c r="D17" s="63"/>
      <c r="E17" s="3" t="s">
        <v>55</v>
      </c>
      <c r="F17" s="24">
        <v>4480.6000000000004</v>
      </c>
      <c r="G17" s="24">
        <v>0</v>
      </c>
      <c r="H17" s="24">
        <f t="shared" si="0"/>
        <v>0</v>
      </c>
      <c r="I17" s="24">
        <f t="shared" si="1"/>
        <v>0</v>
      </c>
      <c r="J17" s="24">
        <f t="shared" si="2"/>
        <v>0</v>
      </c>
      <c r="K17" s="25" t="s">
        <v>56</v>
      </c>
      <c r="Z17" s="24">
        <f t="shared" si="3"/>
        <v>0</v>
      </c>
      <c r="AB17" s="24">
        <f t="shared" si="4"/>
        <v>0</v>
      </c>
      <c r="AC17" s="24">
        <f t="shared" si="5"/>
        <v>0</v>
      </c>
      <c r="AD17" s="24">
        <f t="shared" si="6"/>
        <v>0</v>
      </c>
      <c r="AE17" s="24">
        <f t="shared" si="7"/>
        <v>0</v>
      </c>
      <c r="AF17" s="24">
        <f t="shared" si="8"/>
        <v>0</v>
      </c>
      <c r="AG17" s="24">
        <f t="shared" si="9"/>
        <v>0</v>
      </c>
      <c r="AH17" s="24">
        <f t="shared" si="10"/>
        <v>0</v>
      </c>
      <c r="AI17" s="10" t="s">
        <v>49</v>
      </c>
      <c r="AJ17" s="24">
        <f t="shared" si="11"/>
        <v>0</v>
      </c>
      <c r="AK17" s="24">
        <f t="shared" si="12"/>
        <v>0</v>
      </c>
      <c r="AL17" s="24">
        <f t="shared" si="13"/>
        <v>0</v>
      </c>
      <c r="AN17" s="24">
        <v>21</v>
      </c>
      <c r="AO17" s="24">
        <f>G17*0</f>
        <v>0</v>
      </c>
      <c r="AP17" s="24">
        <f>G17*(1-0)</f>
        <v>0</v>
      </c>
      <c r="AQ17" s="26" t="s">
        <v>57</v>
      </c>
      <c r="AV17" s="24">
        <f t="shared" si="14"/>
        <v>0</v>
      </c>
      <c r="AW17" s="24">
        <f t="shared" si="15"/>
        <v>0</v>
      </c>
      <c r="AX17" s="24">
        <f t="shared" si="16"/>
        <v>0</v>
      </c>
      <c r="AY17" s="26" t="s">
        <v>58</v>
      </c>
      <c r="AZ17" s="26" t="s">
        <v>59</v>
      </c>
      <c r="BA17" s="10" t="s">
        <v>60</v>
      </c>
      <c r="BC17" s="24">
        <f t="shared" si="17"/>
        <v>0</v>
      </c>
      <c r="BD17" s="24">
        <f t="shared" si="18"/>
        <v>0</v>
      </c>
      <c r="BE17" s="24">
        <v>0</v>
      </c>
      <c r="BF17" s="24">
        <f>17</f>
        <v>17</v>
      </c>
      <c r="BH17" s="24">
        <f t="shared" si="19"/>
        <v>0</v>
      </c>
      <c r="BI17" s="24">
        <f t="shared" si="20"/>
        <v>0</v>
      </c>
      <c r="BJ17" s="24">
        <f t="shared" si="21"/>
        <v>0</v>
      </c>
      <c r="BK17" s="24"/>
      <c r="BL17" s="24">
        <v>712</v>
      </c>
      <c r="BW17" s="24">
        <v>21</v>
      </c>
      <c r="BX17" s="4" t="s">
        <v>70</v>
      </c>
    </row>
    <row r="18" spans="1:76" ht="25.5" x14ac:dyDescent="0.25">
      <c r="A18" s="2" t="s">
        <v>71</v>
      </c>
      <c r="B18" s="3" t="s">
        <v>72</v>
      </c>
      <c r="C18" s="68" t="s">
        <v>279</v>
      </c>
      <c r="D18" s="63"/>
      <c r="E18" s="3" t="s">
        <v>55</v>
      </c>
      <c r="F18" s="24">
        <v>4480.6000000000004</v>
      </c>
      <c r="G18" s="24">
        <v>0</v>
      </c>
      <c r="H18" s="24">
        <f t="shared" si="0"/>
        <v>0</v>
      </c>
      <c r="I18" s="24">
        <f t="shared" si="1"/>
        <v>0</v>
      </c>
      <c r="J18" s="24">
        <f t="shared" si="2"/>
        <v>0</v>
      </c>
      <c r="K18" s="25" t="s">
        <v>56</v>
      </c>
      <c r="Z18" s="24">
        <f t="shared" si="3"/>
        <v>0</v>
      </c>
      <c r="AB18" s="24">
        <f t="shared" si="4"/>
        <v>0</v>
      </c>
      <c r="AC18" s="24">
        <f t="shared" si="5"/>
        <v>0</v>
      </c>
      <c r="AD18" s="24">
        <f t="shared" si="6"/>
        <v>0</v>
      </c>
      <c r="AE18" s="24">
        <f t="shared" si="7"/>
        <v>0</v>
      </c>
      <c r="AF18" s="24">
        <f t="shared" si="8"/>
        <v>0</v>
      </c>
      <c r="AG18" s="24">
        <f t="shared" si="9"/>
        <v>0</v>
      </c>
      <c r="AH18" s="24">
        <f t="shared" si="10"/>
        <v>0</v>
      </c>
      <c r="AI18" s="10" t="s">
        <v>49</v>
      </c>
      <c r="AJ18" s="24">
        <f t="shared" si="11"/>
        <v>0</v>
      </c>
      <c r="AK18" s="24">
        <f t="shared" si="12"/>
        <v>0</v>
      </c>
      <c r="AL18" s="24">
        <f t="shared" si="13"/>
        <v>0</v>
      </c>
      <c r="AN18" s="24">
        <v>21</v>
      </c>
      <c r="AO18" s="24">
        <f>G18*0.525998742</f>
        <v>0</v>
      </c>
      <c r="AP18" s="24">
        <f>G18*(1-0.525998742)</f>
        <v>0</v>
      </c>
      <c r="AQ18" s="26" t="s">
        <v>57</v>
      </c>
      <c r="AV18" s="24">
        <f t="shared" si="14"/>
        <v>0</v>
      </c>
      <c r="AW18" s="24">
        <f t="shared" si="15"/>
        <v>0</v>
      </c>
      <c r="AX18" s="24">
        <f t="shared" si="16"/>
        <v>0</v>
      </c>
      <c r="AY18" s="26" t="s">
        <v>58</v>
      </c>
      <c r="AZ18" s="26" t="s">
        <v>59</v>
      </c>
      <c r="BA18" s="10" t="s">
        <v>60</v>
      </c>
      <c r="BC18" s="24">
        <f t="shared" si="17"/>
        <v>0</v>
      </c>
      <c r="BD18" s="24">
        <f t="shared" si="18"/>
        <v>0</v>
      </c>
      <c r="BE18" s="24">
        <v>0</v>
      </c>
      <c r="BF18" s="24">
        <f>18</f>
        <v>18</v>
      </c>
      <c r="BH18" s="24">
        <f t="shared" si="19"/>
        <v>0</v>
      </c>
      <c r="BI18" s="24">
        <f t="shared" si="20"/>
        <v>0</v>
      </c>
      <c r="BJ18" s="24">
        <f t="shared" si="21"/>
        <v>0</v>
      </c>
      <c r="BK18" s="24"/>
      <c r="BL18" s="24">
        <v>712</v>
      </c>
      <c r="BW18" s="24">
        <v>21</v>
      </c>
      <c r="BX18" s="4" t="s">
        <v>73</v>
      </c>
    </row>
    <row r="19" spans="1:76" x14ac:dyDescent="0.25">
      <c r="A19" s="2" t="s">
        <v>57</v>
      </c>
      <c r="B19" s="3" t="s">
        <v>74</v>
      </c>
      <c r="C19" s="68" t="s">
        <v>75</v>
      </c>
      <c r="D19" s="63"/>
      <c r="E19" s="3" t="s">
        <v>55</v>
      </c>
      <c r="F19" s="24">
        <v>4480.6000000000004</v>
      </c>
      <c r="G19" s="24">
        <v>0</v>
      </c>
      <c r="H19" s="24">
        <f t="shared" si="0"/>
        <v>0</v>
      </c>
      <c r="I19" s="24">
        <f t="shared" si="1"/>
        <v>0</v>
      </c>
      <c r="J19" s="24">
        <f t="shared" si="2"/>
        <v>0</v>
      </c>
      <c r="K19" s="25" t="s">
        <v>56</v>
      </c>
      <c r="Z19" s="24">
        <f t="shared" si="3"/>
        <v>0</v>
      </c>
      <c r="AB19" s="24">
        <f t="shared" si="4"/>
        <v>0</v>
      </c>
      <c r="AC19" s="24">
        <f t="shared" si="5"/>
        <v>0</v>
      </c>
      <c r="AD19" s="24">
        <f t="shared" si="6"/>
        <v>0</v>
      </c>
      <c r="AE19" s="24">
        <f t="shared" si="7"/>
        <v>0</v>
      </c>
      <c r="AF19" s="24">
        <f t="shared" si="8"/>
        <v>0</v>
      </c>
      <c r="AG19" s="24">
        <f t="shared" si="9"/>
        <v>0</v>
      </c>
      <c r="AH19" s="24">
        <f t="shared" si="10"/>
        <v>0</v>
      </c>
      <c r="AI19" s="10" t="s">
        <v>49</v>
      </c>
      <c r="AJ19" s="24">
        <f t="shared" si="11"/>
        <v>0</v>
      </c>
      <c r="AK19" s="24">
        <f t="shared" si="12"/>
        <v>0</v>
      </c>
      <c r="AL19" s="24">
        <f t="shared" si="13"/>
        <v>0</v>
      </c>
      <c r="AN19" s="24">
        <v>21</v>
      </c>
      <c r="AO19" s="24">
        <f>G19*0.298307546</f>
        <v>0</v>
      </c>
      <c r="AP19" s="24">
        <f>G19*(1-0.298307546)</f>
        <v>0</v>
      </c>
      <c r="AQ19" s="26" t="s">
        <v>57</v>
      </c>
      <c r="AV19" s="24">
        <f t="shared" si="14"/>
        <v>0</v>
      </c>
      <c r="AW19" s="24">
        <f t="shared" si="15"/>
        <v>0</v>
      </c>
      <c r="AX19" s="24">
        <f t="shared" si="16"/>
        <v>0</v>
      </c>
      <c r="AY19" s="26" t="s">
        <v>58</v>
      </c>
      <c r="AZ19" s="26" t="s">
        <v>59</v>
      </c>
      <c r="BA19" s="10" t="s">
        <v>60</v>
      </c>
      <c r="BC19" s="24">
        <f t="shared" si="17"/>
        <v>0</v>
      </c>
      <c r="BD19" s="24">
        <f t="shared" si="18"/>
        <v>0</v>
      </c>
      <c r="BE19" s="24">
        <v>0</v>
      </c>
      <c r="BF19" s="24">
        <f>19</f>
        <v>19</v>
      </c>
      <c r="BH19" s="24">
        <f t="shared" si="19"/>
        <v>0</v>
      </c>
      <c r="BI19" s="24">
        <f t="shared" si="20"/>
        <v>0</v>
      </c>
      <c r="BJ19" s="24">
        <f t="shared" si="21"/>
        <v>0</v>
      </c>
      <c r="BK19" s="24"/>
      <c r="BL19" s="24">
        <v>712</v>
      </c>
      <c r="BW19" s="24">
        <v>21</v>
      </c>
      <c r="BX19" s="4" t="s">
        <v>75</v>
      </c>
    </row>
    <row r="20" spans="1:76" x14ac:dyDescent="0.25">
      <c r="A20" s="2" t="s">
        <v>76</v>
      </c>
      <c r="B20" s="3" t="s">
        <v>77</v>
      </c>
      <c r="C20" s="68" t="s">
        <v>78</v>
      </c>
      <c r="D20" s="63"/>
      <c r="E20" s="3" t="s">
        <v>55</v>
      </c>
      <c r="F20" s="24">
        <v>4480.6000000000004</v>
      </c>
      <c r="G20" s="24">
        <v>0</v>
      </c>
      <c r="H20" s="24">
        <f t="shared" si="0"/>
        <v>0</v>
      </c>
      <c r="I20" s="24">
        <f t="shared" si="1"/>
        <v>0</v>
      </c>
      <c r="J20" s="24">
        <f t="shared" si="2"/>
        <v>0</v>
      </c>
      <c r="K20" s="25" t="s">
        <v>56</v>
      </c>
      <c r="Z20" s="24">
        <f t="shared" si="3"/>
        <v>0</v>
      </c>
      <c r="AB20" s="24">
        <f t="shared" si="4"/>
        <v>0</v>
      </c>
      <c r="AC20" s="24">
        <f t="shared" si="5"/>
        <v>0</v>
      </c>
      <c r="AD20" s="24">
        <f t="shared" si="6"/>
        <v>0</v>
      </c>
      <c r="AE20" s="24">
        <f t="shared" si="7"/>
        <v>0</v>
      </c>
      <c r="AF20" s="24">
        <f t="shared" si="8"/>
        <v>0</v>
      </c>
      <c r="AG20" s="24">
        <f t="shared" si="9"/>
        <v>0</v>
      </c>
      <c r="AH20" s="24">
        <f t="shared" si="10"/>
        <v>0</v>
      </c>
      <c r="AI20" s="10" t="s">
        <v>49</v>
      </c>
      <c r="AJ20" s="24">
        <f t="shared" si="11"/>
        <v>0</v>
      </c>
      <c r="AK20" s="24">
        <f t="shared" si="12"/>
        <v>0</v>
      </c>
      <c r="AL20" s="24">
        <f t="shared" si="13"/>
        <v>0</v>
      </c>
      <c r="AN20" s="24">
        <v>21</v>
      </c>
      <c r="AO20" s="24">
        <f>G20*0.4737</f>
        <v>0</v>
      </c>
      <c r="AP20" s="24">
        <f>G20*(1-0.4737)</f>
        <v>0</v>
      </c>
      <c r="AQ20" s="26" t="s">
        <v>57</v>
      </c>
      <c r="AV20" s="24">
        <f t="shared" si="14"/>
        <v>0</v>
      </c>
      <c r="AW20" s="24">
        <f t="shared" si="15"/>
        <v>0</v>
      </c>
      <c r="AX20" s="24">
        <f t="shared" si="16"/>
        <v>0</v>
      </c>
      <c r="AY20" s="26" t="s">
        <v>58</v>
      </c>
      <c r="AZ20" s="26" t="s">
        <v>59</v>
      </c>
      <c r="BA20" s="10" t="s">
        <v>60</v>
      </c>
      <c r="BC20" s="24">
        <f t="shared" si="17"/>
        <v>0</v>
      </c>
      <c r="BD20" s="24">
        <f t="shared" si="18"/>
        <v>0</v>
      </c>
      <c r="BE20" s="24">
        <v>0</v>
      </c>
      <c r="BF20" s="24">
        <f>20</f>
        <v>20</v>
      </c>
      <c r="BH20" s="24">
        <f t="shared" si="19"/>
        <v>0</v>
      </c>
      <c r="BI20" s="24">
        <f t="shared" si="20"/>
        <v>0</v>
      </c>
      <c r="BJ20" s="24">
        <f t="shared" si="21"/>
        <v>0</v>
      </c>
      <c r="BK20" s="24"/>
      <c r="BL20" s="24">
        <v>712</v>
      </c>
      <c r="BW20" s="24">
        <v>21</v>
      </c>
      <c r="BX20" s="4" t="s">
        <v>78</v>
      </c>
    </row>
    <row r="21" spans="1:76" x14ac:dyDescent="0.25">
      <c r="A21" s="2" t="s">
        <v>79</v>
      </c>
      <c r="B21" s="3" t="s">
        <v>80</v>
      </c>
      <c r="C21" s="68" t="s">
        <v>280</v>
      </c>
      <c r="D21" s="63"/>
      <c r="E21" s="3" t="s">
        <v>55</v>
      </c>
      <c r="F21" s="24">
        <v>4480.6000000000004</v>
      </c>
      <c r="G21" s="24">
        <v>0</v>
      </c>
      <c r="H21" s="24">
        <f t="shared" si="0"/>
        <v>0</v>
      </c>
      <c r="I21" s="24">
        <f t="shared" si="1"/>
        <v>0</v>
      </c>
      <c r="J21" s="24">
        <f t="shared" si="2"/>
        <v>0</v>
      </c>
      <c r="K21" s="25" t="s">
        <v>56</v>
      </c>
      <c r="Z21" s="24">
        <f t="shared" si="3"/>
        <v>0</v>
      </c>
      <c r="AB21" s="24">
        <f t="shared" si="4"/>
        <v>0</v>
      </c>
      <c r="AC21" s="24">
        <f t="shared" si="5"/>
        <v>0</v>
      </c>
      <c r="AD21" s="24">
        <f t="shared" si="6"/>
        <v>0</v>
      </c>
      <c r="AE21" s="24">
        <f t="shared" si="7"/>
        <v>0</v>
      </c>
      <c r="AF21" s="24">
        <f t="shared" si="8"/>
        <v>0</v>
      </c>
      <c r="AG21" s="24">
        <f t="shared" si="9"/>
        <v>0</v>
      </c>
      <c r="AH21" s="24">
        <f t="shared" si="10"/>
        <v>0</v>
      </c>
      <c r="AI21" s="10" t="s">
        <v>49</v>
      </c>
      <c r="AJ21" s="24">
        <f t="shared" si="11"/>
        <v>0</v>
      </c>
      <c r="AK21" s="24">
        <f t="shared" si="12"/>
        <v>0</v>
      </c>
      <c r="AL21" s="24">
        <f t="shared" si="13"/>
        <v>0</v>
      </c>
      <c r="AN21" s="24">
        <v>21</v>
      </c>
      <c r="AO21" s="24">
        <f>G21*0.720240964</f>
        <v>0</v>
      </c>
      <c r="AP21" s="24">
        <f>G21*(1-0.720240964)</f>
        <v>0</v>
      </c>
      <c r="AQ21" s="26" t="s">
        <v>57</v>
      </c>
      <c r="AV21" s="24">
        <f t="shared" si="14"/>
        <v>0</v>
      </c>
      <c r="AW21" s="24">
        <f t="shared" si="15"/>
        <v>0</v>
      </c>
      <c r="AX21" s="24">
        <f t="shared" si="16"/>
        <v>0</v>
      </c>
      <c r="AY21" s="26" t="s">
        <v>58</v>
      </c>
      <c r="AZ21" s="26" t="s">
        <v>59</v>
      </c>
      <c r="BA21" s="10" t="s">
        <v>60</v>
      </c>
      <c r="BC21" s="24">
        <f t="shared" si="17"/>
        <v>0</v>
      </c>
      <c r="BD21" s="24">
        <f t="shared" si="18"/>
        <v>0</v>
      </c>
      <c r="BE21" s="24">
        <v>0</v>
      </c>
      <c r="BF21" s="24">
        <f>21</f>
        <v>21</v>
      </c>
      <c r="BH21" s="24">
        <f t="shared" si="19"/>
        <v>0</v>
      </c>
      <c r="BI21" s="24">
        <f t="shared" si="20"/>
        <v>0</v>
      </c>
      <c r="BJ21" s="24">
        <f t="shared" si="21"/>
        <v>0</v>
      </c>
      <c r="BK21" s="24"/>
      <c r="BL21" s="24">
        <v>712</v>
      </c>
      <c r="BW21" s="24">
        <v>21</v>
      </c>
      <c r="BX21" s="4" t="s">
        <v>81</v>
      </c>
    </row>
    <row r="22" spans="1:76" x14ac:dyDescent="0.25">
      <c r="A22" s="27" t="s">
        <v>49</v>
      </c>
      <c r="B22" s="28" t="s">
        <v>82</v>
      </c>
      <c r="C22" s="84" t="s">
        <v>83</v>
      </c>
      <c r="D22" s="85"/>
      <c r="E22" s="29" t="s">
        <v>4</v>
      </c>
      <c r="F22" s="29" t="s">
        <v>4</v>
      </c>
      <c r="G22" s="29" t="s">
        <v>4</v>
      </c>
      <c r="H22" s="1">
        <f>SUM(H23:H29)</f>
        <v>0</v>
      </c>
      <c r="I22" s="1">
        <f>SUM(I23:I29)</f>
        <v>0</v>
      </c>
      <c r="J22" s="1">
        <f>SUM(J23:J29)</f>
        <v>0</v>
      </c>
      <c r="K22" s="30" t="s">
        <v>49</v>
      </c>
      <c r="AI22" s="10" t="s">
        <v>49</v>
      </c>
      <c r="AS22" s="1">
        <f>SUM(AJ23:AJ29)</f>
        <v>0</v>
      </c>
      <c r="AT22" s="1">
        <f>SUM(AK23:AK29)</f>
        <v>0</v>
      </c>
      <c r="AU22" s="1">
        <f>SUM(AL23:AL29)</f>
        <v>0</v>
      </c>
    </row>
    <row r="23" spans="1:76" ht="25.5" x14ac:dyDescent="0.25">
      <c r="A23" s="2" t="s">
        <v>84</v>
      </c>
      <c r="B23" s="3" t="s">
        <v>85</v>
      </c>
      <c r="C23" s="68" t="s">
        <v>86</v>
      </c>
      <c r="D23" s="63"/>
      <c r="E23" s="3" t="s">
        <v>55</v>
      </c>
      <c r="F23" s="24">
        <v>4480.6000000000004</v>
      </c>
      <c r="G23" s="24">
        <v>0</v>
      </c>
      <c r="H23" s="24">
        <f t="shared" ref="H23:H29" si="22">F23*AO23</f>
        <v>0</v>
      </c>
      <c r="I23" s="24">
        <f t="shared" ref="I23:I29" si="23">F23*AP23</f>
        <v>0</v>
      </c>
      <c r="J23" s="24">
        <f t="shared" ref="J23:J29" si="24">F23*G23</f>
        <v>0</v>
      </c>
      <c r="K23" s="25" t="s">
        <v>56</v>
      </c>
      <c r="Z23" s="24">
        <f t="shared" ref="Z23:Z29" si="25">IF(AQ23="5",BJ23,0)</f>
        <v>0</v>
      </c>
      <c r="AB23" s="24">
        <f t="shared" ref="AB23:AB29" si="26">IF(AQ23="1",BH23,0)</f>
        <v>0</v>
      </c>
      <c r="AC23" s="24">
        <f t="shared" ref="AC23:AC29" si="27">IF(AQ23="1",BI23,0)</f>
        <v>0</v>
      </c>
      <c r="AD23" s="24">
        <f t="shared" ref="AD23:AD29" si="28">IF(AQ23="7",BH23,0)</f>
        <v>0</v>
      </c>
      <c r="AE23" s="24">
        <f t="shared" ref="AE23:AE29" si="29">IF(AQ23="7",BI23,0)</f>
        <v>0</v>
      </c>
      <c r="AF23" s="24">
        <f t="shared" ref="AF23:AF29" si="30">IF(AQ23="2",BH23,0)</f>
        <v>0</v>
      </c>
      <c r="AG23" s="24">
        <f t="shared" ref="AG23:AG29" si="31">IF(AQ23="2",BI23,0)</f>
        <v>0</v>
      </c>
      <c r="AH23" s="24">
        <f t="shared" ref="AH23:AH29" si="32">IF(AQ23="0",BJ23,0)</f>
        <v>0</v>
      </c>
      <c r="AI23" s="10" t="s">
        <v>49</v>
      </c>
      <c r="AJ23" s="24">
        <f t="shared" ref="AJ23:AJ29" si="33">IF(AN23=0,J23,0)</f>
        <v>0</v>
      </c>
      <c r="AK23" s="24">
        <f t="shared" ref="AK23:AK29" si="34">IF(AN23=12,J23,0)</f>
        <v>0</v>
      </c>
      <c r="AL23" s="24">
        <f t="shared" ref="AL23:AL29" si="35">IF(AN23=21,J23,0)</f>
        <v>0</v>
      </c>
      <c r="AN23" s="24">
        <v>21</v>
      </c>
      <c r="AO23" s="24">
        <f>G23*0</f>
        <v>0</v>
      </c>
      <c r="AP23" s="24">
        <f>G23*(1-0)</f>
        <v>0</v>
      </c>
      <c r="AQ23" s="26" t="s">
        <v>57</v>
      </c>
      <c r="AV23" s="24">
        <f t="shared" ref="AV23:AV29" si="36">AW23+AX23</f>
        <v>0</v>
      </c>
      <c r="AW23" s="24">
        <f t="shared" ref="AW23:AW29" si="37">F23*AO23</f>
        <v>0</v>
      </c>
      <c r="AX23" s="24">
        <f t="shared" ref="AX23:AX29" si="38">F23*AP23</f>
        <v>0</v>
      </c>
      <c r="AY23" s="26" t="s">
        <v>87</v>
      </c>
      <c r="AZ23" s="26" t="s">
        <v>59</v>
      </c>
      <c r="BA23" s="10" t="s">
        <v>60</v>
      </c>
      <c r="BC23" s="24">
        <f t="shared" ref="BC23:BC29" si="39">AW23+AX23</f>
        <v>0</v>
      </c>
      <c r="BD23" s="24">
        <f t="shared" ref="BD23:BD29" si="40">G23/(100-BE23)*100</f>
        <v>0</v>
      </c>
      <c r="BE23" s="24">
        <v>0</v>
      </c>
      <c r="BF23" s="24">
        <f>23</f>
        <v>23</v>
      </c>
      <c r="BH23" s="24">
        <f t="shared" ref="BH23:BH29" si="41">F23*AO23</f>
        <v>0</v>
      </c>
      <c r="BI23" s="24">
        <f t="shared" ref="BI23:BI29" si="42">F23*AP23</f>
        <v>0</v>
      </c>
      <c r="BJ23" s="24">
        <f t="shared" ref="BJ23:BJ29" si="43">F23*G23</f>
        <v>0</v>
      </c>
      <c r="BK23" s="24"/>
      <c r="BL23" s="24">
        <v>713</v>
      </c>
      <c r="BW23" s="24">
        <v>21</v>
      </c>
      <c r="BX23" s="4" t="s">
        <v>86</v>
      </c>
    </row>
    <row r="24" spans="1:76" x14ac:dyDescent="0.25">
      <c r="A24" s="2" t="s">
        <v>88</v>
      </c>
      <c r="B24" s="3" t="s">
        <v>89</v>
      </c>
      <c r="C24" s="68" t="s">
        <v>281</v>
      </c>
      <c r="D24" s="63"/>
      <c r="E24" s="3" t="s">
        <v>55</v>
      </c>
      <c r="F24" s="24">
        <v>4480.6000000000004</v>
      </c>
      <c r="G24" s="24">
        <v>0</v>
      </c>
      <c r="H24" s="24">
        <f t="shared" si="22"/>
        <v>0</v>
      </c>
      <c r="I24" s="24">
        <f t="shared" si="23"/>
        <v>0</v>
      </c>
      <c r="J24" s="24">
        <f t="shared" si="24"/>
        <v>0</v>
      </c>
      <c r="K24" s="25" t="s">
        <v>56</v>
      </c>
      <c r="Z24" s="24">
        <f t="shared" si="25"/>
        <v>0</v>
      </c>
      <c r="AB24" s="24">
        <f t="shared" si="26"/>
        <v>0</v>
      </c>
      <c r="AC24" s="24">
        <f t="shared" si="27"/>
        <v>0</v>
      </c>
      <c r="AD24" s="24">
        <f t="shared" si="28"/>
        <v>0</v>
      </c>
      <c r="AE24" s="24">
        <f t="shared" si="29"/>
        <v>0</v>
      </c>
      <c r="AF24" s="24">
        <f t="shared" si="30"/>
        <v>0</v>
      </c>
      <c r="AG24" s="24">
        <f t="shared" si="31"/>
        <v>0</v>
      </c>
      <c r="AH24" s="24">
        <f t="shared" si="32"/>
        <v>0</v>
      </c>
      <c r="AI24" s="10" t="s">
        <v>49</v>
      </c>
      <c r="AJ24" s="24">
        <f t="shared" si="33"/>
        <v>0</v>
      </c>
      <c r="AK24" s="24">
        <f t="shared" si="34"/>
        <v>0</v>
      </c>
      <c r="AL24" s="24">
        <f t="shared" si="35"/>
        <v>0</v>
      </c>
      <c r="AN24" s="24">
        <v>21</v>
      </c>
      <c r="AO24" s="24">
        <f>G24*0.902780736</f>
        <v>0</v>
      </c>
      <c r="AP24" s="24">
        <f>G24*(1-0.902780736)</f>
        <v>0</v>
      </c>
      <c r="AQ24" s="26" t="s">
        <v>57</v>
      </c>
      <c r="AV24" s="24">
        <f t="shared" si="36"/>
        <v>0</v>
      </c>
      <c r="AW24" s="24">
        <f t="shared" si="37"/>
        <v>0</v>
      </c>
      <c r="AX24" s="24">
        <f t="shared" si="38"/>
        <v>0</v>
      </c>
      <c r="AY24" s="26" t="s">
        <v>87</v>
      </c>
      <c r="AZ24" s="26" t="s">
        <v>59</v>
      </c>
      <c r="BA24" s="10" t="s">
        <v>60</v>
      </c>
      <c r="BC24" s="24">
        <f t="shared" si="39"/>
        <v>0</v>
      </c>
      <c r="BD24" s="24">
        <f t="shared" si="40"/>
        <v>0</v>
      </c>
      <c r="BE24" s="24">
        <v>0</v>
      </c>
      <c r="BF24" s="24">
        <f>24</f>
        <v>24</v>
      </c>
      <c r="BH24" s="24">
        <f t="shared" si="41"/>
        <v>0</v>
      </c>
      <c r="BI24" s="24">
        <f t="shared" si="42"/>
        <v>0</v>
      </c>
      <c r="BJ24" s="24">
        <f t="shared" si="43"/>
        <v>0</v>
      </c>
      <c r="BK24" s="24"/>
      <c r="BL24" s="24">
        <v>713</v>
      </c>
      <c r="BW24" s="24">
        <v>21</v>
      </c>
      <c r="BX24" s="4" t="s">
        <v>90</v>
      </c>
    </row>
    <row r="25" spans="1:76" x14ac:dyDescent="0.25">
      <c r="A25" s="2" t="s">
        <v>91</v>
      </c>
      <c r="B25" s="3" t="s">
        <v>92</v>
      </c>
      <c r="C25" s="68" t="s">
        <v>282</v>
      </c>
      <c r="D25" s="63"/>
      <c r="E25" s="3" t="s">
        <v>55</v>
      </c>
      <c r="F25" s="24">
        <v>4480.6000000000004</v>
      </c>
      <c r="G25" s="24">
        <v>0</v>
      </c>
      <c r="H25" s="24">
        <f t="shared" si="22"/>
        <v>0</v>
      </c>
      <c r="I25" s="24">
        <f t="shared" si="23"/>
        <v>0</v>
      </c>
      <c r="J25" s="24">
        <f t="shared" si="24"/>
        <v>0</v>
      </c>
      <c r="K25" s="25" t="s">
        <v>56</v>
      </c>
      <c r="Z25" s="24">
        <f t="shared" si="25"/>
        <v>0</v>
      </c>
      <c r="AB25" s="24">
        <f t="shared" si="26"/>
        <v>0</v>
      </c>
      <c r="AC25" s="24">
        <f t="shared" si="27"/>
        <v>0</v>
      </c>
      <c r="AD25" s="24">
        <f t="shared" si="28"/>
        <v>0</v>
      </c>
      <c r="AE25" s="24">
        <f t="shared" si="29"/>
        <v>0</v>
      </c>
      <c r="AF25" s="24">
        <f t="shared" si="30"/>
        <v>0</v>
      </c>
      <c r="AG25" s="24">
        <f t="shared" si="31"/>
        <v>0</v>
      </c>
      <c r="AH25" s="24">
        <f t="shared" si="32"/>
        <v>0</v>
      </c>
      <c r="AI25" s="10" t="s">
        <v>49</v>
      </c>
      <c r="AJ25" s="24">
        <f t="shared" si="33"/>
        <v>0</v>
      </c>
      <c r="AK25" s="24">
        <f t="shared" si="34"/>
        <v>0</v>
      </c>
      <c r="AL25" s="24">
        <f t="shared" si="35"/>
        <v>0</v>
      </c>
      <c r="AN25" s="24">
        <v>21</v>
      </c>
      <c r="AO25" s="24">
        <f>G25*0.904602978</f>
        <v>0</v>
      </c>
      <c r="AP25" s="24">
        <f>G25*(1-0.904602978)</f>
        <v>0</v>
      </c>
      <c r="AQ25" s="26" t="s">
        <v>57</v>
      </c>
      <c r="AV25" s="24">
        <f t="shared" si="36"/>
        <v>0</v>
      </c>
      <c r="AW25" s="24">
        <f t="shared" si="37"/>
        <v>0</v>
      </c>
      <c r="AX25" s="24">
        <f t="shared" si="38"/>
        <v>0</v>
      </c>
      <c r="AY25" s="26" t="s">
        <v>87</v>
      </c>
      <c r="AZ25" s="26" t="s">
        <v>59</v>
      </c>
      <c r="BA25" s="10" t="s">
        <v>60</v>
      </c>
      <c r="BC25" s="24">
        <f t="shared" si="39"/>
        <v>0</v>
      </c>
      <c r="BD25" s="24">
        <f t="shared" si="40"/>
        <v>0</v>
      </c>
      <c r="BE25" s="24">
        <v>0</v>
      </c>
      <c r="BF25" s="24">
        <f>25</f>
        <v>25</v>
      </c>
      <c r="BH25" s="24">
        <f t="shared" si="41"/>
        <v>0</v>
      </c>
      <c r="BI25" s="24">
        <f t="shared" si="42"/>
        <v>0</v>
      </c>
      <c r="BJ25" s="24">
        <f t="shared" si="43"/>
        <v>0</v>
      </c>
      <c r="BK25" s="24"/>
      <c r="BL25" s="24">
        <v>713</v>
      </c>
      <c r="BW25" s="24">
        <v>21</v>
      </c>
      <c r="BX25" s="4" t="s">
        <v>93</v>
      </c>
    </row>
    <row r="26" spans="1:76" x14ac:dyDescent="0.25">
      <c r="A26" s="2" t="s">
        <v>94</v>
      </c>
      <c r="B26" s="3" t="s">
        <v>95</v>
      </c>
      <c r="C26" s="68" t="s">
        <v>96</v>
      </c>
      <c r="D26" s="63"/>
      <c r="E26" s="3" t="s">
        <v>55</v>
      </c>
      <c r="F26" s="24">
        <v>4480.6000000000004</v>
      </c>
      <c r="G26" s="24">
        <v>0</v>
      </c>
      <c r="H26" s="24">
        <f t="shared" si="22"/>
        <v>0</v>
      </c>
      <c r="I26" s="24">
        <f t="shared" si="23"/>
        <v>0</v>
      </c>
      <c r="J26" s="24">
        <f t="shared" si="24"/>
        <v>0</v>
      </c>
      <c r="K26" s="25" t="s">
        <v>56</v>
      </c>
      <c r="Z26" s="24">
        <f t="shared" si="25"/>
        <v>0</v>
      </c>
      <c r="AB26" s="24">
        <f t="shared" si="26"/>
        <v>0</v>
      </c>
      <c r="AC26" s="24">
        <f t="shared" si="27"/>
        <v>0</v>
      </c>
      <c r="AD26" s="24">
        <f t="shared" si="28"/>
        <v>0</v>
      </c>
      <c r="AE26" s="24">
        <f t="shared" si="29"/>
        <v>0</v>
      </c>
      <c r="AF26" s="24">
        <f t="shared" si="30"/>
        <v>0</v>
      </c>
      <c r="AG26" s="24">
        <f t="shared" si="31"/>
        <v>0</v>
      </c>
      <c r="AH26" s="24">
        <f t="shared" si="32"/>
        <v>0</v>
      </c>
      <c r="AI26" s="10" t="s">
        <v>49</v>
      </c>
      <c r="AJ26" s="24">
        <f t="shared" si="33"/>
        <v>0</v>
      </c>
      <c r="AK26" s="24">
        <f t="shared" si="34"/>
        <v>0</v>
      </c>
      <c r="AL26" s="24">
        <f t="shared" si="35"/>
        <v>0</v>
      </c>
      <c r="AN26" s="24">
        <v>21</v>
      </c>
      <c r="AO26" s="24">
        <f>G26*0.642886767</f>
        <v>0</v>
      </c>
      <c r="AP26" s="24">
        <f>G26*(1-0.642886767)</f>
        <v>0</v>
      </c>
      <c r="AQ26" s="26" t="s">
        <v>57</v>
      </c>
      <c r="AV26" s="24">
        <f t="shared" si="36"/>
        <v>0</v>
      </c>
      <c r="AW26" s="24">
        <f t="shared" si="37"/>
        <v>0</v>
      </c>
      <c r="AX26" s="24">
        <f t="shared" si="38"/>
        <v>0</v>
      </c>
      <c r="AY26" s="26" t="s">
        <v>87</v>
      </c>
      <c r="AZ26" s="26" t="s">
        <v>59</v>
      </c>
      <c r="BA26" s="10" t="s">
        <v>60</v>
      </c>
      <c r="BC26" s="24">
        <f t="shared" si="39"/>
        <v>0</v>
      </c>
      <c r="BD26" s="24">
        <f t="shared" si="40"/>
        <v>0</v>
      </c>
      <c r="BE26" s="24">
        <v>0</v>
      </c>
      <c r="BF26" s="24">
        <f>26</f>
        <v>26</v>
      </c>
      <c r="BH26" s="24">
        <f t="shared" si="41"/>
        <v>0</v>
      </c>
      <c r="BI26" s="24">
        <f t="shared" si="42"/>
        <v>0</v>
      </c>
      <c r="BJ26" s="24">
        <f t="shared" si="43"/>
        <v>0</v>
      </c>
      <c r="BK26" s="24"/>
      <c r="BL26" s="24">
        <v>713</v>
      </c>
      <c r="BW26" s="24">
        <v>21</v>
      </c>
      <c r="BX26" s="4" t="s">
        <v>96</v>
      </c>
    </row>
    <row r="27" spans="1:76" x14ac:dyDescent="0.25">
      <c r="A27" s="2" t="s">
        <v>97</v>
      </c>
      <c r="B27" s="3" t="s">
        <v>77</v>
      </c>
      <c r="C27" s="68" t="s">
        <v>98</v>
      </c>
      <c r="D27" s="63"/>
      <c r="E27" s="3" t="s">
        <v>55</v>
      </c>
      <c r="F27" s="24">
        <v>74</v>
      </c>
      <c r="G27" s="24">
        <v>0</v>
      </c>
      <c r="H27" s="24">
        <f t="shared" si="22"/>
        <v>0</v>
      </c>
      <c r="I27" s="24">
        <f t="shared" si="23"/>
        <v>0</v>
      </c>
      <c r="J27" s="24">
        <f t="shared" si="24"/>
        <v>0</v>
      </c>
      <c r="K27" s="25" t="s">
        <v>56</v>
      </c>
      <c r="Z27" s="24">
        <f t="shared" si="25"/>
        <v>0</v>
      </c>
      <c r="AB27" s="24">
        <f t="shared" si="26"/>
        <v>0</v>
      </c>
      <c r="AC27" s="24">
        <f t="shared" si="27"/>
        <v>0</v>
      </c>
      <c r="AD27" s="24">
        <f t="shared" si="28"/>
        <v>0</v>
      </c>
      <c r="AE27" s="24">
        <f t="shared" si="29"/>
        <v>0</v>
      </c>
      <c r="AF27" s="24">
        <f t="shared" si="30"/>
        <v>0</v>
      </c>
      <c r="AG27" s="24">
        <f t="shared" si="31"/>
        <v>0</v>
      </c>
      <c r="AH27" s="24">
        <f t="shared" si="32"/>
        <v>0</v>
      </c>
      <c r="AI27" s="10" t="s">
        <v>49</v>
      </c>
      <c r="AJ27" s="24">
        <f t="shared" si="33"/>
        <v>0</v>
      </c>
      <c r="AK27" s="24">
        <f t="shared" si="34"/>
        <v>0</v>
      </c>
      <c r="AL27" s="24">
        <f t="shared" si="35"/>
        <v>0</v>
      </c>
      <c r="AN27" s="24">
        <v>21</v>
      </c>
      <c r="AO27" s="24">
        <f>G27*0.904602978</f>
        <v>0</v>
      </c>
      <c r="AP27" s="24">
        <f>G27*(1-0.904602978)</f>
        <v>0</v>
      </c>
      <c r="AQ27" s="26" t="s">
        <v>57</v>
      </c>
      <c r="AV27" s="24">
        <f t="shared" si="36"/>
        <v>0</v>
      </c>
      <c r="AW27" s="24">
        <f t="shared" si="37"/>
        <v>0</v>
      </c>
      <c r="AX27" s="24">
        <f t="shared" si="38"/>
        <v>0</v>
      </c>
      <c r="AY27" s="26" t="s">
        <v>87</v>
      </c>
      <c r="AZ27" s="26" t="s">
        <v>59</v>
      </c>
      <c r="BA27" s="10" t="s">
        <v>60</v>
      </c>
      <c r="BC27" s="24">
        <f t="shared" si="39"/>
        <v>0</v>
      </c>
      <c r="BD27" s="24">
        <f t="shared" si="40"/>
        <v>0</v>
      </c>
      <c r="BE27" s="24">
        <v>0</v>
      </c>
      <c r="BF27" s="24">
        <f>27</f>
        <v>27</v>
      </c>
      <c r="BH27" s="24">
        <f t="shared" si="41"/>
        <v>0</v>
      </c>
      <c r="BI27" s="24">
        <f t="shared" si="42"/>
        <v>0</v>
      </c>
      <c r="BJ27" s="24">
        <f t="shared" si="43"/>
        <v>0</v>
      </c>
      <c r="BK27" s="24"/>
      <c r="BL27" s="24">
        <v>713</v>
      </c>
      <c r="BW27" s="24">
        <v>21</v>
      </c>
      <c r="BX27" s="4" t="s">
        <v>98</v>
      </c>
    </row>
    <row r="28" spans="1:76" x14ac:dyDescent="0.25">
      <c r="A28" s="2" t="s">
        <v>99</v>
      </c>
      <c r="B28" s="3" t="s">
        <v>77</v>
      </c>
      <c r="C28" s="68" t="s">
        <v>100</v>
      </c>
      <c r="D28" s="63"/>
      <c r="E28" s="3" t="s">
        <v>55</v>
      </c>
      <c r="F28" s="24">
        <v>60.72</v>
      </c>
      <c r="G28" s="24">
        <v>0</v>
      </c>
      <c r="H28" s="24">
        <f t="shared" si="22"/>
        <v>0</v>
      </c>
      <c r="I28" s="24">
        <f t="shared" si="23"/>
        <v>0</v>
      </c>
      <c r="J28" s="24">
        <f t="shared" si="24"/>
        <v>0</v>
      </c>
      <c r="K28" s="25" t="s">
        <v>56</v>
      </c>
      <c r="Z28" s="24">
        <f t="shared" si="25"/>
        <v>0</v>
      </c>
      <c r="AB28" s="24">
        <f t="shared" si="26"/>
        <v>0</v>
      </c>
      <c r="AC28" s="24">
        <f t="shared" si="27"/>
        <v>0</v>
      </c>
      <c r="AD28" s="24">
        <f t="shared" si="28"/>
        <v>0</v>
      </c>
      <c r="AE28" s="24">
        <f t="shared" si="29"/>
        <v>0</v>
      </c>
      <c r="AF28" s="24">
        <f t="shared" si="30"/>
        <v>0</v>
      </c>
      <c r="AG28" s="24">
        <f t="shared" si="31"/>
        <v>0</v>
      </c>
      <c r="AH28" s="24">
        <f t="shared" si="32"/>
        <v>0</v>
      </c>
      <c r="AI28" s="10" t="s">
        <v>49</v>
      </c>
      <c r="AJ28" s="24">
        <f t="shared" si="33"/>
        <v>0</v>
      </c>
      <c r="AK28" s="24">
        <f t="shared" si="34"/>
        <v>0</v>
      </c>
      <c r="AL28" s="24">
        <f t="shared" si="35"/>
        <v>0</v>
      </c>
      <c r="AN28" s="24">
        <v>21</v>
      </c>
      <c r="AO28" s="24">
        <f>G28*0.904602978</f>
        <v>0</v>
      </c>
      <c r="AP28" s="24">
        <f>G28*(1-0.904602978)</f>
        <v>0</v>
      </c>
      <c r="AQ28" s="26" t="s">
        <v>57</v>
      </c>
      <c r="AV28" s="24">
        <f t="shared" si="36"/>
        <v>0</v>
      </c>
      <c r="AW28" s="24">
        <f t="shared" si="37"/>
        <v>0</v>
      </c>
      <c r="AX28" s="24">
        <f t="shared" si="38"/>
        <v>0</v>
      </c>
      <c r="AY28" s="26" t="s">
        <v>87</v>
      </c>
      <c r="AZ28" s="26" t="s">
        <v>59</v>
      </c>
      <c r="BA28" s="10" t="s">
        <v>60</v>
      </c>
      <c r="BC28" s="24">
        <f t="shared" si="39"/>
        <v>0</v>
      </c>
      <c r="BD28" s="24">
        <f t="shared" si="40"/>
        <v>0</v>
      </c>
      <c r="BE28" s="24">
        <v>0</v>
      </c>
      <c r="BF28" s="24">
        <f>28</f>
        <v>28</v>
      </c>
      <c r="BH28" s="24">
        <f t="shared" si="41"/>
        <v>0</v>
      </c>
      <c r="BI28" s="24">
        <f t="shared" si="42"/>
        <v>0</v>
      </c>
      <c r="BJ28" s="24">
        <f t="shared" si="43"/>
        <v>0</v>
      </c>
      <c r="BK28" s="24"/>
      <c r="BL28" s="24">
        <v>713</v>
      </c>
      <c r="BW28" s="24">
        <v>21</v>
      </c>
      <c r="BX28" s="4" t="s">
        <v>100</v>
      </c>
    </row>
    <row r="29" spans="1:76" x14ac:dyDescent="0.25">
      <c r="A29" s="2" t="s">
        <v>101</v>
      </c>
      <c r="B29" s="3" t="s">
        <v>77</v>
      </c>
      <c r="C29" s="68" t="s">
        <v>102</v>
      </c>
      <c r="D29" s="63"/>
      <c r="E29" s="3" t="s">
        <v>103</v>
      </c>
      <c r="F29" s="24">
        <v>121.44</v>
      </c>
      <c r="G29" s="24">
        <v>0</v>
      </c>
      <c r="H29" s="24">
        <f t="shared" si="22"/>
        <v>0</v>
      </c>
      <c r="I29" s="24">
        <f t="shared" si="23"/>
        <v>0</v>
      </c>
      <c r="J29" s="24">
        <f t="shared" si="24"/>
        <v>0</v>
      </c>
      <c r="K29" s="25" t="s">
        <v>56</v>
      </c>
      <c r="Z29" s="24">
        <f t="shared" si="25"/>
        <v>0</v>
      </c>
      <c r="AB29" s="24">
        <f t="shared" si="26"/>
        <v>0</v>
      </c>
      <c r="AC29" s="24">
        <f t="shared" si="27"/>
        <v>0</v>
      </c>
      <c r="AD29" s="24">
        <f t="shared" si="28"/>
        <v>0</v>
      </c>
      <c r="AE29" s="24">
        <f t="shared" si="29"/>
        <v>0</v>
      </c>
      <c r="AF29" s="24">
        <f t="shared" si="30"/>
        <v>0</v>
      </c>
      <c r="AG29" s="24">
        <f t="shared" si="31"/>
        <v>0</v>
      </c>
      <c r="AH29" s="24">
        <f t="shared" si="32"/>
        <v>0</v>
      </c>
      <c r="AI29" s="10" t="s">
        <v>49</v>
      </c>
      <c r="AJ29" s="24">
        <f t="shared" si="33"/>
        <v>0</v>
      </c>
      <c r="AK29" s="24">
        <f t="shared" si="34"/>
        <v>0</v>
      </c>
      <c r="AL29" s="24">
        <f t="shared" si="35"/>
        <v>0</v>
      </c>
      <c r="AN29" s="24">
        <v>21</v>
      </c>
      <c r="AO29" s="24">
        <f>G29*0.904616667</f>
        <v>0</v>
      </c>
      <c r="AP29" s="24">
        <f>G29*(1-0.904616667)</f>
        <v>0</v>
      </c>
      <c r="AQ29" s="26" t="s">
        <v>57</v>
      </c>
      <c r="AV29" s="24">
        <f t="shared" si="36"/>
        <v>0</v>
      </c>
      <c r="AW29" s="24">
        <f t="shared" si="37"/>
        <v>0</v>
      </c>
      <c r="AX29" s="24">
        <f t="shared" si="38"/>
        <v>0</v>
      </c>
      <c r="AY29" s="26" t="s">
        <v>87</v>
      </c>
      <c r="AZ29" s="26" t="s">
        <v>59</v>
      </c>
      <c r="BA29" s="10" t="s">
        <v>60</v>
      </c>
      <c r="BC29" s="24">
        <f t="shared" si="39"/>
        <v>0</v>
      </c>
      <c r="BD29" s="24">
        <f t="shared" si="40"/>
        <v>0</v>
      </c>
      <c r="BE29" s="24">
        <v>0</v>
      </c>
      <c r="BF29" s="24">
        <f>29</f>
        <v>29</v>
      </c>
      <c r="BH29" s="24">
        <f t="shared" si="41"/>
        <v>0</v>
      </c>
      <c r="BI29" s="24">
        <f t="shared" si="42"/>
        <v>0</v>
      </c>
      <c r="BJ29" s="24">
        <f t="shared" si="43"/>
        <v>0</v>
      </c>
      <c r="BK29" s="24"/>
      <c r="BL29" s="24">
        <v>713</v>
      </c>
      <c r="BW29" s="24">
        <v>21</v>
      </c>
      <c r="BX29" s="4" t="s">
        <v>102</v>
      </c>
    </row>
    <row r="30" spans="1:76" x14ac:dyDescent="0.25">
      <c r="A30" s="27" t="s">
        <v>49</v>
      </c>
      <c r="B30" s="28" t="s">
        <v>104</v>
      </c>
      <c r="C30" s="84" t="s">
        <v>105</v>
      </c>
      <c r="D30" s="85"/>
      <c r="E30" s="29" t="s">
        <v>4</v>
      </c>
      <c r="F30" s="29" t="s">
        <v>4</v>
      </c>
      <c r="G30" s="29" t="s">
        <v>4</v>
      </c>
      <c r="H30" s="1">
        <f>SUM(H31:H38)</f>
        <v>0</v>
      </c>
      <c r="I30" s="1">
        <f>SUM(I31:I38)</f>
        <v>0</v>
      </c>
      <c r="J30" s="1">
        <f>SUM(J31:J38)</f>
        <v>0</v>
      </c>
      <c r="K30" s="30" t="s">
        <v>49</v>
      </c>
      <c r="AI30" s="10" t="s">
        <v>49</v>
      </c>
      <c r="AS30" s="1">
        <f>SUM(AJ31:AJ38)</f>
        <v>0</v>
      </c>
      <c r="AT30" s="1">
        <f>SUM(AK31:AK38)</f>
        <v>0</v>
      </c>
      <c r="AU30" s="1">
        <f>SUM(AL31:AL38)</f>
        <v>0</v>
      </c>
    </row>
    <row r="31" spans="1:76" x14ac:dyDescent="0.25">
      <c r="A31" s="2" t="s">
        <v>106</v>
      </c>
      <c r="B31" s="3" t="s">
        <v>107</v>
      </c>
      <c r="C31" s="68" t="s">
        <v>108</v>
      </c>
      <c r="D31" s="63"/>
      <c r="E31" s="3" t="s">
        <v>103</v>
      </c>
      <c r="F31" s="24">
        <v>148</v>
      </c>
      <c r="G31" s="24">
        <v>0</v>
      </c>
      <c r="H31" s="24">
        <f t="shared" ref="H31:H38" si="44">F31*AO31</f>
        <v>0</v>
      </c>
      <c r="I31" s="24">
        <f t="shared" ref="I31:I38" si="45">F31*AP31</f>
        <v>0</v>
      </c>
      <c r="J31" s="24">
        <f t="shared" ref="J31:J38" si="46">F31*G31</f>
        <v>0</v>
      </c>
      <c r="K31" s="25" t="s">
        <v>56</v>
      </c>
      <c r="Z31" s="24">
        <f t="shared" ref="Z31:Z38" si="47">IF(AQ31="5",BJ31,0)</f>
        <v>0</v>
      </c>
      <c r="AB31" s="24">
        <f t="shared" ref="AB31:AB38" si="48">IF(AQ31="1",BH31,0)</f>
        <v>0</v>
      </c>
      <c r="AC31" s="24">
        <f t="shared" ref="AC31:AC38" si="49">IF(AQ31="1",BI31,0)</f>
        <v>0</v>
      </c>
      <c r="AD31" s="24">
        <f t="shared" ref="AD31:AD38" si="50">IF(AQ31="7",BH31,0)</f>
        <v>0</v>
      </c>
      <c r="AE31" s="24">
        <f t="shared" ref="AE31:AE38" si="51">IF(AQ31="7",BI31,0)</f>
        <v>0</v>
      </c>
      <c r="AF31" s="24">
        <f t="shared" ref="AF31:AF38" si="52">IF(AQ31="2",BH31,0)</f>
        <v>0</v>
      </c>
      <c r="AG31" s="24">
        <f t="shared" ref="AG31:AG38" si="53">IF(AQ31="2",BI31,0)</f>
        <v>0</v>
      </c>
      <c r="AH31" s="24">
        <f t="shared" ref="AH31:AH38" si="54">IF(AQ31="0",BJ31,0)</f>
        <v>0</v>
      </c>
      <c r="AI31" s="10" t="s">
        <v>49</v>
      </c>
      <c r="AJ31" s="24">
        <f t="shared" ref="AJ31:AJ38" si="55">IF(AN31=0,J31,0)</f>
        <v>0</v>
      </c>
      <c r="AK31" s="24">
        <f t="shared" ref="AK31:AK38" si="56">IF(AN31=12,J31,0)</f>
        <v>0</v>
      </c>
      <c r="AL31" s="24">
        <f t="shared" ref="AL31:AL38" si="57">IF(AN31=21,J31,0)</f>
        <v>0</v>
      </c>
      <c r="AN31" s="24">
        <v>21</v>
      </c>
      <c r="AO31" s="24">
        <f>G31*0</f>
        <v>0</v>
      </c>
      <c r="AP31" s="24">
        <f>G31*(1-0)</f>
        <v>0</v>
      </c>
      <c r="AQ31" s="26" t="s">
        <v>57</v>
      </c>
      <c r="AV31" s="24">
        <f t="shared" ref="AV31:AV38" si="58">AW31+AX31</f>
        <v>0</v>
      </c>
      <c r="AW31" s="24">
        <f t="shared" ref="AW31:AW38" si="59">F31*AO31</f>
        <v>0</v>
      </c>
      <c r="AX31" s="24">
        <f t="shared" ref="AX31:AX38" si="60">F31*AP31</f>
        <v>0</v>
      </c>
      <c r="AY31" s="26" t="s">
        <v>109</v>
      </c>
      <c r="AZ31" s="26" t="s">
        <v>110</v>
      </c>
      <c r="BA31" s="10" t="s">
        <v>60</v>
      </c>
      <c r="BC31" s="24">
        <f t="shared" ref="BC31:BC38" si="61">AW31+AX31</f>
        <v>0</v>
      </c>
      <c r="BD31" s="24">
        <f t="shared" ref="BD31:BD38" si="62">G31/(100-BE31)*100</f>
        <v>0</v>
      </c>
      <c r="BE31" s="24">
        <v>0</v>
      </c>
      <c r="BF31" s="24">
        <f>31</f>
        <v>31</v>
      </c>
      <c r="BH31" s="24">
        <f t="shared" ref="BH31:BH38" si="63">F31*AO31</f>
        <v>0</v>
      </c>
      <c r="BI31" s="24">
        <f t="shared" ref="BI31:BI38" si="64">F31*AP31</f>
        <v>0</v>
      </c>
      <c r="BJ31" s="24">
        <f t="shared" ref="BJ31:BJ38" si="65">F31*G31</f>
        <v>0</v>
      </c>
      <c r="BK31" s="24"/>
      <c r="BL31" s="24">
        <v>764</v>
      </c>
      <c r="BW31" s="24">
        <v>21</v>
      </c>
      <c r="BX31" s="4" t="s">
        <v>108</v>
      </c>
    </row>
    <row r="32" spans="1:76" x14ac:dyDescent="0.25">
      <c r="A32" s="2" t="s">
        <v>111</v>
      </c>
      <c r="B32" s="3" t="s">
        <v>112</v>
      </c>
      <c r="C32" s="68" t="s">
        <v>113</v>
      </c>
      <c r="D32" s="63"/>
      <c r="E32" s="3" t="s">
        <v>103</v>
      </c>
      <c r="F32" s="24">
        <v>148</v>
      </c>
      <c r="G32" s="24">
        <v>0</v>
      </c>
      <c r="H32" s="24">
        <f t="shared" si="44"/>
        <v>0</v>
      </c>
      <c r="I32" s="24">
        <f t="shared" si="45"/>
        <v>0</v>
      </c>
      <c r="J32" s="24">
        <f t="shared" si="46"/>
        <v>0</v>
      </c>
      <c r="K32" s="25" t="s">
        <v>56</v>
      </c>
      <c r="Z32" s="24">
        <f t="shared" si="47"/>
        <v>0</v>
      </c>
      <c r="AB32" s="24">
        <f t="shared" si="48"/>
        <v>0</v>
      </c>
      <c r="AC32" s="24">
        <f t="shared" si="49"/>
        <v>0</v>
      </c>
      <c r="AD32" s="24">
        <f t="shared" si="50"/>
        <v>0</v>
      </c>
      <c r="AE32" s="24">
        <f t="shared" si="51"/>
        <v>0</v>
      </c>
      <c r="AF32" s="24">
        <f t="shared" si="52"/>
        <v>0</v>
      </c>
      <c r="AG32" s="24">
        <f t="shared" si="53"/>
        <v>0</v>
      </c>
      <c r="AH32" s="24">
        <f t="shared" si="54"/>
        <v>0</v>
      </c>
      <c r="AI32" s="10" t="s">
        <v>49</v>
      </c>
      <c r="AJ32" s="24">
        <f t="shared" si="55"/>
        <v>0</v>
      </c>
      <c r="AK32" s="24">
        <f t="shared" si="56"/>
        <v>0</v>
      </c>
      <c r="AL32" s="24">
        <f t="shared" si="57"/>
        <v>0</v>
      </c>
      <c r="AN32" s="24">
        <v>21</v>
      </c>
      <c r="AO32" s="24">
        <f>G32*0.555475728</f>
        <v>0</v>
      </c>
      <c r="AP32" s="24">
        <f>G32*(1-0.555475728)</f>
        <v>0</v>
      </c>
      <c r="AQ32" s="26" t="s">
        <v>57</v>
      </c>
      <c r="AV32" s="24">
        <f t="shared" si="58"/>
        <v>0</v>
      </c>
      <c r="AW32" s="24">
        <f t="shared" si="59"/>
        <v>0</v>
      </c>
      <c r="AX32" s="24">
        <f t="shared" si="60"/>
        <v>0</v>
      </c>
      <c r="AY32" s="26" t="s">
        <v>109</v>
      </c>
      <c r="AZ32" s="26" t="s">
        <v>110</v>
      </c>
      <c r="BA32" s="10" t="s">
        <v>60</v>
      </c>
      <c r="BC32" s="24">
        <f t="shared" si="61"/>
        <v>0</v>
      </c>
      <c r="BD32" s="24">
        <f t="shared" si="62"/>
        <v>0</v>
      </c>
      <c r="BE32" s="24">
        <v>0</v>
      </c>
      <c r="BF32" s="24">
        <f>32</f>
        <v>32</v>
      </c>
      <c r="BH32" s="24">
        <f t="shared" si="63"/>
        <v>0</v>
      </c>
      <c r="BI32" s="24">
        <f t="shared" si="64"/>
        <v>0</v>
      </c>
      <c r="BJ32" s="24">
        <f t="shared" si="65"/>
        <v>0</v>
      </c>
      <c r="BK32" s="24"/>
      <c r="BL32" s="24">
        <v>764</v>
      </c>
      <c r="BW32" s="24">
        <v>21</v>
      </c>
      <c r="BX32" s="4" t="s">
        <v>113</v>
      </c>
    </row>
    <row r="33" spans="1:76" x14ac:dyDescent="0.25">
      <c r="A33" s="2" t="s">
        <v>114</v>
      </c>
      <c r="B33" s="3" t="s">
        <v>115</v>
      </c>
      <c r="C33" s="68" t="s">
        <v>116</v>
      </c>
      <c r="D33" s="63"/>
      <c r="E33" s="3" t="s">
        <v>103</v>
      </c>
      <c r="F33" s="24">
        <v>148</v>
      </c>
      <c r="G33" s="24">
        <v>0</v>
      </c>
      <c r="H33" s="24">
        <f t="shared" si="44"/>
        <v>0</v>
      </c>
      <c r="I33" s="24">
        <f t="shared" si="45"/>
        <v>0</v>
      </c>
      <c r="J33" s="24">
        <f t="shared" si="46"/>
        <v>0</v>
      </c>
      <c r="K33" s="25" t="s">
        <v>56</v>
      </c>
      <c r="Z33" s="24">
        <f t="shared" si="47"/>
        <v>0</v>
      </c>
      <c r="AB33" s="24">
        <f t="shared" si="48"/>
        <v>0</v>
      </c>
      <c r="AC33" s="24">
        <f t="shared" si="49"/>
        <v>0</v>
      </c>
      <c r="AD33" s="24">
        <f t="shared" si="50"/>
        <v>0</v>
      </c>
      <c r="AE33" s="24">
        <f t="shared" si="51"/>
        <v>0</v>
      </c>
      <c r="AF33" s="24">
        <f t="shared" si="52"/>
        <v>0</v>
      </c>
      <c r="AG33" s="24">
        <f t="shared" si="53"/>
        <v>0</v>
      </c>
      <c r="AH33" s="24">
        <f t="shared" si="54"/>
        <v>0</v>
      </c>
      <c r="AI33" s="10" t="s">
        <v>49</v>
      </c>
      <c r="AJ33" s="24">
        <f t="shared" si="55"/>
        <v>0</v>
      </c>
      <c r="AK33" s="24">
        <f t="shared" si="56"/>
        <v>0</v>
      </c>
      <c r="AL33" s="24">
        <f t="shared" si="57"/>
        <v>0</v>
      </c>
      <c r="AN33" s="24">
        <v>21</v>
      </c>
      <c r="AO33" s="24">
        <f>G33*0.589138207</f>
        <v>0</v>
      </c>
      <c r="AP33" s="24">
        <f>G33*(1-0.589138207)</f>
        <v>0</v>
      </c>
      <c r="AQ33" s="26" t="s">
        <v>57</v>
      </c>
      <c r="AV33" s="24">
        <f t="shared" si="58"/>
        <v>0</v>
      </c>
      <c r="AW33" s="24">
        <f t="shared" si="59"/>
        <v>0</v>
      </c>
      <c r="AX33" s="24">
        <f t="shared" si="60"/>
        <v>0</v>
      </c>
      <c r="AY33" s="26" t="s">
        <v>109</v>
      </c>
      <c r="AZ33" s="26" t="s">
        <v>110</v>
      </c>
      <c r="BA33" s="10" t="s">
        <v>60</v>
      </c>
      <c r="BC33" s="24">
        <f t="shared" si="61"/>
        <v>0</v>
      </c>
      <c r="BD33" s="24">
        <f t="shared" si="62"/>
        <v>0</v>
      </c>
      <c r="BE33" s="24">
        <v>0</v>
      </c>
      <c r="BF33" s="24">
        <f>33</f>
        <v>33</v>
      </c>
      <c r="BH33" s="24">
        <f t="shared" si="63"/>
        <v>0</v>
      </c>
      <c r="BI33" s="24">
        <f t="shared" si="64"/>
        <v>0</v>
      </c>
      <c r="BJ33" s="24">
        <f t="shared" si="65"/>
        <v>0</v>
      </c>
      <c r="BK33" s="24"/>
      <c r="BL33" s="24">
        <v>764</v>
      </c>
      <c r="BW33" s="24">
        <v>21</v>
      </c>
      <c r="BX33" s="4" t="s">
        <v>116</v>
      </c>
    </row>
    <row r="34" spans="1:76" x14ac:dyDescent="0.25">
      <c r="A34" s="2" t="s">
        <v>117</v>
      </c>
      <c r="B34" s="3" t="s">
        <v>118</v>
      </c>
      <c r="C34" s="68" t="s">
        <v>119</v>
      </c>
      <c r="D34" s="63"/>
      <c r="E34" s="3" t="s">
        <v>103</v>
      </c>
      <c r="F34" s="24">
        <v>121.44</v>
      </c>
      <c r="G34" s="24">
        <v>0</v>
      </c>
      <c r="H34" s="24">
        <f t="shared" si="44"/>
        <v>0</v>
      </c>
      <c r="I34" s="24">
        <f t="shared" si="45"/>
        <v>0</v>
      </c>
      <c r="J34" s="24">
        <f t="shared" si="46"/>
        <v>0</v>
      </c>
      <c r="K34" s="25" t="s">
        <v>56</v>
      </c>
      <c r="Z34" s="24">
        <f t="shared" si="47"/>
        <v>0</v>
      </c>
      <c r="AB34" s="24">
        <f t="shared" si="48"/>
        <v>0</v>
      </c>
      <c r="AC34" s="24">
        <f t="shared" si="49"/>
        <v>0</v>
      </c>
      <c r="AD34" s="24">
        <f t="shared" si="50"/>
        <v>0</v>
      </c>
      <c r="AE34" s="24">
        <f t="shared" si="51"/>
        <v>0</v>
      </c>
      <c r="AF34" s="24">
        <f t="shared" si="52"/>
        <v>0</v>
      </c>
      <c r="AG34" s="24">
        <f t="shared" si="53"/>
        <v>0</v>
      </c>
      <c r="AH34" s="24">
        <f t="shared" si="54"/>
        <v>0</v>
      </c>
      <c r="AI34" s="10" t="s">
        <v>49</v>
      </c>
      <c r="AJ34" s="24">
        <f t="shared" si="55"/>
        <v>0</v>
      </c>
      <c r="AK34" s="24">
        <f t="shared" si="56"/>
        <v>0</v>
      </c>
      <c r="AL34" s="24">
        <f t="shared" si="57"/>
        <v>0</v>
      </c>
      <c r="AN34" s="24">
        <v>21</v>
      </c>
      <c r="AO34" s="24">
        <f>G34*0</f>
        <v>0</v>
      </c>
      <c r="AP34" s="24">
        <f>G34*(1-0)</f>
        <v>0</v>
      </c>
      <c r="AQ34" s="26" t="s">
        <v>57</v>
      </c>
      <c r="AV34" s="24">
        <f t="shared" si="58"/>
        <v>0</v>
      </c>
      <c r="AW34" s="24">
        <f t="shared" si="59"/>
        <v>0</v>
      </c>
      <c r="AX34" s="24">
        <f t="shared" si="60"/>
        <v>0</v>
      </c>
      <c r="AY34" s="26" t="s">
        <v>109</v>
      </c>
      <c r="AZ34" s="26" t="s">
        <v>110</v>
      </c>
      <c r="BA34" s="10" t="s">
        <v>60</v>
      </c>
      <c r="BC34" s="24">
        <f t="shared" si="61"/>
        <v>0</v>
      </c>
      <c r="BD34" s="24">
        <f t="shared" si="62"/>
        <v>0</v>
      </c>
      <c r="BE34" s="24">
        <v>0</v>
      </c>
      <c r="BF34" s="24">
        <f>34</f>
        <v>34</v>
      </c>
      <c r="BH34" s="24">
        <f t="shared" si="63"/>
        <v>0</v>
      </c>
      <c r="BI34" s="24">
        <f t="shared" si="64"/>
        <v>0</v>
      </c>
      <c r="BJ34" s="24">
        <f t="shared" si="65"/>
        <v>0</v>
      </c>
      <c r="BK34" s="24"/>
      <c r="BL34" s="24">
        <v>764</v>
      </c>
      <c r="BW34" s="24">
        <v>21</v>
      </c>
      <c r="BX34" s="4" t="s">
        <v>119</v>
      </c>
    </row>
    <row r="35" spans="1:76" x14ac:dyDescent="0.25">
      <c r="A35" s="2" t="s">
        <v>120</v>
      </c>
      <c r="B35" s="3" t="s">
        <v>121</v>
      </c>
      <c r="C35" s="68" t="s">
        <v>122</v>
      </c>
      <c r="D35" s="63"/>
      <c r="E35" s="3" t="s">
        <v>103</v>
      </c>
      <c r="F35" s="24">
        <v>121.44</v>
      </c>
      <c r="G35" s="24">
        <v>0</v>
      </c>
      <c r="H35" s="24">
        <f t="shared" si="44"/>
        <v>0</v>
      </c>
      <c r="I35" s="24">
        <f t="shared" si="45"/>
        <v>0</v>
      </c>
      <c r="J35" s="24">
        <f t="shared" si="46"/>
        <v>0</v>
      </c>
      <c r="K35" s="25" t="s">
        <v>56</v>
      </c>
      <c r="Z35" s="24">
        <f t="shared" si="47"/>
        <v>0</v>
      </c>
      <c r="AB35" s="24">
        <f t="shared" si="48"/>
        <v>0</v>
      </c>
      <c r="AC35" s="24">
        <f t="shared" si="49"/>
        <v>0</v>
      </c>
      <c r="AD35" s="24">
        <f t="shared" si="50"/>
        <v>0</v>
      </c>
      <c r="AE35" s="24">
        <f t="shared" si="51"/>
        <v>0</v>
      </c>
      <c r="AF35" s="24">
        <f t="shared" si="52"/>
        <v>0</v>
      </c>
      <c r="AG35" s="24">
        <f t="shared" si="53"/>
        <v>0</v>
      </c>
      <c r="AH35" s="24">
        <f t="shared" si="54"/>
        <v>0</v>
      </c>
      <c r="AI35" s="10" t="s">
        <v>49</v>
      </c>
      <c r="AJ35" s="24">
        <f t="shared" si="55"/>
        <v>0</v>
      </c>
      <c r="AK35" s="24">
        <f t="shared" si="56"/>
        <v>0</v>
      </c>
      <c r="AL35" s="24">
        <f t="shared" si="57"/>
        <v>0</v>
      </c>
      <c r="AN35" s="24">
        <v>21</v>
      </c>
      <c r="AO35" s="24">
        <f>G35*0.735233463</f>
        <v>0</v>
      </c>
      <c r="AP35" s="24">
        <f>G35*(1-0.735233463)</f>
        <v>0</v>
      </c>
      <c r="AQ35" s="26" t="s">
        <v>57</v>
      </c>
      <c r="AV35" s="24">
        <f t="shared" si="58"/>
        <v>0</v>
      </c>
      <c r="AW35" s="24">
        <f t="shared" si="59"/>
        <v>0</v>
      </c>
      <c r="AX35" s="24">
        <f t="shared" si="60"/>
        <v>0</v>
      </c>
      <c r="AY35" s="26" t="s">
        <v>109</v>
      </c>
      <c r="AZ35" s="26" t="s">
        <v>110</v>
      </c>
      <c r="BA35" s="10" t="s">
        <v>60</v>
      </c>
      <c r="BC35" s="24">
        <f t="shared" si="61"/>
        <v>0</v>
      </c>
      <c r="BD35" s="24">
        <f t="shared" si="62"/>
        <v>0</v>
      </c>
      <c r="BE35" s="24">
        <v>0</v>
      </c>
      <c r="BF35" s="24">
        <f>35</f>
        <v>35</v>
      </c>
      <c r="BH35" s="24">
        <f t="shared" si="63"/>
        <v>0</v>
      </c>
      <c r="BI35" s="24">
        <f t="shared" si="64"/>
        <v>0</v>
      </c>
      <c r="BJ35" s="24">
        <f t="shared" si="65"/>
        <v>0</v>
      </c>
      <c r="BK35" s="24"/>
      <c r="BL35" s="24">
        <v>764</v>
      </c>
      <c r="BW35" s="24">
        <v>21</v>
      </c>
      <c r="BX35" s="4" t="s">
        <v>122</v>
      </c>
    </row>
    <row r="36" spans="1:76" x14ac:dyDescent="0.25">
      <c r="A36" s="2" t="s">
        <v>123</v>
      </c>
      <c r="B36" s="3" t="s">
        <v>124</v>
      </c>
      <c r="C36" s="68" t="s">
        <v>125</v>
      </c>
      <c r="D36" s="63"/>
      <c r="E36" s="3" t="s">
        <v>103</v>
      </c>
      <c r="F36" s="24">
        <v>148</v>
      </c>
      <c r="G36" s="24">
        <v>0</v>
      </c>
      <c r="H36" s="24">
        <f t="shared" si="44"/>
        <v>0</v>
      </c>
      <c r="I36" s="24">
        <f t="shared" si="45"/>
        <v>0</v>
      </c>
      <c r="J36" s="24">
        <f t="shared" si="46"/>
        <v>0</v>
      </c>
      <c r="K36" s="25" t="s">
        <v>56</v>
      </c>
      <c r="Z36" s="24">
        <f t="shared" si="47"/>
        <v>0</v>
      </c>
      <c r="AB36" s="24">
        <f t="shared" si="48"/>
        <v>0</v>
      </c>
      <c r="AC36" s="24">
        <f t="shared" si="49"/>
        <v>0</v>
      </c>
      <c r="AD36" s="24">
        <f t="shared" si="50"/>
        <v>0</v>
      </c>
      <c r="AE36" s="24">
        <f t="shared" si="51"/>
        <v>0</v>
      </c>
      <c r="AF36" s="24">
        <f t="shared" si="52"/>
        <v>0</v>
      </c>
      <c r="AG36" s="24">
        <f t="shared" si="53"/>
        <v>0</v>
      </c>
      <c r="AH36" s="24">
        <f t="shared" si="54"/>
        <v>0</v>
      </c>
      <c r="AI36" s="10" t="s">
        <v>49</v>
      </c>
      <c r="AJ36" s="24">
        <f t="shared" si="55"/>
        <v>0</v>
      </c>
      <c r="AK36" s="24">
        <f t="shared" si="56"/>
        <v>0</v>
      </c>
      <c r="AL36" s="24">
        <f t="shared" si="57"/>
        <v>0</v>
      </c>
      <c r="AN36" s="24">
        <v>21</v>
      </c>
      <c r="AO36" s="24">
        <f>G36*0.79307265</f>
        <v>0</v>
      </c>
      <c r="AP36" s="24">
        <f>G36*(1-0.79307265)</f>
        <v>0</v>
      </c>
      <c r="AQ36" s="26" t="s">
        <v>57</v>
      </c>
      <c r="AV36" s="24">
        <f t="shared" si="58"/>
        <v>0</v>
      </c>
      <c r="AW36" s="24">
        <f t="shared" si="59"/>
        <v>0</v>
      </c>
      <c r="AX36" s="24">
        <f t="shared" si="60"/>
        <v>0</v>
      </c>
      <c r="AY36" s="26" t="s">
        <v>109</v>
      </c>
      <c r="AZ36" s="26" t="s">
        <v>110</v>
      </c>
      <c r="BA36" s="10" t="s">
        <v>60</v>
      </c>
      <c r="BC36" s="24">
        <f t="shared" si="61"/>
        <v>0</v>
      </c>
      <c r="BD36" s="24">
        <f t="shared" si="62"/>
        <v>0</v>
      </c>
      <c r="BE36" s="24">
        <v>0</v>
      </c>
      <c r="BF36" s="24">
        <f>36</f>
        <v>36</v>
      </c>
      <c r="BH36" s="24">
        <f t="shared" si="63"/>
        <v>0</v>
      </c>
      <c r="BI36" s="24">
        <f t="shared" si="64"/>
        <v>0</v>
      </c>
      <c r="BJ36" s="24">
        <f t="shared" si="65"/>
        <v>0</v>
      </c>
      <c r="BK36" s="24"/>
      <c r="BL36" s="24">
        <v>764</v>
      </c>
      <c r="BW36" s="24">
        <v>21</v>
      </c>
      <c r="BX36" s="4" t="s">
        <v>125</v>
      </c>
    </row>
    <row r="37" spans="1:76" x14ac:dyDescent="0.25">
      <c r="A37" s="2" t="s">
        <v>126</v>
      </c>
      <c r="B37" s="3" t="s">
        <v>77</v>
      </c>
      <c r="C37" s="68" t="s">
        <v>127</v>
      </c>
      <c r="D37" s="63"/>
      <c r="E37" s="3" t="s">
        <v>128</v>
      </c>
      <c r="F37" s="24">
        <v>7</v>
      </c>
      <c r="G37" s="24">
        <v>0</v>
      </c>
      <c r="H37" s="24">
        <f t="shared" si="44"/>
        <v>0</v>
      </c>
      <c r="I37" s="24">
        <f t="shared" si="45"/>
        <v>0</v>
      </c>
      <c r="J37" s="24">
        <f t="shared" si="46"/>
        <v>0</v>
      </c>
      <c r="K37" s="25" t="s">
        <v>56</v>
      </c>
      <c r="Z37" s="24">
        <f t="shared" si="47"/>
        <v>0</v>
      </c>
      <c r="AB37" s="24">
        <f t="shared" si="48"/>
        <v>0</v>
      </c>
      <c r="AC37" s="24">
        <f t="shared" si="49"/>
        <v>0</v>
      </c>
      <c r="AD37" s="24">
        <f t="shared" si="50"/>
        <v>0</v>
      </c>
      <c r="AE37" s="24">
        <f t="shared" si="51"/>
        <v>0</v>
      </c>
      <c r="AF37" s="24">
        <f t="shared" si="52"/>
        <v>0</v>
      </c>
      <c r="AG37" s="24">
        <f t="shared" si="53"/>
        <v>0</v>
      </c>
      <c r="AH37" s="24">
        <f t="shared" si="54"/>
        <v>0</v>
      </c>
      <c r="AI37" s="10" t="s">
        <v>49</v>
      </c>
      <c r="AJ37" s="24">
        <f t="shared" si="55"/>
        <v>0</v>
      </c>
      <c r="AK37" s="24">
        <f t="shared" si="56"/>
        <v>0</v>
      </c>
      <c r="AL37" s="24">
        <f t="shared" si="57"/>
        <v>0</v>
      </c>
      <c r="AN37" s="24">
        <v>21</v>
      </c>
      <c r="AO37" s="24">
        <f>G37*0</f>
        <v>0</v>
      </c>
      <c r="AP37" s="24">
        <f>G37*(1-0)</f>
        <v>0</v>
      </c>
      <c r="AQ37" s="26" t="s">
        <v>57</v>
      </c>
      <c r="AV37" s="24">
        <f t="shared" si="58"/>
        <v>0</v>
      </c>
      <c r="AW37" s="24">
        <f t="shared" si="59"/>
        <v>0</v>
      </c>
      <c r="AX37" s="24">
        <f t="shared" si="60"/>
        <v>0</v>
      </c>
      <c r="AY37" s="26" t="s">
        <v>109</v>
      </c>
      <c r="AZ37" s="26" t="s">
        <v>110</v>
      </c>
      <c r="BA37" s="10" t="s">
        <v>60</v>
      </c>
      <c r="BC37" s="24">
        <f t="shared" si="61"/>
        <v>0</v>
      </c>
      <c r="BD37" s="24">
        <f t="shared" si="62"/>
        <v>0</v>
      </c>
      <c r="BE37" s="24">
        <v>0</v>
      </c>
      <c r="BF37" s="24">
        <f>37</f>
        <v>37</v>
      </c>
      <c r="BH37" s="24">
        <f t="shared" si="63"/>
        <v>0</v>
      </c>
      <c r="BI37" s="24">
        <f t="shared" si="64"/>
        <v>0</v>
      </c>
      <c r="BJ37" s="24">
        <f t="shared" si="65"/>
        <v>0</v>
      </c>
      <c r="BK37" s="24"/>
      <c r="BL37" s="24">
        <v>764</v>
      </c>
      <c r="BW37" s="24">
        <v>21</v>
      </c>
      <c r="BX37" s="4" t="s">
        <v>127</v>
      </c>
    </row>
    <row r="38" spans="1:76" x14ac:dyDescent="0.25">
      <c r="A38" s="2" t="s">
        <v>129</v>
      </c>
      <c r="B38" s="3" t="s">
        <v>130</v>
      </c>
      <c r="C38" s="68" t="s">
        <v>131</v>
      </c>
      <c r="D38" s="63"/>
      <c r="E38" s="3" t="s">
        <v>132</v>
      </c>
      <c r="F38" s="24">
        <v>3</v>
      </c>
      <c r="G38" s="24">
        <v>0</v>
      </c>
      <c r="H38" s="24">
        <f t="shared" si="44"/>
        <v>0</v>
      </c>
      <c r="I38" s="24">
        <f t="shared" si="45"/>
        <v>0</v>
      </c>
      <c r="J38" s="24">
        <f t="shared" si="46"/>
        <v>0</v>
      </c>
      <c r="K38" s="25" t="s">
        <v>56</v>
      </c>
      <c r="Z38" s="24">
        <f t="shared" si="47"/>
        <v>0</v>
      </c>
      <c r="AB38" s="24">
        <f t="shared" si="48"/>
        <v>0</v>
      </c>
      <c r="AC38" s="24">
        <f t="shared" si="49"/>
        <v>0</v>
      </c>
      <c r="AD38" s="24">
        <f t="shared" si="50"/>
        <v>0</v>
      </c>
      <c r="AE38" s="24">
        <f t="shared" si="51"/>
        <v>0</v>
      </c>
      <c r="AF38" s="24">
        <f t="shared" si="52"/>
        <v>0</v>
      </c>
      <c r="AG38" s="24">
        <f t="shared" si="53"/>
        <v>0</v>
      </c>
      <c r="AH38" s="24">
        <f t="shared" si="54"/>
        <v>0</v>
      </c>
      <c r="AI38" s="10" t="s">
        <v>49</v>
      </c>
      <c r="AJ38" s="24">
        <f t="shared" si="55"/>
        <v>0</v>
      </c>
      <c r="AK38" s="24">
        <f t="shared" si="56"/>
        <v>0</v>
      </c>
      <c r="AL38" s="24">
        <f t="shared" si="57"/>
        <v>0</v>
      </c>
      <c r="AN38" s="24">
        <v>21</v>
      </c>
      <c r="AO38" s="24">
        <f>G38*0</f>
        <v>0</v>
      </c>
      <c r="AP38" s="24">
        <f>G38*(1-0)</f>
        <v>0</v>
      </c>
      <c r="AQ38" s="26" t="s">
        <v>69</v>
      </c>
      <c r="AV38" s="24">
        <f t="shared" si="58"/>
        <v>0</v>
      </c>
      <c r="AW38" s="24">
        <f t="shared" si="59"/>
        <v>0</v>
      </c>
      <c r="AX38" s="24">
        <f t="shared" si="60"/>
        <v>0</v>
      </c>
      <c r="AY38" s="26" t="s">
        <v>109</v>
      </c>
      <c r="AZ38" s="26" t="s">
        <v>110</v>
      </c>
      <c r="BA38" s="10" t="s">
        <v>60</v>
      </c>
      <c r="BC38" s="24">
        <f t="shared" si="61"/>
        <v>0</v>
      </c>
      <c r="BD38" s="24">
        <f t="shared" si="62"/>
        <v>0</v>
      </c>
      <c r="BE38" s="24">
        <v>0</v>
      </c>
      <c r="BF38" s="24">
        <f>38</f>
        <v>38</v>
      </c>
      <c r="BH38" s="24">
        <f t="shared" si="63"/>
        <v>0</v>
      </c>
      <c r="BI38" s="24">
        <f t="shared" si="64"/>
        <v>0</v>
      </c>
      <c r="BJ38" s="24">
        <f t="shared" si="65"/>
        <v>0</v>
      </c>
      <c r="BK38" s="24"/>
      <c r="BL38" s="24">
        <v>764</v>
      </c>
      <c r="BW38" s="24">
        <v>21</v>
      </c>
      <c r="BX38" s="4" t="s">
        <v>131</v>
      </c>
    </row>
    <row r="39" spans="1:76" x14ac:dyDescent="0.25">
      <c r="A39" s="27" t="s">
        <v>49</v>
      </c>
      <c r="B39" s="28" t="s">
        <v>133</v>
      </c>
      <c r="C39" s="84" t="s">
        <v>134</v>
      </c>
      <c r="D39" s="85"/>
      <c r="E39" s="29" t="s">
        <v>4</v>
      </c>
      <c r="F39" s="29" t="s">
        <v>4</v>
      </c>
      <c r="G39" s="29" t="s">
        <v>4</v>
      </c>
      <c r="H39" s="1">
        <f>SUM(H40:H40)</f>
        <v>0</v>
      </c>
      <c r="I39" s="1">
        <f>SUM(I40:I40)</f>
        <v>0</v>
      </c>
      <c r="J39" s="1">
        <f>SUM(J40:J40)</f>
        <v>0</v>
      </c>
      <c r="K39" s="30" t="s">
        <v>49</v>
      </c>
      <c r="AI39" s="10" t="s">
        <v>49</v>
      </c>
      <c r="AS39" s="1">
        <f>SUM(AJ40:AJ40)</f>
        <v>0</v>
      </c>
      <c r="AT39" s="1">
        <f>SUM(AK40:AK40)</f>
        <v>0</v>
      </c>
      <c r="AU39" s="1">
        <f>SUM(AL40:AL40)</f>
        <v>0</v>
      </c>
    </row>
    <row r="40" spans="1:76" x14ac:dyDescent="0.25">
      <c r="A40" s="2" t="s">
        <v>135</v>
      </c>
      <c r="B40" s="3" t="s">
        <v>136</v>
      </c>
      <c r="C40" s="68" t="s">
        <v>137</v>
      </c>
      <c r="D40" s="63"/>
      <c r="E40" s="3" t="s">
        <v>55</v>
      </c>
      <c r="F40" s="24">
        <v>1344.18</v>
      </c>
      <c r="G40" s="24">
        <v>0</v>
      </c>
      <c r="H40" s="24">
        <f>F40*AO40</f>
        <v>0</v>
      </c>
      <c r="I40" s="24">
        <f>F40*AP40</f>
        <v>0</v>
      </c>
      <c r="J40" s="24">
        <f>F40*G40</f>
        <v>0</v>
      </c>
      <c r="K40" s="25" t="s">
        <v>56</v>
      </c>
      <c r="Z40" s="24">
        <f>IF(AQ40="5",BJ40,0)</f>
        <v>0</v>
      </c>
      <c r="AB40" s="24">
        <f>IF(AQ40="1",BH40,0)</f>
        <v>0</v>
      </c>
      <c r="AC40" s="24">
        <f>IF(AQ40="1",BI40,0)</f>
        <v>0</v>
      </c>
      <c r="AD40" s="24">
        <f>IF(AQ40="7",BH40,0)</f>
        <v>0</v>
      </c>
      <c r="AE40" s="24">
        <f>IF(AQ40="7",BI40,0)</f>
        <v>0</v>
      </c>
      <c r="AF40" s="24">
        <f>IF(AQ40="2",BH40,0)</f>
        <v>0</v>
      </c>
      <c r="AG40" s="24">
        <f>IF(AQ40="2",BI40,0)</f>
        <v>0</v>
      </c>
      <c r="AH40" s="24">
        <f>IF(AQ40="0",BJ40,0)</f>
        <v>0</v>
      </c>
      <c r="AI40" s="10" t="s">
        <v>49</v>
      </c>
      <c r="AJ40" s="24">
        <f>IF(AN40=0,J40,0)</f>
        <v>0</v>
      </c>
      <c r="AK40" s="24">
        <f>IF(AN40=12,J40,0)</f>
        <v>0</v>
      </c>
      <c r="AL40" s="24">
        <f>IF(AN40=21,J40,0)</f>
        <v>0</v>
      </c>
      <c r="AN40" s="24">
        <v>21</v>
      </c>
      <c r="AO40" s="24">
        <f>G40*0.442230216</f>
        <v>0</v>
      </c>
      <c r="AP40" s="24">
        <f>G40*(1-0.442230216)</f>
        <v>0</v>
      </c>
      <c r="AQ40" s="26" t="s">
        <v>57</v>
      </c>
      <c r="AV40" s="24">
        <f>AW40+AX40</f>
        <v>0</v>
      </c>
      <c r="AW40" s="24">
        <f>F40*AO40</f>
        <v>0</v>
      </c>
      <c r="AX40" s="24">
        <f>F40*AP40</f>
        <v>0</v>
      </c>
      <c r="AY40" s="26" t="s">
        <v>138</v>
      </c>
      <c r="AZ40" s="26" t="s">
        <v>139</v>
      </c>
      <c r="BA40" s="10" t="s">
        <v>60</v>
      </c>
      <c r="BC40" s="24">
        <f>AW40+AX40</f>
        <v>0</v>
      </c>
      <c r="BD40" s="24">
        <f>G40/(100-BE40)*100</f>
        <v>0</v>
      </c>
      <c r="BE40" s="24">
        <v>0</v>
      </c>
      <c r="BF40" s="24">
        <f>40</f>
        <v>40</v>
      </c>
      <c r="BH40" s="24">
        <f>F40*AO40</f>
        <v>0</v>
      </c>
      <c r="BI40" s="24">
        <f>F40*AP40</f>
        <v>0</v>
      </c>
      <c r="BJ40" s="24">
        <f>F40*G40</f>
        <v>0</v>
      </c>
      <c r="BK40" s="24"/>
      <c r="BL40" s="24">
        <v>783</v>
      </c>
      <c r="BW40" s="24">
        <v>21</v>
      </c>
      <c r="BX40" s="4" t="s">
        <v>137</v>
      </c>
    </row>
    <row r="41" spans="1:76" x14ac:dyDescent="0.25">
      <c r="A41" s="27" t="s">
        <v>49</v>
      </c>
      <c r="B41" s="28" t="s">
        <v>140</v>
      </c>
      <c r="C41" s="84" t="s">
        <v>141</v>
      </c>
      <c r="D41" s="85"/>
      <c r="E41" s="29" t="s">
        <v>4</v>
      </c>
      <c r="F41" s="29" t="s">
        <v>4</v>
      </c>
      <c r="G41" s="29" t="s">
        <v>4</v>
      </c>
      <c r="H41" s="1">
        <f>SUM(H42:H44)</f>
        <v>0</v>
      </c>
      <c r="I41" s="1">
        <f>SUM(I42:I44)</f>
        <v>0</v>
      </c>
      <c r="J41" s="1">
        <f>SUM(J42:J44)</f>
        <v>0</v>
      </c>
      <c r="K41" s="30" t="s">
        <v>49</v>
      </c>
      <c r="AI41" s="10" t="s">
        <v>49</v>
      </c>
      <c r="AS41" s="1">
        <f>SUM(AJ42:AJ44)</f>
        <v>0</v>
      </c>
      <c r="AT41" s="1">
        <f>SUM(AK42:AK44)</f>
        <v>0</v>
      </c>
      <c r="AU41" s="1">
        <f>SUM(AL42:AL44)</f>
        <v>0</v>
      </c>
    </row>
    <row r="42" spans="1:76" x14ac:dyDescent="0.25">
      <c r="A42" s="2" t="s">
        <v>142</v>
      </c>
      <c r="B42" s="3" t="s">
        <v>143</v>
      </c>
      <c r="C42" s="68" t="s">
        <v>144</v>
      </c>
      <c r="D42" s="63"/>
      <c r="E42" s="3" t="s">
        <v>55</v>
      </c>
      <c r="F42" s="24">
        <v>1221</v>
      </c>
      <c r="G42" s="24">
        <v>0</v>
      </c>
      <c r="H42" s="24">
        <f>F42*AO42</f>
        <v>0</v>
      </c>
      <c r="I42" s="24">
        <f>F42*AP42</f>
        <v>0</v>
      </c>
      <c r="J42" s="24">
        <f>F42*G42</f>
        <v>0</v>
      </c>
      <c r="K42" s="25" t="s">
        <v>56</v>
      </c>
      <c r="Z42" s="24">
        <f>IF(AQ42="5",BJ42,0)</f>
        <v>0</v>
      </c>
      <c r="AB42" s="24">
        <f>IF(AQ42="1",BH42,0)</f>
        <v>0</v>
      </c>
      <c r="AC42" s="24">
        <f>IF(AQ42="1",BI42,0)</f>
        <v>0</v>
      </c>
      <c r="AD42" s="24">
        <f>IF(AQ42="7",BH42,0)</f>
        <v>0</v>
      </c>
      <c r="AE42" s="24">
        <f>IF(AQ42="7",BI42,0)</f>
        <v>0</v>
      </c>
      <c r="AF42" s="24">
        <f>IF(AQ42="2",BH42,0)</f>
        <v>0</v>
      </c>
      <c r="AG42" s="24">
        <f>IF(AQ42="2",BI42,0)</f>
        <v>0</v>
      </c>
      <c r="AH42" s="24">
        <f>IF(AQ42="0",BJ42,0)</f>
        <v>0</v>
      </c>
      <c r="AI42" s="10" t="s">
        <v>49</v>
      </c>
      <c r="AJ42" s="24">
        <f>IF(AN42=0,J42,0)</f>
        <v>0</v>
      </c>
      <c r="AK42" s="24">
        <f>IF(AN42=12,J42,0)</f>
        <v>0</v>
      </c>
      <c r="AL42" s="24">
        <f>IF(AN42=21,J42,0)</f>
        <v>0</v>
      </c>
      <c r="AN42" s="24">
        <v>21</v>
      </c>
      <c r="AO42" s="24">
        <f>G42*0.000392157</f>
        <v>0</v>
      </c>
      <c r="AP42" s="24">
        <f>G42*(1-0.000392157)</f>
        <v>0</v>
      </c>
      <c r="AQ42" s="26" t="s">
        <v>52</v>
      </c>
      <c r="AV42" s="24">
        <f>AW42+AX42</f>
        <v>0</v>
      </c>
      <c r="AW42" s="24">
        <f>F42*AO42</f>
        <v>0</v>
      </c>
      <c r="AX42" s="24">
        <f>F42*AP42</f>
        <v>0</v>
      </c>
      <c r="AY42" s="26" t="s">
        <v>145</v>
      </c>
      <c r="AZ42" s="26" t="s">
        <v>146</v>
      </c>
      <c r="BA42" s="10" t="s">
        <v>60</v>
      </c>
      <c r="BC42" s="24">
        <f>AW42+AX42</f>
        <v>0</v>
      </c>
      <c r="BD42" s="24">
        <f>G42/(100-BE42)*100</f>
        <v>0</v>
      </c>
      <c r="BE42" s="24">
        <v>0</v>
      </c>
      <c r="BF42" s="24">
        <f>42</f>
        <v>42</v>
      </c>
      <c r="BH42" s="24">
        <f>F42*AO42</f>
        <v>0</v>
      </c>
      <c r="BI42" s="24">
        <f>F42*AP42</f>
        <v>0</v>
      </c>
      <c r="BJ42" s="24">
        <f>F42*G42</f>
        <v>0</v>
      </c>
      <c r="BK42" s="24"/>
      <c r="BL42" s="24">
        <v>94</v>
      </c>
      <c r="BW42" s="24">
        <v>21</v>
      </c>
      <c r="BX42" s="4" t="s">
        <v>144</v>
      </c>
    </row>
    <row r="43" spans="1:76" x14ac:dyDescent="0.25">
      <c r="A43" s="2" t="s">
        <v>147</v>
      </c>
      <c r="B43" s="3" t="s">
        <v>148</v>
      </c>
      <c r="C43" s="68" t="s">
        <v>149</v>
      </c>
      <c r="D43" s="63"/>
      <c r="E43" s="3" t="s">
        <v>55</v>
      </c>
      <c r="F43" s="24">
        <v>2442</v>
      </c>
      <c r="G43" s="24">
        <v>0</v>
      </c>
      <c r="H43" s="24">
        <f>F43*AO43</f>
        <v>0</v>
      </c>
      <c r="I43" s="24">
        <f>F43*AP43</f>
        <v>0</v>
      </c>
      <c r="J43" s="24">
        <f>F43*G43</f>
        <v>0</v>
      </c>
      <c r="K43" s="25" t="s">
        <v>56</v>
      </c>
      <c r="Z43" s="24">
        <f>IF(AQ43="5",BJ43,0)</f>
        <v>0</v>
      </c>
      <c r="AB43" s="24">
        <f>IF(AQ43="1",BH43,0)</f>
        <v>0</v>
      </c>
      <c r="AC43" s="24">
        <f>IF(AQ43="1",BI43,0)</f>
        <v>0</v>
      </c>
      <c r="AD43" s="24">
        <f>IF(AQ43="7",BH43,0)</f>
        <v>0</v>
      </c>
      <c r="AE43" s="24">
        <f>IF(AQ43="7",BI43,0)</f>
        <v>0</v>
      </c>
      <c r="AF43" s="24">
        <f>IF(AQ43="2",BH43,0)</f>
        <v>0</v>
      </c>
      <c r="AG43" s="24">
        <f>IF(AQ43="2",BI43,0)</f>
        <v>0</v>
      </c>
      <c r="AH43" s="24">
        <f>IF(AQ43="0",BJ43,0)</f>
        <v>0</v>
      </c>
      <c r="AI43" s="10" t="s">
        <v>49</v>
      </c>
      <c r="AJ43" s="24">
        <f>IF(AN43=0,J43,0)</f>
        <v>0</v>
      </c>
      <c r="AK43" s="24">
        <f>IF(AN43=12,J43,0)</f>
        <v>0</v>
      </c>
      <c r="AL43" s="24">
        <f>IF(AN43=21,J43,0)</f>
        <v>0</v>
      </c>
      <c r="AN43" s="24">
        <v>21</v>
      </c>
      <c r="AO43" s="24">
        <f>G43*0.945892857</f>
        <v>0</v>
      </c>
      <c r="AP43" s="24">
        <f>G43*(1-0.945892857)</f>
        <v>0</v>
      </c>
      <c r="AQ43" s="26" t="s">
        <v>52</v>
      </c>
      <c r="AV43" s="24">
        <f>AW43+AX43</f>
        <v>0</v>
      </c>
      <c r="AW43" s="24">
        <f>F43*AO43</f>
        <v>0</v>
      </c>
      <c r="AX43" s="24">
        <f>F43*AP43</f>
        <v>0</v>
      </c>
      <c r="AY43" s="26" t="s">
        <v>145</v>
      </c>
      <c r="AZ43" s="26" t="s">
        <v>146</v>
      </c>
      <c r="BA43" s="10" t="s">
        <v>60</v>
      </c>
      <c r="BC43" s="24">
        <f>AW43+AX43</f>
        <v>0</v>
      </c>
      <c r="BD43" s="24">
        <f>G43/(100-BE43)*100</f>
        <v>0</v>
      </c>
      <c r="BE43" s="24">
        <v>0</v>
      </c>
      <c r="BF43" s="24">
        <f>43</f>
        <v>43</v>
      </c>
      <c r="BH43" s="24">
        <f>F43*AO43</f>
        <v>0</v>
      </c>
      <c r="BI43" s="24">
        <f>F43*AP43</f>
        <v>0</v>
      </c>
      <c r="BJ43" s="24">
        <f>F43*G43</f>
        <v>0</v>
      </c>
      <c r="BK43" s="24"/>
      <c r="BL43" s="24">
        <v>94</v>
      </c>
      <c r="BW43" s="24">
        <v>21</v>
      </c>
      <c r="BX43" s="4" t="s">
        <v>149</v>
      </c>
    </row>
    <row r="44" spans="1:76" x14ac:dyDescent="0.25">
      <c r="A44" s="2" t="s">
        <v>150</v>
      </c>
      <c r="B44" s="3" t="s">
        <v>151</v>
      </c>
      <c r="C44" s="68" t="s">
        <v>152</v>
      </c>
      <c r="D44" s="63"/>
      <c r="E44" s="3" t="s">
        <v>55</v>
      </c>
      <c r="F44" s="24">
        <v>1221</v>
      </c>
      <c r="G44" s="24">
        <v>0</v>
      </c>
      <c r="H44" s="24">
        <f>F44*AO44</f>
        <v>0</v>
      </c>
      <c r="I44" s="24">
        <f>F44*AP44</f>
        <v>0</v>
      </c>
      <c r="J44" s="24">
        <f>F44*G44</f>
        <v>0</v>
      </c>
      <c r="K44" s="25" t="s">
        <v>56</v>
      </c>
      <c r="Z44" s="24">
        <f>IF(AQ44="5",BJ44,0)</f>
        <v>0</v>
      </c>
      <c r="AB44" s="24">
        <f>IF(AQ44="1",BH44,0)</f>
        <v>0</v>
      </c>
      <c r="AC44" s="24">
        <f>IF(AQ44="1",BI44,0)</f>
        <v>0</v>
      </c>
      <c r="AD44" s="24">
        <f>IF(AQ44="7",BH44,0)</f>
        <v>0</v>
      </c>
      <c r="AE44" s="24">
        <f>IF(AQ44="7",BI44,0)</f>
        <v>0</v>
      </c>
      <c r="AF44" s="24">
        <f>IF(AQ44="2",BH44,0)</f>
        <v>0</v>
      </c>
      <c r="AG44" s="24">
        <f>IF(AQ44="2",BI44,0)</f>
        <v>0</v>
      </c>
      <c r="AH44" s="24">
        <f>IF(AQ44="0",BJ44,0)</f>
        <v>0</v>
      </c>
      <c r="AI44" s="10" t="s">
        <v>49</v>
      </c>
      <c r="AJ44" s="24">
        <f>IF(AN44=0,J44,0)</f>
        <v>0</v>
      </c>
      <c r="AK44" s="24">
        <f>IF(AN44=12,J44,0)</f>
        <v>0</v>
      </c>
      <c r="AL44" s="24">
        <f>IF(AN44=21,J44,0)</f>
        <v>0</v>
      </c>
      <c r="AN44" s="24">
        <v>21</v>
      </c>
      <c r="AO44" s="24">
        <f>G44*0</f>
        <v>0</v>
      </c>
      <c r="AP44" s="24">
        <f>G44*(1-0)</f>
        <v>0</v>
      </c>
      <c r="AQ44" s="26" t="s">
        <v>52</v>
      </c>
      <c r="AV44" s="24">
        <f>AW44+AX44</f>
        <v>0</v>
      </c>
      <c r="AW44" s="24">
        <f>F44*AO44</f>
        <v>0</v>
      </c>
      <c r="AX44" s="24">
        <f>F44*AP44</f>
        <v>0</v>
      </c>
      <c r="AY44" s="26" t="s">
        <v>145</v>
      </c>
      <c r="AZ44" s="26" t="s">
        <v>146</v>
      </c>
      <c r="BA44" s="10" t="s">
        <v>60</v>
      </c>
      <c r="BC44" s="24">
        <f>AW44+AX44</f>
        <v>0</v>
      </c>
      <c r="BD44" s="24">
        <f>G44/(100-BE44)*100</f>
        <v>0</v>
      </c>
      <c r="BE44" s="24">
        <v>0</v>
      </c>
      <c r="BF44" s="24">
        <f>44</f>
        <v>44</v>
      </c>
      <c r="BH44" s="24">
        <f>F44*AO44</f>
        <v>0</v>
      </c>
      <c r="BI44" s="24">
        <f>F44*AP44</f>
        <v>0</v>
      </c>
      <c r="BJ44" s="24">
        <f>F44*G44</f>
        <v>0</v>
      </c>
      <c r="BK44" s="24"/>
      <c r="BL44" s="24">
        <v>94</v>
      </c>
      <c r="BW44" s="24">
        <v>21</v>
      </c>
      <c r="BX44" s="4" t="s">
        <v>152</v>
      </c>
    </row>
    <row r="45" spans="1:76" x14ac:dyDescent="0.25">
      <c r="A45" s="27" t="s">
        <v>49</v>
      </c>
      <c r="B45" s="28" t="s">
        <v>153</v>
      </c>
      <c r="C45" s="84" t="s">
        <v>51</v>
      </c>
      <c r="D45" s="85"/>
      <c r="E45" s="29" t="s">
        <v>4</v>
      </c>
      <c r="F45" s="29" t="s">
        <v>4</v>
      </c>
      <c r="G45" s="29" t="s">
        <v>4</v>
      </c>
      <c r="H45" s="1">
        <f>SUM(H46:H46)</f>
        <v>0</v>
      </c>
      <c r="I45" s="1">
        <f>SUM(I46:I46)</f>
        <v>0</v>
      </c>
      <c r="J45" s="1">
        <f>SUM(J46:J46)</f>
        <v>0</v>
      </c>
      <c r="K45" s="30" t="s">
        <v>49</v>
      </c>
      <c r="AI45" s="10" t="s">
        <v>49</v>
      </c>
      <c r="AS45" s="1">
        <f>SUM(AJ46:AJ46)</f>
        <v>0</v>
      </c>
      <c r="AT45" s="1">
        <f>SUM(AK46:AK46)</f>
        <v>0</v>
      </c>
      <c r="AU45" s="1">
        <f>SUM(AL46:AL46)</f>
        <v>0</v>
      </c>
    </row>
    <row r="46" spans="1:76" x14ac:dyDescent="0.25">
      <c r="A46" s="2" t="s">
        <v>154</v>
      </c>
      <c r="B46" s="3" t="s">
        <v>155</v>
      </c>
      <c r="C46" s="68" t="s">
        <v>156</v>
      </c>
      <c r="D46" s="63"/>
      <c r="E46" s="3" t="s">
        <v>157</v>
      </c>
      <c r="F46" s="24">
        <v>173.15</v>
      </c>
      <c r="G46" s="24">
        <v>0</v>
      </c>
      <c r="H46" s="24">
        <f>F46*AO46</f>
        <v>0</v>
      </c>
      <c r="I46" s="24">
        <f>F46*AP46</f>
        <v>0</v>
      </c>
      <c r="J46" s="24">
        <f>F46*G46</f>
        <v>0</v>
      </c>
      <c r="K46" s="25" t="s">
        <v>56</v>
      </c>
      <c r="Z46" s="24">
        <f>IF(AQ46="5",BJ46,0)</f>
        <v>0</v>
      </c>
      <c r="AB46" s="24">
        <f>IF(AQ46="1",BH46,0)</f>
        <v>0</v>
      </c>
      <c r="AC46" s="24">
        <f>IF(AQ46="1",BI46,0)</f>
        <v>0</v>
      </c>
      <c r="AD46" s="24">
        <f>IF(AQ46="7",BH46,0)</f>
        <v>0</v>
      </c>
      <c r="AE46" s="24">
        <f>IF(AQ46="7",BI46,0)</f>
        <v>0</v>
      </c>
      <c r="AF46" s="24">
        <f>IF(AQ46="2",BH46,0)</f>
        <v>0</v>
      </c>
      <c r="AG46" s="24">
        <f>IF(AQ46="2",BI46,0)</f>
        <v>0</v>
      </c>
      <c r="AH46" s="24">
        <f>IF(AQ46="0",BJ46,0)</f>
        <v>0</v>
      </c>
      <c r="AI46" s="10" t="s">
        <v>49</v>
      </c>
      <c r="AJ46" s="24">
        <f>IF(AN46=0,J46,0)</f>
        <v>0</v>
      </c>
      <c r="AK46" s="24">
        <f>IF(AN46=12,J46,0)</f>
        <v>0</v>
      </c>
      <c r="AL46" s="24">
        <f>IF(AN46=21,J46,0)</f>
        <v>0</v>
      </c>
      <c r="AN46" s="24">
        <v>21</v>
      </c>
      <c r="AO46" s="24">
        <f>G46*0</f>
        <v>0</v>
      </c>
      <c r="AP46" s="24">
        <f>G46*(1-0)</f>
        <v>0</v>
      </c>
      <c r="AQ46" s="26" t="s">
        <v>69</v>
      </c>
      <c r="AV46" s="24">
        <f>AW46+AX46</f>
        <v>0</v>
      </c>
      <c r="AW46" s="24">
        <f>F46*AO46</f>
        <v>0</v>
      </c>
      <c r="AX46" s="24">
        <f>F46*AP46</f>
        <v>0</v>
      </c>
      <c r="AY46" s="26" t="s">
        <v>158</v>
      </c>
      <c r="AZ46" s="26" t="s">
        <v>146</v>
      </c>
      <c r="BA46" s="10" t="s">
        <v>60</v>
      </c>
      <c r="BC46" s="24">
        <f>AW46+AX46</f>
        <v>0</v>
      </c>
      <c r="BD46" s="24">
        <f>G46/(100-BE46)*100</f>
        <v>0</v>
      </c>
      <c r="BE46" s="24">
        <v>0</v>
      </c>
      <c r="BF46" s="24">
        <f>46</f>
        <v>46</v>
      </c>
      <c r="BH46" s="24">
        <f>F46*AO46</f>
        <v>0</v>
      </c>
      <c r="BI46" s="24">
        <f>F46*AP46</f>
        <v>0</v>
      </c>
      <c r="BJ46" s="24">
        <f>F46*G46</f>
        <v>0</v>
      </c>
      <c r="BK46" s="24"/>
      <c r="BL46" s="24"/>
      <c r="BW46" s="24">
        <v>21</v>
      </c>
      <c r="BX46" s="4" t="s">
        <v>156</v>
      </c>
    </row>
    <row r="47" spans="1:76" x14ac:dyDescent="0.25">
      <c r="A47" s="27" t="s">
        <v>49</v>
      </c>
      <c r="B47" s="28" t="s">
        <v>159</v>
      </c>
      <c r="C47" s="84" t="s">
        <v>160</v>
      </c>
      <c r="D47" s="85"/>
      <c r="E47" s="29" t="s">
        <v>4</v>
      </c>
      <c r="F47" s="29" t="s">
        <v>4</v>
      </c>
      <c r="G47" s="29" t="s">
        <v>4</v>
      </c>
      <c r="H47" s="1">
        <f>SUM(H48:H49)</f>
        <v>0</v>
      </c>
      <c r="I47" s="1">
        <f>SUM(I48:I49)</f>
        <v>0</v>
      </c>
      <c r="J47" s="1">
        <f>SUM(J48:J49)</f>
        <v>0</v>
      </c>
      <c r="K47" s="30" t="s">
        <v>49</v>
      </c>
      <c r="AI47" s="10" t="s">
        <v>49</v>
      </c>
      <c r="AS47" s="1">
        <f>SUM(AJ48:AJ49)</f>
        <v>0</v>
      </c>
      <c r="AT47" s="1">
        <f>SUM(AK48:AK49)</f>
        <v>0</v>
      </c>
      <c r="AU47" s="1">
        <f>SUM(AL48:AL49)</f>
        <v>0</v>
      </c>
    </row>
    <row r="48" spans="1:76" x14ac:dyDescent="0.25">
      <c r="A48" s="2" t="s">
        <v>161</v>
      </c>
      <c r="B48" s="3" t="s">
        <v>162</v>
      </c>
      <c r="C48" s="68" t="s">
        <v>163</v>
      </c>
      <c r="D48" s="63"/>
      <c r="E48" s="3" t="s">
        <v>103</v>
      </c>
      <c r="F48" s="24">
        <v>90</v>
      </c>
      <c r="G48" s="24">
        <v>0</v>
      </c>
      <c r="H48" s="24">
        <f>F48*AO48</f>
        <v>0</v>
      </c>
      <c r="I48" s="24">
        <f>F48*AP48</f>
        <v>0</v>
      </c>
      <c r="J48" s="24">
        <f>F48*G48</f>
        <v>0</v>
      </c>
      <c r="K48" s="25" t="s">
        <v>56</v>
      </c>
      <c r="Z48" s="24">
        <f>IF(AQ48="5",BJ48,0)</f>
        <v>0</v>
      </c>
      <c r="AB48" s="24">
        <f>IF(AQ48="1",BH48,0)</f>
        <v>0</v>
      </c>
      <c r="AC48" s="24">
        <f>IF(AQ48="1",BI48,0)</f>
        <v>0</v>
      </c>
      <c r="AD48" s="24">
        <f>IF(AQ48="7",BH48,0)</f>
        <v>0</v>
      </c>
      <c r="AE48" s="24">
        <f>IF(AQ48="7",BI48,0)</f>
        <v>0</v>
      </c>
      <c r="AF48" s="24">
        <f>IF(AQ48="2",BH48,0)</f>
        <v>0</v>
      </c>
      <c r="AG48" s="24">
        <f>IF(AQ48="2",BI48,0)</f>
        <v>0</v>
      </c>
      <c r="AH48" s="24">
        <f>IF(AQ48="0",BJ48,0)</f>
        <v>0</v>
      </c>
      <c r="AI48" s="10" t="s">
        <v>49</v>
      </c>
      <c r="AJ48" s="24">
        <f>IF(AN48=0,J48,0)</f>
        <v>0</v>
      </c>
      <c r="AK48" s="24">
        <f>IF(AN48=12,J48,0)</f>
        <v>0</v>
      </c>
      <c r="AL48" s="24">
        <f>IF(AN48=21,J48,0)</f>
        <v>0</v>
      </c>
      <c r="AN48" s="24">
        <v>21</v>
      </c>
      <c r="AO48" s="24">
        <f>G48*0</f>
        <v>0</v>
      </c>
      <c r="AP48" s="24">
        <f>G48*(1-0)</f>
        <v>0</v>
      </c>
      <c r="AQ48" s="26" t="s">
        <v>61</v>
      </c>
      <c r="AV48" s="24">
        <f>AW48+AX48</f>
        <v>0</v>
      </c>
      <c r="AW48" s="24">
        <f>F48*AO48</f>
        <v>0</v>
      </c>
      <c r="AX48" s="24">
        <f>F48*AP48</f>
        <v>0</v>
      </c>
      <c r="AY48" s="26" t="s">
        <v>164</v>
      </c>
      <c r="AZ48" s="26" t="s">
        <v>146</v>
      </c>
      <c r="BA48" s="10" t="s">
        <v>60</v>
      </c>
      <c r="BC48" s="24">
        <f>AW48+AX48</f>
        <v>0</v>
      </c>
      <c r="BD48" s="24">
        <f>G48/(100-BE48)*100</f>
        <v>0</v>
      </c>
      <c r="BE48" s="24">
        <v>0</v>
      </c>
      <c r="BF48" s="24">
        <f>48</f>
        <v>48</v>
      </c>
      <c r="BH48" s="24">
        <f>F48*AO48</f>
        <v>0</v>
      </c>
      <c r="BI48" s="24">
        <f>F48*AP48</f>
        <v>0</v>
      </c>
      <c r="BJ48" s="24">
        <f>F48*G48</f>
        <v>0</v>
      </c>
      <c r="BK48" s="24"/>
      <c r="BL48" s="24"/>
      <c r="BW48" s="24">
        <v>21</v>
      </c>
      <c r="BX48" s="4" t="s">
        <v>163</v>
      </c>
    </row>
    <row r="49" spans="1:76" x14ac:dyDescent="0.25">
      <c r="A49" s="2" t="s">
        <v>165</v>
      </c>
      <c r="B49" s="3" t="s">
        <v>77</v>
      </c>
      <c r="C49" s="68" t="s">
        <v>166</v>
      </c>
      <c r="D49" s="63"/>
      <c r="E49" s="3" t="s">
        <v>103</v>
      </c>
      <c r="F49" s="24">
        <v>90</v>
      </c>
      <c r="G49" s="24">
        <v>0</v>
      </c>
      <c r="H49" s="24">
        <f>F49*AO49</f>
        <v>0</v>
      </c>
      <c r="I49" s="24">
        <f>F49*AP49</f>
        <v>0</v>
      </c>
      <c r="J49" s="24">
        <f>F49*G49</f>
        <v>0</v>
      </c>
      <c r="K49" s="25" t="s">
        <v>56</v>
      </c>
      <c r="Z49" s="24">
        <f>IF(AQ49="5",BJ49,0)</f>
        <v>0</v>
      </c>
      <c r="AB49" s="24">
        <f>IF(AQ49="1",BH49,0)</f>
        <v>0</v>
      </c>
      <c r="AC49" s="24">
        <f>IF(AQ49="1",BI49,0)</f>
        <v>0</v>
      </c>
      <c r="AD49" s="24">
        <f>IF(AQ49="7",BH49,0)</f>
        <v>0</v>
      </c>
      <c r="AE49" s="24">
        <f>IF(AQ49="7",BI49,0)</f>
        <v>0</v>
      </c>
      <c r="AF49" s="24">
        <f>IF(AQ49="2",BH49,0)</f>
        <v>0</v>
      </c>
      <c r="AG49" s="24">
        <f>IF(AQ49="2",BI49,0)</f>
        <v>0</v>
      </c>
      <c r="AH49" s="24">
        <f>IF(AQ49="0",BJ49,0)</f>
        <v>0</v>
      </c>
      <c r="AI49" s="10" t="s">
        <v>49</v>
      </c>
      <c r="AJ49" s="24">
        <f>IF(AN49=0,J49,0)</f>
        <v>0</v>
      </c>
      <c r="AK49" s="24">
        <f>IF(AN49=12,J49,0)</f>
        <v>0</v>
      </c>
      <c r="AL49" s="24">
        <f>IF(AN49=21,J49,0)</f>
        <v>0</v>
      </c>
      <c r="AN49" s="24">
        <v>21</v>
      </c>
      <c r="AO49" s="24">
        <f>G49*0</f>
        <v>0</v>
      </c>
      <c r="AP49" s="24">
        <f>G49*(1-0)</f>
        <v>0</v>
      </c>
      <c r="AQ49" s="26" t="s">
        <v>61</v>
      </c>
      <c r="AV49" s="24">
        <f>AW49+AX49</f>
        <v>0</v>
      </c>
      <c r="AW49" s="24">
        <f>F49*AO49</f>
        <v>0</v>
      </c>
      <c r="AX49" s="24">
        <f>F49*AP49</f>
        <v>0</v>
      </c>
      <c r="AY49" s="26" t="s">
        <v>164</v>
      </c>
      <c r="AZ49" s="26" t="s">
        <v>146</v>
      </c>
      <c r="BA49" s="10" t="s">
        <v>60</v>
      </c>
      <c r="BC49" s="24">
        <f>AW49+AX49</f>
        <v>0</v>
      </c>
      <c r="BD49" s="24">
        <f>G49/(100-BE49)*100</f>
        <v>0</v>
      </c>
      <c r="BE49" s="24">
        <v>0</v>
      </c>
      <c r="BF49" s="24">
        <f>49</f>
        <v>49</v>
      </c>
      <c r="BH49" s="24">
        <f>F49*AO49</f>
        <v>0</v>
      </c>
      <c r="BI49" s="24">
        <f>F49*AP49</f>
        <v>0</v>
      </c>
      <c r="BJ49" s="24">
        <f>F49*G49</f>
        <v>0</v>
      </c>
      <c r="BK49" s="24"/>
      <c r="BL49" s="24"/>
      <c r="BW49" s="24">
        <v>21</v>
      </c>
      <c r="BX49" s="4" t="s">
        <v>166</v>
      </c>
    </row>
    <row r="50" spans="1:76" x14ac:dyDescent="0.25">
      <c r="A50" s="27" t="s">
        <v>49</v>
      </c>
      <c r="B50" s="28" t="s">
        <v>167</v>
      </c>
      <c r="C50" s="84" t="s">
        <v>168</v>
      </c>
      <c r="D50" s="85"/>
      <c r="E50" s="29" t="s">
        <v>4</v>
      </c>
      <c r="F50" s="29" t="s">
        <v>4</v>
      </c>
      <c r="G50" s="29" t="s">
        <v>4</v>
      </c>
      <c r="H50" s="1">
        <f>SUM(H51:H59)</f>
        <v>0</v>
      </c>
      <c r="I50" s="1">
        <f>SUM(I51:I59)</f>
        <v>0</v>
      </c>
      <c r="J50" s="1">
        <f>SUM(J51:J59)</f>
        <v>0</v>
      </c>
      <c r="K50" s="30" t="s">
        <v>49</v>
      </c>
      <c r="AI50" s="10" t="s">
        <v>49</v>
      </c>
      <c r="AS50" s="1">
        <f>SUM(AJ51:AJ59)</f>
        <v>0</v>
      </c>
      <c r="AT50" s="1">
        <f>SUM(AK51:AK59)</f>
        <v>0</v>
      </c>
      <c r="AU50" s="1">
        <f>SUM(AL51:AL59)</f>
        <v>0</v>
      </c>
    </row>
    <row r="51" spans="1:76" x14ac:dyDescent="0.25">
      <c r="A51" s="2" t="s">
        <v>169</v>
      </c>
      <c r="B51" s="3" t="s">
        <v>170</v>
      </c>
      <c r="C51" s="68" t="s">
        <v>171</v>
      </c>
      <c r="D51" s="63"/>
      <c r="E51" s="3" t="s">
        <v>157</v>
      </c>
      <c r="F51" s="24">
        <v>134.41999999999999</v>
      </c>
      <c r="G51" s="24">
        <v>0</v>
      </c>
      <c r="H51" s="24">
        <f t="shared" ref="H51:H59" si="66">F51*AO51</f>
        <v>0</v>
      </c>
      <c r="I51" s="24">
        <f t="shared" ref="I51:I59" si="67">F51*AP51</f>
        <v>0</v>
      </c>
      <c r="J51" s="24">
        <f t="shared" ref="J51:J59" si="68">F51*G51</f>
        <v>0</v>
      </c>
      <c r="K51" s="25" t="s">
        <v>56</v>
      </c>
      <c r="Z51" s="24">
        <f t="shared" ref="Z51:Z59" si="69">IF(AQ51="5",BJ51,0)</f>
        <v>0</v>
      </c>
      <c r="AB51" s="24">
        <f t="shared" ref="AB51:AB59" si="70">IF(AQ51="1",BH51,0)</f>
        <v>0</v>
      </c>
      <c r="AC51" s="24">
        <f t="shared" ref="AC51:AC59" si="71">IF(AQ51="1",BI51,0)</f>
        <v>0</v>
      </c>
      <c r="AD51" s="24">
        <f t="shared" ref="AD51:AD59" si="72">IF(AQ51="7",BH51,0)</f>
        <v>0</v>
      </c>
      <c r="AE51" s="24">
        <f t="shared" ref="AE51:AE59" si="73">IF(AQ51="7",BI51,0)</f>
        <v>0</v>
      </c>
      <c r="AF51" s="24">
        <f t="shared" ref="AF51:AF59" si="74">IF(AQ51="2",BH51,0)</f>
        <v>0</v>
      </c>
      <c r="AG51" s="24">
        <f t="shared" ref="AG51:AG59" si="75">IF(AQ51="2",BI51,0)</f>
        <v>0</v>
      </c>
      <c r="AH51" s="24">
        <f t="shared" ref="AH51:AH59" si="76">IF(AQ51="0",BJ51,0)</f>
        <v>0</v>
      </c>
      <c r="AI51" s="10" t="s">
        <v>49</v>
      </c>
      <c r="AJ51" s="24">
        <f t="shared" ref="AJ51:AJ59" si="77">IF(AN51=0,J51,0)</f>
        <v>0</v>
      </c>
      <c r="AK51" s="24">
        <f t="shared" ref="AK51:AK59" si="78">IF(AN51=12,J51,0)</f>
        <v>0</v>
      </c>
      <c r="AL51" s="24">
        <f t="shared" ref="AL51:AL59" si="79">IF(AN51=21,J51,0)</f>
        <v>0</v>
      </c>
      <c r="AN51" s="24">
        <v>21</v>
      </c>
      <c r="AO51" s="24">
        <f>G51*0</f>
        <v>0</v>
      </c>
      <c r="AP51" s="24">
        <f>G51*(1-0)</f>
        <v>0</v>
      </c>
      <c r="AQ51" s="26" t="s">
        <v>69</v>
      </c>
      <c r="AV51" s="24">
        <f t="shared" ref="AV51:AV59" si="80">AW51+AX51</f>
        <v>0</v>
      </c>
      <c r="AW51" s="24">
        <f t="shared" ref="AW51:AW59" si="81">F51*AO51</f>
        <v>0</v>
      </c>
      <c r="AX51" s="24">
        <f t="shared" ref="AX51:AX59" si="82">F51*AP51</f>
        <v>0</v>
      </c>
      <c r="AY51" s="26" t="s">
        <v>172</v>
      </c>
      <c r="AZ51" s="26" t="s">
        <v>146</v>
      </c>
      <c r="BA51" s="10" t="s">
        <v>60</v>
      </c>
      <c r="BC51" s="24">
        <f t="shared" ref="BC51:BC59" si="83">AW51+AX51</f>
        <v>0</v>
      </c>
      <c r="BD51" s="24">
        <f t="shared" ref="BD51:BD59" si="84">G51/(100-BE51)*100</f>
        <v>0</v>
      </c>
      <c r="BE51" s="24">
        <v>0</v>
      </c>
      <c r="BF51" s="24">
        <f>51</f>
        <v>51</v>
      </c>
      <c r="BH51" s="24">
        <f t="shared" ref="BH51:BH59" si="85">F51*AO51</f>
        <v>0</v>
      </c>
      <c r="BI51" s="24">
        <f t="shared" ref="BI51:BI59" si="86">F51*AP51</f>
        <v>0</v>
      </c>
      <c r="BJ51" s="24">
        <f t="shared" ref="BJ51:BJ59" si="87">F51*G51</f>
        <v>0</v>
      </c>
      <c r="BK51" s="24"/>
      <c r="BL51" s="24"/>
      <c r="BW51" s="24">
        <v>21</v>
      </c>
      <c r="BX51" s="4" t="s">
        <v>171</v>
      </c>
    </row>
    <row r="52" spans="1:76" x14ac:dyDescent="0.25">
      <c r="A52" s="2" t="s">
        <v>173</v>
      </c>
      <c r="B52" s="3" t="s">
        <v>174</v>
      </c>
      <c r="C52" s="68" t="s">
        <v>175</v>
      </c>
      <c r="D52" s="63"/>
      <c r="E52" s="3" t="s">
        <v>157</v>
      </c>
      <c r="F52" s="24">
        <v>56.46</v>
      </c>
      <c r="G52" s="24">
        <v>0</v>
      </c>
      <c r="H52" s="24">
        <f t="shared" si="66"/>
        <v>0</v>
      </c>
      <c r="I52" s="24">
        <f t="shared" si="67"/>
        <v>0</v>
      </c>
      <c r="J52" s="24">
        <f t="shared" si="68"/>
        <v>0</v>
      </c>
      <c r="K52" s="25" t="s">
        <v>56</v>
      </c>
      <c r="Z52" s="24">
        <f t="shared" si="69"/>
        <v>0</v>
      </c>
      <c r="AB52" s="24">
        <f t="shared" si="70"/>
        <v>0</v>
      </c>
      <c r="AC52" s="24">
        <f t="shared" si="71"/>
        <v>0</v>
      </c>
      <c r="AD52" s="24">
        <f t="shared" si="72"/>
        <v>0</v>
      </c>
      <c r="AE52" s="24">
        <f t="shared" si="73"/>
        <v>0</v>
      </c>
      <c r="AF52" s="24">
        <f t="shared" si="74"/>
        <v>0</v>
      </c>
      <c r="AG52" s="24">
        <f t="shared" si="75"/>
        <v>0</v>
      </c>
      <c r="AH52" s="24">
        <f t="shared" si="76"/>
        <v>0</v>
      </c>
      <c r="AI52" s="10" t="s">
        <v>49</v>
      </c>
      <c r="AJ52" s="24">
        <f t="shared" si="77"/>
        <v>0</v>
      </c>
      <c r="AK52" s="24">
        <f t="shared" si="78"/>
        <v>0</v>
      </c>
      <c r="AL52" s="24">
        <f t="shared" si="79"/>
        <v>0</v>
      </c>
      <c r="AN52" s="24">
        <v>21</v>
      </c>
      <c r="AO52" s="24">
        <f>G52*0</f>
        <v>0</v>
      </c>
      <c r="AP52" s="24">
        <f>G52*(1-0)</f>
        <v>0</v>
      </c>
      <c r="AQ52" s="26" t="s">
        <v>69</v>
      </c>
      <c r="AV52" s="24">
        <f t="shared" si="80"/>
        <v>0</v>
      </c>
      <c r="AW52" s="24">
        <f t="shared" si="81"/>
        <v>0</v>
      </c>
      <c r="AX52" s="24">
        <f t="shared" si="82"/>
        <v>0</v>
      </c>
      <c r="AY52" s="26" t="s">
        <v>172</v>
      </c>
      <c r="AZ52" s="26" t="s">
        <v>146</v>
      </c>
      <c r="BA52" s="10" t="s">
        <v>60</v>
      </c>
      <c r="BC52" s="24">
        <f t="shared" si="83"/>
        <v>0</v>
      </c>
      <c r="BD52" s="24">
        <f t="shared" si="84"/>
        <v>0</v>
      </c>
      <c r="BE52" s="24">
        <v>0</v>
      </c>
      <c r="BF52" s="24">
        <f>52</f>
        <v>52</v>
      </c>
      <c r="BH52" s="24">
        <f t="shared" si="85"/>
        <v>0</v>
      </c>
      <c r="BI52" s="24">
        <f t="shared" si="86"/>
        <v>0</v>
      </c>
      <c r="BJ52" s="24">
        <f t="shared" si="87"/>
        <v>0</v>
      </c>
      <c r="BK52" s="24"/>
      <c r="BL52" s="24"/>
      <c r="BW52" s="24">
        <v>21</v>
      </c>
      <c r="BX52" s="4" t="s">
        <v>175</v>
      </c>
    </row>
    <row r="53" spans="1:76" x14ac:dyDescent="0.25">
      <c r="A53" s="2" t="s">
        <v>176</v>
      </c>
      <c r="B53" s="3" t="s">
        <v>177</v>
      </c>
      <c r="C53" s="68" t="s">
        <v>178</v>
      </c>
      <c r="D53" s="63"/>
      <c r="E53" s="3" t="s">
        <v>157</v>
      </c>
      <c r="F53" s="24">
        <v>15.5</v>
      </c>
      <c r="G53" s="24">
        <v>0</v>
      </c>
      <c r="H53" s="24">
        <f t="shared" si="66"/>
        <v>0</v>
      </c>
      <c r="I53" s="24">
        <f t="shared" si="67"/>
        <v>0</v>
      </c>
      <c r="J53" s="24">
        <f t="shared" si="68"/>
        <v>0</v>
      </c>
      <c r="K53" s="25" t="s">
        <v>56</v>
      </c>
      <c r="Z53" s="24">
        <f t="shared" si="69"/>
        <v>0</v>
      </c>
      <c r="AB53" s="24">
        <f t="shared" si="70"/>
        <v>0</v>
      </c>
      <c r="AC53" s="24">
        <f t="shared" si="71"/>
        <v>0</v>
      </c>
      <c r="AD53" s="24">
        <f t="shared" si="72"/>
        <v>0</v>
      </c>
      <c r="AE53" s="24">
        <f t="shared" si="73"/>
        <v>0</v>
      </c>
      <c r="AF53" s="24">
        <f t="shared" si="74"/>
        <v>0</v>
      </c>
      <c r="AG53" s="24">
        <f t="shared" si="75"/>
        <v>0</v>
      </c>
      <c r="AH53" s="24">
        <f t="shared" si="76"/>
        <v>0</v>
      </c>
      <c r="AI53" s="10" t="s">
        <v>49</v>
      </c>
      <c r="AJ53" s="24">
        <f t="shared" si="77"/>
        <v>0</v>
      </c>
      <c r="AK53" s="24">
        <f t="shared" si="78"/>
        <v>0</v>
      </c>
      <c r="AL53" s="24">
        <f t="shared" si="79"/>
        <v>0</v>
      </c>
      <c r="AN53" s="24">
        <v>21</v>
      </c>
      <c r="AO53" s="24">
        <f>G53*0</f>
        <v>0</v>
      </c>
      <c r="AP53" s="24">
        <f>G53*(1-0)</f>
        <v>0</v>
      </c>
      <c r="AQ53" s="26" t="s">
        <v>69</v>
      </c>
      <c r="AV53" s="24">
        <f t="shared" si="80"/>
        <v>0</v>
      </c>
      <c r="AW53" s="24">
        <f t="shared" si="81"/>
        <v>0</v>
      </c>
      <c r="AX53" s="24">
        <f t="shared" si="82"/>
        <v>0</v>
      </c>
      <c r="AY53" s="26" t="s">
        <v>172</v>
      </c>
      <c r="AZ53" s="26" t="s">
        <v>146</v>
      </c>
      <c r="BA53" s="10" t="s">
        <v>60</v>
      </c>
      <c r="BC53" s="24">
        <f t="shared" si="83"/>
        <v>0</v>
      </c>
      <c r="BD53" s="24">
        <f t="shared" si="84"/>
        <v>0</v>
      </c>
      <c r="BE53" s="24">
        <v>0</v>
      </c>
      <c r="BF53" s="24">
        <f>53</f>
        <v>53</v>
      </c>
      <c r="BH53" s="24">
        <f t="shared" si="85"/>
        <v>0</v>
      </c>
      <c r="BI53" s="24">
        <f t="shared" si="86"/>
        <v>0</v>
      </c>
      <c r="BJ53" s="24">
        <f t="shared" si="87"/>
        <v>0</v>
      </c>
      <c r="BK53" s="24"/>
      <c r="BL53" s="24"/>
      <c r="BW53" s="24">
        <v>21</v>
      </c>
      <c r="BX53" s="4" t="s">
        <v>178</v>
      </c>
    </row>
    <row r="54" spans="1:76" x14ac:dyDescent="0.25">
      <c r="A54" s="2" t="s">
        <v>179</v>
      </c>
      <c r="B54" s="3" t="s">
        <v>180</v>
      </c>
      <c r="C54" s="68" t="s">
        <v>181</v>
      </c>
      <c r="D54" s="63"/>
      <c r="E54" s="3" t="s">
        <v>157</v>
      </c>
      <c r="F54" s="24">
        <v>206.38</v>
      </c>
      <c r="G54" s="24">
        <v>0</v>
      </c>
      <c r="H54" s="24">
        <f t="shared" si="66"/>
        <v>0</v>
      </c>
      <c r="I54" s="24">
        <f t="shared" si="67"/>
        <v>0</v>
      </c>
      <c r="J54" s="24">
        <f t="shared" si="68"/>
        <v>0</v>
      </c>
      <c r="K54" s="25" t="s">
        <v>56</v>
      </c>
      <c r="Z54" s="24">
        <f t="shared" si="69"/>
        <v>0</v>
      </c>
      <c r="AB54" s="24">
        <f t="shared" si="70"/>
        <v>0</v>
      </c>
      <c r="AC54" s="24">
        <f t="shared" si="71"/>
        <v>0</v>
      </c>
      <c r="AD54" s="24">
        <f t="shared" si="72"/>
        <v>0</v>
      </c>
      <c r="AE54" s="24">
        <f t="shared" si="73"/>
        <v>0</v>
      </c>
      <c r="AF54" s="24">
        <f t="shared" si="74"/>
        <v>0</v>
      </c>
      <c r="AG54" s="24">
        <f t="shared" si="75"/>
        <v>0</v>
      </c>
      <c r="AH54" s="24">
        <f t="shared" si="76"/>
        <v>0</v>
      </c>
      <c r="AI54" s="10" t="s">
        <v>49</v>
      </c>
      <c r="AJ54" s="24">
        <f t="shared" si="77"/>
        <v>0</v>
      </c>
      <c r="AK54" s="24">
        <f t="shared" si="78"/>
        <v>0</v>
      </c>
      <c r="AL54" s="24">
        <f t="shared" si="79"/>
        <v>0</v>
      </c>
      <c r="AN54" s="24">
        <v>21</v>
      </c>
      <c r="AO54" s="24">
        <f>G54*0.010795587</f>
        <v>0</v>
      </c>
      <c r="AP54" s="24">
        <f>G54*(1-0.010795587)</f>
        <v>0</v>
      </c>
      <c r="AQ54" s="26" t="s">
        <v>69</v>
      </c>
      <c r="AV54" s="24">
        <f t="shared" si="80"/>
        <v>0</v>
      </c>
      <c r="AW54" s="24">
        <f t="shared" si="81"/>
        <v>0</v>
      </c>
      <c r="AX54" s="24">
        <f t="shared" si="82"/>
        <v>0</v>
      </c>
      <c r="AY54" s="26" t="s">
        <v>172</v>
      </c>
      <c r="AZ54" s="26" t="s">
        <v>146</v>
      </c>
      <c r="BA54" s="10" t="s">
        <v>60</v>
      </c>
      <c r="BC54" s="24">
        <f t="shared" si="83"/>
        <v>0</v>
      </c>
      <c r="BD54" s="24">
        <f t="shared" si="84"/>
        <v>0</v>
      </c>
      <c r="BE54" s="24">
        <v>0</v>
      </c>
      <c r="BF54" s="24">
        <f>54</f>
        <v>54</v>
      </c>
      <c r="BH54" s="24">
        <f t="shared" si="85"/>
        <v>0</v>
      </c>
      <c r="BI54" s="24">
        <f t="shared" si="86"/>
        <v>0</v>
      </c>
      <c r="BJ54" s="24">
        <f t="shared" si="87"/>
        <v>0</v>
      </c>
      <c r="BK54" s="24"/>
      <c r="BL54" s="24"/>
      <c r="BW54" s="24">
        <v>21</v>
      </c>
      <c r="BX54" s="4" t="s">
        <v>181</v>
      </c>
    </row>
    <row r="55" spans="1:76" x14ac:dyDescent="0.25">
      <c r="A55" s="2" t="s">
        <v>182</v>
      </c>
      <c r="B55" s="3" t="s">
        <v>183</v>
      </c>
      <c r="C55" s="68" t="s">
        <v>184</v>
      </c>
      <c r="D55" s="63"/>
      <c r="E55" s="3" t="s">
        <v>157</v>
      </c>
      <c r="F55" s="24">
        <v>1857.42</v>
      </c>
      <c r="G55" s="24">
        <v>0</v>
      </c>
      <c r="H55" s="24">
        <f t="shared" si="66"/>
        <v>0</v>
      </c>
      <c r="I55" s="24">
        <f t="shared" si="67"/>
        <v>0</v>
      </c>
      <c r="J55" s="24">
        <f t="shared" si="68"/>
        <v>0</v>
      </c>
      <c r="K55" s="25" t="s">
        <v>56</v>
      </c>
      <c r="Z55" s="24">
        <f t="shared" si="69"/>
        <v>0</v>
      </c>
      <c r="AB55" s="24">
        <f t="shared" si="70"/>
        <v>0</v>
      </c>
      <c r="AC55" s="24">
        <f t="shared" si="71"/>
        <v>0</v>
      </c>
      <c r="AD55" s="24">
        <f t="shared" si="72"/>
        <v>0</v>
      </c>
      <c r="AE55" s="24">
        <f t="shared" si="73"/>
        <v>0</v>
      </c>
      <c r="AF55" s="24">
        <f t="shared" si="74"/>
        <v>0</v>
      </c>
      <c r="AG55" s="24">
        <f t="shared" si="75"/>
        <v>0</v>
      </c>
      <c r="AH55" s="24">
        <f t="shared" si="76"/>
        <v>0</v>
      </c>
      <c r="AI55" s="10" t="s">
        <v>49</v>
      </c>
      <c r="AJ55" s="24">
        <f t="shared" si="77"/>
        <v>0</v>
      </c>
      <c r="AK55" s="24">
        <f t="shared" si="78"/>
        <v>0</v>
      </c>
      <c r="AL55" s="24">
        <f t="shared" si="79"/>
        <v>0</v>
      </c>
      <c r="AN55" s="24">
        <v>21</v>
      </c>
      <c r="AO55" s="24">
        <f>G55*0</f>
        <v>0</v>
      </c>
      <c r="AP55" s="24">
        <f>G55*(1-0)</f>
        <v>0</v>
      </c>
      <c r="AQ55" s="26" t="s">
        <v>69</v>
      </c>
      <c r="AV55" s="24">
        <f t="shared" si="80"/>
        <v>0</v>
      </c>
      <c r="AW55" s="24">
        <f t="shared" si="81"/>
        <v>0</v>
      </c>
      <c r="AX55" s="24">
        <f t="shared" si="82"/>
        <v>0</v>
      </c>
      <c r="AY55" s="26" t="s">
        <v>172</v>
      </c>
      <c r="AZ55" s="26" t="s">
        <v>146</v>
      </c>
      <c r="BA55" s="10" t="s">
        <v>60</v>
      </c>
      <c r="BC55" s="24">
        <f t="shared" si="83"/>
        <v>0</v>
      </c>
      <c r="BD55" s="24">
        <f t="shared" si="84"/>
        <v>0</v>
      </c>
      <c r="BE55" s="24">
        <v>0</v>
      </c>
      <c r="BF55" s="24">
        <f>55</f>
        <v>55</v>
      </c>
      <c r="BH55" s="24">
        <f t="shared" si="85"/>
        <v>0</v>
      </c>
      <c r="BI55" s="24">
        <f t="shared" si="86"/>
        <v>0</v>
      </c>
      <c r="BJ55" s="24">
        <f t="shared" si="87"/>
        <v>0</v>
      </c>
      <c r="BK55" s="24"/>
      <c r="BL55" s="24"/>
      <c r="BW55" s="24">
        <v>21</v>
      </c>
      <c r="BX55" s="4" t="s">
        <v>184</v>
      </c>
    </row>
    <row r="56" spans="1:76" x14ac:dyDescent="0.25">
      <c r="A56" s="2" t="s">
        <v>185</v>
      </c>
      <c r="B56" s="3" t="s">
        <v>186</v>
      </c>
      <c r="C56" s="68" t="s">
        <v>187</v>
      </c>
      <c r="D56" s="63"/>
      <c r="E56" s="3" t="s">
        <v>157</v>
      </c>
      <c r="F56" s="24">
        <v>206.38</v>
      </c>
      <c r="G56" s="24">
        <v>0</v>
      </c>
      <c r="H56" s="24">
        <f t="shared" si="66"/>
        <v>0</v>
      </c>
      <c r="I56" s="24">
        <f t="shared" si="67"/>
        <v>0</v>
      </c>
      <c r="J56" s="24">
        <f t="shared" si="68"/>
        <v>0</v>
      </c>
      <c r="K56" s="25" t="s">
        <v>56</v>
      </c>
      <c r="Z56" s="24">
        <f t="shared" si="69"/>
        <v>0</v>
      </c>
      <c r="AB56" s="24">
        <f t="shared" si="70"/>
        <v>0</v>
      </c>
      <c r="AC56" s="24">
        <f t="shared" si="71"/>
        <v>0</v>
      </c>
      <c r="AD56" s="24">
        <f t="shared" si="72"/>
        <v>0</v>
      </c>
      <c r="AE56" s="24">
        <f t="shared" si="73"/>
        <v>0</v>
      </c>
      <c r="AF56" s="24">
        <f t="shared" si="74"/>
        <v>0</v>
      </c>
      <c r="AG56" s="24">
        <f t="shared" si="75"/>
        <v>0</v>
      </c>
      <c r="AH56" s="24">
        <f t="shared" si="76"/>
        <v>0</v>
      </c>
      <c r="AI56" s="10" t="s">
        <v>49</v>
      </c>
      <c r="AJ56" s="24">
        <f t="shared" si="77"/>
        <v>0</v>
      </c>
      <c r="AK56" s="24">
        <f t="shared" si="78"/>
        <v>0</v>
      </c>
      <c r="AL56" s="24">
        <f t="shared" si="79"/>
        <v>0</v>
      </c>
      <c r="AN56" s="24">
        <v>21</v>
      </c>
      <c r="AO56" s="24">
        <f>G56*0</f>
        <v>0</v>
      </c>
      <c r="AP56" s="24">
        <f>G56*(1-0)</f>
        <v>0</v>
      </c>
      <c r="AQ56" s="26" t="s">
        <v>69</v>
      </c>
      <c r="AV56" s="24">
        <f t="shared" si="80"/>
        <v>0</v>
      </c>
      <c r="AW56" s="24">
        <f t="shared" si="81"/>
        <v>0</v>
      </c>
      <c r="AX56" s="24">
        <f t="shared" si="82"/>
        <v>0</v>
      </c>
      <c r="AY56" s="26" t="s">
        <v>172</v>
      </c>
      <c r="AZ56" s="26" t="s">
        <v>146</v>
      </c>
      <c r="BA56" s="10" t="s">
        <v>60</v>
      </c>
      <c r="BC56" s="24">
        <f t="shared" si="83"/>
        <v>0</v>
      </c>
      <c r="BD56" s="24">
        <f t="shared" si="84"/>
        <v>0</v>
      </c>
      <c r="BE56" s="24">
        <v>0</v>
      </c>
      <c r="BF56" s="24">
        <f>56</f>
        <v>56</v>
      </c>
      <c r="BH56" s="24">
        <f t="shared" si="85"/>
        <v>0</v>
      </c>
      <c r="BI56" s="24">
        <f t="shared" si="86"/>
        <v>0</v>
      </c>
      <c r="BJ56" s="24">
        <f t="shared" si="87"/>
        <v>0</v>
      </c>
      <c r="BK56" s="24"/>
      <c r="BL56" s="24"/>
      <c r="BW56" s="24">
        <v>21</v>
      </c>
      <c r="BX56" s="4" t="s">
        <v>187</v>
      </c>
    </row>
    <row r="57" spans="1:76" x14ac:dyDescent="0.25">
      <c r="A57" s="2" t="s">
        <v>188</v>
      </c>
      <c r="B57" s="3" t="s">
        <v>189</v>
      </c>
      <c r="C57" s="68" t="s">
        <v>190</v>
      </c>
      <c r="D57" s="63"/>
      <c r="E57" s="3" t="s">
        <v>157</v>
      </c>
      <c r="F57" s="24">
        <v>206.38</v>
      </c>
      <c r="G57" s="24">
        <v>0</v>
      </c>
      <c r="H57" s="24">
        <f t="shared" si="66"/>
        <v>0</v>
      </c>
      <c r="I57" s="24">
        <f t="shared" si="67"/>
        <v>0</v>
      </c>
      <c r="J57" s="24">
        <f t="shared" si="68"/>
        <v>0</v>
      </c>
      <c r="K57" s="25" t="s">
        <v>56</v>
      </c>
      <c r="Z57" s="24">
        <f t="shared" si="69"/>
        <v>0</v>
      </c>
      <c r="AB57" s="24">
        <f t="shared" si="70"/>
        <v>0</v>
      </c>
      <c r="AC57" s="24">
        <f t="shared" si="71"/>
        <v>0</v>
      </c>
      <c r="AD57" s="24">
        <f t="shared" si="72"/>
        <v>0</v>
      </c>
      <c r="AE57" s="24">
        <f t="shared" si="73"/>
        <v>0</v>
      </c>
      <c r="AF57" s="24">
        <f t="shared" si="74"/>
        <v>0</v>
      </c>
      <c r="AG57" s="24">
        <f t="shared" si="75"/>
        <v>0</v>
      </c>
      <c r="AH57" s="24">
        <f t="shared" si="76"/>
        <v>0</v>
      </c>
      <c r="AI57" s="10" t="s">
        <v>49</v>
      </c>
      <c r="AJ57" s="24">
        <f t="shared" si="77"/>
        <v>0</v>
      </c>
      <c r="AK57" s="24">
        <f t="shared" si="78"/>
        <v>0</v>
      </c>
      <c r="AL57" s="24">
        <f t="shared" si="79"/>
        <v>0</v>
      </c>
      <c r="AN57" s="24">
        <v>21</v>
      </c>
      <c r="AO57" s="24">
        <f>G57*0</f>
        <v>0</v>
      </c>
      <c r="AP57" s="24">
        <f>G57*(1-0)</f>
        <v>0</v>
      </c>
      <c r="AQ57" s="26" t="s">
        <v>69</v>
      </c>
      <c r="AV57" s="24">
        <f t="shared" si="80"/>
        <v>0</v>
      </c>
      <c r="AW57" s="24">
        <f t="shared" si="81"/>
        <v>0</v>
      </c>
      <c r="AX57" s="24">
        <f t="shared" si="82"/>
        <v>0</v>
      </c>
      <c r="AY57" s="26" t="s">
        <v>172</v>
      </c>
      <c r="AZ57" s="26" t="s">
        <v>146</v>
      </c>
      <c r="BA57" s="10" t="s">
        <v>60</v>
      </c>
      <c r="BC57" s="24">
        <f t="shared" si="83"/>
        <v>0</v>
      </c>
      <c r="BD57" s="24">
        <f t="shared" si="84"/>
        <v>0</v>
      </c>
      <c r="BE57" s="24">
        <v>0</v>
      </c>
      <c r="BF57" s="24">
        <f>57</f>
        <v>57</v>
      </c>
      <c r="BH57" s="24">
        <f t="shared" si="85"/>
        <v>0</v>
      </c>
      <c r="BI57" s="24">
        <f t="shared" si="86"/>
        <v>0</v>
      </c>
      <c r="BJ57" s="24">
        <f t="shared" si="87"/>
        <v>0</v>
      </c>
      <c r="BK57" s="24"/>
      <c r="BL57" s="24"/>
      <c r="BW57" s="24">
        <v>21</v>
      </c>
      <c r="BX57" s="4" t="s">
        <v>190</v>
      </c>
    </row>
    <row r="58" spans="1:76" x14ac:dyDescent="0.25">
      <c r="A58" s="2" t="s">
        <v>191</v>
      </c>
      <c r="B58" s="3" t="s">
        <v>192</v>
      </c>
      <c r="C58" s="68" t="s">
        <v>193</v>
      </c>
      <c r="D58" s="63"/>
      <c r="E58" s="3" t="s">
        <v>157</v>
      </c>
      <c r="F58" s="24">
        <v>206.38</v>
      </c>
      <c r="G58" s="24">
        <v>0</v>
      </c>
      <c r="H58" s="24">
        <f t="shared" si="66"/>
        <v>0</v>
      </c>
      <c r="I58" s="24">
        <f t="shared" si="67"/>
        <v>0</v>
      </c>
      <c r="J58" s="24">
        <f t="shared" si="68"/>
        <v>0</v>
      </c>
      <c r="K58" s="25" t="s">
        <v>56</v>
      </c>
      <c r="Z58" s="24">
        <f t="shared" si="69"/>
        <v>0</v>
      </c>
      <c r="AB58" s="24">
        <f t="shared" si="70"/>
        <v>0</v>
      </c>
      <c r="AC58" s="24">
        <f t="shared" si="71"/>
        <v>0</v>
      </c>
      <c r="AD58" s="24">
        <f t="shared" si="72"/>
        <v>0</v>
      </c>
      <c r="AE58" s="24">
        <f t="shared" si="73"/>
        <v>0</v>
      </c>
      <c r="AF58" s="24">
        <f t="shared" si="74"/>
        <v>0</v>
      </c>
      <c r="AG58" s="24">
        <f t="shared" si="75"/>
        <v>0</v>
      </c>
      <c r="AH58" s="24">
        <f t="shared" si="76"/>
        <v>0</v>
      </c>
      <c r="AI58" s="10" t="s">
        <v>49</v>
      </c>
      <c r="AJ58" s="24">
        <f t="shared" si="77"/>
        <v>0</v>
      </c>
      <c r="AK58" s="24">
        <f t="shared" si="78"/>
        <v>0</v>
      </c>
      <c r="AL58" s="24">
        <f t="shared" si="79"/>
        <v>0</v>
      </c>
      <c r="AN58" s="24">
        <v>21</v>
      </c>
      <c r="AO58" s="24">
        <f>G58*0</f>
        <v>0</v>
      </c>
      <c r="AP58" s="24">
        <f>G58*(1-0)</f>
        <v>0</v>
      </c>
      <c r="AQ58" s="26" t="s">
        <v>69</v>
      </c>
      <c r="AV58" s="24">
        <f t="shared" si="80"/>
        <v>0</v>
      </c>
      <c r="AW58" s="24">
        <f t="shared" si="81"/>
        <v>0</v>
      </c>
      <c r="AX58" s="24">
        <f t="shared" si="82"/>
        <v>0</v>
      </c>
      <c r="AY58" s="26" t="s">
        <v>172</v>
      </c>
      <c r="AZ58" s="26" t="s">
        <v>146</v>
      </c>
      <c r="BA58" s="10" t="s">
        <v>60</v>
      </c>
      <c r="BC58" s="24">
        <f t="shared" si="83"/>
        <v>0</v>
      </c>
      <c r="BD58" s="24">
        <f t="shared" si="84"/>
        <v>0</v>
      </c>
      <c r="BE58" s="24">
        <v>0</v>
      </c>
      <c r="BF58" s="24">
        <f>58</f>
        <v>58</v>
      </c>
      <c r="BH58" s="24">
        <f t="shared" si="85"/>
        <v>0</v>
      </c>
      <c r="BI58" s="24">
        <f t="shared" si="86"/>
        <v>0</v>
      </c>
      <c r="BJ58" s="24">
        <f t="shared" si="87"/>
        <v>0</v>
      </c>
      <c r="BK58" s="24"/>
      <c r="BL58" s="24"/>
      <c r="BW58" s="24">
        <v>21</v>
      </c>
      <c r="BX58" s="4" t="s">
        <v>193</v>
      </c>
    </row>
    <row r="59" spans="1:76" x14ac:dyDescent="0.25">
      <c r="A59" s="2" t="s">
        <v>194</v>
      </c>
      <c r="B59" s="3" t="s">
        <v>195</v>
      </c>
      <c r="C59" s="68" t="s">
        <v>196</v>
      </c>
      <c r="D59" s="63"/>
      <c r="E59" s="3" t="s">
        <v>157</v>
      </c>
      <c r="F59" s="24">
        <v>2063.8000000000002</v>
      </c>
      <c r="G59" s="24">
        <v>0</v>
      </c>
      <c r="H59" s="24">
        <f t="shared" si="66"/>
        <v>0</v>
      </c>
      <c r="I59" s="24">
        <f t="shared" si="67"/>
        <v>0</v>
      </c>
      <c r="J59" s="24">
        <f t="shared" si="68"/>
        <v>0</v>
      </c>
      <c r="K59" s="25" t="s">
        <v>56</v>
      </c>
      <c r="Z59" s="24">
        <f t="shared" si="69"/>
        <v>0</v>
      </c>
      <c r="AB59" s="24">
        <f t="shared" si="70"/>
        <v>0</v>
      </c>
      <c r="AC59" s="24">
        <f t="shared" si="71"/>
        <v>0</v>
      </c>
      <c r="AD59" s="24">
        <f t="shared" si="72"/>
        <v>0</v>
      </c>
      <c r="AE59" s="24">
        <f t="shared" si="73"/>
        <v>0</v>
      </c>
      <c r="AF59" s="24">
        <f t="shared" si="74"/>
        <v>0</v>
      </c>
      <c r="AG59" s="24">
        <f t="shared" si="75"/>
        <v>0</v>
      </c>
      <c r="AH59" s="24">
        <f t="shared" si="76"/>
        <v>0</v>
      </c>
      <c r="AI59" s="10" t="s">
        <v>49</v>
      </c>
      <c r="AJ59" s="24">
        <f t="shared" si="77"/>
        <v>0</v>
      </c>
      <c r="AK59" s="24">
        <f t="shared" si="78"/>
        <v>0</v>
      </c>
      <c r="AL59" s="24">
        <f t="shared" si="79"/>
        <v>0</v>
      </c>
      <c r="AN59" s="24">
        <v>21</v>
      </c>
      <c r="AO59" s="24">
        <f>G59*0</f>
        <v>0</v>
      </c>
      <c r="AP59" s="24">
        <f>G59*(1-0)</f>
        <v>0</v>
      </c>
      <c r="AQ59" s="26" t="s">
        <v>69</v>
      </c>
      <c r="AV59" s="24">
        <f t="shared" si="80"/>
        <v>0</v>
      </c>
      <c r="AW59" s="24">
        <f t="shared" si="81"/>
        <v>0</v>
      </c>
      <c r="AX59" s="24">
        <f t="shared" si="82"/>
        <v>0</v>
      </c>
      <c r="AY59" s="26" t="s">
        <v>172</v>
      </c>
      <c r="AZ59" s="26" t="s">
        <v>146</v>
      </c>
      <c r="BA59" s="10" t="s">
        <v>60</v>
      </c>
      <c r="BC59" s="24">
        <f t="shared" si="83"/>
        <v>0</v>
      </c>
      <c r="BD59" s="24">
        <f t="shared" si="84"/>
        <v>0</v>
      </c>
      <c r="BE59" s="24">
        <v>0</v>
      </c>
      <c r="BF59" s="24">
        <f>59</f>
        <v>59</v>
      </c>
      <c r="BH59" s="24">
        <f t="shared" si="85"/>
        <v>0</v>
      </c>
      <c r="BI59" s="24">
        <f t="shared" si="86"/>
        <v>0</v>
      </c>
      <c r="BJ59" s="24">
        <f t="shared" si="87"/>
        <v>0</v>
      </c>
      <c r="BK59" s="24"/>
      <c r="BL59" s="24"/>
      <c r="BW59" s="24">
        <v>21</v>
      </c>
      <c r="BX59" s="4" t="s">
        <v>196</v>
      </c>
    </row>
    <row r="60" spans="1:76" x14ac:dyDescent="0.25">
      <c r="A60" s="27" t="s">
        <v>49</v>
      </c>
      <c r="B60" s="28" t="s">
        <v>197</v>
      </c>
      <c r="C60" s="84" t="s">
        <v>198</v>
      </c>
      <c r="D60" s="85"/>
      <c r="E60" s="29" t="s">
        <v>4</v>
      </c>
      <c r="F60" s="29" t="s">
        <v>4</v>
      </c>
      <c r="G60" s="29" t="s">
        <v>4</v>
      </c>
      <c r="H60" s="1">
        <f>H61</f>
        <v>0</v>
      </c>
      <c r="I60" s="1">
        <f>I61</f>
        <v>0</v>
      </c>
      <c r="J60" s="1">
        <f>J61</f>
        <v>0</v>
      </c>
      <c r="K60" s="30" t="s">
        <v>49</v>
      </c>
      <c r="AI60" s="10" t="s">
        <v>49</v>
      </c>
    </row>
    <row r="61" spans="1:76" x14ac:dyDescent="0.25">
      <c r="A61" s="27" t="s">
        <v>49</v>
      </c>
      <c r="B61" s="28" t="s">
        <v>199</v>
      </c>
      <c r="C61" s="84" t="s">
        <v>200</v>
      </c>
      <c r="D61" s="85"/>
      <c r="E61" s="29" t="s">
        <v>4</v>
      </c>
      <c r="F61" s="29" t="s">
        <v>4</v>
      </c>
      <c r="G61" s="29" t="s">
        <v>4</v>
      </c>
      <c r="H61" s="1">
        <f>SUM(H62:H65)</f>
        <v>0</v>
      </c>
      <c r="I61" s="1">
        <f>SUM(I62:I65)</f>
        <v>0</v>
      </c>
      <c r="J61" s="1">
        <f>SUM(J62:J65)</f>
        <v>0</v>
      </c>
      <c r="K61" s="30" t="s">
        <v>49</v>
      </c>
      <c r="AI61" s="10" t="s">
        <v>49</v>
      </c>
      <c r="AS61" s="1">
        <f>SUM(AJ62:AJ65)</f>
        <v>0</v>
      </c>
      <c r="AT61" s="1">
        <f>SUM(AK62:AK65)</f>
        <v>0</v>
      </c>
      <c r="AU61" s="1">
        <f>SUM(AL62:AL65)</f>
        <v>0</v>
      </c>
    </row>
    <row r="62" spans="1:76" x14ac:dyDescent="0.25">
      <c r="A62" s="2" t="s">
        <v>201</v>
      </c>
      <c r="B62" s="3" t="s">
        <v>202</v>
      </c>
      <c r="C62" s="68" t="s">
        <v>203</v>
      </c>
      <c r="D62" s="63"/>
      <c r="E62" s="3" t="s">
        <v>204</v>
      </c>
      <c r="F62" s="24">
        <v>1</v>
      </c>
      <c r="G62" s="24">
        <v>0</v>
      </c>
      <c r="H62" s="24">
        <f>F62*AO62</f>
        <v>0</v>
      </c>
      <c r="I62" s="24">
        <f>F62*AP62</f>
        <v>0</v>
      </c>
      <c r="J62" s="24">
        <f>F62*G62</f>
        <v>0</v>
      </c>
      <c r="K62" s="25" t="s">
        <v>56</v>
      </c>
      <c r="Z62" s="24">
        <f>IF(AQ62="5",BJ62,0)</f>
        <v>0</v>
      </c>
      <c r="AB62" s="24">
        <f>IF(AQ62="1",BH62,0)</f>
        <v>0</v>
      </c>
      <c r="AC62" s="24">
        <f>IF(AQ62="1",BI62,0)</f>
        <v>0</v>
      </c>
      <c r="AD62" s="24">
        <f>IF(AQ62="7",BH62,0)</f>
        <v>0</v>
      </c>
      <c r="AE62" s="24">
        <f>IF(AQ62="7",BI62,0)</f>
        <v>0</v>
      </c>
      <c r="AF62" s="24">
        <f>IF(AQ62="2",BH62,0)</f>
        <v>0</v>
      </c>
      <c r="AG62" s="24">
        <f>IF(AQ62="2",BI62,0)</f>
        <v>0</v>
      </c>
      <c r="AH62" s="24">
        <f>IF(AQ62="0",BJ62,0)</f>
        <v>0</v>
      </c>
      <c r="AI62" s="10" t="s">
        <v>49</v>
      </c>
      <c r="AJ62" s="24">
        <f>IF(AN62=0,J62,0)</f>
        <v>0</v>
      </c>
      <c r="AK62" s="24">
        <f>IF(AN62=12,J62,0)</f>
        <v>0</v>
      </c>
      <c r="AL62" s="24">
        <f>IF(AN62=21,J62,0)</f>
        <v>0</v>
      </c>
      <c r="AN62" s="24">
        <v>21</v>
      </c>
      <c r="AO62" s="24">
        <f>G62*0</f>
        <v>0</v>
      </c>
      <c r="AP62" s="24">
        <f>G62*(1-0)</f>
        <v>0</v>
      </c>
      <c r="AQ62" s="26" t="s">
        <v>205</v>
      </c>
      <c r="AV62" s="24">
        <f>AW62+AX62</f>
        <v>0</v>
      </c>
      <c r="AW62" s="24">
        <f>F62*AO62</f>
        <v>0</v>
      </c>
      <c r="AX62" s="24">
        <f>F62*AP62</f>
        <v>0</v>
      </c>
      <c r="AY62" s="26" t="s">
        <v>206</v>
      </c>
      <c r="AZ62" s="26" t="s">
        <v>207</v>
      </c>
      <c r="BA62" s="10" t="s">
        <v>60</v>
      </c>
      <c r="BC62" s="24">
        <f>AW62+AX62</f>
        <v>0</v>
      </c>
      <c r="BD62" s="24">
        <f>G62/(100-BE62)*100</f>
        <v>0</v>
      </c>
      <c r="BE62" s="24">
        <v>0</v>
      </c>
      <c r="BF62" s="24">
        <f>62</f>
        <v>62</v>
      </c>
      <c r="BH62" s="24">
        <f>F62*AO62</f>
        <v>0</v>
      </c>
      <c r="BI62" s="24">
        <f>F62*AP62</f>
        <v>0</v>
      </c>
      <c r="BJ62" s="24">
        <f>F62*G62</f>
        <v>0</v>
      </c>
      <c r="BK62" s="24"/>
      <c r="BL62" s="24"/>
      <c r="BN62" s="24">
        <f>F62*G62</f>
        <v>0</v>
      </c>
      <c r="BW62" s="24">
        <v>21</v>
      </c>
      <c r="BX62" s="4" t="s">
        <v>203</v>
      </c>
    </row>
    <row r="63" spans="1:76" x14ac:dyDescent="0.25">
      <c r="A63" s="2" t="s">
        <v>208</v>
      </c>
      <c r="B63" s="3" t="s">
        <v>209</v>
      </c>
      <c r="C63" s="68" t="s">
        <v>210</v>
      </c>
      <c r="D63" s="63"/>
      <c r="E63" s="3" t="s">
        <v>204</v>
      </c>
      <c r="F63" s="24">
        <v>1</v>
      </c>
      <c r="G63" s="24">
        <v>0</v>
      </c>
      <c r="H63" s="24">
        <f>F63*AO63</f>
        <v>0</v>
      </c>
      <c r="I63" s="24">
        <f>F63*AP63</f>
        <v>0</v>
      </c>
      <c r="J63" s="24">
        <f>F63*G63</f>
        <v>0</v>
      </c>
      <c r="K63" s="25" t="s">
        <v>56</v>
      </c>
      <c r="Z63" s="24">
        <f>IF(AQ63="5",BJ63,0)</f>
        <v>0</v>
      </c>
      <c r="AB63" s="24">
        <f>IF(AQ63="1",BH63,0)</f>
        <v>0</v>
      </c>
      <c r="AC63" s="24">
        <f>IF(AQ63="1",BI63,0)</f>
        <v>0</v>
      </c>
      <c r="AD63" s="24">
        <f>IF(AQ63="7",BH63,0)</f>
        <v>0</v>
      </c>
      <c r="AE63" s="24">
        <f>IF(AQ63="7",BI63,0)</f>
        <v>0</v>
      </c>
      <c r="AF63" s="24">
        <f>IF(AQ63="2",BH63,0)</f>
        <v>0</v>
      </c>
      <c r="AG63" s="24">
        <f>IF(AQ63="2",BI63,0)</f>
        <v>0</v>
      </c>
      <c r="AH63" s="24">
        <f>IF(AQ63="0",BJ63,0)</f>
        <v>0</v>
      </c>
      <c r="AI63" s="10" t="s">
        <v>49</v>
      </c>
      <c r="AJ63" s="24">
        <f>IF(AN63=0,J63,0)</f>
        <v>0</v>
      </c>
      <c r="AK63" s="24">
        <f>IF(AN63=12,J63,0)</f>
        <v>0</v>
      </c>
      <c r="AL63" s="24">
        <f>IF(AN63=21,J63,0)</f>
        <v>0</v>
      </c>
      <c r="AN63" s="24">
        <v>21</v>
      </c>
      <c r="AO63" s="24">
        <f>G63*0</f>
        <v>0</v>
      </c>
      <c r="AP63" s="24">
        <f>G63*(1-0)</f>
        <v>0</v>
      </c>
      <c r="AQ63" s="26" t="s">
        <v>205</v>
      </c>
      <c r="AV63" s="24">
        <f>AW63+AX63</f>
        <v>0</v>
      </c>
      <c r="AW63" s="24">
        <f>F63*AO63</f>
        <v>0</v>
      </c>
      <c r="AX63" s="24">
        <f>F63*AP63</f>
        <v>0</v>
      </c>
      <c r="AY63" s="26" t="s">
        <v>206</v>
      </c>
      <c r="AZ63" s="26" t="s">
        <v>207</v>
      </c>
      <c r="BA63" s="10" t="s">
        <v>60</v>
      </c>
      <c r="BC63" s="24">
        <f>AW63+AX63</f>
        <v>0</v>
      </c>
      <c r="BD63" s="24">
        <f>G63/(100-BE63)*100</f>
        <v>0</v>
      </c>
      <c r="BE63" s="24">
        <v>0</v>
      </c>
      <c r="BF63" s="24">
        <f>63</f>
        <v>63</v>
      </c>
      <c r="BH63" s="24">
        <f>F63*AO63</f>
        <v>0</v>
      </c>
      <c r="BI63" s="24">
        <f>F63*AP63</f>
        <v>0</v>
      </c>
      <c r="BJ63" s="24">
        <f>F63*G63</f>
        <v>0</v>
      </c>
      <c r="BK63" s="24"/>
      <c r="BL63" s="24"/>
      <c r="BN63" s="24">
        <f>F63*G63</f>
        <v>0</v>
      </c>
      <c r="BW63" s="24">
        <v>21</v>
      </c>
      <c r="BX63" s="4" t="s">
        <v>210</v>
      </c>
    </row>
    <row r="64" spans="1:76" x14ac:dyDescent="0.25">
      <c r="A64" s="2" t="s">
        <v>211</v>
      </c>
      <c r="B64" s="3" t="s">
        <v>212</v>
      </c>
      <c r="C64" s="68" t="s">
        <v>213</v>
      </c>
      <c r="D64" s="63"/>
      <c r="E64" s="3" t="s">
        <v>204</v>
      </c>
      <c r="F64" s="24">
        <v>1</v>
      </c>
      <c r="G64" s="24">
        <v>0</v>
      </c>
      <c r="H64" s="24">
        <f>F64*AO64</f>
        <v>0</v>
      </c>
      <c r="I64" s="24">
        <f>F64*AP64</f>
        <v>0</v>
      </c>
      <c r="J64" s="24">
        <f>F64*G64</f>
        <v>0</v>
      </c>
      <c r="K64" s="25" t="s">
        <v>56</v>
      </c>
      <c r="Z64" s="24">
        <f>IF(AQ64="5",BJ64,0)</f>
        <v>0</v>
      </c>
      <c r="AB64" s="24">
        <f>IF(AQ64="1",BH64,0)</f>
        <v>0</v>
      </c>
      <c r="AC64" s="24">
        <f>IF(AQ64="1",BI64,0)</f>
        <v>0</v>
      </c>
      <c r="AD64" s="24">
        <f>IF(AQ64="7",BH64,0)</f>
        <v>0</v>
      </c>
      <c r="AE64" s="24">
        <f>IF(AQ64="7",BI64,0)</f>
        <v>0</v>
      </c>
      <c r="AF64" s="24">
        <f>IF(AQ64="2",BH64,0)</f>
        <v>0</v>
      </c>
      <c r="AG64" s="24">
        <f>IF(AQ64="2",BI64,0)</f>
        <v>0</v>
      </c>
      <c r="AH64" s="24">
        <f>IF(AQ64="0",BJ64,0)</f>
        <v>0</v>
      </c>
      <c r="AI64" s="10" t="s">
        <v>49</v>
      </c>
      <c r="AJ64" s="24">
        <f>IF(AN64=0,J64,0)</f>
        <v>0</v>
      </c>
      <c r="AK64" s="24">
        <f>IF(AN64=12,J64,0)</f>
        <v>0</v>
      </c>
      <c r="AL64" s="24">
        <f>IF(AN64=21,J64,0)</f>
        <v>0</v>
      </c>
      <c r="AN64" s="24">
        <v>21</v>
      </c>
      <c r="AO64" s="24">
        <f>G64*0</f>
        <v>0</v>
      </c>
      <c r="AP64" s="24">
        <f>G64*(1-0)</f>
        <v>0</v>
      </c>
      <c r="AQ64" s="26" t="s">
        <v>205</v>
      </c>
      <c r="AV64" s="24">
        <f>AW64+AX64</f>
        <v>0</v>
      </c>
      <c r="AW64" s="24">
        <f>F64*AO64</f>
        <v>0</v>
      </c>
      <c r="AX64" s="24">
        <f>F64*AP64</f>
        <v>0</v>
      </c>
      <c r="AY64" s="26" t="s">
        <v>206</v>
      </c>
      <c r="AZ64" s="26" t="s">
        <v>207</v>
      </c>
      <c r="BA64" s="10" t="s">
        <v>60</v>
      </c>
      <c r="BC64" s="24">
        <f>AW64+AX64</f>
        <v>0</v>
      </c>
      <c r="BD64" s="24">
        <f>G64/(100-BE64)*100</f>
        <v>0</v>
      </c>
      <c r="BE64" s="24">
        <v>0</v>
      </c>
      <c r="BF64" s="24">
        <f>64</f>
        <v>64</v>
      </c>
      <c r="BH64" s="24">
        <f>F64*AO64</f>
        <v>0</v>
      </c>
      <c r="BI64" s="24">
        <f>F64*AP64</f>
        <v>0</v>
      </c>
      <c r="BJ64" s="24">
        <f>F64*G64</f>
        <v>0</v>
      </c>
      <c r="BK64" s="24"/>
      <c r="BL64" s="24"/>
      <c r="BN64" s="24">
        <f>F64*G64</f>
        <v>0</v>
      </c>
      <c r="BW64" s="24">
        <v>21</v>
      </c>
      <c r="BX64" s="4" t="s">
        <v>213</v>
      </c>
    </row>
    <row r="65" spans="1:76" x14ac:dyDescent="0.25">
      <c r="A65" s="31" t="s">
        <v>214</v>
      </c>
      <c r="B65" s="32" t="s">
        <v>215</v>
      </c>
      <c r="C65" s="86" t="s">
        <v>216</v>
      </c>
      <c r="D65" s="87"/>
      <c r="E65" s="32" t="s">
        <v>204</v>
      </c>
      <c r="F65" s="33">
        <v>1</v>
      </c>
      <c r="G65" s="33">
        <v>0</v>
      </c>
      <c r="H65" s="33">
        <f>F65*AO65</f>
        <v>0</v>
      </c>
      <c r="I65" s="33">
        <f>F65*AP65</f>
        <v>0</v>
      </c>
      <c r="J65" s="33">
        <f>F65*G65</f>
        <v>0</v>
      </c>
      <c r="K65" s="34" t="s">
        <v>56</v>
      </c>
      <c r="Z65" s="24">
        <f>IF(AQ65="5",BJ65,0)</f>
        <v>0</v>
      </c>
      <c r="AB65" s="24">
        <f>IF(AQ65="1",BH65,0)</f>
        <v>0</v>
      </c>
      <c r="AC65" s="24">
        <f>IF(AQ65="1",BI65,0)</f>
        <v>0</v>
      </c>
      <c r="AD65" s="24">
        <f>IF(AQ65="7",BH65,0)</f>
        <v>0</v>
      </c>
      <c r="AE65" s="24">
        <f>IF(AQ65="7",BI65,0)</f>
        <v>0</v>
      </c>
      <c r="AF65" s="24">
        <f>IF(AQ65="2",BH65,0)</f>
        <v>0</v>
      </c>
      <c r="AG65" s="24">
        <f>IF(AQ65="2",BI65,0)</f>
        <v>0</v>
      </c>
      <c r="AH65" s="24">
        <f>IF(AQ65="0",BJ65,0)</f>
        <v>0</v>
      </c>
      <c r="AI65" s="10" t="s">
        <v>49</v>
      </c>
      <c r="AJ65" s="24">
        <f>IF(AN65=0,J65,0)</f>
        <v>0</v>
      </c>
      <c r="AK65" s="24">
        <f>IF(AN65=12,J65,0)</f>
        <v>0</v>
      </c>
      <c r="AL65" s="24">
        <f>IF(AN65=21,J65,0)</f>
        <v>0</v>
      </c>
      <c r="AN65" s="24">
        <v>21</v>
      </c>
      <c r="AO65" s="24">
        <f>G65*0</f>
        <v>0</v>
      </c>
      <c r="AP65" s="24">
        <f>G65*(1-0)</f>
        <v>0</v>
      </c>
      <c r="AQ65" s="26" t="s">
        <v>205</v>
      </c>
      <c r="AV65" s="24">
        <f>AW65+AX65</f>
        <v>0</v>
      </c>
      <c r="AW65" s="24">
        <f>F65*AO65</f>
        <v>0</v>
      </c>
      <c r="AX65" s="24">
        <f>F65*AP65</f>
        <v>0</v>
      </c>
      <c r="AY65" s="26" t="s">
        <v>206</v>
      </c>
      <c r="AZ65" s="26" t="s">
        <v>207</v>
      </c>
      <c r="BA65" s="10" t="s">
        <v>60</v>
      </c>
      <c r="BC65" s="24">
        <f>AW65+AX65</f>
        <v>0</v>
      </c>
      <c r="BD65" s="24">
        <f>G65/(100-BE65)*100</f>
        <v>0</v>
      </c>
      <c r="BE65" s="24">
        <v>0</v>
      </c>
      <c r="BF65" s="24">
        <f>65</f>
        <v>65</v>
      </c>
      <c r="BH65" s="24">
        <f>F65*AO65</f>
        <v>0</v>
      </c>
      <c r="BI65" s="24">
        <f>F65*AP65</f>
        <v>0</v>
      </c>
      <c r="BJ65" s="24">
        <f>F65*G65</f>
        <v>0</v>
      </c>
      <c r="BK65" s="24"/>
      <c r="BL65" s="24"/>
      <c r="BN65" s="24">
        <f>F65*G65</f>
        <v>0</v>
      </c>
      <c r="BW65" s="24">
        <v>21</v>
      </c>
      <c r="BX65" s="4" t="s">
        <v>216</v>
      </c>
    </row>
    <row r="66" spans="1:76" x14ac:dyDescent="0.25">
      <c r="H66" s="88" t="s">
        <v>217</v>
      </c>
      <c r="I66" s="88"/>
      <c r="J66" s="35">
        <f>J12+J22+J30+J39+J41+J45+J47+J50+J61</f>
        <v>0</v>
      </c>
    </row>
    <row r="67" spans="1:76" x14ac:dyDescent="0.25">
      <c r="A67" s="36" t="s">
        <v>218</v>
      </c>
    </row>
    <row r="68" spans="1:76" ht="12.75" customHeight="1" x14ac:dyDescent="0.25">
      <c r="A68" s="68" t="s">
        <v>49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</row>
  </sheetData>
  <mergeCells count="84">
    <mergeCell ref="C65:D65"/>
    <mergeCell ref="H66:I66"/>
    <mergeCell ref="A68:K68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workbookViewId="0">
      <selection activeCell="F4" sqref="F4:G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89" t="s">
        <v>219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60" t="s">
        <v>1</v>
      </c>
      <c r="B2" s="61"/>
      <c r="C2" s="69" t="str">
        <f>'Stavební rozpočet'!C2</f>
        <v>Výměna konstrukce střešního pláště zimního stadionu v Táboře</v>
      </c>
      <c r="D2" s="70"/>
      <c r="E2" s="67" t="s">
        <v>5</v>
      </c>
      <c r="F2" s="67" t="str">
        <f>'Stavební rozpočet'!I2</f>
        <v>Tělovýchovná zařízení města Tábora s. r.o.</v>
      </c>
      <c r="G2" s="61"/>
      <c r="H2" s="67" t="s">
        <v>220</v>
      </c>
      <c r="I2" s="72" t="s">
        <v>49</v>
      </c>
    </row>
    <row r="3" spans="1:9" ht="15" customHeight="1" x14ac:dyDescent="0.25">
      <c r="A3" s="62"/>
      <c r="B3" s="63"/>
      <c r="C3" s="71"/>
      <c r="D3" s="71"/>
      <c r="E3" s="63"/>
      <c r="F3" s="63"/>
      <c r="G3" s="63"/>
      <c r="H3" s="63"/>
      <c r="I3" s="73"/>
    </row>
    <row r="4" spans="1:9" x14ac:dyDescent="0.25">
      <c r="A4" s="64" t="s">
        <v>7</v>
      </c>
      <c r="B4" s="63"/>
      <c r="C4" s="68" t="str">
        <f>'Stavební rozpočet'!C4</f>
        <v xml:space="preserve"> </v>
      </c>
      <c r="D4" s="63"/>
      <c r="E4" s="68" t="s">
        <v>10</v>
      </c>
      <c r="F4" s="68" t="str">
        <f>'Stavební rozpočet'!I4</f>
        <v>Ing. Jan Čížek</v>
      </c>
      <c r="G4" s="63"/>
      <c r="H4" s="68" t="s">
        <v>220</v>
      </c>
      <c r="I4" s="73" t="s">
        <v>49</v>
      </c>
    </row>
    <row r="5" spans="1:9" ht="15" customHeight="1" x14ac:dyDescent="0.25">
      <c r="A5" s="62"/>
      <c r="B5" s="63"/>
      <c r="C5" s="63"/>
      <c r="D5" s="63"/>
      <c r="E5" s="63"/>
      <c r="F5" s="63"/>
      <c r="G5" s="63"/>
      <c r="H5" s="63"/>
      <c r="I5" s="73"/>
    </row>
    <row r="6" spans="1:9" x14ac:dyDescent="0.25">
      <c r="A6" s="64" t="s">
        <v>12</v>
      </c>
      <c r="B6" s="63"/>
      <c r="C6" s="68" t="str">
        <f>'Stavební rozpočet'!C6</f>
        <v>k.ú. Tábor</v>
      </c>
      <c r="D6" s="63"/>
      <c r="E6" s="68" t="s">
        <v>15</v>
      </c>
      <c r="F6" s="68" t="str">
        <f>'Stavební rozpočet'!I6</f>
        <v> </v>
      </c>
      <c r="G6" s="63"/>
      <c r="H6" s="68" t="s">
        <v>220</v>
      </c>
      <c r="I6" s="73" t="s">
        <v>49</v>
      </c>
    </row>
    <row r="7" spans="1:9" ht="15" customHeight="1" x14ac:dyDescent="0.25">
      <c r="A7" s="62"/>
      <c r="B7" s="63"/>
      <c r="C7" s="63"/>
      <c r="D7" s="63"/>
      <c r="E7" s="63"/>
      <c r="F7" s="63"/>
      <c r="G7" s="63"/>
      <c r="H7" s="63"/>
      <c r="I7" s="73"/>
    </row>
    <row r="8" spans="1:9" x14ac:dyDescent="0.25">
      <c r="A8" s="64" t="s">
        <v>8</v>
      </c>
      <c r="B8" s="63"/>
      <c r="C8" s="68">
        <f>'Stavební rozpočet'!G4</f>
        <v>0</v>
      </c>
      <c r="D8" s="63"/>
      <c r="E8" s="68" t="s">
        <v>14</v>
      </c>
      <c r="F8" s="68" t="str">
        <f>'Stavební rozpočet'!G6</f>
        <v xml:space="preserve"> </v>
      </c>
      <c r="G8" s="63"/>
      <c r="H8" s="63" t="s">
        <v>221</v>
      </c>
      <c r="I8" s="90">
        <v>44</v>
      </c>
    </row>
    <row r="9" spans="1:9" x14ac:dyDescent="0.25">
      <c r="A9" s="62"/>
      <c r="B9" s="63"/>
      <c r="C9" s="63"/>
      <c r="D9" s="63"/>
      <c r="E9" s="63"/>
      <c r="F9" s="63"/>
      <c r="G9" s="63"/>
      <c r="H9" s="63"/>
      <c r="I9" s="73"/>
    </row>
    <row r="10" spans="1:9" x14ac:dyDescent="0.25">
      <c r="A10" s="64" t="s">
        <v>17</v>
      </c>
      <c r="B10" s="63"/>
      <c r="C10" s="68" t="str">
        <f>'Stavební rozpočet'!C8</f>
        <v xml:space="preserve"> </v>
      </c>
      <c r="D10" s="63"/>
      <c r="E10" s="68" t="s">
        <v>19</v>
      </c>
      <c r="F10" s="68" t="str">
        <f>'Stavební rozpočet'!I8</f>
        <v> Ing. Jan Čížek</v>
      </c>
      <c r="G10" s="63"/>
      <c r="H10" s="63" t="s">
        <v>222</v>
      </c>
      <c r="I10" s="91" t="str">
        <f>'Stavební rozpočet'!G8</f>
        <v>17.01.2025</v>
      </c>
    </row>
    <row r="11" spans="1:9" x14ac:dyDescent="0.25">
      <c r="A11" s="96"/>
      <c r="B11" s="87"/>
      <c r="C11" s="87"/>
      <c r="D11" s="87"/>
      <c r="E11" s="87"/>
      <c r="F11" s="87"/>
      <c r="G11" s="87"/>
      <c r="H11" s="87"/>
      <c r="I11" s="92"/>
    </row>
    <row r="12" spans="1:9" ht="23.25" x14ac:dyDescent="0.25">
      <c r="A12" s="93" t="s">
        <v>223</v>
      </c>
      <c r="B12" s="93"/>
      <c r="C12" s="93"/>
      <c r="D12" s="93"/>
      <c r="E12" s="93"/>
      <c r="F12" s="93"/>
      <c r="G12" s="93"/>
      <c r="H12" s="93"/>
      <c r="I12" s="93"/>
    </row>
    <row r="13" spans="1:9" ht="26.25" customHeight="1" x14ac:dyDescent="0.25">
      <c r="A13" s="37" t="s">
        <v>224</v>
      </c>
      <c r="B13" s="94" t="s">
        <v>225</v>
      </c>
      <c r="C13" s="95"/>
      <c r="D13" s="38" t="s">
        <v>226</v>
      </c>
      <c r="E13" s="94" t="s">
        <v>227</v>
      </c>
      <c r="F13" s="95"/>
      <c r="G13" s="38" t="s">
        <v>228</v>
      </c>
      <c r="H13" s="94" t="s">
        <v>229</v>
      </c>
      <c r="I13" s="95"/>
    </row>
    <row r="14" spans="1:9" ht="15.75" x14ac:dyDescent="0.25">
      <c r="A14" s="39" t="s">
        <v>230</v>
      </c>
      <c r="B14" s="40" t="s">
        <v>231</v>
      </c>
      <c r="C14" s="41">
        <f>SUM('Stavební rozpočet'!AB12:AB65)</f>
        <v>0</v>
      </c>
      <c r="D14" s="103" t="s">
        <v>232</v>
      </c>
      <c r="E14" s="104"/>
      <c r="F14" s="41">
        <f>VORN!I15</f>
        <v>0</v>
      </c>
      <c r="G14" s="103" t="s">
        <v>216</v>
      </c>
      <c r="H14" s="104"/>
      <c r="I14" s="42">
        <f>VORN!I21</f>
        <v>0</v>
      </c>
    </row>
    <row r="15" spans="1:9" ht="15.75" x14ac:dyDescent="0.25">
      <c r="A15" s="43" t="s">
        <v>49</v>
      </c>
      <c r="B15" s="40" t="s">
        <v>34</v>
      </c>
      <c r="C15" s="41">
        <f>SUM('Stavební rozpočet'!AC12:AC65)</f>
        <v>0</v>
      </c>
      <c r="D15" s="103" t="s">
        <v>233</v>
      </c>
      <c r="E15" s="104"/>
      <c r="F15" s="41">
        <f>VORN!I16</f>
        <v>0</v>
      </c>
      <c r="G15" s="103" t="s">
        <v>234</v>
      </c>
      <c r="H15" s="104"/>
      <c r="I15" s="42">
        <f>VORN!I22</f>
        <v>0</v>
      </c>
    </row>
    <row r="16" spans="1:9" ht="15.75" x14ac:dyDescent="0.25">
      <c r="A16" s="39" t="s">
        <v>235</v>
      </c>
      <c r="B16" s="40" t="s">
        <v>231</v>
      </c>
      <c r="C16" s="41">
        <f>SUM('Stavební rozpočet'!AD12:AD65)</f>
        <v>0</v>
      </c>
      <c r="D16" s="103" t="s">
        <v>236</v>
      </c>
      <c r="E16" s="104"/>
      <c r="F16" s="41">
        <f>VORN!I17</f>
        <v>0</v>
      </c>
      <c r="G16" s="103" t="s">
        <v>237</v>
      </c>
      <c r="H16" s="104"/>
      <c r="I16" s="42">
        <f>VORN!I23</f>
        <v>0</v>
      </c>
    </row>
    <row r="17" spans="1:9" ht="15.75" x14ac:dyDescent="0.25">
      <c r="A17" s="43" t="s">
        <v>49</v>
      </c>
      <c r="B17" s="40" t="s">
        <v>34</v>
      </c>
      <c r="C17" s="41">
        <f>SUM('Stavební rozpočet'!AE12:AE65)</f>
        <v>0</v>
      </c>
      <c r="D17" s="103" t="s">
        <v>49</v>
      </c>
      <c r="E17" s="104"/>
      <c r="F17" s="42" t="s">
        <v>49</v>
      </c>
      <c r="G17" s="103" t="s">
        <v>238</v>
      </c>
      <c r="H17" s="104"/>
      <c r="I17" s="42">
        <f>VORN!I24</f>
        <v>0</v>
      </c>
    </row>
    <row r="18" spans="1:9" ht="15.75" x14ac:dyDescent="0.25">
      <c r="A18" s="39" t="s">
        <v>239</v>
      </c>
      <c r="B18" s="40" t="s">
        <v>231</v>
      </c>
      <c r="C18" s="41">
        <f>SUM('Stavební rozpočet'!AF12:AF65)</f>
        <v>0</v>
      </c>
      <c r="D18" s="103" t="s">
        <v>49</v>
      </c>
      <c r="E18" s="104"/>
      <c r="F18" s="42" t="s">
        <v>49</v>
      </c>
      <c r="G18" s="103" t="s">
        <v>240</v>
      </c>
      <c r="H18" s="104"/>
      <c r="I18" s="42">
        <f>VORN!I25</f>
        <v>0</v>
      </c>
    </row>
    <row r="19" spans="1:9" ht="15.75" x14ac:dyDescent="0.25">
      <c r="A19" s="43" t="s">
        <v>49</v>
      </c>
      <c r="B19" s="40" t="s">
        <v>34</v>
      </c>
      <c r="C19" s="41">
        <f>SUM('Stavební rozpočet'!AG12:AG65)</f>
        <v>0</v>
      </c>
      <c r="D19" s="103" t="s">
        <v>49</v>
      </c>
      <c r="E19" s="104"/>
      <c r="F19" s="42" t="s">
        <v>49</v>
      </c>
      <c r="G19" s="103" t="s">
        <v>241</v>
      </c>
      <c r="H19" s="104"/>
      <c r="I19" s="42">
        <f>VORN!I26</f>
        <v>0</v>
      </c>
    </row>
    <row r="20" spans="1:9" ht="15.75" x14ac:dyDescent="0.25">
      <c r="A20" s="97" t="s">
        <v>242</v>
      </c>
      <c r="B20" s="98"/>
      <c r="C20" s="41">
        <f>SUM('Stavební rozpočet'!AH12:AH65)</f>
        <v>0</v>
      </c>
      <c r="D20" s="103" t="s">
        <v>49</v>
      </c>
      <c r="E20" s="104"/>
      <c r="F20" s="42" t="s">
        <v>49</v>
      </c>
      <c r="G20" s="103" t="s">
        <v>49</v>
      </c>
      <c r="H20" s="104"/>
      <c r="I20" s="42" t="s">
        <v>49</v>
      </c>
    </row>
    <row r="21" spans="1:9" ht="15.75" x14ac:dyDescent="0.25">
      <c r="A21" s="99" t="s">
        <v>243</v>
      </c>
      <c r="B21" s="100"/>
      <c r="C21" s="44">
        <f>SUM('Stavební rozpočet'!Z12:Z65)</f>
        <v>0</v>
      </c>
      <c r="D21" s="105" t="s">
        <v>49</v>
      </c>
      <c r="E21" s="106"/>
      <c r="F21" s="45" t="s">
        <v>49</v>
      </c>
      <c r="G21" s="105" t="s">
        <v>49</v>
      </c>
      <c r="H21" s="106"/>
      <c r="I21" s="45" t="s">
        <v>49</v>
      </c>
    </row>
    <row r="22" spans="1:9" ht="16.5" customHeight="1" x14ac:dyDescent="0.25">
      <c r="A22" s="101" t="s">
        <v>244</v>
      </c>
      <c r="B22" s="102"/>
      <c r="C22" s="46">
        <f>SUM(C14:C21)</f>
        <v>0</v>
      </c>
      <c r="D22" s="107" t="s">
        <v>245</v>
      </c>
      <c r="E22" s="102"/>
      <c r="F22" s="46">
        <f>SUM(F14:F21)</f>
        <v>0</v>
      </c>
      <c r="G22" s="107" t="s">
        <v>246</v>
      </c>
      <c r="H22" s="102"/>
      <c r="I22" s="46">
        <f>SUM(I14:I21)</f>
        <v>0</v>
      </c>
    </row>
    <row r="23" spans="1:9" ht="15.75" x14ac:dyDescent="0.25">
      <c r="D23" s="97" t="s">
        <v>247</v>
      </c>
      <c r="E23" s="98"/>
      <c r="F23" s="47">
        <v>0</v>
      </c>
      <c r="G23" s="108" t="s">
        <v>248</v>
      </c>
      <c r="H23" s="98"/>
      <c r="I23" s="41">
        <v>0</v>
      </c>
    </row>
    <row r="24" spans="1:9" ht="15.75" x14ac:dyDescent="0.25">
      <c r="G24" s="97" t="s">
        <v>249</v>
      </c>
      <c r="H24" s="98"/>
      <c r="I24" s="44">
        <f>vorn_sum</f>
        <v>0</v>
      </c>
    </row>
    <row r="25" spans="1:9" ht="15.75" x14ac:dyDescent="0.25">
      <c r="G25" s="97" t="s">
        <v>250</v>
      </c>
      <c r="H25" s="98"/>
      <c r="I25" s="46">
        <v>0</v>
      </c>
    </row>
    <row r="27" spans="1:9" ht="15.75" x14ac:dyDescent="0.25">
      <c r="A27" s="109" t="s">
        <v>251</v>
      </c>
      <c r="B27" s="110"/>
      <c r="C27" s="48">
        <f>SUM('Stavební rozpočet'!AJ12:AJ65)</f>
        <v>0</v>
      </c>
    </row>
    <row r="28" spans="1:9" ht="15.75" x14ac:dyDescent="0.25">
      <c r="A28" s="111" t="s">
        <v>252</v>
      </c>
      <c r="B28" s="112"/>
      <c r="C28" s="49">
        <f>SUM('Stavební rozpočet'!AK12:AK65)</f>
        <v>0</v>
      </c>
      <c r="D28" s="113" t="s">
        <v>253</v>
      </c>
      <c r="E28" s="110"/>
      <c r="F28" s="48">
        <f>ROUND(C28*(12/100),2)</f>
        <v>0</v>
      </c>
      <c r="G28" s="113" t="s">
        <v>254</v>
      </c>
      <c r="H28" s="110"/>
      <c r="I28" s="48">
        <f>SUM(C27:C29)</f>
        <v>0</v>
      </c>
    </row>
    <row r="29" spans="1:9" ht="15.75" x14ac:dyDescent="0.25">
      <c r="A29" s="111" t="s">
        <v>255</v>
      </c>
      <c r="B29" s="112"/>
      <c r="C29" s="49">
        <f>SUM('Stavební rozpočet'!AL12:AL65)</f>
        <v>0</v>
      </c>
      <c r="D29" s="114" t="s">
        <v>256</v>
      </c>
      <c r="E29" s="112"/>
      <c r="F29" s="49">
        <f>ROUND(C29*(21/100),2)</f>
        <v>0</v>
      </c>
      <c r="G29" s="114" t="s">
        <v>257</v>
      </c>
      <c r="H29" s="112"/>
      <c r="I29" s="49">
        <f>SUM(F28:F29)+I28</f>
        <v>0</v>
      </c>
    </row>
    <row r="31" spans="1:9" x14ac:dyDescent="0.25">
      <c r="A31" s="124" t="s">
        <v>258</v>
      </c>
      <c r="B31" s="116"/>
      <c r="C31" s="117"/>
      <c r="D31" s="115" t="s">
        <v>259</v>
      </c>
      <c r="E31" s="116"/>
      <c r="F31" s="117"/>
      <c r="G31" s="115" t="s">
        <v>260</v>
      </c>
      <c r="H31" s="116"/>
      <c r="I31" s="117"/>
    </row>
    <row r="32" spans="1:9" x14ac:dyDescent="0.25">
      <c r="A32" s="125" t="s">
        <v>49</v>
      </c>
      <c r="B32" s="119"/>
      <c r="C32" s="120"/>
      <c r="D32" s="118" t="s">
        <v>49</v>
      </c>
      <c r="E32" s="119"/>
      <c r="F32" s="120"/>
      <c r="G32" s="118" t="s">
        <v>49</v>
      </c>
      <c r="H32" s="119"/>
      <c r="I32" s="120"/>
    </row>
    <row r="33" spans="1:9" x14ac:dyDescent="0.25">
      <c r="A33" s="125" t="s">
        <v>49</v>
      </c>
      <c r="B33" s="119"/>
      <c r="C33" s="120"/>
      <c r="D33" s="118" t="s">
        <v>49</v>
      </c>
      <c r="E33" s="119"/>
      <c r="F33" s="120"/>
      <c r="G33" s="118" t="s">
        <v>49</v>
      </c>
      <c r="H33" s="119"/>
      <c r="I33" s="120"/>
    </row>
    <row r="34" spans="1:9" x14ac:dyDescent="0.25">
      <c r="A34" s="125" t="s">
        <v>49</v>
      </c>
      <c r="B34" s="119"/>
      <c r="C34" s="120"/>
      <c r="D34" s="118" t="s">
        <v>49</v>
      </c>
      <c r="E34" s="119"/>
      <c r="F34" s="120"/>
      <c r="G34" s="118" t="s">
        <v>49</v>
      </c>
      <c r="H34" s="119"/>
      <c r="I34" s="120"/>
    </row>
    <row r="35" spans="1:9" x14ac:dyDescent="0.25">
      <c r="A35" s="126" t="s">
        <v>261</v>
      </c>
      <c r="B35" s="122"/>
      <c r="C35" s="123"/>
      <c r="D35" s="121" t="s">
        <v>261</v>
      </c>
      <c r="E35" s="122"/>
      <c r="F35" s="123"/>
      <c r="G35" s="121" t="s">
        <v>261</v>
      </c>
      <c r="H35" s="122"/>
      <c r="I35" s="123"/>
    </row>
    <row r="36" spans="1:9" x14ac:dyDescent="0.25">
      <c r="A36" s="50" t="s">
        <v>218</v>
      </c>
    </row>
    <row r="37" spans="1:9" ht="12.75" customHeight="1" x14ac:dyDescent="0.25">
      <c r="A37" s="68" t="s">
        <v>49</v>
      </c>
      <c r="B37" s="63"/>
      <c r="C37" s="63"/>
      <c r="D37" s="63"/>
      <c r="E37" s="63"/>
      <c r="F37" s="63"/>
      <c r="G37" s="63"/>
      <c r="H37" s="63"/>
      <c r="I37" s="63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89" t="s">
        <v>198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60" t="s">
        <v>1</v>
      </c>
      <c r="B2" s="61"/>
      <c r="C2" s="69" t="str">
        <f>'Stavební rozpočet'!C2</f>
        <v>Výměna konstrukce střešního pláště zimního stadionu v Táboře</v>
      </c>
      <c r="D2" s="70"/>
      <c r="E2" s="67" t="s">
        <v>5</v>
      </c>
      <c r="F2" s="67" t="str">
        <f>'Stavební rozpočet'!I2</f>
        <v>Tělovýchovná zařízení města Tábora s. r.o.</v>
      </c>
      <c r="G2" s="61"/>
      <c r="H2" s="67" t="s">
        <v>220</v>
      </c>
      <c r="I2" s="72" t="s">
        <v>49</v>
      </c>
    </row>
    <row r="3" spans="1:9" ht="15" customHeight="1" x14ac:dyDescent="0.25">
      <c r="A3" s="62"/>
      <c r="B3" s="63"/>
      <c r="C3" s="71"/>
      <c r="D3" s="71"/>
      <c r="E3" s="63"/>
      <c r="F3" s="63"/>
      <c r="G3" s="63"/>
      <c r="H3" s="63"/>
      <c r="I3" s="73"/>
    </row>
    <row r="4" spans="1:9" x14ac:dyDescent="0.25">
      <c r="A4" s="64" t="s">
        <v>7</v>
      </c>
      <c r="B4" s="63"/>
      <c r="C4" s="68" t="str">
        <f>'Stavební rozpočet'!C4</f>
        <v xml:space="preserve"> </v>
      </c>
      <c r="D4" s="63"/>
      <c r="E4" s="68" t="s">
        <v>10</v>
      </c>
      <c r="F4" s="68" t="str">
        <f>'Stavební rozpočet'!I4</f>
        <v>Ing. Jan Čížek</v>
      </c>
      <c r="G4" s="63"/>
      <c r="H4" s="68" t="s">
        <v>220</v>
      </c>
      <c r="I4" s="73" t="s">
        <v>49</v>
      </c>
    </row>
    <row r="5" spans="1:9" ht="15" customHeight="1" x14ac:dyDescent="0.25">
      <c r="A5" s="62"/>
      <c r="B5" s="63"/>
      <c r="C5" s="63"/>
      <c r="D5" s="63"/>
      <c r="E5" s="63"/>
      <c r="F5" s="63"/>
      <c r="G5" s="63"/>
      <c r="H5" s="63"/>
      <c r="I5" s="73"/>
    </row>
    <row r="6" spans="1:9" x14ac:dyDescent="0.25">
      <c r="A6" s="64" t="s">
        <v>12</v>
      </c>
      <c r="B6" s="63"/>
      <c r="C6" s="68" t="str">
        <f>'Stavební rozpočet'!C6</f>
        <v>k.ú. Tábor</v>
      </c>
      <c r="D6" s="63"/>
      <c r="E6" s="68" t="s">
        <v>15</v>
      </c>
      <c r="F6" s="68" t="str">
        <f>'Stavební rozpočet'!I6</f>
        <v> </v>
      </c>
      <c r="G6" s="63"/>
      <c r="H6" s="68" t="s">
        <v>220</v>
      </c>
      <c r="I6" s="73" t="s">
        <v>49</v>
      </c>
    </row>
    <row r="7" spans="1:9" ht="15" customHeight="1" x14ac:dyDescent="0.25">
      <c r="A7" s="62"/>
      <c r="B7" s="63"/>
      <c r="C7" s="63"/>
      <c r="D7" s="63"/>
      <c r="E7" s="63"/>
      <c r="F7" s="63"/>
      <c r="G7" s="63"/>
      <c r="H7" s="63"/>
      <c r="I7" s="73"/>
    </row>
    <row r="8" spans="1:9" x14ac:dyDescent="0.25">
      <c r="A8" s="64" t="s">
        <v>8</v>
      </c>
      <c r="B8" s="63"/>
      <c r="C8" s="68">
        <f>'Stavební rozpočet'!G4</f>
        <v>0</v>
      </c>
      <c r="D8" s="63"/>
      <c r="E8" s="68" t="s">
        <v>14</v>
      </c>
      <c r="F8" s="68" t="str">
        <f>'Stavební rozpočet'!G6</f>
        <v xml:space="preserve"> </v>
      </c>
      <c r="G8" s="63"/>
      <c r="H8" s="63" t="s">
        <v>221</v>
      </c>
      <c r="I8" s="90">
        <v>44</v>
      </c>
    </row>
    <row r="9" spans="1:9" x14ac:dyDescent="0.25">
      <c r="A9" s="62"/>
      <c r="B9" s="63"/>
      <c r="C9" s="63"/>
      <c r="D9" s="63"/>
      <c r="E9" s="63"/>
      <c r="F9" s="63"/>
      <c r="G9" s="63"/>
      <c r="H9" s="63"/>
      <c r="I9" s="73"/>
    </row>
    <row r="10" spans="1:9" x14ac:dyDescent="0.25">
      <c r="A10" s="64" t="s">
        <v>17</v>
      </c>
      <c r="B10" s="63"/>
      <c r="C10" s="68" t="str">
        <f>'Stavební rozpočet'!C8</f>
        <v xml:space="preserve"> </v>
      </c>
      <c r="D10" s="63"/>
      <c r="E10" s="68" t="s">
        <v>19</v>
      </c>
      <c r="F10" s="68" t="str">
        <f>'Stavební rozpočet'!I8</f>
        <v> Ing. Jan Čížek</v>
      </c>
      <c r="G10" s="63"/>
      <c r="H10" s="63" t="s">
        <v>222</v>
      </c>
      <c r="I10" s="91" t="str">
        <f>'Stavební rozpočet'!G8</f>
        <v>17.01.2025</v>
      </c>
    </row>
    <row r="11" spans="1:9" x14ac:dyDescent="0.25">
      <c r="A11" s="96"/>
      <c r="B11" s="87"/>
      <c r="C11" s="87"/>
      <c r="D11" s="87"/>
      <c r="E11" s="87"/>
      <c r="F11" s="87"/>
      <c r="G11" s="87"/>
      <c r="H11" s="87"/>
      <c r="I11" s="92"/>
    </row>
    <row r="13" spans="1:9" ht="15.75" x14ac:dyDescent="0.25">
      <c r="A13" s="127" t="s">
        <v>262</v>
      </c>
      <c r="B13" s="127"/>
      <c r="C13" s="127"/>
      <c r="D13" s="127"/>
      <c r="E13" s="127"/>
    </row>
    <row r="14" spans="1:9" x14ac:dyDescent="0.25">
      <c r="A14" s="128" t="s">
        <v>263</v>
      </c>
      <c r="B14" s="129"/>
      <c r="C14" s="129"/>
      <c r="D14" s="129"/>
      <c r="E14" s="130"/>
      <c r="F14" s="51" t="s">
        <v>264</v>
      </c>
      <c r="G14" s="51" t="s">
        <v>132</v>
      </c>
      <c r="H14" s="51" t="s">
        <v>265</v>
      </c>
      <c r="I14" s="51" t="s">
        <v>264</v>
      </c>
    </row>
    <row r="15" spans="1:9" x14ac:dyDescent="0.25">
      <c r="A15" s="131" t="s">
        <v>232</v>
      </c>
      <c r="B15" s="132"/>
      <c r="C15" s="132"/>
      <c r="D15" s="132"/>
      <c r="E15" s="133"/>
      <c r="F15" s="52">
        <v>0</v>
      </c>
      <c r="G15" s="53" t="s">
        <v>49</v>
      </c>
      <c r="H15" s="53" t="s">
        <v>49</v>
      </c>
      <c r="I15" s="52">
        <f>F15</f>
        <v>0</v>
      </c>
    </row>
    <row r="16" spans="1:9" x14ac:dyDescent="0.25">
      <c r="A16" s="131" t="s">
        <v>233</v>
      </c>
      <c r="B16" s="132"/>
      <c r="C16" s="132"/>
      <c r="D16" s="132"/>
      <c r="E16" s="133"/>
      <c r="F16" s="52">
        <v>0</v>
      </c>
      <c r="G16" s="53" t="s">
        <v>49</v>
      </c>
      <c r="H16" s="53" t="s">
        <v>49</v>
      </c>
      <c r="I16" s="52">
        <f>F16</f>
        <v>0</v>
      </c>
    </row>
    <row r="17" spans="1:9" x14ac:dyDescent="0.25">
      <c r="A17" s="134" t="s">
        <v>236</v>
      </c>
      <c r="B17" s="135"/>
      <c r="C17" s="135"/>
      <c r="D17" s="135"/>
      <c r="E17" s="136"/>
      <c r="F17" s="54">
        <v>0</v>
      </c>
      <c r="G17" s="55" t="s">
        <v>49</v>
      </c>
      <c r="H17" s="55" t="s">
        <v>49</v>
      </c>
      <c r="I17" s="54">
        <f>F17</f>
        <v>0</v>
      </c>
    </row>
    <row r="18" spans="1:9" x14ac:dyDescent="0.25">
      <c r="A18" s="137" t="s">
        <v>266</v>
      </c>
      <c r="B18" s="138"/>
      <c r="C18" s="138"/>
      <c r="D18" s="138"/>
      <c r="E18" s="139"/>
      <c r="F18" s="56" t="s">
        <v>49</v>
      </c>
      <c r="G18" s="57" t="s">
        <v>49</v>
      </c>
      <c r="H18" s="57" t="s">
        <v>49</v>
      </c>
      <c r="I18" s="58">
        <f>SUM(I15:I17)</f>
        <v>0</v>
      </c>
    </row>
    <row r="20" spans="1:9" x14ac:dyDescent="0.25">
      <c r="A20" s="128" t="s">
        <v>229</v>
      </c>
      <c r="B20" s="129"/>
      <c r="C20" s="129"/>
      <c r="D20" s="129"/>
      <c r="E20" s="130"/>
      <c r="F20" s="51" t="s">
        <v>264</v>
      </c>
      <c r="G20" s="51" t="s">
        <v>132</v>
      </c>
      <c r="H20" s="51" t="s">
        <v>265</v>
      </c>
      <c r="I20" s="51" t="s">
        <v>264</v>
      </c>
    </row>
    <row r="21" spans="1:9" x14ac:dyDescent="0.25">
      <c r="A21" s="131" t="s">
        <v>216</v>
      </c>
      <c r="B21" s="132"/>
      <c r="C21" s="132"/>
      <c r="D21" s="132"/>
      <c r="E21" s="133"/>
      <c r="F21" s="52">
        <v>0</v>
      </c>
      <c r="G21" s="53" t="s">
        <v>49</v>
      </c>
      <c r="H21" s="53" t="s">
        <v>49</v>
      </c>
      <c r="I21" s="52">
        <f t="shared" ref="I21:I26" si="0">F21</f>
        <v>0</v>
      </c>
    </row>
    <row r="22" spans="1:9" x14ac:dyDescent="0.25">
      <c r="A22" s="131" t="s">
        <v>234</v>
      </c>
      <c r="B22" s="132"/>
      <c r="C22" s="132"/>
      <c r="D22" s="132"/>
      <c r="E22" s="133"/>
      <c r="F22" s="52">
        <v>0</v>
      </c>
      <c r="G22" s="53" t="s">
        <v>49</v>
      </c>
      <c r="H22" s="53" t="s">
        <v>49</v>
      </c>
      <c r="I22" s="52">
        <f t="shared" si="0"/>
        <v>0</v>
      </c>
    </row>
    <row r="23" spans="1:9" x14ac:dyDescent="0.25">
      <c r="A23" s="131" t="s">
        <v>237</v>
      </c>
      <c r="B23" s="132"/>
      <c r="C23" s="132"/>
      <c r="D23" s="132"/>
      <c r="E23" s="133"/>
      <c r="F23" s="52">
        <v>0</v>
      </c>
      <c r="G23" s="53" t="s">
        <v>49</v>
      </c>
      <c r="H23" s="53" t="s">
        <v>49</v>
      </c>
      <c r="I23" s="52">
        <f t="shared" si="0"/>
        <v>0</v>
      </c>
    </row>
    <row r="24" spans="1:9" x14ac:dyDescent="0.25">
      <c r="A24" s="131" t="s">
        <v>238</v>
      </c>
      <c r="B24" s="132"/>
      <c r="C24" s="132"/>
      <c r="D24" s="132"/>
      <c r="E24" s="133"/>
      <c r="F24" s="52">
        <v>0</v>
      </c>
      <c r="G24" s="53" t="s">
        <v>49</v>
      </c>
      <c r="H24" s="53" t="s">
        <v>49</v>
      </c>
      <c r="I24" s="52">
        <f t="shared" si="0"/>
        <v>0</v>
      </c>
    </row>
    <row r="25" spans="1:9" x14ac:dyDescent="0.25">
      <c r="A25" s="131" t="s">
        <v>240</v>
      </c>
      <c r="B25" s="132"/>
      <c r="C25" s="132"/>
      <c r="D25" s="132"/>
      <c r="E25" s="133"/>
      <c r="F25" s="52">
        <v>0</v>
      </c>
      <c r="G25" s="53" t="s">
        <v>49</v>
      </c>
      <c r="H25" s="53" t="s">
        <v>49</v>
      </c>
      <c r="I25" s="52">
        <f t="shared" si="0"/>
        <v>0</v>
      </c>
    </row>
    <row r="26" spans="1:9" x14ac:dyDescent="0.25">
      <c r="A26" s="134" t="s">
        <v>241</v>
      </c>
      <c r="B26" s="135"/>
      <c r="C26" s="135"/>
      <c r="D26" s="135"/>
      <c r="E26" s="136"/>
      <c r="F26" s="54">
        <v>0</v>
      </c>
      <c r="G26" s="55" t="s">
        <v>49</v>
      </c>
      <c r="H26" s="55" t="s">
        <v>49</v>
      </c>
      <c r="I26" s="54">
        <f t="shared" si="0"/>
        <v>0</v>
      </c>
    </row>
    <row r="27" spans="1:9" x14ac:dyDescent="0.25">
      <c r="A27" s="137" t="s">
        <v>267</v>
      </c>
      <c r="B27" s="138"/>
      <c r="C27" s="138"/>
      <c r="D27" s="138"/>
      <c r="E27" s="139"/>
      <c r="F27" s="56" t="s">
        <v>49</v>
      </c>
      <c r="G27" s="57" t="s">
        <v>49</v>
      </c>
      <c r="H27" s="57" t="s">
        <v>49</v>
      </c>
      <c r="I27" s="58">
        <f>SUM(I21:I26)</f>
        <v>0</v>
      </c>
    </row>
    <row r="29" spans="1:9" ht="15.75" x14ac:dyDescent="0.25">
      <c r="A29" s="140" t="s">
        <v>268</v>
      </c>
      <c r="B29" s="141"/>
      <c r="C29" s="141"/>
      <c r="D29" s="141"/>
      <c r="E29" s="142"/>
      <c r="F29" s="143">
        <f>I18+I27</f>
        <v>0</v>
      </c>
      <c r="G29" s="144"/>
      <c r="H29" s="144"/>
      <c r="I29" s="145"/>
    </row>
    <row r="33" spans="1:9" ht="15.75" x14ac:dyDescent="0.25">
      <c r="A33" s="127" t="s">
        <v>269</v>
      </c>
      <c r="B33" s="127"/>
      <c r="C33" s="127"/>
      <c r="D33" s="127"/>
      <c r="E33" s="127"/>
    </row>
    <row r="34" spans="1:9" x14ac:dyDescent="0.25">
      <c r="A34" s="128" t="s">
        <v>270</v>
      </c>
      <c r="B34" s="129"/>
      <c r="C34" s="129"/>
      <c r="D34" s="129"/>
      <c r="E34" s="130"/>
      <c r="F34" s="51" t="s">
        <v>264</v>
      </c>
      <c r="G34" s="51" t="s">
        <v>132</v>
      </c>
      <c r="H34" s="51" t="s">
        <v>265</v>
      </c>
      <c r="I34" s="51" t="s">
        <v>264</v>
      </c>
    </row>
    <row r="35" spans="1:9" x14ac:dyDescent="0.25">
      <c r="A35" s="131" t="s">
        <v>271</v>
      </c>
      <c r="B35" s="132"/>
      <c r="C35" s="132"/>
      <c r="D35" s="132"/>
      <c r="E35" s="133"/>
      <c r="F35" s="52">
        <f>SUM('Stavební rozpočet'!BM12:BM65)</f>
        <v>0</v>
      </c>
      <c r="G35" s="53" t="s">
        <v>49</v>
      </c>
      <c r="H35" s="53" t="s">
        <v>49</v>
      </c>
      <c r="I35" s="52">
        <f t="shared" ref="I35:I44" si="1">F35</f>
        <v>0</v>
      </c>
    </row>
    <row r="36" spans="1:9" x14ac:dyDescent="0.25">
      <c r="A36" s="131" t="s">
        <v>200</v>
      </c>
      <c r="B36" s="132"/>
      <c r="C36" s="132"/>
      <c r="D36" s="132"/>
      <c r="E36" s="133"/>
      <c r="F36" s="52">
        <f>SUM('Stavební rozpočet'!BN12:BN65)</f>
        <v>0</v>
      </c>
      <c r="G36" s="53" t="s">
        <v>49</v>
      </c>
      <c r="H36" s="53" t="s">
        <v>49</v>
      </c>
      <c r="I36" s="52">
        <f t="shared" si="1"/>
        <v>0</v>
      </c>
    </row>
    <row r="37" spans="1:9" x14ac:dyDescent="0.25">
      <c r="A37" s="131" t="s">
        <v>216</v>
      </c>
      <c r="B37" s="132"/>
      <c r="C37" s="132"/>
      <c r="D37" s="132"/>
      <c r="E37" s="133"/>
      <c r="F37" s="52">
        <f>SUM('Stavební rozpočet'!BO12:BO65)</f>
        <v>0</v>
      </c>
      <c r="G37" s="53" t="s">
        <v>49</v>
      </c>
      <c r="H37" s="53" t="s">
        <v>49</v>
      </c>
      <c r="I37" s="52">
        <f t="shared" si="1"/>
        <v>0</v>
      </c>
    </row>
    <row r="38" spans="1:9" x14ac:dyDescent="0.25">
      <c r="A38" s="131" t="s">
        <v>272</v>
      </c>
      <c r="B38" s="132"/>
      <c r="C38" s="132"/>
      <c r="D38" s="132"/>
      <c r="E38" s="133"/>
      <c r="F38" s="52">
        <f>SUM('Stavební rozpočet'!BP12:BP65)</f>
        <v>0</v>
      </c>
      <c r="G38" s="53" t="s">
        <v>49</v>
      </c>
      <c r="H38" s="53" t="s">
        <v>49</v>
      </c>
      <c r="I38" s="52">
        <f t="shared" si="1"/>
        <v>0</v>
      </c>
    </row>
    <row r="39" spans="1:9" x14ac:dyDescent="0.25">
      <c r="A39" s="131" t="s">
        <v>273</v>
      </c>
      <c r="B39" s="132"/>
      <c r="C39" s="132"/>
      <c r="D39" s="132"/>
      <c r="E39" s="133"/>
      <c r="F39" s="52">
        <f>SUM('Stavební rozpočet'!BQ12:BQ65)</f>
        <v>0</v>
      </c>
      <c r="G39" s="53" t="s">
        <v>49</v>
      </c>
      <c r="H39" s="53" t="s">
        <v>49</v>
      </c>
      <c r="I39" s="52">
        <f t="shared" si="1"/>
        <v>0</v>
      </c>
    </row>
    <row r="40" spans="1:9" x14ac:dyDescent="0.25">
      <c r="A40" s="131" t="s">
        <v>237</v>
      </c>
      <c r="B40" s="132"/>
      <c r="C40" s="132"/>
      <c r="D40" s="132"/>
      <c r="E40" s="133"/>
      <c r="F40" s="52">
        <f>SUM('Stavební rozpočet'!BR12:BR65)</f>
        <v>0</v>
      </c>
      <c r="G40" s="53" t="s">
        <v>49</v>
      </c>
      <c r="H40" s="53" t="s">
        <v>49</v>
      </c>
      <c r="I40" s="52">
        <f t="shared" si="1"/>
        <v>0</v>
      </c>
    </row>
    <row r="41" spans="1:9" x14ac:dyDescent="0.25">
      <c r="A41" s="131" t="s">
        <v>238</v>
      </c>
      <c r="B41" s="132"/>
      <c r="C41" s="132"/>
      <c r="D41" s="132"/>
      <c r="E41" s="133"/>
      <c r="F41" s="52">
        <f>SUM('Stavební rozpočet'!BS12:BS65)</f>
        <v>0</v>
      </c>
      <c r="G41" s="53" t="s">
        <v>49</v>
      </c>
      <c r="H41" s="53" t="s">
        <v>49</v>
      </c>
      <c r="I41" s="52">
        <f t="shared" si="1"/>
        <v>0</v>
      </c>
    </row>
    <row r="42" spans="1:9" x14ac:dyDescent="0.25">
      <c r="A42" s="131" t="s">
        <v>274</v>
      </c>
      <c r="B42" s="132"/>
      <c r="C42" s="132"/>
      <c r="D42" s="132"/>
      <c r="E42" s="133"/>
      <c r="F42" s="52">
        <f>SUM('Stavební rozpočet'!BT12:BT65)</f>
        <v>0</v>
      </c>
      <c r="G42" s="53" t="s">
        <v>49</v>
      </c>
      <c r="H42" s="53" t="s">
        <v>49</v>
      </c>
      <c r="I42" s="52">
        <f t="shared" si="1"/>
        <v>0</v>
      </c>
    </row>
    <row r="43" spans="1:9" x14ac:dyDescent="0.25">
      <c r="A43" s="131" t="s">
        <v>275</v>
      </c>
      <c r="B43" s="132"/>
      <c r="C43" s="132"/>
      <c r="D43" s="132"/>
      <c r="E43" s="133"/>
      <c r="F43" s="52">
        <f>SUM('Stavební rozpočet'!BU12:BU65)</f>
        <v>0</v>
      </c>
      <c r="G43" s="53" t="s">
        <v>49</v>
      </c>
      <c r="H43" s="53" t="s">
        <v>49</v>
      </c>
      <c r="I43" s="52">
        <f t="shared" si="1"/>
        <v>0</v>
      </c>
    </row>
    <row r="44" spans="1:9" x14ac:dyDescent="0.25">
      <c r="A44" s="134" t="s">
        <v>276</v>
      </c>
      <c r="B44" s="135"/>
      <c r="C44" s="135"/>
      <c r="D44" s="135"/>
      <c r="E44" s="136"/>
      <c r="F44" s="54">
        <f>SUM('Stavební rozpočet'!BV12:BV65)</f>
        <v>0</v>
      </c>
      <c r="G44" s="55" t="s">
        <v>49</v>
      </c>
      <c r="H44" s="55" t="s">
        <v>49</v>
      </c>
      <c r="I44" s="54">
        <f t="shared" si="1"/>
        <v>0</v>
      </c>
    </row>
    <row r="45" spans="1:9" x14ac:dyDescent="0.25">
      <c r="A45" s="137" t="s">
        <v>277</v>
      </c>
      <c r="B45" s="138"/>
      <c r="C45" s="138"/>
      <c r="D45" s="138"/>
      <c r="E45" s="139"/>
      <c r="F45" s="56" t="s">
        <v>49</v>
      </c>
      <c r="G45" s="57" t="s">
        <v>49</v>
      </c>
      <c r="H45" s="57" t="s">
        <v>49</v>
      </c>
      <c r="I45" s="58">
        <f>SUM(I35:I44)</f>
        <v>0</v>
      </c>
    </row>
  </sheetData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Miroslav Kožíšek</cp:lastModifiedBy>
  <dcterms:created xsi:type="dcterms:W3CDTF">2021-06-10T20:06:38Z</dcterms:created>
  <dcterms:modified xsi:type="dcterms:W3CDTF">2025-01-27T06:42:02Z</dcterms:modified>
</cp:coreProperties>
</file>