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odralský nadační fond\VZ BRNIŠTĚ Č.P. 16, 2. VYHLÁŠENÍ\1. Zadávací dokumentace\"/>
    </mc:Choice>
  </mc:AlternateContent>
  <bookViews>
    <workbookView xWindow="0" yWindow="0" windowWidth="19200" windowHeight="11595" activeTab="1"/>
  </bookViews>
  <sheets>
    <sheet name="reka" sheetId="4" r:id="rId1"/>
    <sheet name="položky" sheetId="3" r:id="rId2"/>
    <sheet name="kanal." sheetId="6" r:id="rId3"/>
    <sheet name="vodovod" sheetId="7" r:id="rId4"/>
    <sheet name="UT" sheetId="8" r:id="rId5"/>
    <sheet name="silno" sheetId="9" r:id="rId6"/>
    <sheet name="slabo" sheetId="10" r:id="rId7"/>
    <sheet name="VZT" sheetId="11" r:id="rId8"/>
    <sheet name="podlahy" sheetId="1" state="hidden" r:id="rId9"/>
    <sheet name="omítky" sheetId="2" state="hidden" r:id="rId10"/>
  </sheets>
  <definedNames>
    <definedName name="_xlnm.Print_Titles" localSheetId="2">kanal.!$1:$5</definedName>
    <definedName name="_xlnm.Print_Titles" localSheetId="1">položky!$1:$3</definedName>
    <definedName name="_xlnm.Print_Titles" localSheetId="5">silno!$3:$5</definedName>
    <definedName name="_xlnm.Print_Titles" localSheetId="4">UT!$1:$5</definedName>
    <definedName name="_xlnm.Print_Titles" localSheetId="3">vodovod!$1:$5</definedName>
    <definedName name="_xlnm.Print_Area" localSheetId="2">kanal.!$A$1:$K$70</definedName>
    <definedName name="_xlnm.Print_Area" localSheetId="8">podlahy!$A$3:$B$33</definedName>
    <definedName name="_xlnm.Print_Area" localSheetId="1">položky!$A$1:$M$516</definedName>
    <definedName name="_xlnm.Print_Area" localSheetId="0">reka!$A$1:$D$44</definedName>
    <definedName name="_xlnm.Print_Area" localSheetId="5">silno!$A$1:$K$126</definedName>
    <definedName name="_xlnm.Print_Area" localSheetId="6">slabo!$A$1:$M$12</definedName>
    <definedName name="_xlnm.Print_Area" localSheetId="4">UT!$A$1:$K$77</definedName>
    <definedName name="_xlnm.Print_Area" localSheetId="3">vodovod!$A$1:$K$55</definedName>
    <definedName name="_xlnm.Print_Area" localSheetId="7">VZT!$A$1:$M$8</definedName>
  </definedName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3" i="9" l="1"/>
  <c r="J100" i="9" l="1"/>
  <c r="J7" i="9" l="1"/>
  <c r="J6" i="9" s="1"/>
  <c r="J105" i="9" s="1"/>
  <c r="J107" i="9"/>
  <c r="J123" i="9" s="1"/>
  <c r="J43" i="8"/>
  <c r="J32" i="8"/>
  <c r="J23" i="8"/>
  <c r="J13" i="8"/>
  <c r="J10" i="8"/>
  <c r="J7" i="8"/>
  <c r="J6" i="8" s="1"/>
  <c r="J17" i="7"/>
  <c r="J39" i="7"/>
  <c r="J37" i="7"/>
  <c r="J7" i="7"/>
  <c r="J62" i="6"/>
  <c r="J61" i="6" s="1"/>
  <c r="J14" i="6"/>
  <c r="J12" i="6"/>
  <c r="J7" i="6"/>
  <c r="J9" i="8" l="1"/>
  <c r="J76" i="8"/>
  <c r="C29" i="4" s="1"/>
  <c r="J6" i="6"/>
  <c r="J70" i="6" s="1"/>
  <c r="C27" i="4" s="1"/>
  <c r="H4" i="11"/>
  <c r="C32" i="4" s="1"/>
  <c r="J6" i="11"/>
  <c r="J7" i="11"/>
  <c r="J5" i="11"/>
  <c r="J4" i="11" s="1"/>
  <c r="A6" i="11"/>
  <c r="A7" i="11" s="1"/>
  <c r="L4" i="11"/>
  <c r="J6" i="10"/>
  <c r="L6" i="10"/>
  <c r="J7" i="10"/>
  <c r="L7" i="10"/>
  <c r="J8" i="10"/>
  <c r="L8" i="10"/>
  <c r="J9" i="10"/>
  <c r="L9" i="10"/>
  <c r="J10" i="10"/>
  <c r="L10" i="10"/>
  <c r="J11" i="10"/>
  <c r="L11" i="10"/>
  <c r="H4" i="10"/>
  <c r="C31" i="4" s="1"/>
  <c r="A6" i="10"/>
  <c r="A7" i="10" s="1"/>
  <c r="A8" i="10" s="1"/>
  <c r="A9" i="10" s="1"/>
  <c r="A10" i="10" s="1"/>
  <c r="A11" i="10" s="1"/>
  <c r="L5" i="10" l="1"/>
  <c r="L4" i="10" s="1"/>
  <c r="J5" i="10" l="1"/>
  <c r="J4" i="10" s="1"/>
  <c r="H154" i="3" l="1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F157" i="3"/>
  <c r="C157" i="3" s="1"/>
  <c r="F158" i="3"/>
  <c r="L130" i="3"/>
  <c r="J130" i="3"/>
  <c r="H130" i="3"/>
  <c r="L129" i="3"/>
  <c r="J129" i="3"/>
  <c r="H129" i="3"/>
  <c r="L128" i="3"/>
  <c r="J128" i="3"/>
  <c r="H128" i="3"/>
  <c r="L127" i="3"/>
  <c r="J127" i="3"/>
  <c r="H127" i="3"/>
  <c r="F126" i="3"/>
  <c r="L126" i="3" s="1"/>
  <c r="F123" i="3"/>
  <c r="F125" i="3" s="1"/>
  <c r="F119" i="3"/>
  <c r="F121" i="3" s="1"/>
  <c r="F120" i="3" l="1"/>
  <c r="L120" i="3" s="1"/>
  <c r="L123" i="3"/>
  <c r="J125" i="3"/>
  <c r="L119" i="3"/>
  <c r="H123" i="3"/>
  <c r="J123" i="3"/>
  <c r="L125" i="3"/>
  <c r="H125" i="3"/>
  <c r="H120" i="3"/>
  <c r="H121" i="3"/>
  <c r="L121" i="3"/>
  <c r="J121" i="3"/>
  <c r="H126" i="3"/>
  <c r="C158" i="3"/>
  <c r="H119" i="3"/>
  <c r="J126" i="3"/>
  <c r="J119" i="3"/>
  <c r="F299" i="3"/>
  <c r="L299" i="3" s="1"/>
  <c r="F298" i="3"/>
  <c r="H298" i="3" s="1"/>
  <c r="I301" i="3"/>
  <c r="J301" i="3" s="1"/>
  <c r="J300" i="3"/>
  <c r="H301" i="3"/>
  <c r="H300" i="3"/>
  <c r="J120" i="3" l="1"/>
  <c r="H299" i="3"/>
  <c r="J299" i="3"/>
  <c r="L298" i="3"/>
  <c r="J298" i="3"/>
  <c r="F288" i="3"/>
  <c r="F287" i="3"/>
  <c r="L212" i="3" l="1"/>
  <c r="J212" i="3"/>
  <c r="H212" i="3"/>
  <c r="L211" i="3"/>
  <c r="L329" i="3"/>
  <c r="J329" i="3"/>
  <c r="H329" i="3"/>
  <c r="F289" i="3"/>
  <c r="F284" i="3"/>
  <c r="F282" i="3"/>
  <c r="J282" i="3" s="1"/>
  <c r="F280" i="3"/>
  <c r="F279" i="3"/>
  <c r="I278" i="3"/>
  <c r="F278" i="3"/>
  <c r="J277" i="3"/>
  <c r="H277" i="3"/>
  <c r="F263" i="3"/>
  <c r="L263" i="3" s="1"/>
  <c r="I263" i="3"/>
  <c r="L106" i="3"/>
  <c r="J278" i="3" l="1"/>
  <c r="H282" i="3"/>
  <c r="H211" i="3"/>
  <c r="J211" i="3"/>
  <c r="H278" i="3"/>
  <c r="H263" i="3"/>
  <c r="J263" i="3"/>
  <c r="H106" i="3"/>
  <c r="J106" i="3"/>
  <c r="J125" i="9"/>
  <c r="C30" i="4" s="1"/>
  <c r="I101" i="3" l="1"/>
  <c r="L366" i="3"/>
  <c r="L368" i="3"/>
  <c r="L370" i="3"/>
  <c r="L372" i="3"/>
  <c r="L374" i="3"/>
  <c r="J215" i="3"/>
  <c r="L215" i="3"/>
  <c r="F199" i="3"/>
  <c r="F489" i="3"/>
  <c r="F491" i="3"/>
  <c r="J491" i="3" s="1"/>
  <c r="F490" i="3"/>
  <c r="H455" i="3"/>
  <c r="F357" i="3"/>
  <c r="F315" i="3"/>
  <c r="L315" i="3" s="1"/>
  <c r="L314" i="3"/>
  <c r="J314" i="3"/>
  <c r="H314" i="3"/>
  <c r="F270" i="3"/>
  <c r="L270" i="3" s="1"/>
  <c r="I267" i="3"/>
  <c r="F267" i="3"/>
  <c r="L110" i="3"/>
  <c r="J110" i="3"/>
  <c r="H110" i="3"/>
  <c r="H315" i="3" l="1"/>
  <c r="H491" i="3"/>
  <c r="J315" i="3"/>
  <c r="L214" i="3" l="1"/>
  <c r="J214" i="3"/>
  <c r="H214" i="3"/>
  <c r="L213" i="3"/>
  <c r="J213" i="3"/>
  <c r="H213" i="3"/>
  <c r="L116" i="3"/>
  <c r="J116" i="3"/>
  <c r="H116" i="3"/>
  <c r="L115" i="3"/>
  <c r="J115" i="3"/>
  <c r="H115" i="3"/>
  <c r="L114" i="3"/>
  <c r="J114" i="3"/>
  <c r="H114" i="3"/>
  <c r="H111" i="3"/>
  <c r="L70" i="3"/>
  <c r="J70" i="3"/>
  <c r="H70" i="3"/>
  <c r="L69" i="3"/>
  <c r="J69" i="3"/>
  <c r="H69" i="3"/>
  <c r="L68" i="3"/>
  <c r="J68" i="3"/>
  <c r="H68" i="3"/>
  <c r="L67" i="3"/>
  <c r="J67" i="3"/>
  <c r="H67" i="3"/>
  <c r="F53" i="3"/>
  <c r="H53" i="3" s="1"/>
  <c r="L55" i="3"/>
  <c r="J55" i="3"/>
  <c r="H55" i="3"/>
  <c r="L54" i="3"/>
  <c r="J54" i="3"/>
  <c r="H54" i="3"/>
  <c r="L97" i="3"/>
  <c r="J97" i="3"/>
  <c r="H97" i="3"/>
  <c r="F52" i="3"/>
  <c r="F50" i="3"/>
  <c r="F51" i="3" s="1"/>
  <c r="F49" i="3"/>
  <c r="L46" i="3"/>
  <c r="J46" i="3"/>
  <c r="H46" i="3"/>
  <c r="L45" i="3"/>
  <c r="J45" i="3"/>
  <c r="H45" i="3"/>
  <c r="L44" i="3"/>
  <c r="J44" i="3"/>
  <c r="H44" i="3"/>
  <c r="L43" i="3"/>
  <c r="J43" i="3"/>
  <c r="H43" i="3"/>
  <c r="H66" i="3" l="1"/>
  <c r="C8" i="4" s="1"/>
  <c r="J66" i="3"/>
  <c r="J113" i="3"/>
  <c r="H113" i="3"/>
  <c r="C10" i="4" s="1"/>
  <c r="L113" i="3"/>
  <c r="L66" i="3"/>
  <c r="J53" i="3"/>
  <c r="L53" i="3"/>
  <c r="L42" i="3"/>
  <c r="J42" i="3"/>
  <c r="H42" i="3"/>
  <c r="L41" i="3"/>
  <c r="J41" i="3"/>
  <c r="H41" i="3"/>
  <c r="L40" i="3"/>
  <c r="J40" i="3"/>
  <c r="H40" i="3"/>
  <c r="L38" i="3"/>
  <c r="J38" i="3"/>
  <c r="H38" i="3"/>
  <c r="L35" i="3"/>
  <c r="J35" i="3"/>
  <c r="H35" i="3"/>
  <c r="L34" i="3"/>
  <c r="J34" i="3"/>
  <c r="H34" i="3"/>
  <c r="F29" i="3"/>
  <c r="F22" i="3"/>
  <c r="J22" i="3" s="1"/>
  <c r="H22" i="3" l="1"/>
  <c r="L22" i="3"/>
  <c r="F20" i="3" l="1"/>
  <c r="H20" i="3" s="1"/>
  <c r="F17" i="3"/>
  <c r="H17" i="3" s="1"/>
  <c r="F15" i="3"/>
  <c r="J15" i="3" s="1"/>
  <c r="F13" i="3"/>
  <c r="L13" i="3" s="1"/>
  <c r="L21" i="3"/>
  <c r="J21" i="3"/>
  <c r="H21" i="3"/>
  <c r="L19" i="3"/>
  <c r="J19" i="3"/>
  <c r="H19" i="3"/>
  <c r="L18" i="3"/>
  <c r="J18" i="3"/>
  <c r="H18" i="3"/>
  <c r="L16" i="3"/>
  <c r="J16" i="3"/>
  <c r="H16" i="3"/>
  <c r="L14" i="3"/>
  <c r="J14" i="3"/>
  <c r="H14" i="3"/>
  <c r="L12" i="3"/>
  <c r="J12" i="3"/>
  <c r="H12" i="3"/>
  <c r="L11" i="3"/>
  <c r="J11" i="3"/>
  <c r="H11" i="3"/>
  <c r="L10" i="3"/>
  <c r="J10" i="3"/>
  <c r="H10" i="3"/>
  <c r="J20" i="3" l="1"/>
  <c r="H13" i="3"/>
  <c r="L15" i="3"/>
  <c r="L20" i="3"/>
  <c r="J17" i="3"/>
  <c r="L17" i="3"/>
  <c r="H15" i="3"/>
  <c r="J13" i="3"/>
  <c r="H453" i="3"/>
  <c r="H450" i="3"/>
  <c r="H445" i="3"/>
  <c r="H444" i="3"/>
  <c r="H443" i="3"/>
  <c r="J442" i="3"/>
  <c r="L442" i="3"/>
  <c r="J443" i="3"/>
  <c r="L443" i="3"/>
  <c r="J444" i="3"/>
  <c r="L444" i="3"/>
  <c r="J445" i="3"/>
  <c r="L445" i="3"/>
  <c r="J446" i="3"/>
  <c r="L446" i="3"/>
  <c r="H447" i="3"/>
  <c r="J447" i="3"/>
  <c r="L447" i="3"/>
  <c r="J448" i="3"/>
  <c r="L448" i="3"/>
  <c r="J449" i="3"/>
  <c r="L449" i="3"/>
  <c r="J450" i="3"/>
  <c r="L450" i="3"/>
  <c r="J451" i="3"/>
  <c r="L451" i="3"/>
  <c r="J452" i="3"/>
  <c r="L452" i="3"/>
  <c r="J453" i="3"/>
  <c r="L453" i="3"/>
  <c r="J456" i="3"/>
  <c r="L456" i="3"/>
  <c r="H469" i="3"/>
  <c r="H468" i="3"/>
  <c r="H464" i="3"/>
  <c r="H470" i="3"/>
  <c r="H471" i="3"/>
  <c r="H472" i="3"/>
  <c r="H473" i="3"/>
  <c r="H474" i="3"/>
  <c r="J474" i="3"/>
  <c r="L474" i="3"/>
  <c r="H475" i="3"/>
  <c r="J475" i="3"/>
  <c r="L475" i="3"/>
  <c r="J472" i="3"/>
  <c r="L472" i="3"/>
  <c r="J473" i="3"/>
  <c r="L473" i="3"/>
  <c r="J464" i="3"/>
  <c r="L464" i="3"/>
  <c r="H465" i="3"/>
  <c r="J465" i="3"/>
  <c r="L465" i="3"/>
  <c r="H466" i="3"/>
  <c r="J466" i="3"/>
  <c r="L466" i="3"/>
  <c r="H467" i="3"/>
  <c r="J467" i="3"/>
  <c r="L467" i="3"/>
  <c r="J468" i="3"/>
  <c r="L468" i="3"/>
  <c r="J469" i="3"/>
  <c r="L469" i="3"/>
  <c r="J470" i="3"/>
  <c r="L470" i="3"/>
  <c r="J471" i="3"/>
  <c r="L471" i="3"/>
  <c r="F344" i="3"/>
  <c r="F343" i="3"/>
  <c r="F339" i="3"/>
  <c r="H442" i="3" l="1"/>
  <c r="H339" i="3"/>
  <c r="J339" i="3"/>
  <c r="L339" i="3"/>
  <c r="H340" i="3"/>
  <c r="J340" i="3"/>
  <c r="L340" i="3"/>
  <c r="H341" i="3"/>
  <c r="J341" i="3"/>
  <c r="L341" i="3"/>
  <c r="H343" i="3"/>
  <c r="J343" i="3"/>
  <c r="L343" i="3"/>
  <c r="H344" i="3"/>
  <c r="J344" i="3"/>
  <c r="L344" i="3"/>
  <c r="H345" i="3"/>
  <c r="J345" i="3"/>
  <c r="L345" i="3"/>
  <c r="H346" i="3"/>
  <c r="J346" i="3"/>
  <c r="L346" i="3"/>
  <c r="J336" i="3"/>
  <c r="L336" i="3"/>
  <c r="J337" i="3"/>
  <c r="L337" i="3"/>
  <c r="H336" i="3"/>
  <c r="H337" i="3"/>
  <c r="H335" i="3"/>
  <c r="J335" i="3"/>
  <c r="L335" i="3"/>
  <c r="F330" i="3"/>
  <c r="J330" i="3" s="1"/>
  <c r="F328" i="3"/>
  <c r="J328" i="3" s="1"/>
  <c r="F326" i="3"/>
  <c r="L326" i="3" s="1"/>
  <c r="L327" i="3"/>
  <c r="F325" i="3"/>
  <c r="L338" i="3"/>
  <c r="J338" i="3"/>
  <c r="H338" i="3"/>
  <c r="L334" i="3"/>
  <c r="J334" i="3"/>
  <c r="H334" i="3"/>
  <c r="L333" i="3"/>
  <c r="J333" i="3"/>
  <c r="H333" i="3"/>
  <c r="L332" i="3"/>
  <c r="J332" i="3"/>
  <c r="H332" i="3"/>
  <c r="L331" i="3"/>
  <c r="J331" i="3"/>
  <c r="H331" i="3"/>
  <c r="L330" i="3"/>
  <c r="J327" i="3"/>
  <c r="H327" i="3"/>
  <c r="L324" i="3"/>
  <c r="J324" i="3"/>
  <c r="H324" i="3"/>
  <c r="L323" i="3"/>
  <c r="J323" i="3"/>
  <c r="H323" i="3"/>
  <c r="L322" i="3"/>
  <c r="J322" i="3"/>
  <c r="H322" i="3"/>
  <c r="L321" i="3"/>
  <c r="J321" i="3"/>
  <c r="H321" i="3"/>
  <c r="L320" i="3"/>
  <c r="J320" i="3"/>
  <c r="H320" i="3"/>
  <c r="L319" i="3"/>
  <c r="J319" i="3"/>
  <c r="H319" i="3"/>
  <c r="H330" i="3" l="1"/>
  <c r="H328" i="3"/>
  <c r="H446" i="3"/>
  <c r="H448" i="3"/>
  <c r="L325" i="3"/>
  <c r="F342" i="3"/>
  <c r="J326" i="3"/>
  <c r="L328" i="3"/>
  <c r="H326" i="3"/>
  <c r="H325" i="3"/>
  <c r="J325" i="3"/>
  <c r="F509" i="3"/>
  <c r="L509" i="3" s="1"/>
  <c r="F507" i="3"/>
  <c r="L507" i="3" s="1"/>
  <c r="F506" i="3"/>
  <c r="L506" i="3" s="1"/>
  <c r="H505" i="3"/>
  <c r="L505" i="3"/>
  <c r="J505" i="3"/>
  <c r="L504" i="3"/>
  <c r="J504" i="3"/>
  <c r="H504" i="3"/>
  <c r="F511" i="3"/>
  <c r="H511" i="3" s="1"/>
  <c r="L292" i="3"/>
  <c r="J292" i="3"/>
  <c r="H292" i="3"/>
  <c r="L291" i="3"/>
  <c r="J291" i="3"/>
  <c r="H291" i="3"/>
  <c r="F285" i="3"/>
  <c r="J210" i="3"/>
  <c r="F210" i="3"/>
  <c r="L210" i="3" s="1"/>
  <c r="L209" i="3"/>
  <c r="J209" i="3"/>
  <c r="H209" i="3"/>
  <c r="H57" i="3"/>
  <c r="F63" i="3"/>
  <c r="F62" i="3"/>
  <c r="H62" i="3" s="1"/>
  <c r="F61" i="3"/>
  <c r="L61" i="3" s="1"/>
  <c r="F59" i="3"/>
  <c r="L59" i="3" s="1"/>
  <c r="F58" i="3"/>
  <c r="L58" i="3" s="1"/>
  <c r="J57" i="3"/>
  <c r="L57" i="3"/>
  <c r="F56" i="3"/>
  <c r="H56" i="3" s="1"/>
  <c r="H63" i="3" l="1"/>
  <c r="L63" i="3"/>
  <c r="H509" i="3"/>
  <c r="H449" i="3"/>
  <c r="H452" i="3"/>
  <c r="H451" i="3"/>
  <c r="H456" i="3"/>
  <c r="L342" i="3"/>
  <c r="L318" i="3" s="1"/>
  <c r="F221" i="3" s="1"/>
  <c r="H342" i="3"/>
  <c r="H318" i="3" s="1"/>
  <c r="C18" i="4" s="1"/>
  <c r="J342" i="3"/>
  <c r="J318" i="3" s="1"/>
  <c r="H506" i="3"/>
  <c r="J506" i="3"/>
  <c r="F508" i="3"/>
  <c r="F510" i="3"/>
  <c r="J509" i="3"/>
  <c r="H507" i="3"/>
  <c r="J507" i="3"/>
  <c r="H210" i="3"/>
  <c r="F60" i="3"/>
  <c r="J60" i="3" s="1"/>
  <c r="J61" i="3"/>
  <c r="J59" i="3"/>
  <c r="H59" i="3"/>
  <c r="F64" i="3"/>
  <c r="H58" i="3"/>
  <c r="L56" i="3"/>
  <c r="J58" i="3"/>
  <c r="L62" i="3"/>
  <c r="H61" i="3"/>
  <c r="J56" i="3"/>
  <c r="J63" i="3"/>
  <c r="J62" i="3"/>
  <c r="I289" i="3"/>
  <c r="H289" i="3"/>
  <c r="L287" i="3"/>
  <c r="J287" i="3"/>
  <c r="H287" i="3"/>
  <c r="L286" i="3"/>
  <c r="J286" i="3"/>
  <c r="H286" i="3"/>
  <c r="L285" i="3"/>
  <c r="J285" i="3"/>
  <c r="H285" i="3"/>
  <c r="L284" i="3"/>
  <c r="J284" i="3"/>
  <c r="H284" i="3"/>
  <c r="L283" i="3"/>
  <c r="J283" i="3"/>
  <c r="H283" i="3"/>
  <c r="H64" i="3" l="1"/>
  <c r="L64" i="3"/>
  <c r="J64" i="3"/>
  <c r="H508" i="3"/>
  <c r="L508" i="3"/>
  <c r="J508" i="3"/>
  <c r="H510" i="3"/>
  <c r="L510" i="3"/>
  <c r="J510" i="3"/>
  <c r="H288" i="3"/>
  <c r="F290" i="3"/>
  <c r="H60" i="3"/>
  <c r="L60" i="3"/>
  <c r="J289" i="3"/>
  <c r="J288" i="3"/>
  <c r="H463" i="3"/>
  <c r="H462" i="3"/>
  <c r="L463" i="3"/>
  <c r="J463" i="3"/>
  <c r="L462" i="3"/>
  <c r="J462" i="3"/>
  <c r="C462" i="3"/>
  <c r="C463" i="3" s="1"/>
  <c r="C464" i="3" s="1"/>
  <c r="C465" i="3" s="1"/>
  <c r="C466" i="3" s="1"/>
  <c r="C467" i="3" s="1"/>
  <c r="C468" i="3" s="1"/>
  <c r="C469" i="3" s="1"/>
  <c r="C470" i="3" s="1"/>
  <c r="C471" i="3" s="1"/>
  <c r="C472" i="3" s="1"/>
  <c r="C473" i="3" s="1"/>
  <c r="C474" i="3" s="1"/>
  <c r="C475" i="3" s="1"/>
  <c r="F514" i="3"/>
  <c r="L514" i="3" s="1"/>
  <c r="L513" i="3" s="1"/>
  <c r="H109" i="3"/>
  <c r="H290" i="3" l="1"/>
  <c r="L290" i="3"/>
  <c r="J290" i="3"/>
  <c r="F293" i="3"/>
  <c r="F108" i="3"/>
  <c r="L108" i="3" s="1"/>
  <c r="L503" i="3"/>
  <c r="H503" i="3"/>
  <c r="C25" i="4" s="1"/>
  <c r="H514" i="3"/>
  <c r="H513" i="3" s="1"/>
  <c r="C26" i="4" s="1"/>
  <c r="J514" i="3"/>
  <c r="J513" i="3" s="1"/>
  <c r="J503" i="3"/>
  <c r="F101" i="3"/>
  <c r="F103" i="3"/>
  <c r="H103" i="3" s="1"/>
  <c r="F102" i="3"/>
  <c r="H102" i="3" s="1"/>
  <c r="L111" i="3"/>
  <c r="J111" i="3"/>
  <c r="L107" i="3"/>
  <c r="J107" i="3"/>
  <c r="H107" i="3"/>
  <c r="L100" i="3"/>
  <c r="J100" i="3"/>
  <c r="H100" i="3"/>
  <c r="J293" i="3" l="1"/>
  <c r="H293" i="3"/>
  <c r="H108" i="3"/>
  <c r="J108" i="3"/>
  <c r="L102" i="3"/>
  <c r="J102" i="3"/>
  <c r="L103" i="3"/>
  <c r="J103" i="3"/>
  <c r="J101" i="3"/>
  <c r="H101" i="3"/>
  <c r="F104" i="3"/>
  <c r="H104" i="3" s="1"/>
  <c r="F105" i="3"/>
  <c r="H105" i="3" s="1"/>
  <c r="F208" i="3"/>
  <c r="F207" i="3"/>
  <c r="H215" i="3"/>
  <c r="F271" i="3" l="1"/>
  <c r="L271" i="3" s="1"/>
  <c r="F268" i="3"/>
  <c r="H461" i="3"/>
  <c r="L461" i="3"/>
  <c r="J461" i="3"/>
  <c r="J458" i="3" s="1"/>
  <c r="H428" i="3"/>
  <c r="J428" i="3"/>
  <c r="L428" i="3"/>
  <c r="H429" i="3"/>
  <c r="J429" i="3"/>
  <c r="L429" i="3"/>
  <c r="H430" i="3"/>
  <c r="J430" i="3"/>
  <c r="L430" i="3"/>
  <c r="H431" i="3"/>
  <c r="J431" i="3"/>
  <c r="L431" i="3"/>
  <c r="H432" i="3"/>
  <c r="J432" i="3"/>
  <c r="L432" i="3"/>
  <c r="H433" i="3"/>
  <c r="J433" i="3"/>
  <c r="L433" i="3"/>
  <c r="H434" i="3"/>
  <c r="J434" i="3"/>
  <c r="L434" i="3"/>
  <c r="H435" i="3"/>
  <c r="J435" i="3"/>
  <c r="L435" i="3"/>
  <c r="H436" i="3"/>
  <c r="J436" i="3"/>
  <c r="L436" i="3"/>
  <c r="H437" i="3"/>
  <c r="J437" i="3"/>
  <c r="L437" i="3"/>
  <c r="H438" i="3"/>
  <c r="J438" i="3"/>
  <c r="L438" i="3"/>
  <c r="H439" i="3"/>
  <c r="J439" i="3"/>
  <c r="L439" i="3"/>
  <c r="H440" i="3"/>
  <c r="J440" i="3"/>
  <c r="L440" i="3"/>
  <c r="H441" i="3"/>
  <c r="J441" i="3"/>
  <c r="L441" i="3"/>
  <c r="L427" i="3"/>
  <c r="J427" i="3"/>
  <c r="H427" i="3"/>
  <c r="H357" i="3"/>
  <c r="L357" i="3"/>
  <c r="J357" i="3"/>
  <c r="L358" i="3"/>
  <c r="J358" i="3"/>
  <c r="H358" i="3"/>
  <c r="H458" i="3" l="1"/>
  <c r="F484" i="3"/>
  <c r="I482" i="3"/>
  <c r="I480" i="3"/>
  <c r="F480" i="3"/>
  <c r="C21" i="4" l="1"/>
  <c r="J480" i="3"/>
  <c r="H480" i="3"/>
  <c r="L202" i="3" l="1"/>
  <c r="J202" i="3"/>
  <c r="H202" i="3"/>
  <c r="L201" i="3"/>
  <c r="J201" i="3"/>
  <c r="H201" i="3"/>
  <c r="I500" i="3"/>
  <c r="F499" i="3"/>
  <c r="L499" i="3" s="1"/>
  <c r="F496" i="3"/>
  <c r="L496" i="3" s="1"/>
  <c r="I490" i="3"/>
  <c r="H499" i="3"/>
  <c r="L498" i="3"/>
  <c r="J498" i="3"/>
  <c r="H498" i="3"/>
  <c r="L497" i="3"/>
  <c r="J497" i="3"/>
  <c r="H497" i="3"/>
  <c r="L495" i="3"/>
  <c r="J495" i="3"/>
  <c r="H495" i="3"/>
  <c r="F426" i="3"/>
  <c r="H426" i="3" s="1"/>
  <c r="F425" i="3"/>
  <c r="F423" i="3"/>
  <c r="J423" i="3" s="1"/>
  <c r="F424" i="3"/>
  <c r="L424" i="3" s="1"/>
  <c r="L422" i="3"/>
  <c r="J422" i="3"/>
  <c r="H422" i="3"/>
  <c r="I271" i="3"/>
  <c r="I270" i="3"/>
  <c r="H271" i="3"/>
  <c r="H270" i="3"/>
  <c r="H269" i="3"/>
  <c r="L269" i="3"/>
  <c r="L268" i="3"/>
  <c r="L266" i="3"/>
  <c r="J266" i="3"/>
  <c r="H266" i="3"/>
  <c r="F200" i="3"/>
  <c r="F198" i="3"/>
  <c r="F196" i="3"/>
  <c r="F195" i="3" s="1"/>
  <c r="F194" i="3"/>
  <c r="F193" i="3"/>
  <c r="F192" i="3"/>
  <c r="F191" i="3"/>
  <c r="F190" i="3"/>
  <c r="F189" i="3"/>
  <c r="F188" i="3"/>
  <c r="F187" i="3"/>
  <c r="F186" i="3"/>
  <c r="F32" i="3"/>
  <c r="F33" i="3" s="1"/>
  <c r="F31" i="3"/>
  <c r="L31" i="3" s="1"/>
  <c r="H423" i="3" l="1"/>
  <c r="J271" i="3"/>
  <c r="H496" i="3"/>
  <c r="J499" i="3"/>
  <c r="H268" i="3"/>
  <c r="J270" i="3"/>
  <c r="J267" i="3"/>
  <c r="L426" i="3"/>
  <c r="F197" i="3"/>
  <c r="H267" i="3"/>
  <c r="J426" i="3"/>
  <c r="L267" i="3"/>
  <c r="F500" i="3"/>
  <c r="J500" i="3" s="1"/>
  <c r="J496" i="3"/>
  <c r="J425" i="3"/>
  <c r="L423" i="3"/>
  <c r="H425" i="3"/>
  <c r="L425" i="3"/>
  <c r="H424" i="3"/>
  <c r="J424" i="3"/>
  <c r="J268" i="3"/>
  <c r="F185" i="3"/>
  <c r="H31" i="3"/>
  <c r="J31" i="3"/>
  <c r="H407" i="3"/>
  <c r="H406" i="3"/>
  <c r="H408" i="3"/>
  <c r="J408" i="3"/>
  <c r="L408" i="3"/>
  <c r="J409" i="3"/>
  <c r="L409" i="3"/>
  <c r="J410" i="3"/>
  <c r="L410" i="3"/>
  <c r="J411" i="3"/>
  <c r="L411" i="3"/>
  <c r="J412" i="3"/>
  <c r="L412" i="3"/>
  <c r="J413" i="3"/>
  <c r="L413" i="3"/>
  <c r="J414" i="3"/>
  <c r="L414" i="3"/>
  <c r="J415" i="3"/>
  <c r="L415" i="3"/>
  <c r="J416" i="3"/>
  <c r="L416" i="3"/>
  <c r="J417" i="3"/>
  <c r="L417" i="3"/>
  <c r="J418" i="3"/>
  <c r="L418" i="3"/>
  <c r="J419" i="3"/>
  <c r="L419" i="3"/>
  <c r="J420" i="3"/>
  <c r="L420" i="3"/>
  <c r="J421" i="3"/>
  <c r="L421" i="3"/>
  <c r="J407" i="3"/>
  <c r="L407" i="3"/>
  <c r="J406" i="3"/>
  <c r="L406" i="3"/>
  <c r="I349" i="3"/>
  <c r="L359" i="3"/>
  <c r="O18" i="2"/>
  <c r="O19" i="2"/>
  <c r="O20" i="2"/>
  <c r="O17" i="2"/>
  <c r="O11" i="2"/>
  <c r="O12" i="2"/>
  <c r="O13" i="2"/>
  <c r="O14" i="2"/>
  <c r="O34" i="2" s="1"/>
  <c r="O10" i="2"/>
  <c r="H354" i="3"/>
  <c r="H351" i="3"/>
  <c r="L356" i="3"/>
  <c r="J356" i="3"/>
  <c r="H356" i="3"/>
  <c r="L355" i="3"/>
  <c r="J355" i="3"/>
  <c r="H355" i="3"/>
  <c r="L354" i="3"/>
  <c r="J354" i="3"/>
  <c r="L353" i="3"/>
  <c r="J353" i="3"/>
  <c r="H353" i="3"/>
  <c r="L352" i="3"/>
  <c r="J352" i="3"/>
  <c r="H352" i="3"/>
  <c r="L351" i="3"/>
  <c r="J351" i="3"/>
  <c r="L350" i="3"/>
  <c r="J350" i="3"/>
  <c r="H350" i="3"/>
  <c r="H402" i="3"/>
  <c r="H404" i="3"/>
  <c r="H400" i="3"/>
  <c r="H403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J392" i="3"/>
  <c r="L392" i="3"/>
  <c r="J393" i="3"/>
  <c r="L393" i="3"/>
  <c r="J394" i="3"/>
  <c r="L394" i="3"/>
  <c r="J395" i="3"/>
  <c r="L395" i="3"/>
  <c r="J396" i="3"/>
  <c r="L396" i="3"/>
  <c r="J397" i="3"/>
  <c r="L397" i="3"/>
  <c r="J398" i="3"/>
  <c r="L398" i="3"/>
  <c r="J399" i="3"/>
  <c r="L399" i="3"/>
  <c r="J400" i="3"/>
  <c r="L400" i="3"/>
  <c r="J401" i="3"/>
  <c r="L401" i="3"/>
  <c r="J402" i="3"/>
  <c r="L402" i="3"/>
  <c r="J403" i="3"/>
  <c r="L403" i="3"/>
  <c r="J404" i="3"/>
  <c r="L404" i="3"/>
  <c r="J405" i="3"/>
  <c r="L405" i="3"/>
  <c r="L385" i="3"/>
  <c r="L386" i="3"/>
  <c r="L387" i="3"/>
  <c r="L388" i="3"/>
  <c r="L389" i="3"/>
  <c r="L390" i="3"/>
  <c r="L391" i="3"/>
  <c r="J385" i="3"/>
  <c r="J386" i="3"/>
  <c r="J387" i="3"/>
  <c r="J388" i="3"/>
  <c r="J389" i="3"/>
  <c r="J390" i="3"/>
  <c r="J391" i="3"/>
  <c r="J384" i="3"/>
  <c r="L384" i="3"/>
  <c r="C384" i="3"/>
  <c r="C385" i="3" s="1"/>
  <c r="C386" i="3" s="1"/>
  <c r="C387" i="3" s="1"/>
  <c r="C388" i="3" s="1"/>
  <c r="C389" i="3" s="1"/>
  <c r="C390" i="3" s="1"/>
  <c r="C391" i="3" s="1"/>
  <c r="C392" i="3" s="1"/>
  <c r="C393" i="3" s="1"/>
  <c r="C394" i="3" s="1"/>
  <c r="C395" i="3" s="1"/>
  <c r="C396" i="3" s="1"/>
  <c r="C397" i="3" s="1"/>
  <c r="C398" i="3" s="1"/>
  <c r="C399" i="3" s="1"/>
  <c r="C400" i="3" s="1"/>
  <c r="C401" i="3" s="1"/>
  <c r="C402" i="3" s="1"/>
  <c r="C403" i="3" s="1"/>
  <c r="C404" i="3" s="1"/>
  <c r="C405" i="3" s="1"/>
  <c r="C406" i="3" s="1"/>
  <c r="C407" i="3" s="1"/>
  <c r="C408" i="3" s="1"/>
  <c r="C409" i="3" s="1"/>
  <c r="C410" i="3" s="1"/>
  <c r="C411" i="3" s="1"/>
  <c r="C412" i="3" s="1"/>
  <c r="C413" i="3" s="1"/>
  <c r="C414" i="3" s="1"/>
  <c r="C415" i="3" s="1"/>
  <c r="C416" i="3" s="1"/>
  <c r="C417" i="3" s="1"/>
  <c r="C418" i="3" s="1"/>
  <c r="C419" i="3" s="1"/>
  <c r="C420" i="3" s="1"/>
  <c r="C421" i="3" s="1"/>
  <c r="C424" i="3" s="1"/>
  <c r="C425" i="3" s="1"/>
  <c r="C426" i="3" s="1"/>
  <c r="C427" i="3" s="1"/>
  <c r="C428" i="3" s="1"/>
  <c r="C429" i="3" s="1"/>
  <c r="C430" i="3" s="1"/>
  <c r="C431" i="3" s="1"/>
  <c r="C432" i="3" s="1"/>
  <c r="C433" i="3" s="1"/>
  <c r="C434" i="3" s="1"/>
  <c r="C435" i="3" s="1"/>
  <c r="C436" i="3" s="1"/>
  <c r="C437" i="3" s="1"/>
  <c r="C438" i="3" s="1"/>
  <c r="C439" i="3" s="1"/>
  <c r="C440" i="3" s="1"/>
  <c r="C441" i="3" s="1"/>
  <c r="C442" i="3" s="1"/>
  <c r="C443" i="3" s="1"/>
  <c r="C444" i="3" s="1"/>
  <c r="C445" i="3" s="1"/>
  <c r="C446" i="3" s="1"/>
  <c r="C447" i="3" s="1"/>
  <c r="C448" i="3" s="1"/>
  <c r="C449" i="3" s="1"/>
  <c r="C450" i="3" s="1"/>
  <c r="C451" i="3" s="1"/>
  <c r="C452" i="3" s="1"/>
  <c r="C453" i="3" s="1"/>
  <c r="C454" i="3" s="1"/>
  <c r="C455" i="3" s="1"/>
  <c r="C456" i="3" s="1"/>
  <c r="L383" i="3"/>
  <c r="J383" i="3"/>
  <c r="J494" i="3" l="1"/>
  <c r="F501" i="3" s="1"/>
  <c r="L501" i="3" s="1"/>
  <c r="L500" i="3"/>
  <c r="H500" i="3"/>
  <c r="J490" i="3"/>
  <c r="H490" i="3"/>
  <c r="J489" i="3"/>
  <c r="L489" i="3"/>
  <c r="H489" i="3"/>
  <c r="H419" i="3"/>
  <c r="H401" i="3"/>
  <c r="H405" i="3"/>
  <c r="H399" i="3"/>
  <c r="H415" i="3"/>
  <c r="H416" i="3"/>
  <c r="H409" i="3"/>
  <c r="H417" i="3"/>
  <c r="H420" i="3"/>
  <c r="H410" i="3"/>
  <c r="H421" i="3"/>
  <c r="H359" i="3"/>
  <c r="J359" i="3"/>
  <c r="L380" i="3"/>
  <c r="J380" i="3"/>
  <c r="L484" i="3"/>
  <c r="J484" i="3"/>
  <c r="H484" i="3"/>
  <c r="L483" i="3"/>
  <c r="J483" i="3"/>
  <c r="H483" i="3"/>
  <c r="L479" i="3"/>
  <c r="J479" i="3"/>
  <c r="H479" i="3"/>
  <c r="L478" i="3"/>
  <c r="J478" i="3"/>
  <c r="H478" i="3"/>
  <c r="F371" i="3"/>
  <c r="L371" i="3" s="1"/>
  <c r="F369" i="3"/>
  <c r="L369" i="3" s="1"/>
  <c r="F367" i="3"/>
  <c r="L367" i="3" s="1"/>
  <c r="F365" i="3"/>
  <c r="J365" i="3" s="1"/>
  <c r="H377" i="3"/>
  <c r="F376" i="3"/>
  <c r="L376" i="3" s="1"/>
  <c r="F364" i="3"/>
  <c r="L364" i="3" s="1"/>
  <c r="J374" i="3"/>
  <c r="H374" i="3"/>
  <c r="L363" i="3"/>
  <c r="J363" i="3"/>
  <c r="H363" i="3"/>
  <c r="F308" i="3"/>
  <c r="F296" i="3"/>
  <c r="F295" i="3"/>
  <c r="J295" i="3" s="1"/>
  <c r="L294" i="3"/>
  <c r="J294" i="3"/>
  <c r="H294" i="3"/>
  <c r="I265" i="3"/>
  <c r="F265" i="3"/>
  <c r="H265" i="3" s="1"/>
  <c r="L264" i="3"/>
  <c r="J264" i="3"/>
  <c r="H264" i="3"/>
  <c r="F247" i="3"/>
  <c r="J247" i="3" s="1"/>
  <c r="F246" i="3"/>
  <c r="H246" i="3" s="1"/>
  <c r="L245" i="3"/>
  <c r="J245" i="3"/>
  <c r="H245" i="3"/>
  <c r="L244" i="3"/>
  <c r="J244" i="3"/>
  <c r="H244" i="3"/>
  <c r="J99" i="3"/>
  <c r="H99" i="3"/>
  <c r="L99" i="3"/>
  <c r="L184" i="3"/>
  <c r="H184" i="3"/>
  <c r="F183" i="3"/>
  <c r="J183" i="3" s="1"/>
  <c r="F180" i="3"/>
  <c r="L180" i="3" s="1"/>
  <c r="L182" i="3"/>
  <c r="J182" i="3"/>
  <c r="H182" i="3"/>
  <c r="L178" i="3"/>
  <c r="J178" i="3"/>
  <c r="H178" i="3"/>
  <c r="L494" i="3" l="1"/>
  <c r="H501" i="3"/>
  <c r="H494" i="3" s="1"/>
  <c r="C24" i="4" s="1"/>
  <c r="H369" i="3"/>
  <c r="F375" i="3"/>
  <c r="H376" i="3"/>
  <c r="H180" i="3"/>
  <c r="J367" i="3"/>
  <c r="H371" i="3"/>
  <c r="H367" i="3"/>
  <c r="H411" i="3"/>
  <c r="H418" i="3"/>
  <c r="H412" i="3"/>
  <c r="F297" i="3"/>
  <c r="H297" i="3" s="1"/>
  <c r="L365" i="3"/>
  <c r="H414" i="3"/>
  <c r="H413" i="3"/>
  <c r="J371" i="3"/>
  <c r="J376" i="3"/>
  <c r="H364" i="3"/>
  <c r="J296" i="3"/>
  <c r="J364" i="3"/>
  <c r="J369" i="3"/>
  <c r="H365" i="3"/>
  <c r="L295" i="3"/>
  <c r="L377" i="3"/>
  <c r="J377" i="3"/>
  <c r="L183" i="3"/>
  <c r="L265" i="3"/>
  <c r="H296" i="3"/>
  <c r="L296" i="3"/>
  <c r="H295" i="3"/>
  <c r="J265" i="3"/>
  <c r="H247" i="3"/>
  <c r="J246" i="3"/>
  <c r="H183" i="3"/>
  <c r="J180" i="3"/>
  <c r="H380" i="3" l="1"/>
  <c r="C20" i="4" s="1"/>
  <c r="J375" i="3"/>
  <c r="J362" i="3" s="1"/>
  <c r="F373" i="3" s="1"/>
  <c r="L373" i="3" s="1"/>
  <c r="L375" i="3"/>
  <c r="H375" i="3"/>
  <c r="F93" i="3"/>
  <c r="J93" i="3" s="1"/>
  <c r="L98" i="3"/>
  <c r="J98" i="3"/>
  <c r="H98" i="3"/>
  <c r="L96" i="3"/>
  <c r="J96" i="3"/>
  <c r="H96" i="3"/>
  <c r="L95" i="3"/>
  <c r="J95" i="3"/>
  <c r="H95" i="3"/>
  <c r="L94" i="3"/>
  <c r="J94" i="3"/>
  <c r="H94" i="3"/>
  <c r="L92" i="3"/>
  <c r="J92" i="3"/>
  <c r="H92" i="3"/>
  <c r="L362" i="3" l="1"/>
  <c r="F220" i="3" s="1"/>
  <c r="H373" i="3"/>
  <c r="H362" i="3" s="1"/>
  <c r="C19" i="4" s="1"/>
  <c r="L93" i="3"/>
  <c r="H93" i="3"/>
  <c r="K316" i="3"/>
  <c r="F281" i="3"/>
  <c r="I281" i="3"/>
  <c r="F316" i="3" l="1"/>
  <c r="L316" i="3" s="1"/>
  <c r="F311" i="3"/>
  <c r="L311" i="3" s="1"/>
  <c r="F309" i="3"/>
  <c r="H309" i="3" s="1"/>
  <c r="H305" i="3"/>
  <c r="J305" i="3"/>
  <c r="L305" i="3"/>
  <c r="J279" i="3"/>
  <c r="L313" i="3"/>
  <c r="J313" i="3"/>
  <c r="H313" i="3"/>
  <c r="L308" i="3"/>
  <c r="J308" i="3"/>
  <c r="H308" i="3"/>
  <c r="L307" i="3"/>
  <c r="J307" i="3"/>
  <c r="H307" i="3"/>
  <c r="L306" i="3"/>
  <c r="J306" i="3"/>
  <c r="H306" i="3"/>
  <c r="L304" i="3"/>
  <c r="J304" i="3"/>
  <c r="H304" i="3"/>
  <c r="L303" i="3"/>
  <c r="J303" i="3"/>
  <c r="H303" i="3"/>
  <c r="L281" i="3"/>
  <c r="J281" i="3"/>
  <c r="H281" i="3"/>
  <c r="L280" i="3"/>
  <c r="J280" i="3"/>
  <c r="H280" i="3"/>
  <c r="L276" i="3"/>
  <c r="J276" i="3"/>
  <c r="H276" i="3"/>
  <c r="L275" i="3"/>
  <c r="J275" i="3"/>
  <c r="H275" i="3"/>
  <c r="F239" i="3"/>
  <c r="L239" i="3" s="1"/>
  <c r="F233" i="3"/>
  <c r="J233" i="3" s="1"/>
  <c r="H311" i="3" l="1"/>
  <c r="L279" i="3"/>
  <c r="H316" i="3"/>
  <c r="J316" i="3"/>
  <c r="J309" i="3"/>
  <c r="L309" i="3"/>
  <c r="J311" i="3"/>
  <c r="H279" i="3"/>
  <c r="H239" i="3"/>
  <c r="J239" i="3"/>
  <c r="H233" i="3"/>
  <c r="J274" i="3" l="1"/>
  <c r="F302" i="3" s="1"/>
  <c r="L302" i="3" s="1"/>
  <c r="F235" i="3"/>
  <c r="H235" i="3" s="1"/>
  <c r="F234" i="3"/>
  <c r="L233" i="3"/>
  <c r="I262" i="3"/>
  <c r="I261" i="3"/>
  <c r="I260" i="3"/>
  <c r="I259" i="3"/>
  <c r="I258" i="3"/>
  <c r="L274" i="3" l="1"/>
  <c r="F222" i="3" s="1"/>
  <c r="F228" i="3" s="1"/>
  <c r="H302" i="3"/>
  <c r="H274" i="3" s="1"/>
  <c r="C16" i="4" s="1"/>
  <c r="J235" i="3"/>
  <c r="H234" i="3"/>
  <c r="F236" i="3"/>
  <c r="J234" i="3"/>
  <c r="L235" i="3"/>
  <c r="L234" i="3"/>
  <c r="F90" i="3"/>
  <c r="J90" i="3" s="1"/>
  <c r="F86" i="3"/>
  <c r="H86" i="3" s="1"/>
  <c r="F88" i="3"/>
  <c r="L88" i="3" s="1"/>
  <c r="F84" i="3"/>
  <c r="L84" i="3" s="1"/>
  <c r="L83" i="3"/>
  <c r="H83" i="3"/>
  <c r="L82" i="3"/>
  <c r="J82" i="3"/>
  <c r="H82" i="3"/>
  <c r="F81" i="3"/>
  <c r="L81" i="3" s="1"/>
  <c r="F79" i="3"/>
  <c r="J79" i="3" s="1"/>
  <c r="F75" i="3"/>
  <c r="L75" i="3" s="1"/>
  <c r="F174" i="3"/>
  <c r="L174" i="3" s="1"/>
  <c r="L173" i="3"/>
  <c r="J173" i="3"/>
  <c r="H173" i="3"/>
  <c r="F171" i="3"/>
  <c r="H171" i="3" s="1"/>
  <c r="L169" i="3"/>
  <c r="J169" i="3"/>
  <c r="H169" i="3"/>
  <c r="F167" i="3"/>
  <c r="L167" i="3" s="1"/>
  <c r="F165" i="3"/>
  <c r="J165" i="3" s="1"/>
  <c r="F163" i="3"/>
  <c r="L163" i="3" s="1"/>
  <c r="H228" i="3" l="1"/>
  <c r="L228" i="3"/>
  <c r="J228" i="3"/>
  <c r="L90" i="3"/>
  <c r="H81" i="3"/>
  <c r="L86" i="3"/>
  <c r="J236" i="3"/>
  <c r="H236" i="3"/>
  <c r="L236" i="3"/>
  <c r="J86" i="3"/>
  <c r="H90" i="3"/>
  <c r="L79" i="3"/>
  <c r="L165" i="3"/>
  <c r="H84" i="3"/>
  <c r="J84" i="3"/>
  <c r="H88" i="3"/>
  <c r="J88" i="3"/>
  <c r="J81" i="3"/>
  <c r="H75" i="3"/>
  <c r="F78" i="3"/>
  <c r="J75" i="3"/>
  <c r="J83" i="3"/>
  <c r="H79" i="3"/>
  <c r="J171" i="3"/>
  <c r="H163" i="3"/>
  <c r="L171" i="3"/>
  <c r="F227" i="3" s="1"/>
  <c r="H174" i="3"/>
  <c r="H167" i="3"/>
  <c r="J174" i="3"/>
  <c r="J167" i="3"/>
  <c r="H165" i="3"/>
  <c r="J163" i="3"/>
  <c r="F9" i="3"/>
  <c r="C9" i="3" s="1"/>
  <c r="F7" i="3"/>
  <c r="C7" i="3" s="1"/>
  <c r="F6" i="3"/>
  <c r="C8" i="3"/>
  <c r="F8" i="3" s="1"/>
  <c r="C159" i="3"/>
  <c r="F177" i="3" s="1"/>
  <c r="F160" i="3"/>
  <c r="C160" i="3" s="1"/>
  <c r="F159" i="3"/>
  <c r="F176" i="3"/>
  <c r="H176" i="3" s="1"/>
  <c r="F156" i="3" l="1"/>
  <c r="H156" i="3" s="1"/>
  <c r="L78" i="3"/>
  <c r="J78" i="3"/>
  <c r="H78" i="3"/>
  <c r="L177" i="3"/>
  <c r="H177" i="3"/>
  <c r="J177" i="3"/>
  <c r="J176" i="3"/>
  <c r="L176" i="3"/>
  <c r="F162" i="3"/>
  <c r="F161" i="3" s="1"/>
  <c r="L161" i="3" s="1"/>
  <c r="F5" i="3"/>
  <c r="F73" i="3"/>
  <c r="H73" i="3" s="1"/>
  <c r="L232" i="3"/>
  <c r="J232" i="3"/>
  <c r="H232" i="3"/>
  <c r="L231" i="3"/>
  <c r="J231" i="3"/>
  <c r="H231" i="3"/>
  <c r="L227" i="3"/>
  <c r="J227" i="3"/>
  <c r="H227" i="3"/>
  <c r="L208" i="3"/>
  <c r="J208" i="3"/>
  <c r="H208" i="3"/>
  <c r="L207" i="3"/>
  <c r="J207" i="3"/>
  <c r="H207" i="3"/>
  <c r="L206" i="3"/>
  <c r="J206" i="3"/>
  <c r="H206" i="3"/>
  <c r="L205" i="3"/>
  <c r="J205" i="3"/>
  <c r="H205" i="3"/>
  <c r="L204" i="3"/>
  <c r="J204" i="3"/>
  <c r="H204" i="3"/>
  <c r="L203" i="3"/>
  <c r="J203" i="3"/>
  <c r="H203" i="3"/>
  <c r="L197" i="3"/>
  <c r="J197" i="3"/>
  <c r="H197" i="3"/>
  <c r="L195" i="3"/>
  <c r="J195" i="3"/>
  <c r="H195" i="3"/>
  <c r="L185" i="3"/>
  <c r="J185" i="3"/>
  <c r="H185" i="3"/>
  <c r="L52" i="3"/>
  <c r="J52" i="3"/>
  <c r="H52" i="3"/>
  <c r="L51" i="3"/>
  <c r="J51" i="3"/>
  <c r="H51" i="3"/>
  <c r="L50" i="3"/>
  <c r="J50" i="3"/>
  <c r="H50" i="3"/>
  <c r="L49" i="3"/>
  <c r="J49" i="3"/>
  <c r="H49" i="3"/>
  <c r="L39" i="3"/>
  <c r="J39" i="3"/>
  <c r="H39" i="3"/>
  <c r="L33" i="3"/>
  <c r="J33" i="3"/>
  <c r="H33" i="3"/>
  <c r="L32" i="3"/>
  <c r="J32" i="3"/>
  <c r="H32" i="3"/>
  <c r="L29" i="3"/>
  <c r="J29" i="3"/>
  <c r="H29" i="3"/>
  <c r="A10" i="3"/>
  <c r="A11" i="3" s="1"/>
  <c r="L156" i="3" l="1"/>
  <c r="L155" i="3" s="1"/>
  <c r="F219" i="3" s="1"/>
  <c r="F218" i="3" s="1"/>
  <c r="H28" i="3"/>
  <c r="C5" i="4" s="1"/>
  <c r="J28" i="3"/>
  <c r="F23" i="3"/>
  <c r="L23" i="3" s="1"/>
  <c r="H48" i="3"/>
  <c r="C7" i="4" s="1"/>
  <c r="J48" i="3"/>
  <c r="H161" i="3"/>
  <c r="H155" i="3" s="1"/>
  <c r="J161" i="3"/>
  <c r="J73" i="3"/>
  <c r="F77" i="3"/>
  <c r="J156" i="3"/>
  <c r="F24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H37" i="3"/>
  <c r="C6" i="4" s="1"/>
  <c r="L37" i="3"/>
  <c r="L48" i="3"/>
  <c r="L73" i="3"/>
  <c r="J243" i="3"/>
  <c r="F248" i="3" s="1"/>
  <c r="J37" i="3"/>
  <c r="L28" i="3"/>
  <c r="D34" i="2"/>
  <c r="E34" i="2"/>
  <c r="F34" i="2"/>
  <c r="F37" i="2" s="1"/>
  <c r="E2" i="1" s="1"/>
  <c r="E7" i="1" s="1"/>
  <c r="G34" i="2"/>
  <c r="H34" i="2"/>
  <c r="H37" i="2" s="1"/>
  <c r="G2" i="1" s="1"/>
  <c r="G8" i="1" s="1"/>
  <c r="I34" i="2"/>
  <c r="J34" i="2"/>
  <c r="K34" i="2"/>
  <c r="M34" i="2"/>
  <c r="N34" i="2"/>
  <c r="C34" i="2"/>
  <c r="M33" i="2"/>
  <c r="L32" i="2"/>
  <c r="L31" i="2"/>
  <c r="L34" i="2" s="1"/>
  <c r="L37" i="2" s="1"/>
  <c r="K2" i="1" s="1"/>
  <c r="J30" i="2"/>
  <c r="J29" i="2"/>
  <c r="B30" i="2"/>
  <c r="B31" i="2" s="1"/>
  <c r="B32" i="2" s="1"/>
  <c r="B33" i="2" s="1"/>
  <c r="C28" i="2"/>
  <c r="L28" i="2"/>
  <c r="M26" i="2"/>
  <c r="M25" i="2"/>
  <c r="M24" i="2"/>
  <c r="M22" i="2"/>
  <c r="M28" i="2" s="1"/>
  <c r="N27" i="2"/>
  <c r="N23" i="2"/>
  <c r="N21" i="2"/>
  <c r="N28" i="2" s="1"/>
  <c r="K20" i="2"/>
  <c r="K28" i="2" s="1"/>
  <c r="K37" i="2" s="1"/>
  <c r="J2" i="1" s="1"/>
  <c r="J19" i="2"/>
  <c r="J28" i="2" s="1"/>
  <c r="Q28" i="2" s="1"/>
  <c r="J18" i="2"/>
  <c r="J17" i="2"/>
  <c r="B18" i="2"/>
  <c r="B19" i="2" s="1"/>
  <c r="B20" i="2" s="1"/>
  <c r="B21" i="2" s="1"/>
  <c r="B22" i="2" s="1"/>
  <c r="B23" i="2" s="1"/>
  <c r="B24" i="2" s="1"/>
  <c r="B25" i="2" s="1"/>
  <c r="B26" i="2" s="1"/>
  <c r="B27" i="2" s="1"/>
  <c r="H16" i="2"/>
  <c r="J16" i="2"/>
  <c r="C16" i="2"/>
  <c r="C37" i="2" s="1"/>
  <c r="I7" i="2"/>
  <c r="I16" i="2" s="1"/>
  <c r="H3" i="2"/>
  <c r="G11" i="2"/>
  <c r="G12" i="2"/>
  <c r="G16" i="2" s="1"/>
  <c r="G37" i="2" s="1"/>
  <c r="F2" i="1" s="1"/>
  <c r="F12" i="1" s="1"/>
  <c r="F13" i="1" s="1"/>
  <c r="F14" i="1" s="1"/>
  <c r="F16" i="1" s="1"/>
  <c r="G13" i="2"/>
  <c r="G14" i="2"/>
  <c r="G10" i="2"/>
  <c r="F15" i="2"/>
  <c r="F16" i="2" s="1"/>
  <c r="E9" i="2"/>
  <c r="E8" i="2"/>
  <c r="E16" i="2" s="1"/>
  <c r="D5" i="2"/>
  <c r="D6" i="2"/>
  <c r="D4" i="2"/>
  <c r="D2" i="2"/>
  <c r="D16" i="2" s="1"/>
  <c r="D37" i="2" s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3" i="2"/>
  <c r="C2" i="1" l="1"/>
  <c r="C6" i="1" s="1"/>
  <c r="B6" i="1" s="1"/>
  <c r="J37" i="2"/>
  <c r="I2" i="1" s="1"/>
  <c r="B2" i="1" s="1"/>
  <c r="K24" i="1"/>
  <c r="K31" i="1"/>
  <c r="B31" i="1" s="1"/>
  <c r="K29" i="1"/>
  <c r="B29" i="1" s="1"/>
  <c r="F349" i="3" s="1"/>
  <c r="K30" i="1"/>
  <c r="B30" i="1" s="1"/>
  <c r="K26" i="1"/>
  <c r="B26" i="1" s="1"/>
  <c r="F256" i="3" s="1"/>
  <c r="N37" i="2"/>
  <c r="M2" i="1" s="1"/>
  <c r="M33" i="1" s="1"/>
  <c r="B33" i="1" s="1"/>
  <c r="I37" i="2"/>
  <c r="H2" i="1" s="1"/>
  <c r="Q34" i="2"/>
  <c r="J25" i="1"/>
  <c r="J20" i="1"/>
  <c r="J4" i="1"/>
  <c r="J24" i="1"/>
  <c r="M37" i="2"/>
  <c r="L2" i="1" s="1"/>
  <c r="L32" i="1" s="1"/>
  <c r="B32" i="1" s="1"/>
  <c r="E37" i="2"/>
  <c r="D2" i="1" s="1"/>
  <c r="D15" i="1" s="1"/>
  <c r="J23" i="3"/>
  <c r="F26" i="3"/>
  <c r="H26" i="3" s="1"/>
  <c r="H23" i="3"/>
  <c r="J155" i="3"/>
  <c r="F25" i="3"/>
  <c r="J25" i="3" s="1"/>
  <c r="A29" i="3"/>
  <c r="A31" i="3" s="1"/>
  <c r="L248" i="3"/>
  <c r="L243" i="3" s="1"/>
  <c r="H248" i="3"/>
  <c r="H243" i="3" s="1"/>
  <c r="C14" i="4" s="1"/>
  <c r="J77" i="3"/>
  <c r="J72" i="3" s="1"/>
  <c r="L77" i="3"/>
  <c r="L72" i="3" s="1"/>
  <c r="H77" i="3"/>
  <c r="L24" i="3"/>
  <c r="J24" i="3"/>
  <c r="H24" i="3"/>
  <c r="G16" i="1"/>
  <c r="G11" i="1"/>
  <c r="B11" i="1" s="1"/>
  <c r="F254" i="3" s="1"/>
  <c r="G14" i="1"/>
  <c r="J28" i="1"/>
  <c r="G22" i="1"/>
  <c r="G15" i="1"/>
  <c r="H15" i="1"/>
  <c r="I27" i="1"/>
  <c r="J27" i="1"/>
  <c r="K5" i="1"/>
  <c r="G13" i="1"/>
  <c r="G12" i="1"/>
  <c r="H21" i="1"/>
  <c r="F21" i="1"/>
  <c r="G7" i="1"/>
  <c r="G5" i="1"/>
  <c r="D14" i="1"/>
  <c r="D7" i="1"/>
  <c r="F15" i="1"/>
  <c r="E15" i="1"/>
  <c r="F8" i="1"/>
  <c r="C7" i="1"/>
  <c r="E8" i="1"/>
  <c r="D10" i="1"/>
  <c r="C15" i="1"/>
  <c r="C13" i="1"/>
  <c r="F20" i="1"/>
  <c r="B20" i="1" s="1"/>
  <c r="F238" i="3" s="1"/>
  <c r="F7" i="1"/>
  <c r="C10" i="1"/>
  <c r="C16" i="1"/>
  <c r="C14" i="1"/>
  <c r="C12" i="1"/>
  <c r="C9" i="1"/>
  <c r="D12" i="1"/>
  <c r="F4" i="1"/>
  <c r="B4" i="1" s="1"/>
  <c r="F481" i="3" s="1"/>
  <c r="E19" i="1"/>
  <c r="B19" i="1" s="1"/>
  <c r="D13" i="1"/>
  <c r="D8" i="1" s="1"/>
  <c r="E12" i="1"/>
  <c r="E17" i="1" s="1"/>
  <c r="B17" i="1" s="1"/>
  <c r="C3" i="1"/>
  <c r="B3" i="1" s="1"/>
  <c r="D18" i="1"/>
  <c r="B18" i="1" s="1"/>
  <c r="D16" i="1"/>
  <c r="D9" i="1"/>
  <c r="F124" i="3" l="1"/>
  <c r="F122" i="3"/>
  <c r="B5" i="1"/>
  <c r="F488" i="3" s="1"/>
  <c r="F482" i="3"/>
  <c r="L481" i="3"/>
  <c r="J481" i="3"/>
  <c r="H481" i="3"/>
  <c r="F260" i="3"/>
  <c r="L254" i="3"/>
  <c r="H254" i="3"/>
  <c r="J254" i="3"/>
  <c r="H23" i="1"/>
  <c r="B23" i="1" s="1"/>
  <c r="H22" i="1"/>
  <c r="H5" i="1"/>
  <c r="H7" i="1" s="1"/>
  <c r="H12" i="1"/>
  <c r="J349" i="3"/>
  <c r="J348" i="3" s="1"/>
  <c r="F360" i="3" s="1"/>
  <c r="L349" i="3"/>
  <c r="H349" i="3"/>
  <c r="J256" i="3"/>
  <c r="H256" i="3"/>
  <c r="F262" i="3"/>
  <c r="L256" i="3"/>
  <c r="L238" i="3"/>
  <c r="H238" i="3"/>
  <c r="J238" i="3"/>
  <c r="I28" i="1"/>
  <c r="B28" i="1" s="1"/>
  <c r="I5" i="1"/>
  <c r="I25" i="1"/>
  <c r="B25" i="1" s="1"/>
  <c r="F255" i="3" s="1"/>
  <c r="I24" i="1"/>
  <c r="B24" i="1" s="1"/>
  <c r="C38" i="2"/>
  <c r="L26" i="3"/>
  <c r="J26" i="3"/>
  <c r="L25" i="3"/>
  <c r="H25" i="3"/>
  <c r="A32" i="3"/>
  <c r="A33" i="3" s="1"/>
  <c r="A34" i="3" s="1"/>
  <c r="A35" i="3" s="1"/>
  <c r="A38" i="3" s="1"/>
  <c r="A39" i="3" s="1"/>
  <c r="H72" i="3"/>
  <c r="C9" i="4" s="1"/>
  <c r="F224" i="3"/>
  <c r="F226" i="3" s="1"/>
  <c r="H226" i="3" s="1"/>
  <c r="F223" i="3"/>
  <c r="L218" i="3"/>
  <c r="H218" i="3"/>
  <c r="J218" i="3"/>
  <c r="B27" i="1"/>
  <c r="F22" i="1"/>
  <c r="B22" i="1" s="1"/>
  <c r="B21" i="1"/>
  <c r="F252" i="3" s="1"/>
  <c r="B14" i="1"/>
  <c r="F237" i="3" s="1"/>
  <c r="B15" i="1"/>
  <c r="B34" i="1" s="1"/>
  <c r="B10" i="1"/>
  <c r="F253" i="3" s="1"/>
  <c r="C8" i="1"/>
  <c r="B8" i="1" s="1"/>
  <c r="B12" i="1"/>
  <c r="B16" i="1"/>
  <c r="B13" i="1"/>
  <c r="B9" i="1"/>
  <c r="J482" i="3" l="1"/>
  <c r="H482" i="3"/>
  <c r="J237" i="3"/>
  <c r="J230" i="3" s="1"/>
  <c r="F241" i="3" s="1"/>
  <c r="L237" i="3"/>
  <c r="H237" i="3"/>
  <c r="J255" i="3"/>
  <c r="F261" i="3"/>
  <c r="L255" i="3"/>
  <c r="H255" i="3"/>
  <c r="J477" i="3"/>
  <c r="F485" i="3" s="1"/>
  <c r="L122" i="3"/>
  <c r="H122" i="3"/>
  <c r="J122" i="3"/>
  <c r="J118" i="3" s="1"/>
  <c r="L360" i="3"/>
  <c r="H360" i="3"/>
  <c r="H348" i="3" s="1"/>
  <c r="C17" i="4" s="1"/>
  <c r="J260" i="3"/>
  <c r="H260" i="3"/>
  <c r="L260" i="3"/>
  <c r="L262" i="3"/>
  <c r="H262" i="3"/>
  <c r="J262" i="3"/>
  <c r="H488" i="3"/>
  <c r="J488" i="3"/>
  <c r="J487" i="3" s="1"/>
  <c r="F492" i="3" s="1"/>
  <c r="L488" i="3"/>
  <c r="F258" i="3"/>
  <c r="H252" i="3"/>
  <c r="L252" i="3"/>
  <c r="F251" i="3"/>
  <c r="J252" i="3"/>
  <c r="F259" i="3"/>
  <c r="L253" i="3"/>
  <c r="J253" i="3"/>
  <c r="H253" i="3"/>
  <c r="L348" i="3"/>
  <c r="L124" i="3"/>
  <c r="J124" i="3"/>
  <c r="H124" i="3"/>
  <c r="A40" i="3"/>
  <c r="A41" i="3" s="1"/>
  <c r="A42" i="3" s="1"/>
  <c r="A43" i="3" s="1"/>
  <c r="A44" i="3" s="1"/>
  <c r="A45" i="3" s="1"/>
  <c r="A46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7" i="3" s="1"/>
  <c r="A68" i="3" s="1"/>
  <c r="A69" i="3" s="1"/>
  <c r="A70" i="3" s="1"/>
  <c r="A73" i="3" s="1"/>
  <c r="A75" i="3" s="1"/>
  <c r="A77" i="3" s="1"/>
  <c r="A78" i="3" s="1"/>
  <c r="A79" i="3" s="1"/>
  <c r="A81" i="3" s="1"/>
  <c r="A82" i="3" s="1"/>
  <c r="A83" i="3" s="1"/>
  <c r="A84" i="3" s="1"/>
  <c r="A86" i="3" s="1"/>
  <c r="A88" i="3" s="1"/>
  <c r="A90" i="3" s="1"/>
  <c r="A92" i="3" s="1"/>
  <c r="A93" i="3" s="1"/>
  <c r="A94" i="3" s="1"/>
  <c r="A95" i="3" s="1"/>
  <c r="A96" i="3" s="1"/>
  <c r="J226" i="3"/>
  <c r="L226" i="3"/>
  <c r="H223" i="3"/>
  <c r="J223" i="3"/>
  <c r="L223" i="3"/>
  <c r="F225" i="3"/>
  <c r="J224" i="3"/>
  <c r="H224" i="3"/>
  <c r="L224" i="3"/>
  <c r="B7" i="1"/>
  <c r="C6" i="3"/>
  <c r="L5" i="3"/>
  <c r="L4" i="3" s="1"/>
  <c r="H5" i="3"/>
  <c r="H4" i="3" s="1"/>
  <c r="C4" i="4" s="1"/>
  <c r="J5" i="3"/>
  <c r="J4" i="3" s="1"/>
  <c r="L118" i="3" l="1"/>
  <c r="J261" i="3"/>
  <c r="H261" i="3"/>
  <c r="L261" i="3"/>
  <c r="H485" i="3"/>
  <c r="H477" i="3" s="1"/>
  <c r="C22" i="4" s="1"/>
  <c r="L485" i="3"/>
  <c r="L477" i="3" s="1"/>
  <c r="L458" i="3" s="1"/>
  <c r="L492" i="3"/>
  <c r="L487" i="3" s="1"/>
  <c r="H492" i="3"/>
  <c r="H487" i="3" s="1"/>
  <c r="C23" i="4" s="1"/>
  <c r="L259" i="3"/>
  <c r="H259" i="3"/>
  <c r="J259" i="3"/>
  <c r="L241" i="3"/>
  <c r="L230" i="3" s="1"/>
  <c r="H241" i="3"/>
  <c r="H230" i="3" s="1"/>
  <c r="C13" i="4" s="1"/>
  <c r="L258" i="3"/>
  <c r="J258" i="3"/>
  <c r="H258" i="3"/>
  <c r="J251" i="3"/>
  <c r="L251" i="3"/>
  <c r="H251" i="3"/>
  <c r="H118" i="3"/>
  <c r="C11" i="4" s="1"/>
  <c r="A97" i="3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4" i="3" s="1"/>
  <c r="A115" i="3" s="1"/>
  <c r="A116" i="3" s="1"/>
  <c r="A119" i="3" s="1"/>
  <c r="L225" i="3"/>
  <c r="L217" i="3" s="1"/>
  <c r="J225" i="3"/>
  <c r="J217" i="3" s="1"/>
  <c r="H225" i="3"/>
  <c r="H217" i="3" s="1"/>
  <c r="C12" i="4" s="1"/>
  <c r="L250" i="3" l="1"/>
  <c r="J250" i="3"/>
  <c r="F272" i="3" s="1"/>
  <c r="A120" i="3"/>
  <c r="A121" i="3" s="1"/>
  <c r="A122" i="3" s="1"/>
  <c r="A123" i="3" s="1"/>
  <c r="H272" i="3" l="1"/>
  <c r="H250" i="3" s="1"/>
  <c r="C15" i="4" s="1"/>
  <c r="L272" i="3"/>
  <c r="A124" i="3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6" i="3" s="1"/>
  <c r="A161" i="3" s="1"/>
  <c r="A163" i="3" s="1"/>
  <c r="A165" i="3" s="1"/>
  <c r="A167" i="3" s="1"/>
  <c r="A169" i="3" s="1"/>
  <c r="A171" i="3" s="1"/>
  <c r="A173" i="3" s="1"/>
  <c r="A174" i="3" s="1"/>
  <c r="A176" i="3" s="1"/>
  <c r="A177" i="3" s="1"/>
  <c r="A178" i="3" s="1"/>
  <c r="A180" i="3" s="1"/>
  <c r="A182" i="3" s="1"/>
  <c r="A183" i="3" s="1"/>
  <c r="A184" i="3" s="1"/>
  <c r="A185" i="3" s="1"/>
  <c r="A195" i="3" s="1"/>
  <c r="A197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3" i="3" s="1"/>
  <c r="A214" i="3" s="1"/>
  <c r="A215" i="3" s="1"/>
  <c r="A218" i="3" s="1"/>
  <c r="A223" i="3" s="1"/>
  <c r="A224" i="3" s="1"/>
  <c r="A225" i="3" s="1"/>
  <c r="A226" i="3" s="1"/>
  <c r="A227" i="3" s="1"/>
  <c r="A228" i="3" s="1"/>
  <c r="A232" i="3" s="1"/>
  <c r="A233" i="3" s="1"/>
  <c r="A234" i="3" s="1"/>
  <c r="A235" i="3" s="1"/>
  <c r="A236" i="3" s="1"/>
  <c r="A237" i="3" s="1"/>
  <c r="A238" i="3" s="1"/>
  <c r="A239" i="3" s="1"/>
  <c r="A241" i="3" s="1"/>
  <c r="A244" i="3" s="1"/>
  <c r="A245" i="3" s="1"/>
  <c r="A246" i="3" s="1"/>
  <c r="A247" i="3" s="1"/>
  <c r="A248" i="3" s="1"/>
  <c r="A251" i="3" s="1"/>
  <c r="A258" i="3" s="1"/>
  <c r="A259" i="3" s="1"/>
  <c r="A260" i="3" s="1"/>
  <c r="A261" i="3" s="1"/>
  <c r="A262" i="3" s="1"/>
  <c r="A264" i="3" s="1"/>
  <c r="A265" i="3" s="1"/>
  <c r="A266" i="3" s="1"/>
  <c r="A267" i="3" s="1"/>
  <c r="A268" i="3" s="1"/>
  <c r="A270" i="3" s="1"/>
  <c r="A271" i="3" s="1"/>
  <c r="A272" i="3" s="1"/>
  <c r="A275" i="3" s="1"/>
  <c r="A276" i="3" s="1"/>
  <c r="A277" i="3" l="1"/>
  <c r="A278" i="3" s="1"/>
  <c r="A279" i="3" s="1"/>
  <c r="A280" i="3" s="1"/>
  <c r="A281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1" i="3" s="1"/>
  <c r="A313" i="3" s="1"/>
  <c r="A314" i="3" s="1"/>
  <c r="A315" i="3" s="1"/>
  <c r="A316" i="3" s="1"/>
  <c r="A211" i="3"/>
  <c r="J6" i="7"/>
  <c r="J54" i="7" s="1"/>
  <c r="C28" i="4" s="1"/>
  <c r="C33" i="4" s="1"/>
  <c r="A349" i="3" l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3" i="3" s="1"/>
  <c r="A364" i="3" s="1"/>
  <c r="A365" i="3" s="1"/>
  <c r="A367" i="3" s="1"/>
  <c r="A369" i="3" s="1"/>
  <c r="A371" i="3" s="1"/>
  <c r="A373" i="3" s="1"/>
  <c r="A374" i="3" s="1"/>
  <c r="A375" i="3" s="1"/>
  <c r="A376" i="3" s="1"/>
  <c r="A377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8" i="3" s="1"/>
  <c r="A479" i="3" s="1"/>
  <c r="A480" i="3" s="1"/>
  <c r="A481" i="3" s="1"/>
  <c r="A482" i="3" s="1"/>
  <c r="A483" i="3" s="1"/>
  <c r="A484" i="3" s="1"/>
  <c r="A485" i="3" s="1"/>
  <c r="A488" i="3" s="1"/>
  <c r="A489" i="3" s="1"/>
  <c r="A490" i="3" s="1"/>
  <c r="A491" i="3" s="1"/>
  <c r="A492" i="3" s="1"/>
  <c r="A495" i="3" s="1"/>
  <c r="A496" i="3" s="1"/>
  <c r="A497" i="3" s="1"/>
  <c r="A498" i="3" s="1"/>
  <c r="A499" i="3" s="1"/>
  <c r="A500" i="3" s="1"/>
  <c r="A501" i="3" s="1"/>
  <c r="A504" i="3" s="1"/>
  <c r="A505" i="3" s="1"/>
  <c r="A506" i="3" s="1"/>
  <c r="A507" i="3" s="1"/>
  <c r="A508" i="3" s="1"/>
  <c r="A509" i="3" s="1"/>
  <c r="A510" i="3" s="1"/>
  <c r="A511" i="3" s="1"/>
  <c r="A514" i="3" s="1"/>
  <c r="A319" i="3"/>
  <c r="A320" i="3" s="1"/>
  <c r="A321" i="3" s="1"/>
  <c r="A322" i="3" s="1"/>
  <c r="A323" i="3" s="1"/>
  <c r="C38" i="4" l="1"/>
  <c r="A324" i="3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25" i="3"/>
  <c r="C40" i="4" l="1"/>
  <c r="C41" i="4" s="1"/>
  <c r="C42" i="4" s="1"/>
</calcChain>
</file>

<file path=xl/sharedStrings.xml><?xml version="1.0" encoding="utf-8"?>
<sst xmlns="http://schemas.openxmlformats.org/spreadsheetml/2006/main" count="3367" uniqueCount="1512">
  <si>
    <t>podlahy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</si>
  <si>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</si>
  <si>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</si>
  <si>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</si>
  <si>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</si>
  <si>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</si>
  <si>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</si>
  <si>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</si>
  <si>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</si>
  <si>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</si>
  <si>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</si>
  <si>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</si>
  <si>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OMÍTKY</t>
  </si>
  <si>
    <t>1.</t>
  </si>
  <si>
    <t>0.</t>
  </si>
  <si>
    <t>2.</t>
  </si>
  <si>
    <t>3.</t>
  </si>
  <si>
    <t xml:space="preserve">SOUČET  </t>
  </si>
  <si>
    <t>Tepelná izolace z polystyrenu EPS 100 S  80mm</t>
  </si>
  <si>
    <t>Hydroizolace z pásů z modifikovaného asfaltu s vložkou ze skelné tkaniny 5mm</t>
  </si>
  <si>
    <t>Plastové provětrávací tvarovky např. MODULO H9  90mm</t>
  </si>
  <si>
    <t>Hutněný štěrkový podsyp na 40 Mpa  100 mm</t>
  </si>
  <si>
    <t>síť Kari 100x100x5 mm</t>
  </si>
  <si>
    <t>Betonová mazanina s plastifikátorem P dilatovaná  45+15mm</t>
  </si>
  <si>
    <t>Systémová deska podl.topení např. Rehau Varionova 30-2, (tl. EPS 30 mm)</t>
  </si>
  <si>
    <t>Nabetonávka na provětrávací tvarovky 50 mm</t>
  </si>
  <si>
    <t>Strojně hlazená betonová mazanina s plastifikátorem P, se vsypem 80+15mm</t>
  </si>
  <si>
    <t>Strojně hlazená betonová mazanina se vsypem  80mm</t>
  </si>
  <si>
    <t>Hutněný štěrkový podsyp na 40 Mpa  150 mm</t>
  </si>
  <si>
    <t>Hydroizolační stěrka</t>
  </si>
  <si>
    <t>Slinutá dlažba 600x600 mm  tl.10 mm+flexi.lepidlo</t>
  </si>
  <si>
    <t>Ruční cihelná dlažba + impregnace 30mm+Flexibilní lepidlo</t>
  </si>
  <si>
    <t>Tepelná izolace z polystyrenu EPS 100 S tl.140 mm</t>
  </si>
  <si>
    <t>síť Kari 150x150x5 mm</t>
  </si>
  <si>
    <t>Betonová mazanina   50 mm</t>
  </si>
  <si>
    <t>separační folie</t>
  </si>
  <si>
    <t>Podlahové prkno smrk tl. 15 mm + olej , lepené</t>
  </si>
  <si>
    <t>Tepelná izolace z polystyrenu EPS 100 S  100mm</t>
  </si>
  <si>
    <t>Zásyp klenby z liaporu zpevněného cementem</t>
  </si>
  <si>
    <t>2x OSB deska tl. 12 mm (slepeno, sešroubováno)</t>
  </si>
  <si>
    <t>Nosná konstrukce z dřevěných hranolů</t>
  </si>
  <si>
    <t>Kročejová izolace z minerální vlny např. ISOVER  30 mm</t>
  </si>
  <si>
    <t>OSB deska 15 mm záklop</t>
  </si>
  <si>
    <t>Kročejová izolace z minerální vlny např. ISOVER  20 mm</t>
  </si>
  <si>
    <t>SDK deska</t>
  </si>
  <si>
    <t>Suchý podsyp Liapor 1-4/500 tl.40 mm</t>
  </si>
  <si>
    <t>Papírová lepenka na stávající prkenný záklop</t>
  </si>
  <si>
    <t>Stávající dřevěná podlaha ze smrkových prken</t>
  </si>
  <si>
    <t xml:space="preserve">Stávající podlaha z cihelné dlažby </t>
  </si>
  <si>
    <t>stavba :</t>
  </si>
  <si>
    <t>Rozpočet</t>
  </si>
  <si>
    <t>investor :</t>
  </si>
  <si>
    <t>Stavební práce</t>
  </si>
  <si>
    <t>pol.č.</t>
  </si>
  <si>
    <t xml:space="preserve">       kod</t>
  </si>
  <si>
    <t>popis</t>
  </si>
  <si>
    <t>m.j.</t>
  </si>
  <si>
    <t>počet</t>
  </si>
  <si>
    <t>jed.cena</t>
  </si>
  <si>
    <t>Celkem</t>
  </si>
  <si>
    <t>tun/mj</t>
  </si>
  <si>
    <t>celkem t</t>
  </si>
  <si>
    <t>sut t /mj</t>
  </si>
  <si>
    <t>001: Zemní práce</t>
  </si>
  <si>
    <t>SP</t>
  </si>
  <si>
    <t>139711101/00</t>
  </si>
  <si>
    <t>Vykopávky v uzavřených prostorách v hornině tř. 1 až 4</t>
  </si>
  <si>
    <t>m3</t>
  </si>
  <si>
    <t>162701103/00</t>
  </si>
  <si>
    <t>Vodorovné přemístění do 8000 m výkopku/sypaniny z horniny tř. 1 až 4</t>
  </si>
  <si>
    <t>162701109/00</t>
  </si>
  <si>
    <t>171201201/00</t>
  </si>
  <si>
    <t>Uložení sypaniny na skládky</t>
  </si>
  <si>
    <t>171201211/00</t>
  </si>
  <si>
    <t>Poplatek za uložení odpadu ze sypaniny na skládce (skládkovné)</t>
  </si>
  <si>
    <t>t</t>
  </si>
  <si>
    <t>002: Základy</t>
  </si>
  <si>
    <t>274313711/00</t>
  </si>
  <si>
    <t>m2</t>
  </si>
  <si>
    <t>274351215/00</t>
  </si>
  <si>
    <t>274351216/00</t>
  </si>
  <si>
    <t>003: Svislé konstrukce</t>
  </si>
  <si>
    <t>kus</t>
  </si>
  <si>
    <t>m</t>
  </si>
  <si>
    <t>317944323/00</t>
  </si>
  <si>
    <t>Válcované nosníky č.14 až 22 dodatečně osazované do připravených otvorů</t>
  </si>
  <si>
    <t>004: Vodorovné konstrukce</t>
  </si>
  <si>
    <t>417321515/00</t>
  </si>
  <si>
    <t>Ztužující pásy a věnce ze ŽB tř. C 25/30</t>
  </si>
  <si>
    <t>417351115/00</t>
  </si>
  <si>
    <t>Zřízení bednění ztužujících věnců</t>
  </si>
  <si>
    <t>417351116/00</t>
  </si>
  <si>
    <t>Odstranění bednění ztužujících věnců</t>
  </si>
  <si>
    <t>417361821/00</t>
  </si>
  <si>
    <t>Výztuž ztužujících pásů a věnců betonářskou ocelí 10 505</t>
  </si>
  <si>
    <t>413232221/00</t>
  </si>
  <si>
    <t>Zazdívka zhlaví válcovaných nosníků v do 300 mm</t>
  </si>
  <si>
    <t>006: Úpravy povrchu</t>
  </si>
  <si>
    <t>631311116/00</t>
  </si>
  <si>
    <t>Mazanina tl do 80 mm z betonu prostého bez zvýšených nároků na prostředí tř. C 25/30</t>
  </si>
  <si>
    <t>631362021/00</t>
  </si>
  <si>
    <t>Výztuž mazanin svařovanými sítěmi Kari</t>
  </si>
  <si>
    <t>009: Ostatní konstrukce a práce</t>
  </si>
  <si>
    <t>962031133/00</t>
  </si>
  <si>
    <t>Bourání příček z cihel pálených na MVC tl do 150 mm</t>
  </si>
  <si>
    <t>962032230/00</t>
  </si>
  <si>
    <t>Bourání zdiva z cihel pálených nebo vápenopískových na MV nebo MVC do 1 m3</t>
  </si>
  <si>
    <t>965042141/00</t>
  </si>
  <si>
    <t>Bourání podkladů pod dlažby nebo mazanin betonových nebo z litého asfaltu tl do 100 mm pl přes 4 m2</t>
  </si>
  <si>
    <t>965082923/00</t>
  </si>
  <si>
    <t>Odstranění násypů pod podlahami tl do 100 mm pl přes 2 m2</t>
  </si>
  <si>
    <t>968062354/00</t>
  </si>
  <si>
    <t>Vybourání dřevěných rámů oken dvojitých včetně křídel pl do 1 m2</t>
  </si>
  <si>
    <t>968062356/00</t>
  </si>
  <si>
    <t>968062455/00</t>
  </si>
  <si>
    <t>Vybourání dřevěných dveřních zárubní pl do 2 m2</t>
  </si>
  <si>
    <t>968072455/00</t>
  </si>
  <si>
    <t>Vybourání kovových dveřních zárubní pl do 2 m2</t>
  </si>
  <si>
    <t>973031151/00</t>
  </si>
  <si>
    <t>Vysekání výklenků ve zdivu cihelném na MV nebo MVC pl přes 0,25 m2</t>
  </si>
  <si>
    <t>962022491/00</t>
  </si>
  <si>
    <t>Bourání zdiva nadzákladového kamenného na MC přes 1 m3</t>
  </si>
  <si>
    <t>941211111/00</t>
  </si>
  <si>
    <t>Montáž lešení řadového rámového lehkého zatížení do 200 kg/m2 š do 0,9 m v do 10 m</t>
  </si>
  <si>
    <t>949101112/00</t>
  </si>
  <si>
    <t>Lešení pomocné pro objekty pozemních staveb s lešeňovou podlahou v do 3,5 m zatížení do 150 kg/m2</t>
  </si>
  <si>
    <t>941111211/00</t>
  </si>
  <si>
    <t>941111811/00</t>
  </si>
  <si>
    <t>Demontáž lešení řadového trubkového lehkého s podlahami zatížení do 200 kg/m2 š do 0,9 m v do 10 m</t>
  </si>
  <si>
    <t>099: Přesun hmot HSV</t>
  </si>
  <si>
    <t>997013151/00</t>
  </si>
  <si>
    <t>997013211/00</t>
  </si>
  <si>
    <t>997013501/00</t>
  </si>
  <si>
    <t>Odvoz suti a vybouraných hmot na skládku nebo meziskládku do 1 km se složením</t>
  </si>
  <si>
    <t>997013509/00</t>
  </si>
  <si>
    <t>997013803/00</t>
  </si>
  <si>
    <t>Poplatek za uložení stavebního odpadu z keramických materiálů na skládce (skládkovné)</t>
  </si>
  <si>
    <t>997013831/00</t>
  </si>
  <si>
    <t>Poplatek za uložení stavebního směsného odpadu na skládce (skládkovné)</t>
  </si>
  <si>
    <t>711: Izolace proti vodě</t>
  </si>
  <si>
    <t>711111001/00</t>
  </si>
  <si>
    <t>711112001/00</t>
  </si>
  <si>
    <t>711141559/00</t>
  </si>
  <si>
    <t>Provedení izolace proti zemní vlhkosti pásy přitavením vodorovné NAIP</t>
  </si>
  <si>
    <t>711142559/00</t>
  </si>
  <si>
    <t>Provedení izolace proti zemní vlhkosti pásy přitavením svislé NAIP</t>
  </si>
  <si>
    <t>711211115/00</t>
  </si>
  <si>
    <t>712: Povlakové krytiny</t>
  </si>
  <si>
    <t>713: Izolace tepelné</t>
  </si>
  <si>
    <t>713121111/00</t>
  </si>
  <si>
    <t>Montáž izolace tepelné podlah volně kladenými rohožemi, pásy, dílci, deskami 1 vrstva</t>
  </si>
  <si>
    <r>
      <t xml:space="preserve">Vzdělávání aktivně </t>
    </r>
    <r>
      <rPr>
        <sz val="9"/>
        <color theme="1"/>
        <rFont val="Arial"/>
        <family val="2"/>
        <charset val="238"/>
      </rPr>
      <t>par.č.153,284,285/1 k.ú. Brniště</t>
    </r>
  </si>
  <si>
    <t>ZOD Brniště a.s.  Jáchymov 1</t>
  </si>
  <si>
    <t>bm 50-80</t>
  </si>
  <si>
    <t>dle tabulky podlah = 65,9*0,06+289,8*0,05+9,2*0,08</t>
  </si>
  <si>
    <t>009: A Bourací práce</t>
  </si>
  <si>
    <t>dle bourání podlah - beton+zemina =(24,13+42,21+17,3)*0,05</t>
  </si>
  <si>
    <t>Beton + dlažba =(13,61+13,53+11,9)*0,1</t>
  </si>
  <si>
    <t>cemen.dlažba = 0</t>
  </si>
  <si>
    <t>beton+PVC =(43,81+16,25)*0,1</t>
  </si>
  <si>
    <t>cemen.dlažba = 31,8*0,15</t>
  </si>
  <si>
    <t>dle bourání podlah - beton+zemina =0,5-0,05=hl.0,45</t>
  </si>
  <si>
    <t>Beton + dlažba =0,5-0,15=hl.0,35</t>
  </si>
  <si>
    <t>cemen.dlažba = 0,5-0,2= hl.0,3</t>
  </si>
  <si>
    <t>beton+PVC =0,5-0,1= hl.0,4</t>
  </si>
  <si>
    <t>Příplatek k vodorovnému přemístění výkopku/sypaniny z horniny tř. 1 až 4 ZKD 1000 m přes 10000 m  7x</t>
  </si>
  <si>
    <t>962031132/00</t>
  </si>
  <si>
    <t>Bourání příček z cihel pálených na MVC tl do 100 mm</t>
  </si>
  <si>
    <t>2,5*(1,83+0,93+1,6)+2,6*(1,8+1,11)</t>
  </si>
  <si>
    <t>2,6*5,74+3*(3,24+1,2)</t>
  </si>
  <si>
    <t>1,83*3*0,3+(1,45+1,83)*0,5*0,85*2,6+1,13*2*0,386+1,1*2,3*0,31</t>
  </si>
  <si>
    <t>963031532/00</t>
  </si>
  <si>
    <t>Bourání cihelných kleneb na MVC tl do 150 mm do ocelových nosníků</t>
  </si>
  <si>
    <t>dle bourání 23,34 m2</t>
  </si>
  <si>
    <t>964072221/00</t>
  </si>
  <si>
    <t>Vybourání válcovaných nosníků ze zdiva smíšeného dl do 4 m hmotnosti do 20 kg/m</t>
  </si>
  <si>
    <t>odhadem I č 160 =( (3,4+0,5)*2+(4,04+0,5)*3)*0,0188</t>
  </si>
  <si>
    <t>978012191/00</t>
  </si>
  <si>
    <t>Otlučení vnitřní vápenné nebo vápenocementové omítky stropů rákosových v rozsahu do 100 %</t>
  </si>
  <si>
    <t>dle bourání 6,3m3*0,45</t>
  </si>
  <si>
    <t>965081213/00</t>
  </si>
  <si>
    <t>Bourání podlah z dlaždic keramických nebo xylolitových tl do 10 mm plochy přes 1 m2</t>
  </si>
  <si>
    <t>965081353/00</t>
  </si>
  <si>
    <t>Bourání podlah z dlaždic betonových, teracových nebo čedičových tl přes 40 mm plochy přes 1 m2</t>
  </si>
  <si>
    <t>997013811/00</t>
  </si>
  <si>
    <t>Poplatek za uložení stavebního dřevěného odpadu na skládce (skládkovné)</t>
  </si>
  <si>
    <t>631311126/00</t>
  </si>
  <si>
    <t>Mazanina tl do 120 mm z betonu prostého bez zvýšených nároků na prostředí tř. C 25/30</t>
  </si>
  <si>
    <t>631319171/00</t>
  </si>
  <si>
    <t>Příplatek k mazanině tl do 80 mm za stržení povrchu spodní vrstvy před vložením výztuže</t>
  </si>
  <si>
    <t>631319173/00</t>
  </si>
  <si>
    <t>Příplatek k mazanině tl do 120 mm za stržení povrchu spodní vrstvy před vložením výztuže</t>
  </si>
  <si>
    <t>dle tabulky podlah = 58,5*0,095</t>
  </si>
  <si>
    <t>dle tabulky podlah = 100/100/5=3,12kg*211,7 +2,11kg*390,4=150/150/5</t>
  </si>
  <si>
    <t>632459000</t>
  </si>
  <si>
    <t>Příplatek k potěrům za plastifikátor P</t>
  </si>
  <si>
    <t>632481212/00</t>
  </si>
  <si>
    <t>632481213/00</t>
  </si>
  <si>
    <t>Separační vrstva z PE fólie</t>
  </si>
  <si>
    <t>635111241/00</t>
  </si>
  <si>
    <t>Násyp pod podlahy z hrubého kameniva 8-16 se zhutněním</t>
  </si>
  <si>
    <t>633111111/00</t>
  </si>
  <si>
    <t>Povrchová úprava průmyslových podlah vsypovou směsí tl 2 mm s přísadou křemíku lehký provoz</t>
  </si>
  <si>
    <t>Separační vrstva z asfaltové lepenky</t>
  </si>
  <si>
    <t>dle tabulky podlah = tl.100=190,6m2 tl.150=9,2m2</t>
  </si>
  <si>
    <t>Násyp pod podlahy z liaporu zpevněného cementem</t>
  </si>
  <si>
    <t>631341000</t>
  </si>
  <si>
    <t>635211121/sr</t>
  </si>
  <si>
    <t>Násyp pod podlahy z liaporu</t>
  </si>
  <si>
    <t>dle tabulky podlah = tl.40mm = 74,3m2</t>
  </si>
  <si>
    <t>dle tabulky podlah = tl.100mm = 11,9 3m2</t>
  </si>
  <si>
    <t>dle tabulky podlah = 58,5+9,2 m2</t>
  </si>
  <si>
    <t>Příplatek k odvozu suti a vybouraných hmot na skládku ZKD 1 km přes 1 km  14x</t>
  </si>
  <si>
    <t xml:space="preserve"> polystyren EPS 100 S tl.140 mm</t>
  </si>
  <si>
    <t>tabulka podlah</t>
  </si>
  <si>
    <t xml:space="preserve"> polystyren EPS 100 S tl.80 mm</t>
  </si>
  <si>
    <t xml:space="preserve"> polystyren EPS 100 S tl.100 mm</t>
  </si>
  <si>
    <t>Kročejová izolace  30 mm</t>
  </si>
  <si>
    <t>Kročejová izolace  20 mm</t>
  </si>
  <si>
    <t>M</t>
  </si>
  <si>
    <t>713001</t>
  </si>
  <si>
    <t>713003</t>
  </si>
  <si>
    <t>713002</t>
  </si>
  <si>
    <t>Dodávka polystyren EPS 100 S tl.140 mm</t>
  </si>
  <si>
    <t>Dodávka polystyren EPS 100 S tl.80 mm</t>
  </si>
  <si>
    <t>Dodávka polystyren EPS 100 S tl.100 mm</t>
  </si>
  <si>
    <t>713004</t>
  </si>
  <si>
    <t>713005</t>
  </si>
  <si>
    <t>Dodávka kročejová izolace z minerál.vlny např.ISOVER  30 mm</t>
  </si>
  <si>
    <t>Dodávka kročejová izolace z minerál.vlny např.ISOVER  20 mm</t>
  </si>
  <si>
    <t>Provedení izolace proti zemní vlhkosti vodorovné za studena nátěrem penetračním - dle bourání podlah 214,54m2</t>
  </si>
  <si>
    <t>Provedení izolace proti zemní vlhkosti svislé za studena nátěrem penetračním - odhadem 55m2</t>
  </si>
  <si>
    <t>711001</t>
  </si>
  <si>
    <t>711002</t>
  </si>
  <si>
    <t>Dodávka  za studena zpracovatelná asfaltová penetrační emulze na beton</t>
  </si>
  <si>
    <t>kg</t>
  </si>
  <si>
    <t>Dodávka modifik.asfal. pás  s vložkou ze skelné tkaniny</t>
  </si>
  <si>
    <r>
      <t xml:space="preserve">Izolace proti zemní vlhkosti a radonu provětrávaná z plastových segmentů v 200 mm se zabetonováním - </t>
    </r>
    <r>
      <rPr>
        <i/>
        <sz val="9"/>
        <color indexed="8"/>
        <rFont val="Arial"/>
        <family val="2"/>
        <charset val="238"/>
      </rPr>
      <t>P1+2+4+5</t>
    </r>
  </si>
  <si>
    <t>711193121/00</t>
  </si>
  <si>
    <t>711193131/00</t>
  </si>
  <si>
    <t>998711102/00</t>
  </si>
  <si>
    <t>Přesun hmot tonážní pro izolace proti vodě, vlhkosti a plynům v objektech výšky do 12 m</t>
  </si>
  <si>
    <r>
      <t xml:space="preserve">Izolace proti zemní vlhkosti na vodorovné ploše těsnicí kaší AQUAFIN 2K </t>
    </r>
    <r>
      <rPr>
        <i/>
        <sz val="9"/>
        <color indexed="8"/>
        <rFont val="Arial"/>
        <family val="2"/>
        <charset val="238"/>
      </rPr>
      <t xml:space="preserve"> - P4</t>
    </r>
  </si>
  <si>
    <r>
      <t xml:space="preserve">Izolace proti zemní vlhkosti na svislé ploše těsnicí kaší AQUAFIN 2K - </t>
    </r>
    <r>
      <rPr>
        <i/>
        <sz val="9"/>
        <color indexed="8"/>
        <rFont val="Arial"/>
        <family val="2"/>
        <charset val="238"/>
      </rPr>
      <t>vytažení 30cm na stěnu</t>
    </r>
  </si>
  <si>
    <t>((2,37+1,1+1,45+3,4-1,03+0,97+0,94+1,84+1,2+1,3+1,31+0,2+2,17+3,4+1,9)*2-0,7*4-0,8*6)*0,3</t>
  </si>
  <si>
    <t>762: Konstrukce tesařské</t>
  </si>
  <si>
    <t>762511282/00</t>
  </si>
  <si>
    <t>762810013/00</t>
  </si>
  <si>
    <t>762595001/00</t>
  </si>
  <si>
    <t>Spojovací prostředky pro položení dřevěných podlah a zakrytí kanálů</t>
  </si>
  <si>
    <t>762822110/00</t>
  </si>
  <si>
    <t>Montáž stropního trámu z hraněného řeziva průřezové plochy do 144 cm2 s výměnami</t>
  </si>
  <si>
    <t>998762102/00</t>
  </si>
  <si>
    <t>Přesun hmot tonážní pro kce tesařské v objektech v do 12 m</t>
  </si>
  <si>
    <t>762085811/00</t>
  </si>
  <si>
    <t>Demontáž kotevních želez hmotnosti do 5 kg</t>
  </si>
  <si>
    <t>762331813/00</t>
  </si>
  <si>
    <t>762331814/00</t>
  </si>
  <si>
    <t>762341811/00</t>
  </si>
  <si>
    <t>Demontáž bednění střech z prken</t>
  </si>
  <si>
    <t>762342811/00</t>
  </si>
  <si>
    <t>Demontáž laťování střech z latí osové vzdálenosti do 0,22 m</t>
  </si>
  <si>
    <t>762811811/00</t>
  </si>
  <si>
    <t>Demontáž záklopů stropů z hrubých prken tl do 32 mm</t>
  </si>
  <si>
    <t>762822830/00</t>
  </si>
  <si>
    <t>Demontáž stropních trámů z hraněného řeziva průřezové plochy do 450 cm2</t>
  </si>
  <si>
    <t>762841812/00</t>
  </si>
  <si>
    <r>
      <t xml:space="preserve">Podlahové kce podkladové dvouvrstvé z desek OSB tl 2x12 mm broušených na pero a drážku lepených  - </t>
    </r>
    <r>
      <rPr>
        <i/>
        <sz val="9"/>
        <color indexed="8"/>
        <rFont val="Arial"/>
        <family val="2"/>
        <charset val="238"/>
      </rPr>
      <t>dle podlah</t>
    </r>
  </si>
  <si>
    <r>
      <t xml:space="preserve">Záklop stropů z desek OSB tl 15 mm na sraz šroubovaných na trámy </t>
    </r>
    <r>
      <rPr>
        <i/>
        <sz val="9"/>
        <color indexed="8"/>
        <rFont val="Arial"/>
        <family val="2"/>
        <charset val="238"/>
      </rPr>
      <t xml:space="preserve"> - dle podlah</t>
    </r>
  </si>
  <si>
    <r>
      <t xml:space="preserve">Demontáž vázaných kcí krovů z hranolů průřezové plochy do 288 cm2  </t>
    </r>
    <r>
      <rPr>
        <i/>
        <sz val="9"/>
        <color indexed="8"/>
        <rFont val="Arial"/>
        <family val="2"/>
        <charset val="238"/>
      </rPr>
      <t>- sloupky+pásky 150/150 mm =57bm</t>
    </r>
  </si>
  <si>
    <r>
      <t>Demontáž vázaných kcí krovů z hranolů průřezové plochy do 450 cm2</t>
    </r>
    <r>
      <rPr>
        <i/>
        <sz val="9"/>
        <color indexed="8"/>
        <rFont val="Arial"/>
        <family val="2"/>
        <charset val="238"/>
      </rPr>
      <t xml:space="preserve"> - vaznice,vaz.trámy 180/220mm = 174mb</t>
    </r>
  </si>
  <si>
    <r>
      <t xml:space="preserve">Dtto , ale krokve,kleštiny pro další použití  </t>
    </r>
    <r>
      <rPr>
        <i/>
        <sz val="9"/>
        <color indexed="8"/>
        <rFont val="Arial"/>
        <family val="2"/>
        <charset val="238"/>
      </rPr>
      <t>- 150/150 mm =145 bm</t>
    </r>
  </si>
  <si>
    <t>odhadem 40% z 41,21+17,3 m2</t>
  </si>
  <si>
    <t>4,8*3+(3,78+2,74+1,28+0,53+3,04+0,71+0,3)*3+2,4+3,95</t>
  </si>
  <si>
    <r>
      <t xml:space="preserve">Demontáž podbíjení obkladů stropů a střech sklonu do 60° z hrubých prken s omítkou </t>
    </r>
    <r>
      <rPr>
        <i/>
        <sz val="9"/>
        <color indexed="8"/>
        <rFont val="Arial"/>
        <family val="2"/>
        <charset val="238"/>
      </rPr>
      <t>- podhled</t>
    </r>
  </si>
  <si>
    <t>762112000</t>
  </si>
  <si>
    <t>HSV</t>
  </si>
  <si>
    <t>Tesařské konstr.</t>
  </si>
  <si>
    <t>Vnitrostaveništní doprava suti a vybouraných hmot pro budovy v do 6 m s omezením mechanizace - 50%</t>
  </si>
  <si>
    <t>Vnitrostaveništní doprava suti a vybouraných hmot pro budovy v do 6 m ručně - 50%</t>
  </si>
  <si>
    <t>762001</t>
  </si>
  <si>
    <r>
      <t>Vyřezání otvoru v roubené stěně</t>
    </r>
    <r>
      <rPr>
        <i/>
        <sz val="9"/>
        <color indexed="8"/>
        <rFont val="Arial"/>
        <family val="2"/>
        <charset val="238"/>
      </rPr>
      <t xml:space="preserve"> tl.307 mm- 1,11*2,3</t>
    </r>
  </si>
  <si>
    <t>612821012/00</t>
  </si>
  <si>
    <t>Vnitřní sanační štuková omítka pro vlhké a zasolené zdivo prováděná ručně</t>
  </si>
  <si>
    <t>612821051/00</t>
  </si>
  <si>
    <t>Příplatek k vnitřní sanační omítce pro vlhké zdivo ZKD 10 mm omítky prováděné ručně ve více vrstvách</t>
  </si>
  <si>
    <t>611325422/00</t>
  </si>
  <si>
    <t>Oprava vnitřní vápenocementové štukové omítky stropů v rozsahu plochy do 30%</t>
  </si>
  <si>
    <t>612325422/00</t>
  </si>
  <si>
    <t>Oprava vnitřní vápenocementové štukové omítky stěn v rozsahu plochy do 30%</t>
  </si>
  <si>
    <t>612631011/00</t>
  </si>
  <si>
    <r>
      <t xml:space="preserve">Spárování spárovací maltou vnitřních pohledových ploch stěn z  kamene </t>
    </r>
    <r>
      <rPr>
        <i/>
        <sz val="9"/>
        <color indexed="8"/>
        <rFont val="Arial"/>
        <family val="2"/>
        <charset val="238"/>
      </rPr>
      <t>- pískovec</t>
    </r>
  </si>
  <si>
    <t>612311141/00</t>
  </si>
  <si>
    <t>Vápenná omítka štuková dvouvrstvá vnitřních stěn nanášená ručně</t>
  </si>
  <si>
    <t>985131311/00</t>
  </si>
  <si>
    <t>Pískovcové stěny =60 roubené = 49</t>
  </si>
  <si>
    <t>Ruční dočištění ploch stěn ocelových kartáči</t>
  </si>
  <si>
    <t>981011316/00</t>
  </si>
  <si>
    <t>978011141/00</t>
  </si>
  <si>
    <t>Otlučení vnitřní vápenné nebo vápenocementové omítky stropů v rozsahu do 30 %</t>
  </si>
  <si>
    <t>978013141/00</t>
  </si>
  <si>
    <t>Otlučení vnitřní vápenné nebo vápenocementové omítky stěn v rozsahu do 30 %</t>
  </si>
  <si>
    <t xml:space="preserve">Demolice budov zděných na MVC podíl konstrukcí do 35 % postupným rozebíráním </t>
  </si>
  <si>
    <t>přístavek</t>
  </si>
  <si>
    <t>2,32*2,01*(2,5+0,3)</t>
  </si>
  <si>
    <t>978013191/00</t>
  </si>
  <si>
    <t>Otlučení vnitřní vápenné nebo vápenocementové omítky stěn v rozsahu do 100 %</t>
  </si>
  <si>
    <t>612600000</t>
  </si>
  <si>
    <r>
      <t xml:space="preserve">Vyspravení spárování (vymazávka hlínou), nátěr dřeva </t>
    </r>
    <r>
      <rPr>
        <i/>
        <sz val="9"/>
        <color indexed="8"/>
        <rFont val="Arial"/>
        <family val="2"/>
        <charset val="238"/>
      </rPr>
      <t>- Roubené stěny</t>
    </r>
  </si>
  <si>
    <t>Krytiny</t>
  </si>
  <si>
    <t>712631111/00</t>
  </si>
  <si>
    <t>712631101/00</t>
  </si>
  <si>
    <r>
      <t xml:space="preserve">Provedení povlakové krytiny střech přes 30° podkladní vrstvy pásy na sucho samolepící - </t>
    </r>
    <r>
      <rPr>
        <i/>
        <sz val="9"/>
        <color indexed="8"/>
        <rFont val="Arial"/>
        <family val="2"/>
        <charset val="238"/>
      </rPr>
      <t>parozábrana</t>
    </r>
  </si>
  <si>
    <r>
      <t xml:space="preserve">Provedení povlakové krytiny střech přes 30° pásy na sucho AIP nebo NAIP </t>
    </r>
    <r>
      <rPr>
        <i/>
        <sz val="9"/>
        <color indexed="8"/>
        <rFont val="Arial"/>
        <family val="2"/>
        <charset val="238"/>
      </rPr>
      <t>- pojistná</t>
    </r>
  </si>
  <si>
    <t>712001</t>
  </si>
  <si>
    <t>712002</t>
  </si>
  <si>
    <t>Dodávka difuzně propustná folie (faktor odporu 105,210 g/m2)</t>
  </si>
  <si>
    <t>Dodávka samolepicí pás z modif.asfaltu s AL vložkou</t>
  </si>
  <si>
    <t>998712102/00</t>
  </si>
  <si>
    <t>Přesun hmot tonážní tonážní pro krytiny povlakové v objektech v do 12 m</t>
  </si>
  <si>
    <t>Dodávka izolace PIR 140 mm, pero/drážka (2400x1200 mm)</t>
  </si>
  <si>
    <t>713151154/00</t>
  </si>
  <si>
    <t>Montáž izolace tepelné střech šikmých přišroubované nad krokve z desek sklonu do 30° tl do 140 mm</t>
  </si>
  <si>
    <t>762341260/00</t>
  </si>
  <si>
    <t>762342214/00</t>
  </si>
  <si>
    <t>Montáž laťování na střechách jednoduchých sklonu do 60° osové vzdálenosti do 360 mm</t>
  </si>
  <si>
    <t>762342441/00</t>
  </si>
  <si>
    <r>
      <t>Montáž bednění střech rovných a šikmých sklonu do 60° z palubek</t>
    </r>
    <r>
      <rPr>
        <i/>
        <sz val="9"/>
        <color indexed="8"/>
        <rFont val="Arial"/>
        <family val="2"/>
        <charset val="238"/>
      </rPr>
      <t xml:space="preserve"> - záklop střechy</t>
    </r>
  </si>
  <si>
    <t>Montáž kontralatí na střechách sklonu do 60°</t>
  </si>
  <si>
    <t>Dodávka latí 60/40 mm impegnovaných</t>
  </si>
  <si>
    <t>763: Konstrukce montované</t>
  </si>
  <si>
    <t>765: Krytiny tvrdé</t>
  </si>
  <si>
    <t>765133001/00</t>
  </si>
  <si>
    <t>Krytina vláknocementová sklonu do 30° skládaná ze šablon s povrchem hladkým</t>
  </si>
  <si>
    <t>765133091/00</t>
  </si>
  <si>
    <t>Příplatek k cenám vláknocementové krytiny ze šablon na laťování</t>
  </si>
  <si>
    <t>765133011/00</t>
  </si>
  <si>
    <t>Okapová hrana vláknocementové krytiny jednoduché krytí ze šablon povrchem hladkým</t>
  </si>
  <si>
    <t>765133021/00</t>
  </si>
  <si>
    <t>Nároží vláknocementové krytiny jednoduché ze šablon povrchem hladkým</t>
  </si>
  <si>
    <t>765133029/00</t>
  </si>
  <si>
    <t>Nároží vláknocementové krytiny z hřebenáčů s větracím pásem</t>
  </si>
  <si>
    <t>765133043/00</t>
  </si>
  <si>
    <t>Úžlabí vláknocementové krytiny vložené ze šablon s povrchem hladkým</t>
  </si>
  <si>
    <t>998765102/00</t>
  </si>
  <si>
    <t>Přesun hmot tonážní pro krytiny skládané v objektech v do 12 m</t>
  </si>
  <si>
    <t>765131801/00</t>
  </si>
  <si>
    <t>Demontáž vláknocementové skládané krytiny sklonu do 30° do suti</t>
  </si>
  <si>
    <t>765131821/00</t>
  </si>
  <si>
    <t>Demontáž hřebene nebo nároží z hřebenáčů vláknocementové skládané krytiny sklonu do 30° do suti</t>
  </si>
  <si>
    <t>765162801/00</t>
  </si>
  <si>
    <t>Demontáž krytiny z dřevěných šindelů sklon do 45° do suti</t>
  </si>
  <si>
    <t>763153000</t>
  </si>
  <si>
    <t>765151801/00</t>
  </si>
  <si>
    <t>Demontáž krytiny bitumenové ze šindelů do suti</t>
  </si>
  <si>
    <t>22,7+2,93+2,1+15,03</t>
  </si>
  <si>
    <t>(2,4*2+3,8*2+1,4*2)*1,61</t>
  </si>
  <si>
    <t>24,47+18,5+5,2+4,3</t>
  </si>
  <si>
    <t>(4,2+6,3)*1,6</t>
  </si>
  <si>
    <t>771: Podlahy z dlaždic</t>
  </si>
  <si>
    <t>771531047/00</t>
  </si>
  <si>
    <t>Montáž podlahy z cihelných dlaždic lepením flexibilním lepidlem do 25 ks/m2</t>
  </si>
  <si>
    <t>771531105/00</t>
  </si>
  <si>
    <t>Příplatek k cenám montáže podlahy z cihelných dlaždic za dvojnásobný ochranný voskový nátěr</t>
  </si>
  <si>
    <t>771591185/00</t>
  </si>
  <si>
    <t>Podlahy řezání keramických dlaždic rovné</t>
  </si>
  <si>
    <t>998771102/00</t>
  </si>
  <si>
    <t>Přesun hmot tonážní pro podlahy z dlaždic v objektech v do 12 m</t>
  </si>
  <si>
    <t>771574112/00</t>
  </si>
  <si>
    <t>Montáž podlah keramických režných hladkých lepených flexibilním lepidlem do 9 ks/m2</t>
  </si>
  <si>
    <t>771474113/00</t>
  </si>
  <si>
    <t>Montáž soklíků z dlaždic keramických rovných flexibilní lepidlo v do 120 mm</t>
  </si>
  <si>
    <t>Nová prosklená stěna“euro“ se vstupními dveřmi 3300/2950 mm označ.O1</t>
  </si>
  <si>
    <t>Nová prosklená stěna “euro“ se vstupními dveřmi 2870/2460 mm označ.O2</t>
  </si>
  <si>
    <t>Nové okno “euro“ jednokřídlé 740/670 mm označ.O3</t>
  </si>
  <si>
    <t>Nové okno “euro“ jednokřídlé 530/670 mm označ.O4</t>
  </si>
  <si>
    <t>Nové dvojité špaletové dřevěné okno jednokřídlé 570/1100 mm označ.O6</t>
  </si>
  <si>
    <t>Nové dvojkřídlé vstupní dveře 1185/1890 mm označ.O7</t>
  </si>
  <si>
    <t>ks</t>
  </si>
  <si>
    <t xml:space="preserve">Nové dvojité špaletové dřevěné okno dvoukřídlé 990/1100 mm označ.O8  </t>
  </si>
  <si>
    <t>Nové dvojité špaletové dřevěné okno dvoukřídlé 1100/1560 mm označ.O9</t>
  </si>
  <si>
    <t>Nové vstupní dveře 1080/2000 mm do stáv.dřev.zárubně označ.O10</t>
  </si>
  <si>
    <t>Doplnění stávajícího jednokřídlého okna 300/840 mm druhým vnitřním oknem označ.O11</t>
  </si>
  <si>
    <t>Doplnění stávajícího jednokřídlého okna 850/880 mm druhým vnitřním oknem označ.O12</t>
  </si>
  <si>
    <t>Repase - dvojité špaletové dřevěné okno dvoukřídlé 950/1250 mm označ.O19</t>
  </si>
  <si>
    <t>Repase - dvojité špaletové dřevěné okno dvoukřídlé 970/1250 mm označ.O20</t>
  </si>
  <si>
    <t>Nové okno dvoukřídlé okno obloukové 1200/600 mm označ.O22</t>
  </si>
  <si>
    <t>Nové dvoukřídlé okno 700/900 mm označ.O23</t>
  </si>
  <si>
    <t>Nové dvojité špaletové dřevěné okno dvoukřídlé 900/1230 mm označ.O18</t>
  </si>
  <si>
    <t>Nové dvojité špaletové dřevěné okno dvoukřídlé 920/1250 mm označ.O17</t>
  </si>
  <si>
    <t>Nové dvojité špaletové dřevěné okno dvoukřídlé 1030/1380 mm označ.O16</t>
  </si>
  <si>
    <t>Nové okno “euro“ jednokřídlé 1100/1450 mm označ.O13</t>
  </si>
  <si>
    <t>Nové okno “euro“ jednokřídlé 700/800 mm označ.O14</t>
  </si>
  <si>
    <t>Nové dvojité špaletové dřevěné okno dvoukřídlé 1040/1170 mm označ.O15</t>
  </si>
  <si>
    <t>Nová prosklená stěna“euro“ se vstupními dveřmi 3100/2950 mm označ.O5</t>
  </si>
  <si>
    <t>Nové okno s pevným zasklením 1800/2400 mm označ.O21</t>
  </si>
  <si>
    <t>763111421/00</t>
  </si>
  <si>
    <t>SDK příčka tl 100 mm profil CW+UW 50 desky 2xDF 12,5 TI 40 mm EI 90 Rw 50 dB</t>
  </si>
  <si>
    <t>763111441/00</t>
  </si>
  <si>
    <t>SDK příčka tl 100 mm profil CW+UW 50 desky 2xH2DF 12,5 TI 40 mm EI 90 Rw 50 dB</t>
  </si>
  <si>
    <t>763111445/00</t>
  </si>
  <si>
    <t>SDK příčka tl 125 mm profil CW+UW 75 desky 2xH2DF 12,5 TI 40 mm 100 kg/m3 EI 90 Rw 53 dB</t>
  </si>
  <si>
    <t>763121473/00</t>
  </si>
  <si>
    <t>SDK stěna předsazená tl 130 mm profil CW+UW 75 desky 2xH2DF 15 bez TI EI 60</t>
  </si>
  <si>
    <t>763131411/00</t>
  </si>
  <si>
    <t>SDK podhled desky 1xA 12,5 bez TI dvouvrstvá spodní kce profil CD+UD</t>
  </si>
  <si>
    <t>998763302/00</t>
  </si>
  <si>
    <t>Přesun hmot tonážní pro sádrokartonové konstrukce v objektech v do 12 m</t>
  </si>
  <si>
    <t>SDK příčka mezibytová tl 205 mm zdvojený profil CW+UW 75 desky 2xDF 12,5 TI 60+60 mm EI 90 Rw 64 dB</t>
  </si>
  <si>
    <t>763112325/sr</t>
  </si>
  <si>
    <t>SDK příčka tl 150 mm profil CW+UW 100 desky 2xH2DF 12,5 TI 60 mm EI 90 Rw 55 dB</t>
  </si>
  <si>
    <t>763111447/sr</t>
  </si>
  <si>
    <t>763112315/sr</t>
  </si>
  <si>
    <t>SDK příčka mezibytová tl 185 mm zdvojený profil CW+UW 75 desky 2xA 12,5 TI 50+50 mm EI 60 Rw 64 dB</t>
  </si>
  <si>
    <t>sdk podhled</t>
  </si>
  <si>
    <t>SDK deska  tl 12,5 mm na podsyp Liaporem 1-4/500 tl.40 mm  - podlaha P9</t>
  </si>
  <si>
    <t>Střešní okno 780/1180 mm označ.O24+25</t>
  </si>
  <si>
    <t>Parapet vnitřní dřevěný, spárovka,  š = 220 mm, tl. 24 mm dl.570 mm    O6</t>
  </si>
  <si>
    <t>Dtto,ale š = 350 mm, tl. 24 mm  dl. 1100 mm O8</t>
  </si>
  <si>
    <t>Dtto,ale š = 220 mm, tl. 24 mm  dl. 1100 mm O9</t>
  </si>
  <si>
    <t>Dtto,ale š = 50 mm, tl. 24 mm  dl. 300 mm O11</t>
  </si>
  <si>
    <t>Dtto,ale š = 50 mm, tl. 24 mm  dl. 850 mm O12</t>
  </si>
  <si>
    <t>Dtto,ale š = 270 mm, tl. 24 mm  dl. 1100 mm O13</t>
  </si>
  <si>
    <t>Dtto,ale š = 270 mm, tl. 24 mm  dl. 700 mm O14</t>
  </si>
  <si>
    <t>Dtto,ale š = 200 mm, tl. 24 mm  dl. 1040 mm O15</t>
  </si>
  <si>
    <t>Dtto,ale š = 200 mm, tl. 24 mm  dl. 1030 mm O16</t>
  </si>
  <si>
    <t>Dtto,ale š = 260 mm, tl. 24 mm  dl. 920 mm O17</t>
  </si>
  <si>
    <t>Dtto,ale š = 50 mm, tl. 24 mm  dl. 900 mm O18</t>
  </si>
  <si>
    <t>Dtto,ale š = 400 mm, tl. 24 mm  dl. 1800 mm O21</t>
  </si>
  <si>
    <t>Dtto,ale š = 250 mm, tl. 24 mm  dl. 1200 mm O22</t>
  </si>
  <si>
    <t>Dtto,ale š = 150 mm, tl. 24 mm  dl. 1700 mm O23</t>
  </si>
  <si>
    <t>Sestava 2x střešní okno 780/1180 mm označ.O24+25</t>
  </si>
  <si>
    <r>
      <rPr>
        <b/>
        <i/>
        <sz val="9"/>
        <color theme="1"/>
        <rFont val="Arial"/>
        <family val="2"/>
        <charset val="238"/>
      </rPr>
      <t xml:space="preserve">Jednotková cena = </t>
    </r>
    <r>
      <rPr>
        <i/>
        <sz val="9"/>
        <color theme="1"/>
        <rFont val="Arial"/>
        <family val="2"/>
        <charset val="238"/>
      </rPr>
      <t>kompletní cena za dodávku,montáž či osazení včetně všech nutných pomocných konstrukcí ,prací a přesunů.</t>
    </r>
  </si>
  <si>
    <t>Podrobná specifikace prvku je uvedená v příslušné tabulce výrobků.</t>
  </si>
  <si>
    <t xml:space="preserve">766: Konstrukce truhlářské </t>
  </si>
  <si>
    <t>Základové patky,pásy z betonu tř. C 20/25</t>
  </si>
  <si>
    <t>275362021/00</t>
  </si>
  <si>
    <t>Výztuž základových patek svařovanými sítěmi Kari</t>
  </si>
  <si>
    <t>Zřízení bednění stěn základových patek,pasů</t>
  </si>
  <si>
    <t>Odstranění bednění stěn základových patek, pasů</t>
  </si>
  <si>
    <t>03   0,74*0,67</t>
  </si>
  <si>
    <t>04   3,1*2,95 stě</t>
  </si>
  <si>
    <t>06   0,57*1,1</t>
  </si>
  <si>
    <t>07   1,185*1,89 d</t>
  </si>
  <si>
    <t>08   0,99*1,11*3  d</t>
  </si>
  <si>
    <t>09   1,1*1,56*5</t>
  </si>
  <si>
    <t>010 1,08*2  d</t>
  </si>
  <si>
    <t>015  1,04*1,17*2</t>
  </si>
  <si>
    <t>016  1,03*1,38*3</t>
  </si>
  <si>
    <t>017  0,92*1,25*3</t>
  </si>
  <si>
    <t>018  0,9*1,23*2</t>
  </si>
  <si>
    <t>022  1,1*0,6</t>
  </si>
  <si>
    <t>023  0,7*0,9*2</t>
  </si>
  <si>
    <t>stěna</t>
  </si>
  <si>
    <t>dv</t>
  </si>
  <si>
    <r>
      <t>Vybourání dřevěných rámů oken dvojitých včetně křídel pl do 4 m2</t>
    </r>
    <r>
      <rPr>
        <i/>
        <sz val="9"/>
        <color indexed="8"/>
        <rFont val="Arial"/>
        <family val="2"/>
        <charset val="238"/>
      </rPr>
      <t xml:space="preserve"> - stěna</t>
    </r>
  </si>
  <si>
    <t>713131141/00</t>
  </si>
  <si>
    <t>713291222/00</t>
  </si>
  <si>
    <t>Montáž izolace tepelné parotěsné zábrany stěn a sloupů fólií</t>
  </si>
  <si>
    <t>713006</t>
  </si>
  <si>
    <t>Dodávka - Difuzní fólie Guttafol DO 135 Plus</t>
  </si>
  <si>
    <t>713007</t>
  </si>
  <si>
    <t>Dodávka - Polyethylenová fólie armovaná výztužnou mřížkou</t>
  </si>
  <si>
    <t>998713102/00</t>
  </si>
  <si>
    <t>Přesun hmot tonážní tonážní pro izolace tepelné v objektech v do 12 m</t>
  </si>
  <si>
    <t>766417211/00</t>
  </si>
  <si>
    <t>Montáž obložení stěn podkladového roštu</t>
  </si>
  <si>
    <t>766412214/sr</t>
  </si>
  <si>
    <t>Montáž obložení stěn plochy přes 1 m2 prkny z měkkého dřeva přes 100 mm</t>
  </si>
  <si>
    <t>76660001</t>
  </si>
  <si>
    <t>Dodávka obkladu z prken SM jemně řezaná tl.25mm š.min.180 mm</t>
  </si>
  <si>
    <t>Dodávka prken SM tl.25mm š.100 mm</t>
  </si>
  <si>
    <t>Dodávka latí SM 40/60 mm</t>
  </si>
  <si>
    <t>775: Podlahy dřevěné</t>
  </si>
  <si>
    <t>775530003/00</t>
  </si>
  <si>
    <t>775591411/00</t>
  </si>
  <si>
    <t>Podlahy dřevěné, nátěr olejem a voskování</t>
  </si>
  <si>
    <t>998775102/00</t>
  </si>
  <si>
    <t>Přesun hmot tonážní pro podlahy dřevěné v objektech v do 12 m</t>
  </si>
  <si>
    <t>781: Obklady keramické</t>
  </si>
  <si>
    <t>781474119/00</t>
  </si>
  <si>
    <t>Montáž obkladů vnitřních keramických hladkých do 85 ks/m2 lepených flexibilním lepidlem</t>
  </si>
  <si>
    <t>781494511/00</t>
  </si>
  <si>
    <t>Plastové profily ukončovací lepené flexibilním lepidlem</t>
  </si>
  <si>
    <t>781495141/00</t>
  </si>
  <si>
    <t>Průnik obkladem kruhový do DN 30 bez izolace</t>
  </si>
  <si>
    <t>781495185/00</t>
  </si>
  <si>
    <t>Řezání rovné keramických obkládaček</t>
  </si>
  <si>
    <t>781674113/00</t>
  </si>
  <si>
    <t>Montáž obkladů parapetů šířky do 200 mm z dlaždic keramických lepených flexibilním lepidlem</t>
  </si>
  <si>
    <t>998781102/00</t>
  </si>
  <si>
    <t>Přesun hmot tonážní pro obklady keramické v objektech v do 12 m</t>
  </si>
  <si>
    <r>
      <t xml:space="preserve">Montáž podlahy masivní z palubek celoplošně lepených šířky do 120 mm  </t>
    </r>
    <r>
      <rPr>
        <i/>
        <sz val="9"/>
        <color indexed="8"/>
        <rFont val="Arial"/>
        <family val="2"/>
        <charset val="238"/>
      </rPr>
      <t xml:space="preserve"> - dle podlah</t>
    </r>
  </si>
  <si>
    <t>775001</t>
  </si>
  <si>
    <t>781001</t>
  </si>
  <si>
    <t>Dodávka obkladu 100/100 mm bílý</t>
  </si>
  <si>
    <t>978015341/00</t>
  </si>
  <si>
    <r>
      <t xml:space="preserve">Otlučení vnější vápenné nebo vápenocementové vnější omítky stupně členitosti 1 a 2 rozsahu do 30% </t>
    </r>
    <r>
      <rPr>
        <i/>
        <sz val="9"/>
        <color indexed="8"/>
        <rFont val="Arial"/>
        <family val="2"/>
        <charset val="238"/>
      </rPr>
      <t>- F1</t>
    </r>
  </si>
  <si>
    <t>978015391/00</t>
  </si>
  <si>
    <t>Rekapitulace nákladů</t>
  </si>
  <si>
    <t>764: Konstrukce klempířské</t>
  </si>
  <si>
    <t>766: Konstrukce truhlářské</t>
  </si>
  <si>
    <t>767: Konstrukce zámečnické</t>
  </si>
  <si>
    <t>783: Nátěry</t>
  </si>
  <si>
    <t>784: Malby</t>
  </si>
  <si>
    <t>731 : Ústřední vytápění</t>
  </si>
  <si>
    <t>751 : Vzduchotechnika</t>
  </si>
  <si>
    <t>součet A</t>
  </si>
  <si>
    <t>Vedlejší náklady</t>
  </si>
  <si>
    <t>V03: Zařízení staveniště</t>
  </si>
  <si>
    <t>V04: Kompletační činnost</t>
  </si>
  <si>
    <t>součet B</t>
  </si>
  <si>
    <t>Celkem (bez DPH)  A + B</t>
  </si>
  <si>
    <t>DPH 21%</t>
  </si>
  <si>
    <t>Celkem včetně  DPH</t>
  </si>
  <si>
    <t>Stavba : Vzdělávání aktivně par.č.153,284,285/1 k.ú. Brniště</t>
  </si>
  <si>
    <t>Investor : ZOD Brniště a.s.  Jáchymov 1</t>
  </si>
  <si>
    <t>771001</t>
  </si>
  <si>
    <t>Dodávka Ruční cihelná dlažba</t>
  </si>
  <si>
    <t>771002</t>
  </si>
  <si>
    <t>Dodávka Slinutá dlažba 600x600 mm  tl.10 mm</t>
  </si>
  <si>
    <t>763131471/00</t>
  </si>
  <si>
    <t>SDK podhled deska 1xH2DF 12,5 bez TI dvouvrstvá spodní kce profil CD+UD</t>
  </si>
  <si>
    <r>
      <t>SDK stěna předsazená tl 65 mm profil CW+UW 50 deska 2xA 12,5 bez TI EI 15</t>
    </r>
    <r>
      <rPr>
        <i/>
        <sz val="9"/>
        <color indexed="8"/>
        <rFont val="Arial"/>
        <family val="2"/>
        <charset val="238"/>
      </rPr>
      <t xml:space="preserve"> - předstěna v podkroví</t>
    </r>
  </si>
  <si>
    <t>763121411/sr</t>
  </si>
  <si>
    <t>Nové svlakové dveře do původního kamenného ostění 1050/1860 mm  označ.D7</t>
  </si>
  <si>
    <t>Dtto , ale 1030/1820 mm označ.D9</t>
  </si>
  <si>
    <t>Nové svlakové dveře replika,tesař.zárubeň 860/1800 mm  označ.D10</t>
  </si>
  <si>
    <t>Nové jednokřídlé dveře 700/1970 mm  označ.D17</t>
  </si>
  <si>
    <t>Nové svlakové dveře tesař.zárubeň 800/1970 mm  označ.D18</t>
  </si>
  <si>
    <t>Nové jednokřídlé dveře 800/1970 mm  označ.D19</t>
  </si>
  <si>
    <t>Nové jednokřídlé dveře 900/1970 mm  označ.D20</t>
  </si>
  <si>
    <t>Nové jednokřídlé dveře 800/1970 mm  označ.D1+D2</t>
  </si>
  <si>
    <t>Nové jednokřídlé dveře 800/1970 mm  označ.D3+D4</t>
  </si>
  <si>
    <t>Nové jednokřídlé dveře 700/1970 mm  označ.D5+D6</t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</si>
  <si>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750/1850 mm  </t>
    </r>
    <r>
      <rPr>
        <sz val="9"/>
        <color theme="1"/>
        <rFont val="Arial"/>
        <family val="2"/>
        <charset val="238"/>
      </rPr>
      <t>označ.D11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</si>
  <si>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800/1960 mm  </t>
    </r>
    <r>
      <rPr>
        <sz val="9"/>
        <color theme="1"/>
        <rFont val="Arial"/>
        <family val="2"/>
        <charset val="238"/>
      </rPr>
      <t>označ.D13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</si>
  <si>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1020/1860 mm  </t>
    </r>
    <r>
      <rPr>
        <sz val="9"/>
        <color theme="1"/>
        <rFont val="Arial"/>
        <family val="2"/>
        <charset val="238"/>
      </rPr>
      <t>označ.D12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</si>
  <si>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svlakové dveře 895/1780 mm  </t>
    </r>
    <r>
      <rPr>
        <sz val="9"/>
        <color theme="1"/>
        <rFont val="Arial"/>
        <family val="2"/>
        <charset val="238"/>
      </rPr>
      <t>označ.D14</t>
    </r>
  </si>
  <si>
    <t xml:space="preserve">767: Konstrukce zámečnické </t>
  </si>
  <si>
    <t>7670001</t>
  </si>
  <si>
    <t>Difuzní folie +parotěsná folie =126*2m2+parotěsná folie SDK přestěny 137,5m2</t>
  </si>
  <si>
    <t>9970000</t>
  </si>
  <si>
    <t>kpl</t>
  </si>
  <si>
    <r>
      <t xml:space="preserve">Příplatek k lešení řadovému trubkovému lehkému s podlahami š 0,9 m v 10 m za první a ZKD den použití  </t>
    </r>
    <r>
      <rPr>
        <i/>
        <sz val="9"/>
        <color indexed="8"/>
        <rFont val="Arial"/>
        <family val="2"/>
        <charset val="238"/>
      </rPr>
      <t>50dnů</t>
    </r>
  </si>
  <si>
    <t>Likvidace azbestové krytinay dle příslušného předpisu</t>
  </si>
  <si>
    <t>622211021/00</t>
  </si>
  <si>
    <t>622252001/00</t>
  </si>
  <si>
    <t>Montáž zakládacích soklových lišt kontaktního zateplení</t>
  </si>
  <si>
    <t>622252002/00</t>
  </si>
  <si>
    <t>Montáž ostatních lišt kontaktního zateplení</t>
  </si>
  <si>
    <t>629991011/00</t>
  </si>
  <si>
    <t>Zakrytí výplní otvorů a svislých ploch fólií přilepenou lepící páskou</t>
  </si>
  <si>
    <t>622325312/00</t>
  </si>
  <si>
    <r>
      <t xml:space="preserve">Oprava vnější vápenocementové štukové omítky složitosti 2 v rozsahu do 30%  - </t>
    </r>
    <r>
      <rPr>
        <i/>
        <sz val="9"/>
        <color indexed="8"/>
        <rFont val="Arial"/>
        <family val="2"/>
        <charset val="238"/>
      </rPr>
      <t>F1</t>
    </r>
  </si>
  <si>
    <t>622001</t>
  </si>
  <si>
    <t>622002</t>
  </si>
  <si>
    <t>622003</t>
  </si>
  <si>
    <t xml:space="preserve">Dodávka soklová lišta Al s okapničkou 12cm </t>
  </si>
  <si>
    <t>Dodávka ukončovací profil omítky zateplení, pro omítky 3mm</t>
  </si>
  <si>
    <t>629900000</t>
  </si>
  <si>
    <t>784211101/00</t>
  </si>
  <si>
    <t>Dvojnásobné bílé malby ze směsí za mokra otěruvzdorných v místnostech výšky do 3,80 m</t>
  </si>
  <si>
    <t>783827427/00</t>
  </si>
  <si>
    <r>
      <t xml:space="preserve">Krycí dvojnásobný vápenný nátěr omítek stupně členitosti 1 a 2  </t>
    </r>
    <r>
      <rPr>
        <i/>
        <sz val="9"/>
        <color indexed="8"/>
        <rFont val="Arial"/>
        <family val="2"/>
        <charset val="238"/>
      </rPr>
      <t>F1+F2</t>
    </r>
  </si>
  <si>
    <t>762332131/00</t>
  </si>
  <si>
    <t>Montáž vázaných kcí krovů pravidelných z hraněného řeziva průřezové plochy do 120 cm2</t>
  </si>
  <si>
    <t>762332132/00</t>
  </si>
  <si>
    <t>Montáž vázaných kcí krovů pravidelných z hraněného řeziva průřezové plochy do 224 cm2</t>
  </si>
  <si>
    <t>762332133/00</t>
  </si>
  <si>
    <t>Montáž vázaných kcí krovů pravidelných z hraněného řeziva průřezové plochy do 288 cm2</t>
  </si>
  <si>
    <t>762332134/00</t>
  </si>
  <si>
    <t>Montáž vázaných kcí krovů pravidelných z hraněného řeziva průřezové plochy do 450 cm2</t>
  </si>
  <si>
    <t>762332135/00</t>
  </si>
  <si>
    <t>Montáž vázaných kcí krovů pravidelných z hraněného řeziva průřezové plochy přes 450 cm2</t>
  </si>
  <si>
    <t>762002</t>
  </si>
  <si>
    <t>Dodávka hranolů 80/80 mm</t>
  </si>
  <si>
    <t>Dodávka hranolů KVH  120/160 mm</t>
  </si>
  <si>
    <t>bm</t>
  </si>
  <si>
    <t>762003</t>
  </si>
  <si>
    <t>441171131/00</t>
  </si>
  <si>
    <t>Montáž ocelových kcí zastřešení vazníky nebo krovy hmotnosti prvku do 80 kg/m dl do 12 m</t>
  </si>
  <si>
    <t>441171133/00</t>
  </si>
  <si>
    <t>Montáž ocelových kcí zastřešení vazníky nebo krovy hmotnosti prvku do 80 kg/m dl do 24 m</t>
  </si>
  <si>
    <t>413941123/00</t>
  </si>
  <si>
    <t>Osazování ocelových válcovaných nosníků stropů I, IE, U, UE nebo L do č. 22</t>
  </si>
  <si>
    <t>413941125/00</t>
  </si>
  <si>
    <t>Osazování ocelových válcovaných nosníků stropů I, IE, U, UE nebo L č. 24 a vyšší</t>
  </si>
  <si>
    <t>441001</t>
  </si>
  <si>
    <r>
      <t xml:space="preserve">Dodávka ocel.konstrukcí z válcovaných nosníků </t>
    </r>
    <r>
      <rPr>
        <i/>
        <sz val="9"/>
        <color indexed="8"/>
        <rFont val="Arial"/>
        <family val="2"/>
        <charset val="238"/>
      </rPr>
      <t>- NO1-5</t>
    </r>
  </si>
  <si>
    <t>Stropní ocelový nosník HEA 220</t>
  </si>
  <si>
    <t>Stropní ocelový nosník HEA 240</t>
  </si>
  <si>
    <t>Stropní ocelový nosník IPE 140</t>
  </si>
  <si>
    <t>441002</t>
  </si>
  <si>
    <t>441003</t>
  </si>
  <si>
    <t>953946121/00</t>
  </si>
  <si>
    <r>
      <t xml:space="preserve">Montáž atypických ocelových kcí hmotnosti do 1 t z profilů hmotnosti do 30 kg/m </t>
    </r>
    <r>
      <rPr>
        <i/>
        <sz val="9"/>
        <color indexed="8"/>
        <rFont val="Arial"/>
        <family val="2"/>
        <charset val="238"/>
      </rPr>
      <t>- konstrukce sloupů SLO1 - 06</t>
    </r>
  </si>
  <si>
    <t>953001</t>
  </si>
  <si>
    <t>Dodávka ocel.konstrukce sloupů</t>
  </si>
  <si>
    <t>762081150/00</t>
  </si>
  <si>
    <t>Hoblování hraněného řeziva ve staveništní dílně</t>
  </si>
  <si>
    <t>762083111/00</t>
  </si>
  <si>
    <t>Impregnace řeziva proti dřevokaznému hmyzu a houbám máčením třída ohrožení 1 a 2</t>
  </si>
  <si>
    <t>762081410/00</t>
  </si>
  <si>
    <t>Vícestranné hoblování hraněného řeziva na staveništi</t>
  </si>
  <si>
    <t>762395000/00</t>
  </si>
  <si>
    <t>Spojovací prostředky pro montáž krovu, bednění, laťování, světlíky, klíny</t>
  </si>
  <si>
    <t>783228111/00</t>
  </si>
  <si>
    <t>Lazurovací dvojnásobný akrylátový nátěr tesařských konstrukcí</t>
  </si>
  <si>
    <t>783267101/00</t>
  </si>
  <si>
    <t>Krycí jednonásobný olejový nátěr tesařských konstrukcí</t>
  </si>
  <si>
    <t>783263101/00</t>
  </si>
  <si>
    <t>Napouštěcí jednonásobný olejový nátěr tesařských konstrukcí zabudovaných do konstrukce</t>
  </si>
  <si>
    <t>783324101/00</t>
  </si>
  <si>
    <t>Základní jednonásobný  akrylátový nátěr zámečnických konstrukcí</t>
  </si>
  <si>
    <t>783327101/00</t>
  </si>
  <si>
    <t>Krycí jednonásobný akrylátový nátěr zámečnických konstrukcí</t>
  </si>
  <si>
    <t>783201201/00</t>
  </si>
  <si>
    <t>Obroušení tesařských konstrukcí před provedením nátěru</t>
  </si>
  <si>
    <t>783201403/00</t>
  </si>
  <si>
    <t>Oprášení tesařských konstrukcí před provedením nátěru</t>
  </si>
  <si>
    <t>764212607/00</t>
  </si>
  <si>
    <t>764212633/00</t>
  </si>
  <si>
    <t>764212662/00</t>
  </si>
  <si>
    <t>764216600/00</t>
  </si>
  <si>
    <t>764216601/00</t>
  </si>
  <si>
    <t>764216602/00</t>
  </si>
  <si>
    <t>764216603/00</t>
  </si>
  <si>
    <t>764216604/00</t>
  </si>
  <si>
    <t>764218626/00</t>
  </si>
  <si>
    <t>764311617/00</t>
  </si>
  <si>
    <t>764314654/00</t>
  </si>
  <si>
    <t>764511602/00</t>
  </si>
  <si>
    <t>764518623/00</t>
  </si>
  <si>
    <t>998764102/00</t>
  </si>
  <si>
    <t>Přesun hmot tonážní pro konstrukce klempířské v objektech v do 12 m</t>
  </si>
  <si>
    <t>Oplechování úžlabí z Pz s povrchovou úpravou rš 560 mm -označ. K18</t>
  </si>
  <si>
    <t>Oplechování štítu závětrnou lištou z Pz s povrchovou úpravou rš 215 mm -označ. K16</t>
  </si>
  <si>
    <t>Oplechování rovné okapové hrany z Pz s povrchovou úpravou rš 175 mm -označ. K17</t>
  </si>
  <si>
    <t>Oplechování rovných parapetů mechanicky kotvené z Pz s povrchovou úpravou rš 100 mm -označ. K11</t>
  </si>
  <si>
    <t>Oplechování rovných parapetů mechanicky kotvené z Pz s povrchovou úpravou rš 150 mm -označ. K12</t>
  </si>
  <si>
    <t>Oplechování rovných parapetů mechanicky kotvené z Pz s povrchovou úpravou rš 200 mm -označ. K13</t>
  </si>
  <si>
    <t>Oplechování rovných parapetů mechanicky kotvené z Pz s povrchovou úpravou rš 220 mm -označ. K1+2</t>
  </si>
  <si>
    <t>Oplechování rovných parapetů mechanicky kotvené z Pz s povrchovou úpravou rš 320 mm -označ. K5</t>
  </si>
  <si>
    <t>Oplechování rovných parapetů mechanicky kotvené z Pz s povrchovou úpravou rš 250 mm -označ. K3+4+6+7+8</t>
  </si>
  <si>
    <t>Oplechování rovných parapetů mechanicky kotvené z Pz s povrchovou úpravou rš 270 mm -označ. K9</t>
  </si>
  <si>
    <t>Oplechování rovné římsy celoplošně lepené z Pz s upraveným povrchem rš 500 mm -označ. K14+15</t>
  </si>
  <si>
    <t>Lemování komínů střech s krytinou skládanou z Pz s povrchovou úpravou rš 560 mm-označ. K19</t>
  </si>
  <si>
    <t>Lemování sloupků komín lávek z Pz s povrch úprav střech s krytinou skládanou, plechovou rš 330x500mm-označ. K23</t>
  </si>
  <si>
    <t>Žlab podokapní půlkruhový z Pz s povrchovou úpravou rš 330 mm-označ. K20</t>
  </si>
  <si>
    <t>Svody kruhové včetně objímek, kolen, odskoků z Pz s povrchovou úpravou průměru 120 mm-označ. K21</t>
  </si>
  <si>
    <t>764990000</t>
  </si>
  <si>
    <t>Mřížka proti hmyzu a hlodavcům hliník tahokov rš = 120 mm -označ. K22</t>
  </si>
  <si>
    <t>764511632/00</t>
  </si>
  <si>
    <t>Roh nebo kout hranatého podokapního žlabu z Pz s povrchovou úpravou rš 330 mm</t>
  </si>
  <si>
    <t>764511643/00</t>
  </si>
  <si>
    <t>Kotlík oválný (trychtýřový) pro podokapní žlaby z Pz s povrchovou úpravou 330/120 mm</t>
  </si>
  <si>
    <t>764002801/00</t>
  </si>
  <si>
    <t>Demontáž závětrné lišty do suti</t>
  </si>
  <si>
    <t>764001891/00</t>
  </si>
  <si>
    <t>Demontáž úžlabí do suti</t>
  </si>
  <si>
    <t>764002812/00</t>
  </si>
  <si>
    <t>Demontáž okapového plechu do suti v krytině skládané</t>
  </si>
  <si>
    <t>764002851/00</t>
  </si>
  <si>
    <t>Demontáž oplechování parapetů do suti</t>
  </si>
  <si>
    <t>764002871/00</t>
  </si>
  <si>
    <t>Demontáž lemování zdí do suti</t>
  </si>
  <si>
    <t>764002861/00</t>
  </si>
  <si>
    <t>Demontáž oplechování říms a ozdobných prvků do suti</t>
  </si>
  <si>
    <t>764004801/00</t>
  </si>
  <si>
    <t>Demontáž podokapního žlabu do suti</t>
  </si>
  <si>
    <t>764004861/00</t>
  </si>
  <si>
    <t>Demontáž svodu do suti</t>
  </si>
  <si>
    <t>Klempířské konstr,</t>
  </si>
  <si>
    <t>Stávající předokenní mříž 700/800 mm – repase označ.Z1</t>
  </si>
  <si>
    <t>Krycí plech výplně D21 tl. 5 mm, š 240, v 2450 mm označ.Z2</t>
  </si>
  <si>
    <t>Krycí plech výplně D22 tl. 5 mm, š 640, v 2590mm označ.Z4</t>
  </si>
  <si>
    <t>Krycí plech výplně D23 tl. 5 mm, š 640, v 2590mm označ.Z6</t>
  </si>
  <si>
    <t>Krycí plech výplně D23 tl. 5 mm, š 240, v 2090mm označ.Z5</t>
  </si>
  <si>
    <t>Ventilační fasádní hliníková mřížka 100/100 mm označ.Z8</t>
  </si>
  <si>
    <t>Krycí plech výplně D23 tl.5 mm v 240 dl. 7235mm označ.Z7</t>
  </si>
  <si>
    <t>Ventilační fasádní hliníková mřížka 200/200 mm označ.9</t>
  </si>
  <si>
    <t>Tyčový zachytávač sněhu označ.Z10</t>
  </si>
  <si>
    <t>Komínová lávka rám z L profilů 40/40/5 + pororošt označ.Z11</t>
  </si>
  <si>
    <t>Ocelové jednoramenné schodiště označ.Z12</t>
  </si>
  <si>
    <t>Ocelové dvouramenné schodiště označ.Z13</t>
  </si>
  <si>
    <t>Ocelové zábradlí označ.Z14</t>
  </si>
  <si>
    <t>Zdvihací plošina pro invalidy označ.Z15</t>
  </si>
  <si>
    <t>Madlo zábradlí - dub kulatina prům. 40 mm  označ.T6</t>
  </si>
  <si>
    <t>Parapetní deska zábradlí spárovka smrk tl. 24 mm š.180 mm dl. 1100 + 3900 mm označ.T21</t>
  </si>
  <si>
    <t>Parapetní deska zábradlí spárovka smrk tl. 24 mm š.230 mm dl. 690 mm označ.T22</t>
  </si>
  <si>
    <t>Parapetní deska zábradlí spárovka smrk tl. 24 mm š.100 mm, délka 2700 mm označ.T23</t>
  </si>
  <si>
    <t>Parapetní deska zábradlí spárovka smrk tl. 24 š. 100 mm, délka 1200 mm v označ.T24</t>
  </si>
  <si>
    <t>WC příčka  2 x dveře + mezistěna - dvt laminovaná deska tl. 30 mm označ.T26</t>
  </si>
  <si>
    <t>Posuvná vrata 3100/2900 mm označ.T2</t>
  </si>
  <si>
    <t>Posuvná vrata 3500/2900 mm označ.T1</t>
  </si>
  <si>
    <t>Posuvná vrata 3400/2900 mm označ.T3</t>
  </si>
  <si>
    <t>Okenice v rámci fasády F6 1000/1450 mm označ.T4</t>
  </si>
  <si>
    <t>Krycí dvířka rozvaděče RE 800/500 mm označ.T5</t>
  </si>
  <si>
    <t>Dřevěná zástěna niky s výlevkou 1165/2300 mm označ.T25</t>
  </si>
  <si>
    <t>Čajová kuchyňka, délka 1800 mm označ.T27</t>
  </si>
  <si>
    <t>113105111/00</t>
  </si>
  <si>
    <t>Rozebrání dlažeb z lomového kamene kladených na sucho</t>
  </si>
  <si>
    <t>121101101/00</t>
  </si>
  <si>
    <t>Sejmutí ornice s přemístěním na vzdálenost do 50 m</t>
  </si>
  <si>
    <t>122101102/00</t>
  </si>
  <si>
    <t>Odkopávky a prokopávky nezapažené v hornině tř. 1 a 2 objem do 1000 m3</t>
  </si>
  <si>
    <t>122201109/00</t>
  </si>
  <si>
    <t>Příplatek za lepivost u odkopávek v hornině tř. 1 až 3</t>
  </si>
  <si>
    <t>131201101/00</t>
  </si>
  <si>
    <t>Hloubení jam nezapažených v hornině tř. 3 objemu do 100 m3</t>
  </si>
  <si>
    <t>131201109/00</t>
  </si>
  <si>
    <t>Příplatek za lepivost u hloubení jam nezapažených v hornině tř. 3</t>
  </si>
  <si>
    <t>132201101/00</t>
  </si>
  <si>
    <t>Hloubení rýh š do 600 mm v hornině tř. 3 objemu do 100 m3</t>
  </si>
  <si>
    <t>132201109/00</t>
  </si>
  <si>
    <t>Příplatek za lepivost k hloubení rýh š do 600 mm v hornině tř. 3</t>
  </si>
  <si>
    <t>175111101/00</t>
  </si>
  <si>
    <t>Obsypání potrubí ručně sypaninou bez prohození, uloženou do 3 m</t>
  </si>
  <si>
    <t>181111111/00</t>
  </si>
  <si>
    <t>Plošná úprava terénu do 500 m2 zemina tř 1 až 4 nerovnosti do 100 mm v rovinně a svahu do 1:5</t>
  </si>
  <si>
    <t>181301103/00</t>
  </si>
  <si>
    <t>Rozprostření ornice tl vrstvy do 200 mm pl do 500 m2 v rovině nebo ve svahu do 1:5</t>
  </si>
  <si>
    <t>181411141/00</t>
  </si>
  <si>
    <t>Založení parterového trávníku výsevem plochy do 1000 m2 v rovině a ve svahu do 1:5</t>
  </si>
  <si>
    <t>181001</t>
  </si>
  <si>
    <t xml:space="preserve">Parková směs </t>
  </si>
  <si>
    <t>základ sloupu 1,5*1,5*1,2</t>
  </si>
  <si>
    <t>212752212/00</t>
  </si>
  <si>
    <t>Trativod z drenážních trubek plastových flexibilních D do 100 mm včetně lože otevřený výkop</t>
  </si>
  <si>
    <t>213141111/00</t>
  </si>
  <si>
    <t>Zřízení vrstvy z geotextilie v rovině nebo ve sklonu do 1:5 š do 3 m</t>
  </si>
  <si>
    <t>311272223/00</t>
  </si>
  <si>
    <t>Zdivo nosné tl 250 mm z pórobetonových přesných hladkých tvárnic Ytong hmotnosti 500 kg/m3</t>
  </si>
  <si>
    <t>317141214/00</t>
  </si>
  <si>
    <t>Překlady ploché z pórobetonu Ytong š 125 mm pro světlost otvoru do 1250 mm</t>
  </si>
  <si>
    <t>317141217/00</t>
  </si>
  <si>
    <t>Překlady ploché z pórobetonu Ytong š 125 mm pro světlost otvoru do 2000 mm</t>
  </si>
  <si>
    <t>317143525/00</t>
  </si>
  <si>
    <t>Překlady nosné z pórobetonu Ytong ve zdech tl 250 mm pro světlost otvoru do 1750 mm</t>
  </si>
  <si>
    <t>342241162/00</t>
  </si>
  <si>
    <t>Příčky tl 140 mm z cihel plných dl 290 mm pevnosti P 15 na MC</t>
  </si>
  <si>
    <t>342273323/00</t>
  </si>
  <si>
    <t>Příčky tl 100 mm z pórobetonových přesných příčkovek na pero a drážku objemové hmotnosti 500 kg/m3</t>
  </si>
  <si>
    <t>310238411/00</t>
  </si>
  <si>
    <t>Zazdívka otvorů pl do 1 m2 ve zdivu nadzákladovém cihlami pálenými na MC</t>
  </si>
  <si>
    <t>310278842/00</t>
  </si>
  <si>
    <t>Zazdívka otvorů pl do 1 m2 ve zdivu nadzákladovém z nepálených tvárnic tl do 300 mm</t>
  </si>
  <si>
    <t>612341121/00</t>
  </si>
  <si>
    <r>
      <t xml:space="preserve">Sádrová nebo vápenosádrová omítka hladká jednovrstvá vnitřních stěn nanášená ručně </t>
    </r>
    <r>
      <rPr>
        <i/>
        <sz val="9"/>
        <color indexed="8"/>
        <rFont val="Arial"/>
        <family val="2"/>
        <charset val="238"/>
      </rPr>
      <t>- stěrka na Ytong</t>
    </r>
  </si>
  <si>
    <t>451573111/00</t>
  </si>
  <si>
    <t>Lože pod potrubí otevřený výkop ze štěrkopísku</t>
  </si>
  <si>
    <t>451541111/00</t>
  </si>
  <si>
    <t>Lože pod potrubí otevřený výkop ze štěrkodrtě</t>
  </si>
  <si>
    <t>452311141/00</t>
  </si>
  <si>
    <t>Podkladní desky z betonu prostého tř. C 16/20 otevřený výkop</t>
  </si>
  <si>
    <t>005: Komunikace</t>
  </si>
  <si>
    <t>564851111/00</t>
  </si>
  <si>
    <t>Podklad ze štěrkodrtě ŠD tl 150 mm</t>
  </si>
  <si>
    <t>564811111/00</t>
  </si>
  <si>
    <t>Podklad ze štěrkodrtě ŠD tl 50 mm</t>
  </si>
  <si>
    <t>594111111/00</t>
  </si>
  <si>
    <t>599432111/00</t>
  </si>
  <si>
    <t>Vyplnění spár dlažby z lomového kamene drobným kamenivem</t>
  </si>
  <si>
    <r>
      <t xml:space="preserve">Montáž kontaktního zateplení vnějších stěn z polystyrénových desek tl do 120 mm </t>
    </r>
    <r>
      <rPr>
        <i/>
        <sz val="9"/>
        <color indexed="8"/>
        <rFont val="Arial"/>
        <family val="2"/>
        <charset val="238"/>
      </rPr>
      <t>- F3</t>
    </r>
  </si>
  <si>
    <t>Oprava stáv.ající roubené stěny (po otlučení omítky) spárování,nátěr    F5</t>
  </si>
  <si>
    <t>622381031/00</t>
  </si>
  <si>
    <r>
      <t>Tenkovrstvá minerální zrnitá omítka tl. 3,0 mm včetně penetrace vnějších stěn</t>
    </r>
    <r>
      <rPr>
        <i/>
        <sz val="9"/>
        <color indexed="8"/>
        <rFont val="Arial"/>
        <family val="2"/>
        <charset val="238"/>
      </rPr>
      <t xml:space="preserve"> - F3 např.Baumit Nanopor Top</t>
    </r>
  </si>
  <si>
    <t>Dodávka fasádního polystyrenu např.Baumit open plus tl. 120mm</t>
  </si>
  <si>
    <t>Otlučení vnější vápenné nebo vápenocementové vnější omítky stupně členitosti 1 a 2 rozsahu do 100% - F5</t>
  </si>
  <si>
    <t>629995101/00</t>
  </si>
  <si>
    <t>008: Trubní vedení</t>
  </si>
  <si>
    <t>895170303/00</t>
  </si>
  <si>
    <t>Drenážní šachta z PP DN 400 šachtové prodloužení s drážkou světlé hloubky 1200 mm</t>
  </si>
  <si>
    <t>894201213/00</t>
  </si>
  <si>
    <t>Stěny šachet tl nad 200 mm z prostého betonu bez zvýšených nároků na prostředí tř. C 16/20</t>
  </si>
  <si>
    <t>894302251/00</t>
  </si>
  <si>
    <t>Strop šachet ze ŽB bez zvýšených nároků na prostředí tř. C 20/25</t>
  </si>
  <si>
    <t>979071121/sr</t>
  </si>
  <si>
    <t>Očištění dlažebních čedičových štěpků</t>
  </si>
  <si>
    <t>Oprava vnější vápenocementové štukové omítky složitosti 2 v rozsahu do 30%  - F1</t>
  </si>
  <si>
    <t>182,50 </t>
  </si>
  <si>
    <t> 239,00 </t>
  </si>
  <si>
    <t> 0,01455 </t>
  </si>
  <si>
    <t> 2,7 </t>
  </si>
  <si>
    <t>–  </t>
  </si>
  <si>
    <r>
      <t xml:space="preserve">Očištění vnějších ploch tlakovou vodou  - </t>
    </r>
    <r>
      <rPr>
        <i/>
        <sz val="9"/>
        <color indexed="8"/>
        <rFont val="Arial"/>
        <family val="2"/>
        <charset val="238"/>
      </rPr>
      <t>F1 sokl</t>
    </r>
  </si>
  <si>
    <r>
      <t xml:space="preserve">Ruční dočištění ploch stěn </t>
    </r>
    <r>
      <rPr>
        <i/>
        <sz val="9"/>
        <color indexed="8"/>
        <rFont val="Arial"/>
        <family val="2"/>
        <charset val="238"/>
      </rPr>
      <t>(sokl z pískovce)</t>
    </r>
    <r>
      <rPr>
        <sz val="9"/>
        <color indexed="8"/>
        <rFont val="Arial"/>
        <family val="2"/>
        <charset val="238"/>
      </rPr>
      <t xml:space="preserve"> ocelových kartáči</t>
    </r>
  </si>
  <si>
    <r>
      <t xml:space="preserve">Montáž izolace tepelné stěn a základů lepením celoplošně rohoží, pásů, dílců, desek </t>
    </r>
    <r>
      <rPr>
        <i/>
        <sz val="9"/>
        <color indexed="8"/>
        <rFont val="Arial"/>
        <family val="2"/>
        <charset val="238"/>
      </rPr>
      <t xml:space="preserve"> - F4</t>
    </r>
  </si>
  <si>
    <t>Dodávka minerální vlna fasádní  tl.80 mm - 2x</t>
  </si>
  <si>
    <t>762132811/00</t>
  </si>
  <si>
    <t>Demontáž bednění svislých stěn z prken hoblovaných jednostranně</t>
  </si>
  <si>
    <t>762751820/00</t>
  </si>
  <si>
    <t>Demontáž prostorových vázaných kcí na hladko z hraněného řeziva průřezové plochy do 224 cm2</t>
  </si>
  <si>
    <t>Výlez na střechu izolovaný 500/550 mm označ. O27</t>
  </si>
  <si>
    <t>Nové svlakové dveře 1030/1920 mm  označ.D8</t>
  </si>
  <si>
    <t>Krycí plech výplně D22 tl. 5 mm, š 240, v 2590mm označ.Z3</t>
  </si>
  <si>
    <t>775002</t>
  </si>
  <si>
    <t>Dodávka podlahová lamela bělený dub tl. 15 mm</t>
  </si>
  <si>
    <t>Dodávka podlahové prkno smrk tl. 15 mm</t>
  </si>
  <si>
    <r>
      <t>Dlažba z lomového kamene s provedením lože z kameniva těženého tl.50 mm</t>
    </r>
    <r>
      <rPr>
        <i/>
        <sz val="9"/>
        <color indexed="8"/>
        <rFont val="Arial"/>
        <family val="2"/>
        <charset val="238"/>
      </rPr>
      <t xml:space="preserve"> - čedičové štěpky</t>
    </r>
  </si>
  <si>
    <t>CS</t>
  </si>
  <si>
    <t>březen  2018</t>
  </si>
  <si>
    <t>URS</t>
  </si>
  <si>
    <t xml:space="preserve">Nové svlakové dveře tesař.zárubeň 800/1970 mm  označ.D15+D16 </t>
  </si>
  <si>
    <t>Č.</t>
  </si>
  <si>
    <t>KCN</t>
  </si>
  <si>
    <t>Kód položky</t>
  </si>
  <si>
    <t>Popis</t>
  </si>
  <si>
    <t>MJ</t>
  </si>
  <si>
    <t>Cena jednotková</t>
  </si>
  <si>
    <t>Dodávka</t>
  </si>
  <si>
    <t>Montáž</t>
  </si>
  <si>
    <t>Cena celkem</t>
  </si>
  <si>
    <t>Hmotnost celkem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</si>
  <si>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</si>
  <si>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</si>
  <si>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</si>
  <si>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</si>
  <si>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</si>
  <si>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</si>
  <si>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</si>
  <si>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</si>
  <si>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</si>
  <si>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</si>
  <si>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</si>
  <si>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Práce a dodávky HSV   </t>
  </si>
  <si>
    <t xml:space="preserve">Zemní práce   </t>
  </si>
  <si>
    <t>001</t>
  </si>
  <si>
    <t>131101201</t>
  </si>
  <si>
    <t xml:space="preserve">Hloubení jam zapažených v hornině tř. 1 a 2 objemu do 100 m3 včetně pažení   </t>
  </si>
  <si>
    <t>161101101</t>
  </si>
  <si>
    <t xml:space="preserve">Svislé přemístění výkopku z horniny tř. 1 až 4 hl výkopu do 2,5 m   </t>
  </si>
  <si>
    <t>174101101</t>
  </si>
  <si>
    <t xml:space="preserve">Zásyp jam, šachet rýh nebo kolem objektů sypaninou se zhutněním   </t>
  </si>
  <si>
    <t>175101201</t>
  </si>
  <si>
    <t xml:space="preserve">Uvedení terénu do původního stavu   </t>
  </si>
  <si>
    <t xml:space="preserve">Zakládání   </t>
  </si>
  <si>
    <t>011</t>
  </si>
  <si>
    <t>271532213</t>
  </si>
  <si>
    <t xml:space="preserve">Podsyp pod základové konstrukce se zhutněním pískem   </t>
  </si>
  <si>
    <t xml:space="preserve">Trubní vedení   </t>
  </si>
  <si>
    <t>271</t>
  </si>
  <si>
    <t>871270310</t>
  </si>
  <si>
    <t xml:space="preserve">Montáž kanalizačního potrubí hladkého plnostěnného SN 8 z polypropylenu DN 160   </t>
  </si>
  <si>
    <t>871310310</t>
  </si>
  <si>
    <t xml:space="preserve">Montáž kanalizačního potrubí hladkého plnostěnného SN 4 z polypropylenu DN 160   </t>
  </si>
  <si>
    <t>286</t>
  </si>
  <si>
    <t>28611130.OSM</t>
  </si>
  <si>
    <t xml:space="preserve">KGEM trouba DN160x4,0/ 500  SN4   </t>
  </si>
  <si>
    <t>28611165.OSM</t>
  </si>
  <si>
    <t xml:space="preserve">KGEM troubaDN160x4,7/3000 SN8   </t>
  </si>
  <si>
    <t>871350310</t>
  </si>
  <si>
    <t xml:space="preserve">Montáž kanalizačního potrubí hladkého plnostěnného SN 8 z polypropylenu DN 200   </t>
  </si>
  <si>
    <t>28617004</t>
  </si>
  <si>
    <t xml:space="preserve">trubka kanalizační PP plnostěnná třívrstvá DN 200x1000 mm SN 8   </t>
  </si>
  <si>
    <t>877181112</t>
  </si>
  <si>
    <t xml:space="preserve">Montáž elektrokolen 90° na vodovodním potrubí z PE trub d 50   </t>
  </si>
  <si>
    <t>877260330</t>
  </si>
  <si>
    <t xml:space="preserve">Redukce DN110 a DN50   </t>
  </si>
  <si>
    <t>426</t>
  </si>
  <si>
    <t>42610403</t>
  </si>
  <si>
    <t xml:space="preserve">čerpadlo ponorné kalové   </t>
  </si>
  <si>
    <t>551</t>
  </si>
  <si>
    <t>55161772</t>
  </si>
  <si>
    <t xml:space="preserve">vpusť podlahová  DN 110   </t>
  </si>
  <si>
    <t>28615637.OSM</t>
  </si>
  <si>
    <t xml:space="preserve">HTR redukce dlouhá DN110/ 50   </t>
  </si>
  <si>
    <t>28615638.OSM</t>
  </si>
  <si>
    <t xml:space="preserve">HTR redukce dlouhá DN110/75   </t>
  </si>
  <si>
    <t>877261112</t>
  </si>
  <si>
    <t xml:space="preserve">Montáž elektrokolen 90° na vodovodním potrubí z PE trub d 110   </t>
  </si>
  <si>
    <t>28615619.OSM</t>
  </si>
  <si>
    <t xml:space="preserve">HTB koleno110/87st   </t>
  </si>
  <si>
    <t>28615617.OSM</t>
  </si>
  <si>
    <t xml:space="preserve">HTB koleno 50/87st   </t>
  </si>
  <si>
    <t>877265212</t>
  </si>
  <si>
    <t xml:space="preserve">Montáž elektrokolen 90° na kanalizačním potrubí z PE trub d 110   </t>
  </si>
  <si>
    <t>28615698</t>
  </si>
  <si>
    <t xml:space="preserve">připojovací koleno dvojité HTDSW   </t>
  </si>
  <si>
    <t>877265223</t>
  </si>
  <si>
    <t xml:space="preserve">Montáž odboček   </t>
  </si>
  <si>
    <t>28615572</t>
  </si>
  <si>
    <t xml:space="preserve">odbočka HTEA úhel 87° DN 110/50   </t>
  </si>
  <si>
    <t>28615592</t>
  </si>
  <si>
    <t xml:space="preserve">odbočka dvojitá HTDA úhel 87° DN110/50/50   </t>
  </si>
  <si>
    <t>28615575</t>
  </si>
  <si>
    <t xml:space="preserve">odbočka HTEA úhel 87° DN 110/110   </t>
  </si>
  <si>
    <t>877265271</t>
  </si>
  <si>
    <t xml:space="preserve">Montáž lapače střešních splavenin z tvrdého PVC-systém KG DN 125   </t>
  </si>
  <si>
    <t>552</t>
  </si>
  <si>
    <t>55244101.TPS</t>
  </si>
  <si>
    <t xml:space="preserve">lapač střešních splavenin - geiger DN 125 mm   </t>
  </si>
  <si>
    <t>877275210</t>
  </si>
  <si>
    <t xml:space="preserve">Montáž elektrokolen 45° na kanalizačním potrubí z PE trub d 125   </t>
  </si>
  <si>
    <t>28614843</t>
  </si>
  <si>
    <t xml:space="preserve">koleno 45° SDR 11 PE 100 PN 16 D 125mm   </t>
  </si>
  <si>
    <t>28614828</t>
  </si>
  <si>
    <t xml:space="preserve">koleno 90° SDR 17 PE 100 PN 10 D 125mm   </t>
  </si>
  <si>
    <t>877275212</t>
  </si>
  <si>
    <t xml:space="preserve">Montáž elektrokolen 90° na kanalizačním potrubí z PE trub d 125   </t>
  </si>
  <si>
    <t>877310310</t>
  </si>
  <si>
    <t xml:space="preserve">Montáž kolen na kanalizačním potrubí z PP trub hladkých plnostěnných DN 160   </t>
  </si>
  <si>
    <t>28611361</t>
  </si>
  <si>
    <t xml:space="preserve">koleno kanalizační PVC KGB 160x45°   </t>
  </si>
  <si>
    <t>877310320</t>
  </si>
  <si>
    <t xml:space="preserve">Montáž odboček na kanalizačním potrubí z PP trub hladkých plnostěnných DN 150   </t>
  </si>
  <si>
    <t>28611914</t>
  </si>
  <si>
    <t xml:space="preserve">odbočka kanalizační plastová s hrdlem KG 160/125/45°   </t>
  </si>
  <si>
    <t>28611910</t>
  </si>
  <si>
    <t xml:space="preserve">odbočka kanalizační plastová PP s hrdlem KG 125/125/45°   </t>
  </si>
  <si>
    <t>28612221</t>
  </si>
  <si>
    <t xml:space="preserve">odbočka kanalizační plastová PVC KG DN 160/45° SN 12/16   </t>
  </si>
  <si>
    <t>877325217</t>
  </si>
  <si>
    <t xml:space="preserve">Montáž elektroredukcí na kanalizačním potrubí z PE trub d 125/110   </t>
  </si>
  <si>
    <t>28614979</t>
  </si>
  <si>
    <t xml:space="preserve">elektroredukce PE 100 PN 16 d 125-110   </t>
  </si>
  <si>
    <t>894812111</t>
  </si>
  <si>
    <t xml:space="preserve">Čistící kus   </t>
  </si>
  <si>
    <t>894812411x</t>
  </si>
  <si>
    <t xml:space="preserve">Revizní a čistící šachta z PP typ DN 1000/160 - Š1   </t>
  </si>
  <si>
    <t>894812435x</t>
  </si>
  <si>
    <t xml:space="preserve">Revizní a čistící šachta z PP DN 1000 - Š2   </t>
  </si>
  <si>
    <t>894812451x</t>
  </si>
  <si>
    <t xml:space="preserve">Revizní a čistící šachta - Š3   </t>
  </si>
  <si>
    <t>894812461x</t>
  </si>
  <si>
    <t xml:space="preserve">Revizní a čistící šachta - Š4   </t>
  </si>
  <si>
    <t>894812471x</t>
  </si>
  <si>
    <t xml:space="preserve">Revizní a čistící šachta - Š5   </t>
  </si>
  <si>
    <t>894812481x</t>
  </si>
  <si>
    <t xml:space="preserve">Přednátoková nádrž NK6-EK   </t>
  </si>
  <si>
    <t>soub</t>
  </si>
  <si>
    <t>42611925.PMPx</t>
  </si>
  <si>
    <t xml:space="preserve">ponorné kalové čerpadlo SIGMONA V750F   </t>
  </si>
  <si>
    <t>562</t>
  </si>
  <si>
    <t>56241091x</t>
  </si>
  <si>
    <t xml:space="preserve">ČOV z polypropylenu - domovní, 9-12 osob, komplet vč. vystrojení a dmychadla   </t>
  </si>
  <si>
    <t>56241101x</t>
  </si>
  <si>
    <t xml:space="preserve">Bilogický filtr BF3-EK   </t>
  </si>
  <si>
    <t>PSV</t>
  </si>
  <si>
    <t xml:space="preserve">Práce a dodávky PSV   </t>
  </si>
  <si>
    <t>721</t>
  </si>
  <si>
    <t xml:space="preserve">Zdravotechnika - vnitřní kanalizace   </t>
  </si>
  <si>
    <t>721173402.OSM</t>
  </si>
  <si>
    <t xml:space="preserve">Potrubí kanalizační plastové svodné systém KG DN 125   </t>
  </si>
  <si>
    <t>721173403.OSM</t>
  </si>
  <si>
    <t xml:space="preserve">Potrubí kanalizační plastové svodné systém KG DN 160   </t>
  </si>
  <si>
    <t>721174024.OSM</t>
  </si>
  <si>
    <t xml:space="preserve">Potrubí kanalizační z PP odpadní systém HT DN 75   </t>
  </si>
  <si>
    <t>721174025.OSM</t>
  </si>
  <si>
    <t xml:space="preserve">Potrubí kanalizační z PP odpadní systém HT DN 110   </t>
  </si>
  <si>
    <t>721174043.OSM</t>
  </si>
  <si>
    <t xml:space="preserve">Potrubí kanalizační z PP připojovací systém HT DN 50   </t>
  </si>
  <si>
    <t>721273152</t>
  </si>
  <si>
    <t xml:space="preserve">Hlavice ventilační polypropylen PP DN 75   </t>
  </si>
  <si>
    <t>721273153</t>
  </si>
  <si>
    <t xml:space="preserve">Hlavice ventilační polypropylen PP DN 110   </t>
  </si>
  <si>
    <t xml:space="preserve">Celkem   </t>
  </si>
  <si>
    <t>Vnitřní kanalizace</t>
  </si>
  <si>
    <t>721 : Zdravotechnika - vnitřní kanalizace</t>
  </si>
  <si>
    <t>713</t>
  </si>
  <si>
    <t xml:space="preserve">Izolace tepelné   </t>
  </si>
  <si>
    <t>713463411</t>
  </si>
  <si>
    <t xml:space="preserve">Montáž izolace tepelné potrubí a ohybů návlekovými izolačními pouzdry   </t>
  </si>
  <si>
    <t>283</t>
  </si>
  <si>
    <t>28377105</t>
  </si>
  <si>
    <t xml:space="preserve">izolace tepelná potrubí z pěnového polyetylenu 20 x 13 mm   </t>
  </si>
  <si>
    <t>28377095</t>
  </si>
  <si>
    <t xml:space="preserve">izolace tepelná potrubí z pěnového polyetylenu 15 x 13 mm   </t>
  </si>
  <si>
    <t>28377052</t>
  </si>
  <si>
    <t xml:space="preserve">izolace tepelná potrubí z pěnového polyetylenu 32 x 13 mm   </t>
  </si>
  <si>
    <t>28377112</t>
  </si>
  <si>
    <t xml:space="preserve">izolace tepelná potrubí z pěnového polyetylenu 25 x 13 mm   </t>
  </si>
  <si>
    <t>28377049</t>
  </si>
  <si>
    <t xml:space="preserve">izolace tepelná potrubí z pěnového polyetylenu 25 x 25 mm   </t>
  </si>
  <si>
    <t>28377046</t>
  </si>
  <si>
    <t xml:space="preserve">izolace tepelná potrubí z pěnového polyetylenu 20 x 25 mm   </t>
  </si>
  <si>
    <t>28377096</t>
  </si>
  <si>
    <t xml:space="preserve">izolace tepelná potrubí z pěnového polyetylenu 15 x 25 mm   </t>
  </si>
  <si>
    <t>722</t>
  </si>
  <si>
    <t xml:space="preserve">Zdravotechnika - vnitřní vodovod   </t>
  </si>
  <si>
    <t>722174001</t>
  </si>
  <si>
    <t xml:space="preserve">Potrubí vodovodní plastové PPR svar polyfuze PN 16 D 15 x 2,2 mm   </t>
  </si>
  <si>
    <t>722174002</t>
  </si>
  <si>
    <t xml:space="preserve">Potrubí vodovodní plastové PPR svar polyfuze PN 16 D 20 x 2,8 mm   </t>
  </si>
  <si>
    <t>722174003</t>
  </si>
  <si>
    <t xml:space="preserve">Potrubí vodovodní plastové PPR svar polyfuze PN 16 D 25 x 3,5 mm   </t>
  </si>
  <si>
    <t>722174004</t>
  </si>
  <si>
    <t xml:space="preserve">Potrubí vodovodní plastové PPR svar polyfuze PN 16 D 32 x 4,4 mm   </t>
  </si>
  <si>
    <t>722174021</t>
  </si>
  <si>
    <t xml:space="preserve">Potrubí vodovodní plastové PPR svar polyfuze PN 20 D 15 x 2,7 mm   </t>
  </si>
  <si>
    <t>722174022</t>
  </si>
  <si>
    <t xml:space="preserve">Potrubí vodovodní plastové PPR svar polyfuze PN 20 D 20 x 3,4 mm   </t>
  </si>
  <si>
    <t>722174023</t>
  </si>
  <si>
    <t xml:space="preserve">Potrubí vodovodní plastové PPR svar polyfuze PN 20 D 25 x 4,2 mm   </t>
  </si>
  <si>
    <t>722221134</t>
  </si>
  <si>
    <t xml:space="preserve">Ventil výtokový KK20   </t>
  </si>
  <si>
    <t>soubor</t>
  </si>
  <si>
    <t>722221135</t>
  </si>
  <si>
    <t xml:space="preserve">Ventil výtokový Kemper DN20   </t>
  </si>
  <si>
    <t>722231083</t>
  </si>
  <si>
    <t xml:space="preserve">Ventil zpětný ZV 15   </t>
  </si>
  <si>
    <t>722231084</t>
  </si>
  <si>
    <t xml:space="preserve">Ventil zpětný ZV 25   </t>
  </si>
  <si>
    <t>722231281</t>
  </si>
  <si>
    <t xml:space="preserve">Regulátor výstupního tlaku membránový G 1/2 PN 16 do 70°C se dvěma závity   </t>
  </si>
  <si>
    <t>722240122</t>
  </si>
  <si>
    <t xml:space="preserve">Kohout kulový plastový KK 15   </t>
  </si>
  <si>
    <t>722240123</t>
  </si>
  <si>
    <t xml:space="preserve">Kohout kulový plastový ZV 25   </t>
  </si>
  <si>
    <t>722250132</t>
  </si>
  <si>
    <t xml:space="preserve">Hydrantový systém s tvarově stálou hadicí D 25 x 20 m celoplechový   </t>
  </si>
  <si>
    <t>722290215</t>
  </si>
  <si>
    <t xml:space="preserve">Zkouška těsnosti vodovodního potrubí hrdlového nebo přírubového do DN 100   </t>
  </si>
  <si>
    <t>722290234</t>
  </si>
  <si>
    <t xml:space="preserve">Proplach a dezinfekce vodovodního potrubí do DN 80   </t>
  </si>
  <si>
    <t>998722101</t>
  </si>
  <si>
    <t xml:space="preserve">Přesun hmot tonážní pro vnitřní vodovod v objektech v do 6 m   </t>
  </si>
  <si>
    <t>723</t>
  </si>
  <si>
    <t xml:space="preserve">Zdravotechnika - vnitřní plynovod   </t>
  </si>
  <si>
    <t>723111204</t>
  </si>
  <si>
    <t xml:space="preserve">Potrubí ocelové závitové černé bezešvé svařované běžné DN 25   </t>
  </si>
  <si>
    <t>725</t>
  </si>
  <si>
    <t xml:space="preserve">Zdravotechnika - zařizovací předměty   </t>
  </si>
  <si>
    <t>725119125</t>
  </si>
  <si>
    <t xml:space="preserve">Montáž klozetových mís závěsných na nosné stěny   </t>
  </si>
  <si>
    <t>55281717.GBT</t>
  </si>
  <si>
    <t>725121013</t>
  </si>
  <si>
    <t xml:space="preserve">Splachovač automatický pisoáru s montážní krabicí bateriový   </t>
  </si>
  <si>
    <t>725211603</t>
  </si>
  <si>
    <t xml:space="preserve">Umyvadlo keramické připevněné na stěnu šrouby bílé bez krytu na sifon 600 mm   </t>
  </si>
  <si>
    <t>725311121</t>
  </si>
  <si>
    <t xml:space="preserve">Dřez jednoduchý nerezový se zápachovou uzávěrkou s odkapávací plochou 560x480 mm a miskou   </t>
  </si>
  <si>
    <t>725331111</t>
  </si>
  <si>
    <t xml:space="preserve">Výlevka bez výtokových armatur keramická se sklopnou plastovou mřížkou 500 mm   </t>
  </si>
  <si>
    <t>725813111</t>
  </si>
  <si>
    <t xml:space="preserve">Ventil rohový   </t>
  </si>
  <si>
    <t>725821311</t>
  </si>
  <si>
    <t xml:space="preserve">Baterie výlevková nástěnná páková s otáčivým kulatým ústím a délkou ramínka 200 mm   </t>
  </si>
  <si>
    <t>725821326</t>
  </si>
  <si>
    <t xml:space="preserve">Baterie dřezová stojánková páková s otáčivým kulatým ústím a délkou ramínka 265 mm   </t>
  </si>
  <si>
    <t>725822612</t>
  </si>
  <si>
    <t xml:space="preserve">Baterie umyvadlová stojánková páková s výpustí   </t>
  </si>
  <si>
    <t>726</t>
  </si>
  <si>
    <t xml:space="preserve">Zdravotechnika - předstěnové instalace   </t>
  </si>
  <si>
    <t>726131002</t>
  </si>
  <si>
    <t xml:space="preserve">Příslušenství pro tělesně postižené WC   </t>
  </si>
  <si>
    <t>732</t>
  </si>
  <si>
    <t xml:space="preserve">Ústřední vytápění - strojovny   </t>
  </si>
  <si>
    <t>731</t>
  </si>
  <si>
    <t>732421213</t>
  </si>
  <si>
    <t xml:space="preserve">Čerpadlo teplovodní závitové cirkulační   </t>
  </si>
  <si>
    <t>Vnitřní vodovod</t>
  </si>
  <si>
    <t>722 : Zdravotechnika - Vnitřní vodovod</t>
  </si>
  <si>
    <t>892241111</t>
  </si>
  <si>
    <t xml:space="preserve">Tlaková zkouška vodou potrubí do 80   </t>
  </si>
  <si>
    <t xml:space="preserve">Ústřední vytápění - kotelny   </t>
  </si>
  <si>
    <t>731259617</t>
  </si>
  <si>
    <t xml:space="preserve">Montáž kotlů ocelových elektrických závěsných přímotopných o výkonu do 60 kW   </t>
  </si>
  <si>
    <t>484</t>
  </si>
  <si>
    <t>48417006</t>
  </si>
  <si>
    <t xml:space="preserve">elektrokotel závěsný přímotopný 18kW   </t>
  </si>
  <si>
    <t>732115104</t>
  </si>
  <si>
    <t xml:space="preserve">Rozdělovač a sběrač - 4 okruhy   </t>
  </si>
  <si>
    <t>48491005x</t>
  </si>
  <si>
    <t xml:space="preserve">sestava čerpadlová bez směšovače DN25   </t>
  </si>
  <si>
    <t>sada</t>
  </si>
  <si>
    <t>48491010x</t>
  </si>
  <si>
    <t xml:space="preserve">sestava čerpadlová se směšovačem Kvs=6,3 m3/h   </t>
  </si>
  <si>
    <t>732211225x</t>
  </si>
  <si>
    <t xml:space="preserve">Elektrická topná tyč pro ohřívač TUV   </t>
  </si>
  <si>
    <t>732231131</t>
  </si>
  <si>
    <t xml:space="preserve">Akumulační nádrž topné vody  objemu 500   </t>
  </si>
  <si>
    <t>732331618</t>
  </si>
  <si>
    <t xml:space="preserve">Nádoba tlaková expanzní s membránou závitové připojení PN 0,6 o objemu 100 l   </t>
  </si>
  <si>
    <t>732331717</t>
  </si>
  <si>
    <t xml:space="preserve">Nádoba tlaková expanzní s membránou závitové připojení PN 1,0 o objemu 80 l   </t>
  </si>
  <si>
    <t>732521117.IVT</t>
  </si>
  <si>
    <t xml:space="preserve">Tepelné čerpadlo země/voda - dva kompresory, dva oddělené chladivové okruhy,výkon 21,6 kW, příkon 4,7 kW   </t>
  </si>
  <si>
    <t>732525173</t>
  </si>
  <si>
    <t xml:space="preserve">Akumulační zásobník topné vody o objemu 399 l   </t>
  </si>
  <si>
    <t>733</t>
  </si>
  <si>
    <t xml:space="preserve">Ústřední vytápění - rozvodné potrubí   </t>
  </si>
  <si>
    <t>733222103</t>
  </si>
  <si>
    <t xml:space="preserve">Potrubí měděné polotvrdé spojované měkkým pájením D 18x1   </t>
  </si>
  <si>
    <t>733222104</t>
  </si>
  <si>
    <t xml:space="preserve">Potrubí měděné polotvrdé spojované měkkým pájením D 22x1   </t>
  </si>
  <si>
    <t>733222105</t>
  </si>
  <si>
    <t xml:space="preserve">Potrubí měděné polotvrdé spojované měkkým pájením D 28x1,5   </t>
  </si>
  <si>
    <t>733222206</t>
  </si>
  <si>
    <t xml:space="preserve">Potrubí měděné polotvrdé spojované tvrdým pájením D 35x1,5   </t>
  </si>
  <si>
    <t>733223107</t>
  </si>
  <si>
    <t xml:space="preserve">Potrubí měděné tvrdé spojované měkkým pájením D 42x1,5   </t>
  </si>
  <si>
    <t>733291101</t>
  </si>
  <si>
    <t xml:space="preserve">Zkouška těsnosti potrubí měděné do D 35x1,5   </t>
  </si>
  <si>
    <t>733811211</t>
  </si>
  <si>
    <t xml:space="preserve">Ochrana potrubí ústředního vytápění termoizolačními trubicemi z PE tl do 6 mm DN do 22 mm   </t>
  </si>
  <si>
    <t>733811212</t>
  </si>
  <si>
    <t xml:space="preserve">Ochrana potrubí ústředního vytápění - syntetický kaučuk   </t>
  </si>
  <si>
    <t>734</t>
  </si>
  <si>
    <t xml:space="preserve">Ústřední vytápění - armatury   </t>
  </si>
  <si>
    <t>734261402</t>
  </si>
  <si>
    <t xml:space="preserve">Armatura připojovací rohová G 1/2x18 PN 10 do 110°C radiátorů typu VK   </t>
  </si>
  <si>
    <t>734261406</t>
  </si>
  <si>
    <t xml:space="preserve">Armatura připojovací přímá G 1/2x18 PN 10 do 110°C radiátorů typu VK   </t>
  </si>
  <si>
    <t>28617070x</t>
  </si>
  <si>
    <t xml:space="preserve">Tvarovka T-kus pro připojení otopného tělesa z podlahy 16/300mm systému rozvodů vytápění a vody   </t>
  </si>
  <si>
    <t>28616121x</t>
  </si>
  <si>
    <t xml:space="preserve">Násuvná objímka - 16,2x2,6 (102ks), 20x2,9 (36ks), 25x3,7 (64ks), 32x4,7 (74ks), 40x6,0 (10ks)   </t>
  </si>
  <si>
    <t>28616312x</t>
  </si>
  <si>
    <t xml:space="preserve">Ostatní materiál - spojka redikovaná 20-16(2ks), kolena 90° 25(18ks), 32(30ks), 40(4ks), sada svěrného šroubení 16,2x2,6xG3/4" (21párů), 20x2,9xG3/4" (2 páry)   </t>
  </si>
  <si>
    <t>55124389x</t>
  </si>
  <si>
    <t xml:space="preserve">Armatury - vypouštěcí kohout kulový DN15(17ks), ozdušňovací ventil automatický (10ks), uzavírací kohout kulový mosaz, závit - DN25 (2ks), DN32 (4ks), DN40 (6ks), DN50 (2ks)   </t>
  </si>
  <si>
    <t>55124399x</t>
  </si>
  <si>
    <t xml:space="preserve">Armatury - ostatní - filtry závitové Ms s nerez sítkem DN40 (1ks), ventily zpětné Ms (1ks), ventily pojistné  3/4"x1" KD otv. tlak 3,0bar (1ks), mosaz šroubení DN25 (2ks), DN32 (4ks), DN40 (6ks), DN50 (2ks)   </t>
  </si>
  <si>
    <t>734295021</t>
  </si>
  <si>
    <t xml:space="preserve">Směšovací armatura   </t>
  </si>
  <si>
    <t>48410331</t>
  </si>
  <si>
    <t xml:space="preserve">příslušenství - teplotní čidlo   </t>
  </si>
  <si>
    <t>55121216</t>
  </si>
  <si>
    <t xml:space="preserve">termostat havarijní   </t>
  </si>
  <si>
    <t>735</t>
  </si>
  <si>
    <t xml:space="preserve">Ústřední vytápění - otopná tělesa   </t>
  </si>
  <si>
    <t>735152171.KRD</t>
  </si>
  <si>
    <t xml:space="preserve">Otopné těleso panel VK jednodeskové bez přídavné přestupní plochy KORADO Radik VK typ 10 výška/délka 900/400 mm výkon 242 W   </t>
  </si>
  <si>
    <t>735152172.KRD</t>
  </si>
  <si>
    <t xml:space="preserve">Otopné těleso panel VK jednodeskové bez přídavné přestupní plochy KORADO Radik VK typ 10 výška/délka 600/500 mm výkon 302 W   </t>
  </si>
  <si>
    <t>735152351</t>
  </si>
  <si>
    <t xml:space="preserve">Otopné těleso panelové VK dvoudeskové bez přídavné přestupní plochy výška/délka 500/800mm výkon 335W   </t>
  </si>
  <si>
    <t>735152472.KRD</t>
  </si>
  <si>
    <t xml:space="preserve">Otopné těleso panelové VK dvoudeskové 1 přídavná přestupní plocha KORADO Radik VK typ 21 výška/délka 600/500 mm výkon 644 W   </t>
  </si>
  <si>
    <t>735152476.KRD</t>
  </si>
  <si>
    <t xml:space="preserve">Otopné těleso panelové VK dvoudeskové 1 přídavná přestupní plocha KORADO Radik VK typ 21 výška/délka 600/900 mm výkon 1159 W   </t>
  </si>
  <si>
    <t>735152492.KRD</t>
  </si>
  <si>
    <t xml:space="preserve">Otopné těleso panelové VK dvoudeskové 1 přídavná přestupní plocha  KORADO Radik VK typ 21výška/délka 900/500 mm výkon 877 W   </t>
  </si>
  <si>
    <t>735152515.KRD</t>
  </si>
  <si>
    <t xml:space="preserve">Otopné těleso panelové VK dvoudeskové 2 přídavné přestupní plochy KORADO Radik VK typ 22 výška/délka 300/800 mm výkon 773 W   </t>
  </si>
  <si>
    <t>735152520.KRD</t>
  </si>
  <si>
    <t xml:space="preserve">Otopné těleso panelové VK dvoudeskové 2 přídavné přestupní plochy KORADO Radik VK typ 22 výška/délka 300/1400mm výkon 1352W   </t>
  </si>
  <si>
    <t>735152523.KRD</t>
  </si>
  <si>
    <t xml:space="preserve">Otopné těleso panelové VK dvoudeskové 2 přídavné přestupní plochy KORADO Radik VK typ 22 výška/délka 300/2000mm výkon 1932W   </t>
  </si>
  <si>
    <t>735152577.KRD</t>
  </si>
  <si>
    <t xml:space="preserve">Otopné těleso panelové VK dvoudeskové 2 přídavné přestupní plochy KORADO Radik VK typ 22 výška/délka 600/1000mm výkon 1679W   </t>
  </si>
  <si>
    <t>735152593.KRD</t>
  </si>
  <si>
    <t xml:space="preserve">Otopné těleso panelové VK dvoudeskové 2 přídavné přestupní plochy KORADO Radik VK typ 22 výška/délka 900/600mm výkon 1388 W   </t>
  </si>
  <si>
    <t>735152596.KRD</t>
  </si>
  <si>
    <t xml:space="preserve">Otopné těleso panelové VK dvoudeskové 2 přídavné přestupní plochy KORADO Radik VK typ 22 výška/délka 900/900mm výkon 2082 W   </t>
  </si>
  <si>
    <t>735511006</t>
  </si>
  <si>
    <t xml:space="preserve">Podlahové vytápění polyethylen PE-Xa rozvodné potrubí 17x2 mm rozteč 50 mm pro systémovou desku   </t>
  </si>
  <si>
    <t>735511007x</t>
  </si>
  <si>
    <t xml:space="preserve">Potrubí rozvodné PEXa/AI/PE  16,2x2,6 mm   </t>
  </si>
  <si>
    <t>735511026</t>
  </si>
  <si>
    <t xml:space="preserve">Podlahové vytápění polyethylen PE-Xa   </t>
  </si>
  <si>
    <t>735511031</t>
  </si>
  <si>
    <t xml:space="preserve">Potrubí 20x2,9 mm   </t>
  </si>
  <si>
    <t>735511045</t>
  </si>
  <si>
    <t xml:space="preserve">Potrubí rozvodné 25x3,7 mm   </t>
  </si>
  <si>
    <t>735511046</t>
  </si>
  <si>
    <t xml:space="preserve">Potrubí rozvodné 32x4,7 mm   </t>
  </si>
  <si>
    <t>735511046x</t>
  </si>
  <si>
    <t xml:space="preserve">Potrubí rozvodné 40x6,0 mm   </t>
  </si>
  <si>
    <t>735511062</t>
  </si>
  <si>
    <t xml:space="preserve">Podlahové vytápění polyethylen PE-Xa okrajový izolační pruh   </t>
  </si>
  <si>
    <t>735511064</t>
  </si>
  <si>
    <t xml:space="preserve">Podlahové vytápění polyethylen PE-Xa spárový profil   </t>
  </si>
  <si>
    <t>735511087</t>
  </si>
  <si>
    <t xml:space="preserve">Podlahové vytápění polyethylen PE-Xa rozdělovač osmiokruhový   </t>
  </si>
  <si>
    <t>735511135</t>
  </si>
  <si>
    <t xml:space="preserve">Ochranná trubka 16/17   </t>
  </si>
  <si>
    <t>735511135.RHU</t>
  </si>
  <si>
    <t xml:space="preserve">Podlahové vytápění polyethylen PE-Xa REHAU připojovací šroubení svěrné 17x2,0   </t>
  </si>
  <si>
    <t>735511141</t>
  </si>
  <si>
    <t xml:space="preserve">Podlahové vytápění polyethylen PE-Xa prostorový termostat   </t>
  </si>
  <si>
    <t>735511220</t>
  </si>
  <si>
    <t xml:space="preserve">Spojovací pás   </t>
  </si>
  <si>
    <t>735511221</t>
  </si>
  <si>
    <t xml:space="preserve">Ukončovací pás   </t>
  </si>
  <si>
    <t>735511222</t>
  </si>
  <si>
    <t xml:space="preserve">Upevňovací skoba   </t>
  </si>
  <si>
    <t>735511252</t>
  </si>
  <si>
    <t xml:space="preserve">Skříňka rozdělovače š 750 mm   </t>
  </si>
  <si>
    <t>735511286</t>
  </si>
  <si>
    <t xml:space="preserve">Podlahové vytápění polybutylen termopohon   </t>
  </si>
  <si>
    <t>28616342</t>
  </si>
  <si>
    <t xml:space="preserve">oblouk vodící podlahového topení, trubky 16/17/20 mm   </t>
  </si>
  <si>
    <t>735531046</t>
  </si>
  <si>
    <t xml:space="preserve">Rozvaděč regulace   </t>
  </si>
  <si>
    <t>Vytápění</t>
  </si>
  <si>
    <t>741</t>
  </si>
  <si>
    <t xml:space="preserve">Elektroinstalace - silnoproud   </t>
  </si>
  <si>
    <t>741112061</t>
  </si>
  <si>
    <t xml:space="preserve">Montáž krabice přístrojová zapuštěná plastová kruhová   </t>
  </si>
  <si>
    <t>345</t>
  </si>
  <si>
    <t>34571511</t>
  </si>
  <si>
    <t xml:space="preserve">krabice přístrojová   </t>
  </si>
  <si>
    <t>741120001</t>
  </si>
  <si>
    <t xml:space="preserve">Montáž vodič Cu 0,35-6 mm2   </t>
  </si>
  <si>
    <t>341</t>
  </si>
  <si>
    <t>34142158.PKB</t>
  </si>
  <si>
    <t xml:space="preserve">vodič 4 mm2   </t>
  </si>
  <si>
    <t>741120103</t>
  </si>
  <si>
    <t xml:space="preserve">Montáž vodič 2,5 mm2   </t>
  </si>
  <si>
    <t>34142154.PKB</t>
  </si>
  <si>
    <t xml:space="preserve">vodič 2,50 mm2   </t>
  </si>
  <si>
    <t>741120403</t>
  </si>
  <si>
    <t xml:space="preserve">Montáž vodič Cu izolovaný drátovací plný žíla 10-16 mm2 v rozváděči (CY)   </t>
  </si>
  <si>
    <t>34142159.PKB</t>
  </si>
  <si>
    <t xml:space="preserve">vodič 16 mm2   </t>
  </si>
  <si>
    <t>741122025</t>
  </si>
  <si>
    <t xml:space="preserve">Montáž kabel Cu bez ukončení uložený pod omítku plný kulatý 4x16 až 25 mm2 (CYKY)   </t>
  </si>
  <si>
    <t>34111090</t>
  </si>
  <si>
    <t xml:space="preserve">kabel  5x1,5mm2   </t>
  </si>
  <si>
    <t>34111005</t>
  </si>
  <si>
    <t xml:space="preserve">kabel  2x1,5mm2   </t>
  </si>
  <si>
    <t>34112316</t>
  </si>
  <si>
    <t xml:space="preserve">kabel4x16mm2   </t>
  </si>
  <si>
    <t>34110298</t>
  </si>
  <si>
    <t xml:space="preserve">kabel 5x10mm2   </t>
  </si>
  <si>
    <t>34111094</t>
  </si>
  <si>
    <t xml:space="preserve">kabel  5x2,5mm2   </t>
  </si>
  <si>
    <t>34109517</t>
  </si>
  <si>
    <t xml:space="preserve">kabel 3x2,5mm2   </t>
  </si>
  <si>
    <t>34109515</t>
  </si>
  <si>
    <t xml:space="preserve">kabel  3x1,5mm2   </t>
  </si>
  <si>
    <t>741122102</t>
  </si>
  <si>
    <t xml:space="preserve">Montáž kabel Cu plný plochý 3x1,5 až 2,5 mm2 zatažený v trubkách (CYKYLo)   </t>
  </si>
  <si>
    <t>34111036</t>
  </si>
  <si>
    <t xml:space="preserve">kabel silový s Cu jádrem 1 kV 3x1,5mm2   </t>
  </si>
  <si>
    <t>741127013x</t>
  </si>
  <si>
    <t xml:space="preserve">Ochranné přípojnice objektu EP - D+M   </t>
  </si>
  <si>
    <t>354</t>
  </si>
  <si>
    <t>35441072</t>
  </si>
  <si>
    <t xml:space="preserve">Pás FeZn D 30/4mm   </t>
  </si>
  <si>
    <t>35441073</t>
  </si>
  <si>
    <t xml:space="preserve">drát D 10mm FeZn   </t>
  </si>
  <si>
    <t>741210003</t>
  </si>
  <si>
    <t xml:space="preserve">Montáž rozvodnice oceloplechová nebo plastová běžná   </t>
  </si>
  <si>
    <t>357</t>
  </si>
  <si>
    <t>35713112x</t>
  </si>
  <si>
    <t xml:space="preserve">rozvodnice   </t>
  </si>
  <si>
    <t>741210102</t>
  </si>
  <si>
    <t xml:space="preserve">Montáž rozváděčů RT   </t>
  </si>
  <si>
    <t>35713850x</t>
  </si>
  <si>
    <t xml:space="preserve">rozvodnice RT   </t>
  </si>
  <si>
    <t>35711651x</t>
  </si>
  <si>
    <t xml:space="preserve">rozvaděč R2   </t>
  </si>
  <si>
    <t>741210702</t>
  </si>
  <si>
    <t xml:space="preserve">Montáž rozváděč   </t>
  </si>
  <si>
    <t>35711671x</t>
  </si>
  <si>
    <t xml:space="preserve">rozvaděč elektroměrový   </t>
  </si>
  <si>
    <t>741310001</t>
  </si>
  <si>
    <t xml:space="preserve">Montáž vypínač nástěnný 1-jednopólový prostředí normální   </t>
  </si>
  <si>
    <t>34535514</t>
  </si>
  <si>
    <t xml:space="preserve">spínač jednopólový 10A barevný   </t>
  </si>
  <si>
    <t>34536700</t>
  </si>
  <si>
    <t xml:space="preserve">rámeček pro spínače a zásuvky 3901A-B10 jednonásobný   </t>
  </si>
  <si>
    <t>34536705</t>
  </si>
  <si>
    <t xml:space="preserve">rámeček pro spínače a zásuvky 3901A-B20 dvojnásobný, vodorovný   </t>
  </si>
  <si>
    <t>34536710</t>
  </si>
  <si>
    <t xml:space="preserve">rámeček pro spínače a zásuvky 3901A-B30 trojnásobný, vodorovný   </t>
  </si>
  <si>
    <t>34571022</t>
  </si>
  <si>
    <t xml:space="preserve">trubka elektroinstalační ohebná D 23/28,9 mm   </t>
  </si>
  <si>
    <t>741310011</t>
  </si>
  <si>
    <t xml:space="preserve">Montáž ovladač nástěnný 1/0-tlačítkový zapínací prostředí normální   </t>
  </si>
  <si>
    <t>34535801</t>
  </si>
  <si>
    <t xml:space="preserve">tlačítko STOP   </t>
  </si>
  <si>
    <t>741310021</t>
  </si>
  <si>
    <t xml:space="preserve">Montáž přepínač nástěnný 5-sériový prostředí normální   </t>
  </si>
  <si>
    <t>34535714</t>
  </si>
  <si>
    <t xml:space="preserve">přepínač křížový 10A řazení 7 ostatní barvy   </t>
  </si>
  <si>
    <t>34535623</t>
  </si>
  <si>
    <t xml:space="preserve">přepínač sériový   </t>
  </si>
  <si>
    <t>741310122</t>
  </si>
  <si>
    <t xml:space="preserve">Montáž přepínač (polo)zapuštěný bezšroubové připojení 6-střídavý   </t>
  </si>
  <si>
    <t>34535556</t>
  </si>
  <si>
    <t xml:space="preserve">přepínač střídavý 10A řazení 6 ostatní barvy   </t>
  </si>
  <si>
    <t>741310126</t>
  </si>
  <si>
    <t xml:space="preserve">Montáž přepínač (polo)zapuštěný bezšroubové připojení 7-křížový   </t>
  </si>
  <si>
    <t>741310233</t>
  </si>
  <si>
    <t xml:space="preserve">Montáž přepínač střídavého   </t>
  </si>
  <si>
    <t>741311003</t>
  </si>
  <si>
    <t xml:space="preserve">Montáž čidlo pohybu vestavné se zapojením vodičů   </t>
  </si>
  <si>
    <t>34551842</t>
  </si>
  <si>
    <t xml:space="preserve">pohybový spínač IP20   </t>
  </si>
  <si>
    <t>34551841</t>
  </si>
  <si>
    <t xml:space="preserve">pohybový spínač IP54   </t>
  </si>
  <si>
    <t>741311013</t>
  </si>
  <si>
    <t xml:space="preserve">Montáž vypínač hl.   </t>
  </si>
  <si>
    <t>358</t>
  </si>
  <si>
    <t>35822916</t>
  </si>
  <si>
    <t xml:space="preserve">vypínač 100A   </t>
  </si>
  <si>
    <t>35822917x</t>
  </si>
  <si>
    <t xml:space="preserve">vypínač 32A/400V   </t>
  </si>
  <si>
    <t>741311021</t>
  </si>
  <si>
    <t xml:space="preserve">Montáž přípojka sporáková s doutnavkou se zapojením vodičů   </t>
  </si>
  <si>
    <t>35835100x</t>
  </si>
  <si>
    <t xml:space="preserve">sporáková přípojka   </t>
  </si>
  <si>
    <t>741313001</t>
  </si>
  <si>
    <t xml:space="preserve">Montáž zásuvka (polo)zapuštěná   </t>
  </si>
  <si>
    <t>34555104</t>
  </si>
  <si>
    <t xml:space="preserve">zásuvka 1násobná 16A ostatní barvy   </t>
  </si>
  <si>
    <t>741313005</t>
  </si>
  <si>
    <t xml:space="preserve">Montáž zásuvka s přepěťovou ochranou   </t>
  </si>
  <si>
    <t>34551485x</t>
  </si>
  <si>
    <t xml:space="preserve">zásuvka s přepěťovou ochranou   </t>
  </si>
  <si>
    <t>741313012x</t>
  </si>
  <si>
    <t xml:space="preserve">Montáž zásuvka IP54   </t>
  </si>
  <si>
    <t>374</t>
  </si>
  <si>
    <t>37451231x</t>
  </si>
  <si>
    <t xml:space="preserve">zásuvka 16A/250V IP54   </t>
  </si>
  <si>
    <t>741313425</t>
  </si>
  <si>
    <t xml:space="preserve">Montáž zásuvka 16A/400V   </t>
  </si>
  <si>
    <t>35811253</t>
  </si>
  <si>
    <t xml:space="preserve">zásuvka nástěnná 32 A, 400 V, 4pólová   </t>
  </si>
  <si>
    <t>741320103</t>
  </si>
  <si>
    <t xml:space="preserve">Montáž jistič jednopólový nn do 25 A s krytem   </t>
  </si>
  <si>
    <t>35822107x</t>
  </si>
  <si>
    <t xml:space="preserve">jistič 1pólový-6B/1   </t>
  </si>
  <si>
    <t xml:space="preserve">Montáž jističů   </t>
  </si>
  <si>
    <t>35822109</t>
  </si>
  <si>
    <t xml:space="preserve">jistič 1pólový-charakteristika B 10A   </t>
  </si>
  <si>
    <t>35822111</t>
  </si>
  <si>
    <t xml:space="preserve">jistič 1pólový-charakteristika B 16A   </t>
  </si>
  <si>
    <t>35822403</t>
  </si>
  <si>
    <t xml:space="preserve">jistič 3pólový-charakteristika B 25A   </t>
  </si>
  <si>
    <t>35822402x</t>
  </si>
  <si>
    <t xml:space="preserve">jistič 3pólový-charakteristika B 10A   </t>
  </si>
  <si>
    <t>741320162</t>
  </si>
  <si>
    <t xml:space="preserve">Montáž jistič třípólový nn do 25 A   </t>
  </si>
  <si>
    <t>35822602</t>
  </si>
  <si>
    <t xml:space="preserve">jistič 3, Ir = 20-25 A   </t>
  </si>
  <si>
    <t>741320163</t>
  </si>
  <si>
    <t xml:space="preserve">Montáž jistič chrán.   </t>
  </si>
  <si>
    <t>35889206</t>
  </si>
  <si>
    <t xml:space="preserve">chránič   </t>
  </si>
  <si>
    <t>741321002</t>
  </si>
  <si>
    <t xml:space="preserve">Montáž proudových chráničů dvoupólových nn do 25 A s krytem   </t>
  </si>
  <si>
    <t>35889206x</t>
  </si>
  <si>
    <t xml:space="preserve">chránič proudový 25A/30mA   </t>
  </si>
  <si>
    <t>741322011x</t>
  </si>
  <si>
    <t xml:space="preserve">Svodiče přepětí - D+M   </t>
  </si>
  <si>
    <t>741330351</t>
  </si>
  <si>
    <t xml:space="preserve">Montáž ovladač tlačítkový domovní bez doutnavky   </t>
  </si>
  <si>
    <t>34535802</t>
  </si>
  <si>
    <t xml:space="preserve">ovladač zapínací tlačítkový s orientační doutnavkou velkoplošný 10A 3553-93280   </t>
  </si>
  <si>
    <t>741330741</t>
  </si>
  <si>
    <t xml:space="preserve">Montáž relé nezávislé paměťové   </t>
  </si>
  <si>
    <t>35835102x</t>
  </si>
  <si>
    <t xml:space="preserve">relé   </t>
  </si>
  <si>
    <t>741372152</t>
  </si>
  <si>
    <t xml:space="preserve">Montáž svítidlo LED   </t>
  </si>
  <si>
    <t>347</t>
  </si>
  <si>
    <t>34774100x</t>
  </si>
  <si>
    <t xml:space="preserve">Q-line do 1700 závěsné 40W   </t>
  </si>
  <si>
    <t>34774200x</t>
  </si>
  <si>
    <t xml:space="preserve">N-line 500 LED 20W   </t>
  </si>
  <si>
    <t>34774210</t>
  </si>
  <si>
    <t xml:space="preserve">Qvadro Solitér 845 závěsné LED 124W   </t>
  </si>
  <si>
    <t>34774220</t>
  </si>
  <si>
    <t xml:space="preserve">Ostatní osvětlení - K, M, S, T, Z, venkovní nástěnné   </t>
  </si>
  <si>
    <t>34774102x</t>
  </si>
  <si>
    <t xml:space="preserve">Q-line do 2250mm 48W   </t>
  </si>
  <si>
    <t>741420001</t>
  </si>
  <si>
    <t xml:space="preserve">Montáž drát nebo lano hromosvodné svodové D do 10 mm   </t>
  </si>
  <si>
    <t>741420022</t>
  </si>
  <si>
    <t xml:space="preserve">Montáž svorka hromosvodná   </t>
  </si>
  <si>
    <t>34562207</t>
  </si>
  <si>
    <t xml:space="preserve">svorkovnice   </t>
  </si>
  <si>
    <t>742</t>
  </si>
  <si>
    <t xml:space="preserve">Elektroinstalace - slaboproud   </t>
  </si>
  <si>
    <t>742110107</t>
  </si>
  <si>
    <t xml:space="preserve">Montáž kabelového žlabu pro slaboproud drátěného 400 mm   </t>
  </si>
  <si>
    <t>592</t>
  </si>
  <si>
    <t>59213002</t>
  </si>
  <si>
    <t xml:space="preserve">žlab kabelový betonový 40 cm   </t>
  </si>
  <si>
    <t>742110501</t>
  </si>
  <si>
    <t xml:space="preserve">Montáž krabic pro slaboproud zapuštěných plastových odbočných kruhových s víčkem a se zasekáním   </t>
  </si>
  <si>
    <t>34571519</t>
  </si>
  <si>
    <t xml:space="preserve">krabice univerzální odbočná   </t>
  </si>
  <si>
    <t>Elektroinstalace - silnoproud</t>
  </si>
  <si>
    <t xml:space="preserve">741 : Elektroinstalace - silnoproud   </t>
  </si>
  <si>
    <t xml:space="preserve">Montáž drát nebo lano hromosvodné svodové D do 10 mm s podpěrou   </t>
  </si>
  <si>
    <t xml:space="preserve">drát D 8mm FeZn   </t>
  </si>
  <si>
    <t>741420002</t>
  </si>
  <si>
    <t xml:space="preserve">Montáž drát nebo lano hromosvodné svodové   </t>
  </si>
  <si>
    <t>354410910</t>
  </si>
  <si>
    <t xml:space="preserve">zemnící pásek 30 mm2  FeZn   </t>
  </si>
  <si>
    <t xml:space="preserve">Hmotnost: 0,280  kg/m   </t>
  </si>
  <si>
    <t>741420021</t>
  </si>
  <si>
    <t xml:space="preserve">Montáž svorka hromosvodná se 2 šrouby   </t>
  </si>
  <si>
    <t>354418750</t>
  </si>
  <si>
    <t xml:space="preserve">svorka křížová SK pro vodič D6-10 mm   </t>
  </si>
  <si>
    <t>354418850</t>
  </si>
  <si>
    <t xml:space="preserve">svorka spojovací SS pro lano D8-10 mm   </t>
  </si>
  <si>
    <t>354418600</t>
  </si>
  <si>
    <t xml:space="preserve">svorka SJ 1   </t>
  </si>
  <si>
    <t>354419050</t>
  </si>
  <si>
    <t xml:space="preserve">svorka připojovací SO   </t>
  </si>
  <si>
    <t>354419250</t>
  </si>
  <si>
    <t xml:space="preserve">svorka zkušební SZ pro lano D6-12 mm   FeZn   </t>
  </si>
  <si>
    <t>741420051</t>
  </si>
  <si>
    <t xml:space="preserve">Montáž vedení hromosvodné-úhelník nebo trubka s držáky do zdiva   </t>
  </si>
  <si>
    <t>354418310</t>
  </si>
  <si>
    <t xml:space="preserve">úhelník ochranný   </t>
  </si>
  <si>
    <t>741430002</t>
  </si>
  <si>
    <t xml:space="preserve">Montáž tyč jímací délky do 3 m   </t>
  </si>
  <si>
    <t>354410700</t>
  </si>
  <si>
    <t xml:space="preserve">tyč jímací 2000 mm   </t>
  </si>
  <si>
    <t xml:space="preserve">Elektroinstalace - hromosvod   </t>
  </si>
  <si>
    <t xml:space="preserve">  Elektroinstalace - silnoproud celkem</t>
  </si>
  <si>
    <t>622321141/00</t>
  </si>
  <si>
    <r>
      <t>Vápenocementová omítka štuková dvouvrstvá vnějších stěn nanášená ručně</t>
    </r>
    <r>
      <rPr>
        <i/>
        <sz val="9"/>
        <color indexed="8"/>
        <rFont val="Arial"/>
        <family val="2"/>
        <charset val="238"/>
      </rPr>
      <t xml:space="preserve"> - komín</t>
    </r>
  </si>
  <si>
    <t>P7 (učebny)</t>
  </si>
  <si>
    <t>Kročejová izolace  80 mm</t>
  </si>
  <si>
    <t>Dodávka minerální vata – zvuková izolace tl. 80 mm</t>
  </si>
  <si>
    <t>762523104/00</t>
  </si>
  <si>
    <t>Položení podlahy z hoblovaných prken na sraz</t>
  </si>
  <si>
    <r>
      <t xml:space="preserve">Dodávka  hoblovaných prken tl. 25 mm   </t>
    </r>
    <r>
      <rPr>
        <i/>
        <sz val="9"/>
        <color indexed="8"/>
        <rFont val="Arial"/>
        <family val="2"/>
        <charset val="238"/>
      </rPr>
      <t>52*1,1</t>
    </r>
  </si>
  <si>
    <r>
      <t xml:space="preserve">Dodávka řeziva - fošen 60/240 mm   </t>
    </r>
    <r>
      <rPr>
        <i/>
        <sz val="9"/>
        <color indexed="8"/>
        <rFont val="Arial"/>
        <family val="2"/>
        <charset val="238"/>
      </rPr>
      <t>1,9*1,1</t>
    </r>
  </si>
  <si>
    <t>762005</t>
  </si>
  <si>
    <t>762004</t>
  </si>
  <si>
    <t>762901</t>
  </si>
  <si>
    <t>762902</t>
  </si>
  <si>
    <t>764218605/00</t>
  </si>
  <si>
    <t>Oplechování rovné římsy mechanicky kotvené z Pz s upraveným povrchem rš 350 mm K24</t>
  </si>
  <si>
    <t>Dodávka cel.nosník 7 x UPE 180 dl. 640 mm vyvařené mezi sloupy z UPE 180</t>
  </si>
  <si>
    <t>953002</t>
  </si>
  <si>
    <t>Odvětrání vodorovné plastovými troubami DN do 80 mm  vč. 18 kolen</t>
  </si>
  <si>
    <t>953735112/sr</t>
  </si>
  <si>
    <r>
      <t xml:space="preserve">Dodávka řeziva - hranolů  </t>
    </r>
    <r>
      <rPr>
        <i/>
        <sz val="9"/>
        <color indexed="8"/>
        <rFont val="Arial"/>
        <family val="2"/>
        <charset val="238"/>
      </rPr>
      <t>5,114*1,1</t>
    </r>
  </si>
  <si>
    <t>762086112/00</t>
  </si>
  <si>
    <t>762086113/00</t>
  </si>
  <si>
    <t>Ocelový prvek kotvení krokve  Z16 - 7,1kg</t>
  </si>
  <si>
    <t>Ocelový prvek kotvení krokve  Z17 - 13,7kg</t>
  </si>
  <si>
    <t>Montáž KDK hmotnosti prvku do 10 kg - Z16 =7,1*7</t>
  </si>
  <si>
    <t>Montáž KDK hmotnosti prvku do 15 kg - Z17=13,7*7</t>
  </si>
  <si>
    <t>226121111x</t>
  </si>
  <si>
    <t xml:space="preserve">Zpracování dokumentace pro provádění vrtů hornickým způsobem, vyhl. č. 239/1998 příloha č. 1   </t>
  </si>
  <si>
    <t>226121112x</t>
  </si>
  <si>
    <t xml:space="preserve">Hlášení prací na OBÚ   </t>
  </si>
  <si>
    <t>226121113x</t>
  </si>
  <si>
    <t xml:space="preserve">Doprava materiálu, techniky na stavbu, ubytování pracovníků, spotřeba pomocných energií   </t>
  </si>
  <si>
    <t>226121114x</t>
  </si>
  <si>
    <t xml:space="preserve">Autorský dozor projektanta, hydrogeologický dozor (pasport, monitoring) - bude účtováno dle skutečnosti   </t>
  </si>
  <si>
    <t>226121211x</t>
  </si>
  <si>
    <t xml:space="preserve">Vrtné práce - 5 x 100m - vrtaný průměr cca do 200mm s dočasným Fe pažením, instalace geotermální vertikální sondy, tlaková a průt zkouška ,vystrojení vrtů - sonda 5x100m, litin závaží (12,5;5ks) , injekční potrubí 5x102m, tlak. injektáž vrtu(500m)   </t>
  </si>
  <si>
    <t>226121212x</t>
  </si>
  <si>
    <t xml:space="preserve">Redukce počtu větví vrtů (redukce HOSE 2x32 - 1 x 40 mm, PE 100 RC, SRD 11, PN16   </t>
  </si>
  <si>
    <t>226121213x</t>
  </si>
  <si>
    <t xml:space="preserve">POtrubí pro napojení vrtu PE 100 RC (40x3,7 mm, odolnost 16 bar, vnější ochr. vrstva zelené barvy, dle normy PAS 1075 typ 2   </t>
  </si>
  <si>
    <t>226121214x</t>
  </si>
  <si>
    <t xml:space="preserve">Elektrotvarovka - spojka 40mm, PE 100, SDR 11   </t>
  </si>
  <si>
    <t>226121215x</t>
  </si>
  <si>
    <t xml:space="preserve">Jímka s vývody 5/5 - 410x835 mm, varianta nevodotěsná, zelený poklop s protiskluz. úpravou, pochůzný, rozdělovač 90x19,5mm, sběrač 90x19,5mm, 5x PVC vyvažovací ventil, ,2x napouštěcí / odvzduš. ventil, 10x vývod z jímky potrubí 40mm + 2x63 mm,   </t>
  </si>
  <si>
    <t>226121216x</t>
  </si>
  <si>
    <t xml:space="preserve">Potrubí RC Protect (63x5,8 mm, odolnost 16 bar, SDR11, PN16, dle normy PAS 1075 typ 2, 6m tyč,   </t>
  </si>
  <si>
    <t>226122111x</t>
  </si>
  <si>
    <t xml:space="preserve">Elektrospojka 63mm, PE 100, SDR 11   </t>
  </si>
  <si>
    <t>226122112x</t>
  </si>
  <si>
    <t xml:space="preserve">Elektrokoleno 90° 63mm, PE100, SDR11   </t>
  </si>
  <si>
    <t>226122113x</t>
  </si>
  <si>
    <t xml:space="preserve">Vložka k přechodce 63 - 2", PE 100 - mosaz, vnější závit, SDR 11   </t>
  </si>
  <si>
    <t>226122114x</t>
  </si>
  <si>
    <t xml:space="preserve">Nemrznoucí směs - koncentrát, monoethylenglykol, 1:2,2 (koncentrát/voda), teplonosná antikorozní kapalina, pro primární okruh   </t>
  </si>
  <si>
    <t>l</t>
  </si>
  <si>
    <t>226122115x</t>
  </si>
  <si>
    <t xml:space="preserve">Izolace potrubí 60x13 mm, kaučuková izolace s komůrkovou strukturou   </t>
  </si>
  <si>
    <t>226122117x</t>
  </si>
  <si>
    <t xml:space="preserve">Chránička izolace potrubí 125mm, vnější, PEHD   </t>
  </si>
  <si>
    <t>226225111x</t>
  </si>
  <si>
    <t xml:space="preserve">Zemní práce - strojní výkopy - rýhy š. do 500-600mm, hl. 1,2-1,5 m pro horizontální potrubí a sběrnou jímku   </t>
  </si>
  <si>
    <t>226225112x</t>
  </si>
  <si>
    <t xml:space="preserve">Zemní práce- zásyp rýh vytříděným výkopem do fr. 63mm, základná hutnění   </t>
  </si>
  <si>
    <t>226225113x</t>
  </si>
  <si>
    <t xml:space="preserve">Pokládka a elektrosvařování potrubí, horizontální rozvody od vrtu k jímce, napojení na sběrnou jímku, vedení a svařování páteřního vedení  od jímky do technické místnosti   </t>
  </si>
  <si>
    <t>226225114x</t>
  </si>
  <si>
    <t xml:space="preserve">Osazení sběrné jímky, vč. zhutnění podkladní vrstvy 150mm, hutněný obsyp potrubních výstupů pískem   </t>
  </si>
  <si>
    <t>226225211x</t>
  </si>
  <si>
    <t xml:space="preserve">Tlaková zkouška systému po napojení na sběrnou jímku - před záhrnem a po záhrnu výkopů   </t>
  </si>
  <si>
    <t>226225212x</t>
  </si>
  <si>
    <t xml:space="preserve">Tepelné izolační potrubí, osazení chráničky   </t>
  </si>
  <si>
    <t>226225213x</t>
  </si>
  <si>
    <t xml:space="preserve">Plnění celého systému vč. sběrné jímky a páteřního vedení nemrznoucí kapalinou   </t>
  </si>
  <si>
    <t>226225214x</t>
  </si>
  <si>
    <t xml:space="preserve">Odvoz a likvidace vytěženého materiálu z provádění vrtů, skládkovné, 5 kontejnerů x 4 m3   </t>
  </si>
  <si>
    <t>kontejner</t>
  </si>
  <si>
    <t>952901111/00</t>
  </si>
  <si>
    <t>Vyčištění budov bytové a občanské výstavby při výšce podl.do 4 m</t>
  </si>
  <si>
    <t xml:space="preserve">742 : Elektroinstalace - slaboproud   </t>
  </si>
  <si>
    <t>742420001x</t>
  </si>
  <si>
    <t xml:space="preserve">Wifi aténa   </t>
  </si>
  <si>
    <t>742420011x</t>
  </si>
  <si>
    <t xml:space="preserve">RACK skříň   </t>
  </si>
  <si>
    <t>742420061x</t>
  </si>
  <si>
    <t xml:space="preserve">Dat SWITCH   </t>
  </si>
  <si>
    <t>742420071x</t>
  </si>
  <si>
    <t xml:space="preserve">kabel   </t>
  </si>
  <si>
    <t>742420081x</t>
  </si>
  <si>
    <t xml:space="preserve">Zásuvky   </t>
  </si>
  <si>
    <t>742420101x</t>
  </si>
  <si>
    <t xml:space="preserve">WIFI router   </t>
  </si>
  <si>
    <t>742420111x</t>
  </si>
  <si>
    <t xml:space="preserve">Systémy pro přenos obrazu / zvuku - montáž   </t>
  </si>
  <si>
    <t>751111081</t>
  </si>
  <si>
    <t xml:space="preserve">Mtž ventilátoru závěsného   </t>
  </si>
  <si>
    <t>42914118x</t>
  </si>
  <si>
    <t>751510042</t>
  </si>
  <si>
    <t xml:space="preserve">Vzduchotechnické potrubí pozink kruhové spirálně vinuté D do 200 mm   </t>
  </si>
  <si>
    <t xml:space="preserve">751 : Vzduchotechnika   </t>
  </si>
  <si>
    <t xml:space="preserve">Vzduchotechnika </t>
  </si>
  <si>
    <t xml:space="preserve"> kombifix montážní prvek pro závěsné WC 82cm s nádrží Omega 12 cm, horní/přední ovládání pro zděné stěny   </t>
  </si>
  <si>
    <t>ventilátor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</si>
</sst>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4" formatCode="_-* #,##0.00\ &quot;Kč&quot;_-;\-* #,##0.00\ &quot;Kč&quot;_-;_-* &quot;-&quot;??\ &quot;Kč&quot;_-;_-@_-"/>
    <numFmt numFmtId="164" formatCode="_(#,##0.0_);[Red]\-\ #,##0.0_);&quot;–&quot;??;_(@_)"/>
    <numFmt numFmtId="165" formatCode="_-* #,##0\ &quot;Kč&quot;_-;\-* #,##0\ &quot;Kč&quot;_-;_-* &quot;-&quot;??\ &quot;Kč&quot;_-;_-@_-"/>
    <numFmt numFmtId="166" formatCode="_(#,##0.0??;\-\ #,##0.0??;&quot;–&quot;???;_(@_)"/>
    <numFmt numFmtId="167" formatCode="_(#,##0.00_);[Red]\-\ #,##0.00_);&quot;–&quot;??;_(@_)"/>
    <numFmt numFmtId="168" formatCode="_(#,##0_);[Red]\-\ #,##0_);&quot;–&quot;??;_(@_)"/>
    <numFmt numFmtId="169" formatCode="_(#,##0.00000_);[Red]\-\ #,##0.00000_);&quot;–&quot;??;_(@_)"/>
    <numFmt numFmtId="170" formatCode="_(#,##0.000_);[Red]\-\ #,##0.000_);&quot;–&quot;??;_(@_)"/>
    <numFmt numFmtId="171" formatCode="_(#,##0.0?;\-\ #,##0.0?;&quot;–&quot;???;_(@_)"/>
    <numFmt numFmtId="172" formatCode="0.000"/>
    <numFmt numFmtId="173" formatCode="#,##0.00_ ;\-#,##0.00\ "/>
    <numFmt numFmtId="174" formatCode="_(#,##0&quot;.&quot;_);;;_(@_)"/>
    <numFmt numFmtId="175" formatCode="0.0"/>
    <numFmt numFmtId="176" formatCode="#,##0.0"/>
    <numFmt numFmtId="177" formatCode="0.00000"/>
    <numFmt numFmtId="178" formatCode="#,##0.00_ ;[Red]\-#,##0.00\ "/>
    <numFmt numFmtId="179" formatCode="_(#,##0.0;\-\ #,##0.0;&quot;–&quot;???;_(@_)"/>
    <numFmt numFmtId="180" formatCode="#,##0;\-#,##0"/>
    <numFmt numFmtId="181" formatCode="#,##0.000;\-#,##0.000"/>
    <numFmt numFmtId="182" formatCode="#,##0.00;\-#,##0.00"/>
    <numFmt numFmtId="183" formatCode="#,##0.0;\-#,##0.0"/>
    <numFmt numFmtId="184" formatCode="#,##0\ [$€-1]"/>
    <numFmt numFmtId="185" formatCode="#,##0\ &quot;Kč&quot;"/>
  </numFmts>
  <fonts count="57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indexed="18"/>
      <name val="Arial Narrow"/>
      <family val="2"/>
      <charset val="238"/>
    </font>
    <font>
      <b/>
      <sz val="9"/>
      <color indexed="18"/>
      <name val="Arial"/>
      <family val="2"/>
      <charset val="238"/>
    </font>
    <font>
      <sz val="9"/>
      <color indexed="8"/>
      <name val="Arial Narrow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Arial CE"/>
      <charset val="238"/>
    </font>
    <font>
      <b/>
      <i/>
      <sz val="1"/>
      <color theme="0"/>
      <name val="Arial Narrow"/>
      <family val="2"/>
      <charset val="238"/>
    </font>
    <font>
      <b/>
      <i/>
      <sz val="1"/>
      <color theme="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10"/>
      <color rgb="FFFF0000"/>
      <name val="Calibri"/>
      <family val="2"/>
      <charset val="238"/>
      <scheme val="minor"/>
    </font>
    <font>
      <i/>
      <sz val="9"/>
      <color indexed="18"/>
      <name val="Arial Narrow"/>
      <family val="2"/>
      <charset val="238"/>
    </font>
    <font>
      <i/>
      <sz val="9"/>
      <name val="Arial"/>
      <family val="2"/>
      <charset val="238"/>
    </font>
    <font>
      <i/>
      <sz val="9"/>
      <name val="Arial Narrow"/>
      <family val="2"/>
      <charset val="238"/>
    </font>
    <font>
      <i/>
      <sz val="9"/>
      <color indexed="8"/>
      <name val="Arial CE"/>
      <charset val="238"/>
    </font>
    <font>
      <i/>
      <sz val="9"/>
      <color indexed="8"/>
      <name val="Arial Narrow"/>
      <family val="2"/>
      <charset val="238"/>
    </font>
    <font>
      <sz val="8"/>
      <color rgb="FF404040"/>
      <name val="Heading"/>
      <charset val="238"/>
    </font>
    <font>
      <sz val="9"/>
      <color indexed="18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Helv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indexed="8"/>
      <name val="Calibri"/>
      <family val="2"/>
      <charset val="238"/>
    </font>
    <font>
      <b/>
      <sz val="9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name val="MS Sans Serif"/>
      <charset val="1"/>
    </font>
    <font>
      <sz val="8"/>
      <name val="Arial CE"/>
      <charset val="238"/>
    </font>
    <font>
      <sz val="7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  <font>
      <sz val="8"/>
      <name val="Arial Narrow"/>
      <family val="2"/>
      <charset val="238"/>
    </font>
    <font>
      <sz val="10"/>
      <name val="MS Sans Serif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i/>
      <sz val="7"/>
      <name val="Arial CE"/>
      <charset val="238"/>
    </font>
    <font>
      <sz val="1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rgb="FF01A5F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0" fontId="26" fillId="0" borderId="0"/>
    <xf numFmtId="0" fontId="38" fillId="0" borderId="0"/>
    <xf numFmtId="0" fontId="41" fillId="0" borderId="0" applyAlignment="0">
      <alignment vertical="top"/>
      <protection locked="0"/>
    </xf>
    <xf numFmtId="44" fontId="41" fillId="0" borderId="0" applyFont="0" applyFill="0" applyBorder="0" applyAlignment="0" applyProtection="0">
      <alignment vertical="top"/>
      <protection locked="0"/>
    </xf>
    <xf numFmtId="0" fontId="56" fillId="0" borderId="0"/>
  </cellStyleXfs>
  <cellXfs count="40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/>
    <xf numFmtId="0" fontId="4" fillId="0" borderId="18" xfId="0" applyFont="1" applyBorder="1"/>
    <xf numFmtId="0" fontId="0" fillId="0" borderId="9" xfId="0" applyBorder="1"/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0" xfId="0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protection locked="0"/>
    </xf>
    <xf numFmtId="168" fontId="8" fillId="0" borderId="0" xfId="0" applyNumberFormat="1" applyFont="1" applyAlignment="1" applyProtection="1">
      <protection locked="0"/>
    </xf>
    <xf numFmtId="169" fontId="7" fillId="0" borderId="0" xfId="0" applyNumberFormat="1" applyFont="1" applyAlignment="1" applyProtection="1">
      <protection locked="0"/>
    </xf>
    <xf numFmtId="164" fontId="7" fillId="0" borderId="0" xfId="0" applyNumberFormat="1" applyFont="1" applyAlignment="1" applyProtection="1">
      <protection locked="0"/>
    </xf>
    <xf numFmtId="167" fontId="7" fillId="0" borderId="0" xfId="0" applyNumberFormat="1" applyFont="1" applyAlignment="1" applyProtection="1">
      <protection locked="0"/>
    </xf>
    <xf numFmtId="49" fontId="9" fillId="0" borderId="4" xfId="0" applyNumberFormat="1" applyFont="1" applyBorder="1" applyAlignment="1" applyProtection="1">
      <alignment horizontal="center" vertical="top"/>
      <protection locked="0"/>
    </xf>
    <xf numFmtId="49" fontId="9" fillId="0" borderId="4" xfId="0" applyNumberFormat="1" applyFont="1" applyBorder="1" applyAlignment="1" applyProtection="1">
      <alignment horizontal="left" vertical="top"/>
      <protection locked="0"/>
    </xf>
    <xf numFmtId="0" fontId="10" fillId="0" borderId="4" xfId="0" applyNumberFormat="1" applyFont="1" applyBorder="1" applyAlignment="1" applyProtection="1">
      <alignment horizontal="left" vertical="top" wrapText="1"/>
      <protection locked="0"/>
    </xf>
    <xf numFmtId="49" fontId="10" fillId="0" borderId="4" xfId="0" applyNumberFormat="1" applyFont="1" applyBorder="1" applyAlignment="1" applyProtection="1">
      <alignment horizontal="center" vertical="top"/>
      <protection locked="0"/>
    </xf>
    <xf numFmtId="167" fontId="10" fillId="0" borderId="4" xfId="0" applyNumberFormat="1" applyFont="1" applyBorder="1" applyAlignment="1" applyProtection="1">
      <alignment horizontal="right" vertical="top"/>
      <protection locked="0"/>
    </xf>
    <xf numFmtId="168" fontId="10" fillId="0" borderId="4" xfId="0" applyNumberFormat="1" applyFont="1" applyBorder="1" applyAlignment="1" applyProtection="1">
      <alignment horizontal="right" vertical="top"/>
      <protection locked="0"/>
    </xf>
    <xf numFmtId="169" fontId="9" fillId="0" borderId="4" xfId="0" applyNumberFormat="1" applyFont="1" applyBorder="1" applyAlignment="1" applyProtection="1">
      <alignment horizontal="right" vertical="top"/>
      <protection locked="0"/>
    </xf>
    <xf numFmtId="164" fontId="9" fillId="0" borderId="4" xfId="0" applyNumberFormat="1" applyFont="1" applyBorder="1" applyAlignment="1" applyProtection="1">
      <alignment horizontal="right" vertical="top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166" fontId="13" fillId="0" borderId="0" xfId="0" applyNumberFormat="1" applyFont="1" applyFill="1" applyBorder="1" applyAlignment="1" applyProtection="1">
      <alignment horizontal="center" vertical="center"/>
      <protection locked="0"/>
    </xf>
    <xf numFmtId="167" fontId="13" fillId="0" borderId="0" xfId="0" applyNumberFormat="1" applyFont="1" applyAlignment="1" applyProtection="1">
      <alignment horizontal="center" vertical="center"/>
      <protection locked="0"/>
    </xf>
    <xf numFmtId="168" fontId="13" fillId="0" borderId="0" xfId="0" applyNumberFormat="1" applyFont="1" applyAlignment="1" applyProtection="1">
      <alignment horizontal="center" vertical="center"/>
      <protection locked="0"/>
    </xf>
    <xf numFmtId="169" fontId="12" fillId="0" borderId="0" xfId="0" applyNumberFormat="1" applyFont="1" applyAlignment="1" applyProtection="1">
      <alignment horizontal="center" vertical="center"/>
      <protection locked="0"/>
    </xf>
    <xf numFmtId="167" fontId="12" fillId="0" borderId="0" xfId="0" applyNumberFormat="1" applyFont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5" fillId="0" borderId="4" xfId="0" applyNumberFormat="1" applyFont="1" applyBorder="1" applyAlignment="1" applyProtection="1">
      <alignment horizontal="left" vertical="top" wrapText="1"/>
      <protection locked="0"/>
    </xf>
    <xf numFmtId="166" fontId="16" fillId="0" borderId="0" xfId="0" applyNumberFormat="1" applyFont="1" applyFill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horizontal="center" vertical="top"/>
      <protection locked="0"/>
    </xf>
    <xf numFmtId="49" fontId="17" fillId="0" borderId="9" xfId="0" applyNumberFormat="1" applyFont="1" applyBorder="1" applyAlignment="1" applyProtection="1">
      <alignment horizontal="center"/>
      <protection locked="0"/>
    </xf>
    <xf numFmtId="0" fontId="17" fillId="0" borderId="4" xfId="0" applyNumberFormat="1" applyFont="1" applyBorder="1" applyAlignment="1" applyProtection="1">
      <alignment horizontal="left"/>
      <protection locked="0"/>
    </xf>
    <xf numFmtId="0" fontId="18" fillId="0" borderId="4" xfId="0" applyNumberFormat="1" applyFont="1" applyBorder="1" applyAlignment="1" applyProtection="1">
      <alignment horizontal="left"/>
      <protection locked="0"/>
    </xf>
    <xf numFmtId="167" fontId="8" fillId="0" borderId="4" xfId="0" applyNumberFormat="1" applyFont="1" applyBorder="1" applyAlignment="1" applyProtection="1">
      <protection locked="0"/>
    </xf>
    <xf numFmtId="168" fontId="8" fillId="0" borderId="4" xfId="0" applyNumberFormat="1" applyFont="1" applyBorder="1" applyAlignment="1" applyProtection="1">
      <protection locked="0"/>
    </xf>
    <xf numFmtId="169" fontId="7" fillId="0" borderId="4" xfId="0" applyNumberFormat="1" applyFont="1" applyBorder="1" applyAlignment="1" applyProtection="1">
      <protection locked="0"/>
    </xf>
    <xf numFmtId="164" fontId="7" fillId="0" borderId="4" xfId="0" applyNumberFormat="1" applyFont="1" applyBorder="1" applyAlignment="1" applyProtection="1">
      <protection locked="0"/>
    </xf>
    <xf numFmtId="167" fontId="7" fillId="0" borderId="4" xfId="0" applyNumberFormat="1" applyFont="1" applyBorder="1" applyAlignment="1" applyProtection="1">
      <protection locked="0"/>
    </xf>
    <xf numFmtId="164" fontId="7" fillId="0" borderId="27" xfId="0" applyNumberFormat="1" applyFont="1" applyBorder="1" applyAlignment="1" applyProtection="1">
      <protection locked="0"/>
    </xf>
    <xf numFmtId="0" fontId="18" fillId="0" borderId="4" xfId="0" applyNumberFormat="1" applyFont="1" applyBorder="1" applyAlignment="1" applyProtection="1">
      <alignment horizontal="center"/>
      <protection locked="0"/>
    </xf>
    <xf numFmtId="49" fontId="9" fillId="0" borderId="4" xfId="0" applyNumberFormat="1" applyFont="1" applyBorder="1" applyAlignment="1">
      <alignment horizontal="left" vertical="top"/>
    </xf>
    <xf numFmtId="168" fontId="10" fillId="0" borderId="4" xfId="0" applyNumberFormat="1" applyFont="1" applyBorder="1" applyAlignment="1">
      <alignment horizontal="right" vertical="top"/>
    </xf>
    <xf numFmtId="169" fontId="9" fillId="0" borderId="4" xfId="0" applyNumberFormat="1" applyFont="1" applyBorder="1" applyAlignment="1">
      <alignment horizontal="right" vertical="top"/>
    </xf>
    <xf numFmtId="164" fontId="9" fillId="0" borderId="4" xfId="0" applyNumberFormat="1" applyFont="1" applyBorder="1" applyAlignment="1">
      <alignment horizontal="right" vertical="top"/>
    </xf>
    <xf numFmtId="0" fontId="15" fillId="0" borderId="4" xfId="0" applyNumberFormat="1" applyFont="1" applyBorder="1" applyAlignment="1" applyProtection="1">
      <alignment horizontal="left" vertical="top"/>
      <protection locked="0"/>
    </xf>
    <xf numFmtId="0" fontId="2" fillId="2" borderId="17" xfId="0" applyFont="1" applyFill="1" applyBorder="1"/>
    <xf numFmtId="49" fontId="21" fillId="0" borderId="4" xfId="0" applyNumberFormat="1" applyFont="1" applyBorder="1" applyAlignment="1" applyProtection="1">
      <alignment horizontal="left" vertical="top"/>
      <protection locked="0"/>
    </xf>
    <xf numFmtId="49" fontId="9" fillId="0" borderId="0" xfId="0" applyNumberFormat="1" applyFont="1" applyBorder="1" applyAlignment="1" applyProtection="1">
      <alignment horizontal="center" vertical="top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1" fillId="2" borderId="14" xfId="0" applyFont="1" applyFill="1" applyBorder="1"/>
    <xf numFmtId="0" fontId="2" fillId="0" borderId="29" xfId="0" applyFont="1" applyBorder="1"/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vertical="top"/>
      <protection locked="0"/>
    </xf>
    <xf numFmtId="167" fontId="9" fillId="0" borderId="4" xfId="0" applyNumberFormat="1" applyFont="1" applyBorder="1" applyAlignment="1" applyProtection="1">
      <alignment horizontal="right" vertical="top"/>
      <protection locked="0"/>
    </xf>
    <xf numFmtId="170" fontId="7" fillId="0" borderId="0" xfId="0" applyNumberFormat="1" applyFont="1" applyAlignment="1" applyProtection="1">
      <protection locked="0"/>
    </xf>
    <xf numFmtId="170" fontId="9" fillId="0" borderId="4" xfId="0" applyNumberFormat="1" applyFont="1" applyBorder="1" applyAlignment="1" applyProtection="1">
      <alignment horizontal="right" vertical="top"/>
      <protection locked="0"/>
    </xf>
    <xf numFmtId="49" fontId="9" fillId="0" borderId="27" xfId="0" applyNumberFormat="1" applyFont="1" applyBorder="1" applyAlignment="1" applyProtection="1">
      <alignment horizontal="left" vertical="top"/>
      <protection locked="0"/>
    </xf>
    <xf numFmtId="49" fontId="21" fillId="0" borderId="4" xfId="0" applyNumberFormat="1" applyFont="1" applyBorder="1" applyAlignment="1" applyProtection="1">
      <alignment horizontal="center" vertical="top"/>
      <protection locked="0"/>
    </xf>
    <xf numFmtId="49" fontId="21" fillId="0" borderId="27" xfId="0" applyNumberFormat="1" applyFont="1" applyBorder="1" applyAlignment="1" applyProtection="1">
      <alignment horizontal="left" vertical="top"/>
      <protection locked="0"/>
    </xf>
    <xf numFmtId="167" fontId="15" fillId="0" borderId="4" xfId="0" applyNumberFormat="1" applyFont="1" applyBorder="1" applyAlignment="1" applyProtection="1">
      <alignment horizontal="right" vertical="top"/>
      <protection locked="0"/>
    </xf>
    <xf numFmtId="168" fontId="15" fillId="0" borderId="4" xfId="0" applyNumberFormat="1" applyFont="1" applyBorder="1" applyAlignment="1" applyProtection="1">
      <alignment horizontal="right" vertical="top"/>
      <protection locked="0"/>
    </xf>
    <xf numFmtId="169" fontId="21" fillId="0" borderId="4" xfId="0" applyNumberFormat="1" applyFont="1" applyBorder="1" applyAlignment="1" applyProtection="1">
      <alignment horizontal="right" vertical="top"/>
      <protection locked="0"/>
    </xf>
    <xf numFmtId="164" fontId="21" fillId="0" borderId="4" xfId="0" applyNumberFormat="1" applyFont="1" applyBorder="1" applyAlignment="1" applyProtection="1">
      <alignment horizontal="right" vertical="top"/>
      <protection locked="0"/>
    </xf>
    <xf numFmtId="0" fontId="27" fillId="3" borderId="19" xfId="2" applyNumberFormat="1" applyFont="1" applyFill="1" applyBorder="1" applyAlignment="1" applyProtection="1">
      <alignment horizontal="left" vertical="center" indent="1"/>
    </xf>
    <xf numFmtId="0" fontId="28" fillId="3" borderId="20" xfId="2" applyNumberFormat="1" applyFont="1" applyFill="1" applyBorder="1" applyAlignment="1" applyProtection="1">
      <alignment vertical="center"/>
    </xf>
    <xf numFmtId="0" fontId="28" fillId="3" borderId="15" xfId="2" applyNumberFormat="1" applyFont="1" applyFill="1" applyBorder="1" applyAlignment="1" applyProtection="1">
      <alignment vertical="center"/>
    </xf>
    <xf numFmtId="0" fontId="27" fillId="3" borderId="30" xfId="2" applyNumberFormat="1" applyFont="1" applyFill="1" applyBorder="1" applyAlignment="1" applyProtection="1">
      <alignment horizontal="left" vertical="center" indent="1"/>
    </xf>
    <xf numFmtId="0" fontId="28" fillId="3" borderId="22" xfId="2" applyNumberFormat="1" applyFont="1" applyFill="1" applyBorder="1" applyAlignment="1" applyProtection="1">
      <alignment vertical="center"/>
    </xf>
    <xf numFmtId="0" fontId="28" fillId="3" borderId="31" xfId="2" applyNumberFormat="1" applyFont="1" applyFill="1" applyBorder="1" applyAlignment="1" applyProtection="1">
      <alignment vertical="center"/>
    </xf>
    <xf numFmtId="49" fontId="8" fillId="0" borderId="0" xfId="0" applyNumberFormat="1" applyFont="1" applyAlignment="1">
      <alignment horizontal="left" indent="1"/>
    </xf>
    <xf numFmtId="165" fontId="8" fillId="0" borderId="0" xfId="1" applyNumberFormat="1" applyFont="1" applyAlignment="1"/>
    <xf numFmtId="49" fontId="8" fillId="0" borderId="22" xfId="0" applyNumberFormat="1" applyFont="1" applyBorder="1" applyAlignment="1">
      <alignment horizontal="left" indent="1"/>
    </xf>
    <xf numFmtId="165" fontId="8" fillId="0" borderId="22" xfId="1" applyNumberFormat="1" applyFont="1" applyBorder="1" applyAlignment="1"/>
    <xf numFmtId="49" fontId="23" fillId="0" borderId="0" xfId="0" applyNumberFormat="1" applyFont="1" applyAlignment="1">
      <alignment horizontal="left" indent="1"/>
    </xf>
    <xf numFmtId="165" fontId="23" fillId="0" borderId="0" xfId="1" applyNumberFormat="1" applyFont="1" applyAlignment="1"/>
    <xf numFmtId="0" fontId="29" fillId="0" borderId="0" xfId="0" applyFont="1" applyAlignment="1">
      <alignment horizontal="left"/>
    </xf>
    <xf numFmtId="165" fontId="0" fillId="0" borderId="0" xfId="1" applyNumberFormat="1" applyFont="1"/>
    <xf numFmtId="0" fontId="30" fillId="0" borderId="32" xfId="0" applyFont="1" applyBorder="1" applyAlignment="1">
      <alignment horizontal="left"/>
    </xf>
    <xf numFmtId="165" fontId="30" fillId="0" borderId="32" xfId="1" applyNumberFormat="1" applyFont="1" applyBorder="1" applyAlignment="1"/>
    <xf numFmtId="0" fontId="31" fillId="0" borderId="0" xfId="0" applyFont="1" applyAlignment="1">
      <alignment horizontal="left"/>
    </xf>
    <xf numFmtId="165" fontId="31" fillId="0" borderId="0" xfId="1" applyNumberFormat="1" applyFont="1" applyAlignment="1"/>
    <xf numFmtId="0" fontId="4" fillId="2" borderId="16" xfId="0" applyFont="1" applyFill="1" applyBorder="1" applyAlignment="1">
      <alignment vertical="center"/>
    </xf>
    <xf numFmtId="165" fontId="8" fillId="4" borderId="0" xfId="1" applyNumberFormat="1" applyFont="1" applyFill="1" applyAlignment="1"/>
    <xf numFmtId="0" fontId="33" fillId="0" borderId="0" xfId="0" applyNumberFormat="1" applyFont="1" applyAlignment="1" applyProtection="1">
      <alignment horizontal="left"/>
      <protection locked="0"/>
    </xf>
    <xf numFmtId="172" fontId="15" fillId="0" borderId="4" xfId="0" applyNumberFormat="1" applyFont="1" applyBorder="1" applyAlignment="1" applyProtection="1">
      <alignment horizontal="center" vertical="top"/>
      <protection locked="0"/>
    </xf>
    <xf numFmtId="49" fontId="34" fillId="4" borderId="4" xfId="0" applyNumberFormat="1" applyFont="1" applyFill="1" applyBorder="1" applyAlignment="1" applyProtection="1">
      <alignment horizontal="left" vertical="top"/>
      <protection locked="0"/>
    </xf>
    <xf numFmtId="49" fontId="10" fillId="0" borderId="0" xfId="0" applyNumberFormat="1" applyFont="1" applyBorder="1" applyAlignment="1" applyProtection="1">
      <alignment horizontal="center" vertical="top"/>
      <protection locked="0"/>
    </xf>
    <xf numFmtId="167" fontId="10" fillId="0" borderId="0" xfId="0" applyNumberFormat="1" applyFont="1" applyBorder="1" applyAlignment="1" applyProtection="1">
      <alignment horizontal="right" vertical="top"/>
      <protection locked="0"/>
    </xf>
    <xf numFmtId="168" fontId="10" fillId="0" borderId="0" xfId="0" applyNumberFormat="1" applyFont="1" applyBorder="1" applyAlignment="1" applyProtection="1">
      <alignment horizontal="right" vertical="top"/>
      <protection locked="0"/>
    </xf>
    <xf numFmtId="169" fontId="9" fillId="0" borderId="0" xfId="0" applyNumberFormat="1" applyFont="1" applyBorder="1" applyAlignment="1" applyProtection="1">
      <alignment horizontal="right" vertical="top"/>
      <protection locked="0"/>
    </xf>
    <xf numFmtId="164" fontId="9" fillId="0" borderId="0" xfId="0" applyNumberFormat="1" applyFont="1" applyBorder="1" applyAlignment="1" applyProtection="1">
      <alignment horizontal="right" vertical="top"/>
      <protection locked="0"/>
    </xf>
    <xf numFmtId="171" fontId="11" fillId="0" borderId="4" xfId="0" applyNumberFormat="1" applyFont="1" applyFill="1" applyBorder="1" applyAlignment="1" applyProtection="1">
      <alignment horizontal="center" vertical="top"/>
      <protection locked="0"/>
    </xf>
    <xf numFmtId="171" fontId="20" fillId="0" borderId="4" xfId="0" applyNumberFormat="1" applyFont="1" applyFill="1" applyBorder="1" applyAlignment="1" applyProtection="1">
      <alignment horizontal="center" vertical="top"/>
      <protection locked="0"/>
    </xf>
    <xf numFmtId="164" fontId="10" fillId="0" borderId="4" xfId="0" applyNumberFormat="1" applyFont="1" applyBorder="1" applyAlignment="1" applyProtection="1">
      <alignment horizontal="right" vertical="top"/>
      <protection locked="0"/>
    </xf>
    <xf numFmtId="0" fontId="1" fillId="4" borderId="0" xfId="0" applyFont="1" applyFill="1" applyBorder="1" applyAlignment="1" applyProtection="1">
      <alignment horizontal="center" vertical="top"/>
      <protection locked="0"/>
    </xf>
    <xf numFmtId="49" fontId="19" fillId="0" borderId="4" xfId="0" applyNumberFormat="1" applyFont="1" applyBorder="1" applyAlignment="1" applyProtection="1">
      <alignment horizontal="left" vertical="top"/>
      <protection locked="0"/>
    </xf>
    <xf numFmtId="179" fontId="11" fillId="0" borderId="4" xfId="0" applyNumberFormat="1" applyFont="1" applyFill="1" applyBorder="1" applyAlignment="1" applyProtection="1">
      <alignment horizontal="center" vertical="top"/>
      <protection locked="0"/>
    </xf>
    <xf numFmtId="166" fontId="8" fillId="0" borderId="0" xfId="0" applyNumberFormat="1" applyFont="1" applyFill="1" applyBorder="1" applyAlignment="1" applyProtection="1">
      <alignment horizontal="center"/>
      <protection locked="0"/>
    </xf>
    <xf numFmtId="166" fontId="11" fillId="0" borderId="4" xfId="0" applyNumberFormat="1" applyFont="1" applyFill="1" applyBorder="1" applyAlignment="1" applyProtection="1">
      <alignment horizontal="center" vertical="top"/>
      <protection locked="0"/>
    </xf>
    <xf numFmtId="166" fontId="11" fillId="0" borderId="0" xfId="0" applyNumberFormat="1" applyFont="1" applyFill="1" applyBorder="1" applyAlignment="1" applyProtection="1">
      <alignment horizontal="center" vertical="top"/>
      <protection locked="0"/>
    </xf>
    <xf numFmtId="166" fontId="20" fillId="0" borderId="4" xfId="0" applyNumberFormat="1" applyFont="1" applyFill="1" applyBorder="1" applyAlignment="1" applyProtection="1">
      <alignment horizontal="center" vertical="top"/>
      <protection locked="0"/>
    </xf>
    <xf numFmtId="2" fontId="11" fillId="0" borderId="4" xfId="0" applyNumberFormat="1" applyFont="1" applyFill="1" applyBorder="1" applyAlignment="1" applyProtection="1">
      <alignment horizontal="center" vertical="top"/>
      <protection locked="0"/>
    </xf>
    <xf numFmtId="171" fontId="18" fillId="0" borderId="4" xfId="0" applyNumberFormat="1" applyFont="1" applyBorder="1" applyAlignment="1" applyProtection="1">
      <alignment horizontal="center"/>
      <protection locked="0"/>
    </xf>
    <xf numFmtId="2" fontId="8" fillId="0" borderId="0" xfId="0" applyNumberFormat="1" applyFont="1" applyFill="1" applyBorder="1" applyAlignment="1" applyProtection="1">
      <alignment horizontal="center"/>
      <protection locked="0"/>
    </xf>
    <xf numFmtId="2" fontId="18" fillId="0" borderId="4" xfId="0" applyNumberFormat="1" applyFont="1" applyBorder="1" applyAlignment="1" applyProtection="1">
      <alignment horizontal="center"/>
      <protection locked="0"/>
    </xf>
    <xf numFmtId="0" fontId="41" fillId="0" borderId="0" xfId="4" applyAlignment="1">
      <alignment horizontal="left" vertical="top"/>
      <protection locked="0"/>
    </xf>
    <xf numFmtId="0" fontId="43" fillId="0" borderId="0" xfId="4" applyFont="1" applyAlignment="1" applyProtection="1">
      <alignment horizontal="left"/>
    </xf>
    <xf numFmtId="0" fontId="43" fillId="0" borderId="0" xfId="4" applyFont="1" applyAlignment="1" applyProtection="1">
      <alignment horizontal="center"/>
    </xf>
    <xf numFmtId="180" fontId="44" fillId="0" borderId="0" xfId="4" applyNumberFormat="1" applyFont="1" applyAlignment="1">
      <alignment horizontal="center"/>
      <protection locked="0"/>
    </xf>
    <xf numFmtId="0" fontId="44" fillId="0" borderId="0" xfId="4" applyFont="1" applyAlignment="1">
      <alignment horizontal="center" wrapText="1"/>
      <protection locked="0"/>
    </xf>
    <xf numFmtId="0" fontId="44" fillId="0" borderId="0" xfId="4" applyFont="1" applyAlignment="1">
      <alignment horizontal="left" wrapText="1"/>
      <protection locked="0"/>
    </xf>
    <xf numFmtId="181" fontId="44" fillId="0" borderId="0" xfId="4" applyNumberFormat="1" applyFont="1" applyAlignment="1">
      <alignment horizontal="center"/>
      <protection locked="0"/>
    </xf>
    <xf numFmtId="182" fontId="44" fillId="0" borderId="0" xfId="4" applyNumberFormat="1" applyFont="1" applyAlignment="1">
      <alignment horizontal="center"/>
      <protection locked="0"/>
    </xf>
    <xf numFmtId="182" fontId="44" fillId="0" borderId="0" xfId="4" applyNumberFormat="1" applyFont="1" applyAlignment="1">
      <alignment horizontal="right"/>
      <protection locked="0"/>
    </xf>
    <xf numFmtId="181" fontId="44" fillId="0" borderId="0" xfId="4" applyNumberFormat="1" applyFont="1" applyAlignment="1">
      <alignment horizontal="right"/>
      <protection locked="0"/>
    </xf>
    <xf numFmtId="180" fontId="45" fillId="0" borderId="0" xfId="4" applyNumberFormat="1" applyFont="1" applyAlignment="1">
      <alignment horizontal="center"/>
      <protection locked="0"/>
    </xf>
    <xf numFmtId="0" fontId="45" fillId="0" borderId="0" xfId="4" applyFont="1" applyAlignment="1">
      <alignment horizontal="center" wrapText="1"/>
      <protection locked="0"/>
    </xf>
    <xf numFmtId="0" fontId="45" fillId="0" borderId="0" xfId="4" applyFont="1" applyAlignment="1">
      <alignment horizontal="left" wrapText="1"/>
      <protection locked="0"/>
    </xf>
    <xf numFmtId="181" fontId="45" fillId="0" borderId="0" xfId="4" applyNumberFormat="1" applyFont="1" applyAlignment="1">
      <alignment horizontal="center"/>
      <protection locked="0"/>
    </xf>
    <xf numFmtId="182" fontId="45" fillId="0" borderId="0" xfId="4" applyNumberFormat="1" applyFont="1" applyAlignment="1">
      <alignment horizontal="center"/>
      <protection locked="0"/>
    </xf>
    <xf numFmtId="182" fontId="45" fillId="0" borderId="0" xfId="4" applyNumberFormat="1" applyFont="1" applyAlignment="1">
      <alignment horizontal="right"/>
      <protection locked="0"/>
    </xf>
    <xf numFmtId="181" fontId="45" fillId="0" borderId="0" xfId="4" applyNumberFormat="1" applyFont="1" applyAlignment="1">
      <alignment horizontal="right"/>
      <protection locked="0"/>
    </xf>
    <xf numFmtId="180" fontId="42" fillId="0" borderId="33" xfId="4" applyNumberFormat="1" applyFont="1" applyBorder="1" applyAlignment="1">
      <alignment horizontal="center"/>
      <protection locked="0"/>
    </xf>
    <xf numFmtId="0" fontId="42" fillId="0" borderId="33" xfId="4" applyFont="1" applyBorder="1" applyAlignment="1">
      <alignment horizontal="center" wrapText="1"/>
      <protection locked="0"/>
    </xf>
    <xf numFmtId="0" fontId="42" fillId="0" borderId="33" xfId="4" applyFont="1" applyBorder="1" applyAlignment="1">
      <alignment horizontal="left" wrapText="1"/>
      <protection locked="0"/>
    </xf>
    <xf numFmtId="181" fontId="42" fillId="0" borderId="33" xfId="4" applyNumberFormat="1" applyFont="1" applyBorder="1" applyAlignment="1">
      <alignment horizontal="center"/>
      <protection locked="0"/>
    </xf>
    <xf numFmtId="182" fontId="42" fillId="0" borderId="33" xfId="4" applyNumberFormat="1" applyFont="1" applyBorder="1" applyAlignment="1">
      <alignment horizontal="center"/>
      <protection locked="0"/>
    </xf>
    <xf numFmtId="182" fontId="42" fillId="0" borderId="33" xfId="4" applyNumberFormat="1" applyFont="1" applyBorder="1" applyAlignment="1">
      <alignment horizontal="right"/>
      <protection locked="0"/>
    </xf>
    <xf numFmtId="181" fontId="42" fillId="0" borderId="33" xfId="4" applyNumberFormat="1" applyFont="1" applyBorder="1" applyAlignment="1">
      <alignment horizontal="right"/>
      <protection locked="0"/>
    </xf>
    <xf numFmtId="180" fontId="46" fillId="0" borderId="33" xfId="4" applyNumberFormat="1" applyFont="1" applyBorder="1" applyAlignment="1">
      <alignment horizontal="center"/>
      <protection locked="0"/>
    </xf>
    <xf numFmtId="0" fontId="46" fillId="0" borderId="33" xfId="4" applyFont="1" applyBorder="1" applyAlignment="1">
      <alignment horizontal="center" wrapText="1"/>
      <protection locked="0"/>
    </xf>
    <xf numFmtId="0" fontId="46" fillId="0" borderId="33" xfId="4" applyFont="1" applyBorder="1" applyAlignment="1">
      <alignment horizontal="left" wrapText="1"/>
      <protection locked="0"/>
    </xf>
    <xf numFmtId="181" fontId="46" fillId="0" borderId="33" xfId="4" applyNumberFormat="1" applyFont="1" applyBorder="1" applyAlignment="1">
      <alignment horizontal="center"/>
      <protection locked="0"/>
    </xf>
    <xf numFmtId="182" fontId="46" fillId="0" borderId="33" xfId="4" applyNumberFormat="1" applyFont="1" applyBorder="1" applyAlignment="1">
      <alignment horizontal="center"/>
      <protection locked="0"/>
    </xf>
    <xf numFmtId="182" fontId="46" fillId="0" borderId="33" xfId="4" applyNumberFormat="1" applyFont="1" applyBorder="1" applyAlignment="1">
      <alignment horizontal="right"/>
      <protection locked="0"/>
    </xf>
    <xf numFmtId="181" fontId="46" fillId="0" borderId="33" xfId="4" applyNumberFormat="1" applyFont="1" applyBorder="1" applyAlignment="1">
      <alignment horizontal="right"/>
      <protection locked="0"/>
    </xf>
    <xf numFmtId="180" fontId="47" fillId="0" borderId="0" xfId="4" applyNumberFormat="1" applyFont="1" applyAlignment="1">
      <alignment horizontal="center"/>
      <protection locked="0"/>
    </xf>
    <xf numFmtId="0" fontId="47" fillId="0" borderId="0" xfId="4" applyFont="1" applyAlignment="1">
      <alignment horizontal="center" wrapText="1"/>
      <protection locked="0"/>
    </xf>
    <xf numFmtId="0" fontId="47" fillId="0" borderId="0" xfId="4" applyFont="1" applyAlignment="1">
      <alignment horizontal="left" wrapText="1"/>
      <protection locked="0"/>
    </xf>
    <xf numFmtId="181" fontId="47" fillId="0" borderId="0" xfId="4" applyNumberFormat="1" applyFont="1" applyAlignment="1">
      <alignment horizontal="center"/>
      <protection locked="0"/>
    </xf>
    <xf numFmtId="182" fontId="47" fillId="0" borderId="0" xfId="4" applyNumberFormat="1" applyFont="1" applyAlignment="1">
      <alignment horizontal="center"/>
      <protection locked="0"/>
    </xf>
    <xf numFmtId="181" fontId="47" fillId="0" borderId="0" xfId="4" applyNumberFormat="1" applyFont="1" applyAlignment="1">
      <alignment horizontal="right"/>
      <protection locked="0"/>
    </xf>
    <xf numFmtId="180" fontId="41" fillId="0" borderId="0" xfId="4" applyNumberFormat="1" applyAlignment="1">
      <alignment horizontal="center" vertical="top"/>
      <protection locked="0"/>
    </xf>
    <xf numFmtId="0" fontId="41" fillId="0" borderId="0" xfId="4" applyAlignment="1">
      <alignment horizontal="center" vertical="top" wrapText="1"/>
      <protection locked="0"/>
    </xf>
    <xf numFmtId="0" fontId="41" fillId="0" borderId="0" xfId="4" applyAlignment="1">
      <alignment horizontal="left" vertical="top" wrapText="1"/>
      <protection locked="0"/>
    </xf>
    <xf numFmtId="181" fontId="41" fillId="0" borderId="0" xfId="4" applyNumberFormat="1" applyAlignment="1">
      <alignment horizontal="center" vertical="top"/>
      <protection locked="0"/>
    </xf>
    <xf numFmtId="182" fontId="41" fillId="0" borderId="0" xfId="4" applyNumberFormat="1" applyAlignment="1">
      <alignment horizontal="center" vertical="top"/>
      <protection locked="0"/>
    </xf>
    <xf numFmtId="182" fontId="41" fillId="0" borderId="0" xfId="4" applyNumberFormat="1" applyAlignment="1">
      <alignment horizontal="right" vertical="top"/>
      <protection locked="0"/>
    </xf>
    <xf numFmtId="181" fontId="41" fillId="0" borderId="0" xfId="4" applyNumberFormat="1" applyAlignment="1">
      <alignment horizontal="right" vertical="top"/>
      <protection locked="0"/>
    </xf>
    <xf numFmtId="0" fontId="41" fillId="0" borderId="0" xfId="4" applyFont="1" applyAlignment="1">
      <alignment horizontal="left" vertical="top"/>
      <protection locked="0"/>
    </xf>
    <xf numFmtId="0" fontId="48" fillId="0" borderId="0" xfId="4" applyFont="1" applyAlignment="1">
      <alignment horizontal="left" vertical="top"/>
      <protection locked="0"/>
    </xf>
    <xf numFmtId="0" fontId="2" fillId="3" borderId="19" xfId="4" applyFont="1" applyFill="1" applyBorder="1" applyAlignment="1" applyProtection="1">
      <alignment vertical="top"/>
    </xf>
    <xf numFmtId="0" fontId="2" fillId="3" borderId="20" xfId="4" applyFont="1" applyFill="1" applyBorder="1" applyAlignment="1" applyProtection="1">
      <alignment vertical="top"/>
    </xf>
    <xf numFmtId="0" fontId="2" fillId="3" borderId="20" xfId="4" applyFont="1" applyFill="1" applyBorder="1" applyAlignment="1" applyProtection="1">
      <alignment horizontal="right" vertical="top"/>
    </xf>
    <xf numFmtId="0" fontId="1" fillId="3" borderId="20" xfId="4" applyFont="1" applyFill="1" applyBorder="1" applyAlignment="1" applyProtection="1">
      <alignment vertical="top"/>
    </xf>
    <xf numFmtId="0" fontId="14" fillId="3" borderId="20" xfId="4" applyFont="1" applyFill="1" applyBorder="1" applyAlignment="1" applyProtection="1">
      <alignment vertical="top"/>
    </xf>
    <xf numFmtId="2" fontId="2" fillId="3" borderId="20" xfId="4" applyNumberFormat="1" applyFont="1" applyFill="1" applyBorder="1" applyAlignment="1" applyProtection="1">
      <alignment horizontal="center" vertical="top"/>
    </xf>
    <xf numFmtId="164" fontId="1" fillId="3" borderId="20" xfId="4" applyNumberFormat="1" applyFont="1" applyFill="1" applyBorder="1" applyAlignment="1" applyProtection="1">
      <alignment horizontal="center" vertical="top"/>
    </xf>
    <xf numFmtId="49" fontId="2" fillId="3" borderId="20" xfId="5" applyNumberFormat="1" applyFont="1" applyFill="1" applyBorder="1" applyAlignment="1" applyProtection="1">
      <alignment vertical="top"/>
    </xf>
    <xf numFmtId="0" fontId="2" fillId="3" borderId="15" xfId="4" applyFont="1" applyFill="1" applyBorder="1" applyAlignment="1" applyProtection="1">
      <alignment horizontal="right" vertical="top"/>
    </xf>
    <xf numFmtId="0" fontId="2" fillId="0" borderId="0" xfId="4" applyFont="1" applyAlignment="1" applyProtection="1">
      <alignment vertical="top"/>
    </xf>
    <xf numFmtId="0" fontId="2" fillId="3" borderId="21" xfId="4" applyFont="1" applyFill="1" applyBorder="1" applyAlignment="1" applyProtection="1">
      <alignment vertical="top"/>
    </xf>
    <xf numFmtId="0" fontId="2" fillId="3" borderId="0" xfId="4" applyFont="1" applyFill="1" applyBorder="1" applyAlignment="1" applyProtection="1">
      <alignment vertical="top"/>
    </xf>
    <xf numFmtId="0" fontId="2" fillId="3" borderId="0" xfId="4" applyFont="1" applyFill="1" applyBorder="1" applyAlignment="1" applyProtection="1">
      <alignment horizontal="right" vertical="center"/>
    </xf>
    <xf numFmtId="0" fontId="2" fillId="3" borderId="0" xfId="4" applyFont="1" applyFill="1" applyBorder="1" applyAlignment="1" applyProtection="1">
      <alignment vertical="center"/>
    </xf>
    <xf numFmtId="2" fontId="2" fillId="3" borderId="0" xfId="4" applyNumberFormat="1" applyFont="1" applyFill="1" applyBorder="1" applyAlignment="1" applyProtection="1">
      <alignment horizontal="center" vertical="top"/>
    </xf>
    <xf numFmtId="164" fontId="2" fillId="3" borderId="0" xfId="4" applyNumberFormat="1" applyFont="1" applyFill="1" applyBorder="1" applyAlignment="1" applyProtection="1">
      <alignment horizontal="center" vertical="top"/>
    </xf>
    <xf numFmtId="165" fontId="2" fillId="3" borderId="0" xfId="5" applyNumberFormat="1" applyFont="1" applyFill="1" applyBorder="1" applyAlignment="1" applyProtection="1">
      <alignment vertical="top"/>
    </xf>
    <xf numFmtId="0" fontId="2" fillId="3" borderId="22" xfId="4" applyFont="1" applyFill="1" applyBorder="1" applyAlignment="1" applyProtection="1">
      <alignment vertical="top"/>
    </xf>
    <xf numFmtId="0" fontId="2" fillId="3" borderId="31" xfId="4" applyFont="1" applyFill="1" applyBorder="1" applyAlignment="1" applyProtection="1">
      <alignment vertical="top"/>
    </xf>
    <xf numFmtId="0" fontId="49" fillId="0" borderId="0" xfId="4" applyFont="1" applyAlignment="1">
      <alignment horizontal="left" vertical="top"/>
      <protection locked="0"/>
    </xf>
    <xf numFmtId="182" fontId="42" fillId="0" borderId="34" xfId="4" applyNumberFormat="1" applyFont="1" applyBorder="1" applyAlignment="1">
      <alignment horizontal="right"/>
      <protection locked="0"/>
    </xf>
    <xf numFmtId="182" fontId="50" fillId="0" borderId="0" xfId="4" applyNumberFormat="1" applyFont="1" applyAlignment="1">
      <alignment horizontal="right"/>
      <protection locked="0"/>
    </xf>
    <xf numFmtId="182" fontId="47" fillId="3" borderId="35" xfId="4" applyNumberFormat="1" applyFont="1" applyFill="1" applyBorder="1" applyAlignment="1">
      <alignment horizontal="right"/>
      <protection locked="0"/>
    </xf>
    <xf numFmtId="0" fontId="48" fillId="3" borderId="36" xfId="4" applyFont="1" applyFill="1" applyBorder="1" applyAlignment="1" applyProtection="1">
      <alignment horizontal="center" vertical="center" wrapText="1"/>
    </xf>
    <xf numFmtId="0" fontId="48" fillId="3" borderId="37" xfId="4" applyFont="1" applyFill="1" applyBorder="1" applyAlignment="1" applyProtection="1">
      <alignment horizontal="center" vertical="center" wrapText="1"/>
    </xf>
    <xf numFmtId="0" fontId="48" fillId="3" borderId="38" xfId="4" applyFont="1" applyFill="1" applyBorder="1" applyAlignment="1" applyProtection="1">
      <alignment horizontal="center" vertical="center" wrapText="1"/>
    </xf>
    <xf numFmtId="0" fontId="48" fillId="3" borderId="39" xfId="4" applyFont="1" applyFill="1" applyBorder="1" applyAlignment="1" applyProtection="1">
      <alignment horizontal="center" vertical="center" wrapText="1"/>
    </xf>
    <xf numFmtId="0" fontId="48" fillId="3" borderId="6" xfId="4" applyFont="1" applyFill="1" applyBorder="1" applyAlignment="1" applyProtection="1">
      <alignment horizontal="center" vertical="center" wrapText="1"/>
    </xf>
    <xf numFmtId="0" fontId="48" fillId="3" borderId="7" xfId="4" applyFont="1" applyFill="1" applyBorder="1" applyAlignment="1" applyProtection="1">
      <alignment horizontal="center" vertical="center" wrapText="1"/>
    </xf>
    <xf numFmtId="0" fontId="14" fillId="3" borderId="20" xfId="4" applyFont="1" applyFill="1" applyBorder="1" applyAlignment="1" applyProtection="1">
      <alignment horizontal="left" vertical="top"/>
    </xf>
    <xf numFmtId="0" fontId="2" fillId="3" borderId="0" xfId="4" applyFont="1" applyFill="1" applyBorder="1" applyAlignment="1" applyProtection="1">
      <alignment horizontal="left" vertical="top"/>
    </xf>
    <xf numFmtId="182" fontId="46" fillId="0" borderId="34" xfId="4" applyNumberFormat="1" applyFont="1" applyBorder="1" applyAlignment="1">
      <alignment horizontal="right"/>
      <protection locked="0"/>
    </xf>
    <xf numFmtId="0" fontId="41" fillId="0" borderId="0" xfId="4" applyAlignment="1">
      <alignment horizontal="left" vertical="top"/>
      <protection locked="0"/>
    </xf>
    <xf numFmtId="180" fontId="45" fillId="0" borderId="0" xfId="4" applyNumberFormat="1" applyFont="1" applyAlignment="1">
      <alignment horizontal="center"/>
      <protection locked="0"/>
    </xf>
    <xf numFmtId="0" fontId="45" fillId="0" borderId="0" xfId="4" applyFont="1" applyAlignment="1">
      <alignment horizontal="center" wrapText="1"/>
      <protection locked="0"/>
    </xf>
    <xf numFmtId="0" fontId="45" fillId="0" borderId="0" xfId="4" applyFont="1" applyAlignment="1">
      <alignment horizontal="left" wrapText="1"/>
      <protection locked="0"/>
    </xf>
    <xf numFmtId="181" fontId="45" fillId="0" borderId="0" xfId="4" applyNumberFormat="1" applyFont="1" applyAlignment="1">
      <alignment horizontal="right"/>
      <protection locked="0"/>
    </xf>
    <xf numFmtId="182" fontId="45" fillId="0" borderId="0" xfId="4" applyNumberFormat="1" applyFont="1" applyAlignment="1">
      <alignment horizontal="right"/>
      <protection locked="0"/>
    </xf>
    <xf numFmtId="180" fontId="42" fillId="0" borderId="33" xfId="4" applyNumberFormat="1" applyFont="1" applyBorder="1" applyAlignment="1">
      <alignment horizontal="center"/>
      <protection locked="0"/>
    </xf>
    <xf numFmtId="0" fontId="42" fillId="0" borderId="33" xfId="4" applyFont="1" applyBorder="1" applyAlignment="1">
      <alignment horizontal="center" wrapText="1"/>
      <protection locked="0"/>
    </xf>
    <xf numFmtId="0" fontId="42" fillId="0" borderId="33" xfId="4" applyFont="1" applyBorder="1" applyAlignment="1">
      <alignment horizontal="left" wrapText="1"/>
      <protection locked="0"/>
    </xf>
    <xf numFmtId="181" fontId="42" fillId="0" borderId="33" xfId="4" applyNumberFormat="1" applyFont="1" applyBorder="1" applyAlignment="1">
      <alignment horizontal="right"/>
      <protection locked="0"/>
    </xf>
    <xf numFmtId="182" fontId="42" fillId="0" borderId="33" xfId="4" applyNumberFormat="1" applyFont="1" applyBorder="1" applyAlignment="1">
      <alignment horizontal="right"/>
      <protection locked="0"/>
    </xf>
    <xf numFmtId="180" fontId="46" fillId="0" borderId="33" xfId="4" applyNumberFormat="1" applyFont="1" applyBorder="1" applyAlignment="1">
      <alignment horizontal="center"/>
      <protection locked="0"/>
    </xf>
    <xf numFmtId="0" fontId="46" fillId="0" borderId="33" xfId="4" applyFont="1" applyBorder="1" applyAlignment="1">
      <alignment horizontal="center" wrapText="1"/>
      <protection locked="0"/>
    </xf>
    <xf numFmtId="0" fontId="46" fillId="0" borderId="33" xfId="4" applyFont="1" applyBorder="1" applyAlignment="1">
      <alignment horizontal="left" wrapText="1"/>
      <protection locked="0"/>
    </xf>
    <xf numFmtId="181" fontId="46" fillId="0" borderId="33" xfId="4" applyNumberFormat="1" applyFont="1" applyBorder="1" applyAlignment="1">
      <alignment horizontal="right"/>
      <protection locked="0"/>
    </xf>
    <xf numFmtId="182" fontId="46" fillId="0" borderId="33" xfId="4" applyNumberFormat="1" applyFont="1" applyBorder="1" applyAlignment="1">
      <alignment horizontal="right"/>
      <protection locked="0"/>
    </xf>
    <xf numFmtId="180" fontId="52" fillId="0" borderId="0" xfId="4" applyNumberFormat="1" applyFont="1" applyAlignment="1">
      <alignment horizontal="center" vertical="center"/>
      <protection locked="0"/>
    </xf>
    <xf numFmtId="0" fontId="52" fillId="0" borderId="0" xfId="4" applyFont="1" applyAlignment="1">
      <alignment horizontal="center" vertical="center" wrapText="1"/>
      <protection locked="0"/>
    </xf>
    <xf numFmtId="0" fontId="52" fillId="0" borderId="0" xfId="4" applyFont="1" applyAlignment="1">
      <alignment horizontal="left" vertical="center" wrapText="1"/>
      <protection locked="0"/>
    </xf>
    <xf numFmtId="181" fontId="52" fillId="0" borderId="0" xfId="4" applyNumberFormat="1" applyFont="1" applyAlignment="1">
      <alignment horizontal="right" vertical="center"/>
      <protection locked="0"/>
    </xf>
    <xf numFmtId="182" fontId="52" fillId="0" borderId="0" xfId="4" applyNumberFormat="1" applyFont="1" applyAlignment="1">
      <alignment horizontal="right" vertical="center"/>
      <protection locked="0"/>
    </xf>
    <xf numFmtId="180" fontId="47" fillId="0" borderId="0" xfId="4" applyNumberFormat="1" applyFont="1" applyAlignment="1">
      <alignment horizontal="center"/>
      <protection locked="0"/>
    </xf>
    <xf numFmtId="0" fontId="47" fillId="0" borderId="0" xfId="4" applyFont="1" applyAlignment="1">
      <alignment horizontal="center" wrapText="1"/>
      <protection locked="0"/>
    </xf>
    <xf numFmtId="0" fontId="47" fillId="0" borderId="0" xfId="4" applyFont="1" applyAlignment="1">
      <alignment horizontal="left" wrapText="1"/>
      <protection locked="0"/>
    </xf>
    <xf numFmtId="181" fontId="47" fillId="0" borderId="0" xfId="4" applyNumberFormat="1" applyFont="1" applyAlignment="1">
      <alignment horizontal="right"/>
      <protection locked="0"/>
    </xf>
    <xf numFmtId="182" fontId="47" fillId="0" borderId="0" xfId="4" applyNumberFormat="1" applyFont="1" applyAlignment="1">
      <alignment horizontal="right"/>
      <protection locked="0"/>
    </xf>
    <xf numFmtId="0" fontId="51" fillId="0" borderId="40" xfId="4" applyFont="1" applyBorder="1" applyAlignment="1">
      <alignment horizontal="left" vertical="top" wrapText="1"/>
      <protection locked="0"/>
    </xf>
    <xf numFmtId="0" fontId="41" fillId="0" borderId="41" xfId="4" applyBorder="1" applyAlignment="1">
      <alignment horizontal="center" vertical="top" wrapText="1"/>
      <protection locked="0"/>
    </xf>
    <xf numFmtId="181" fontId="41" fillId="0" borderId="41" xfId="4" applyNumberFormat="1" applyBorder="1" applyAlignment="1">
      <alignment horizontal="center" vertical="top"/>
      <protection locked="0"/>
    </xf>
    <xf numFmtId="182" fontId="41" fillId="0" borderId="41" xfId="4" applyNumberFormat="1" applyBorder="1" applyAlignment="1">
      <alignment horizontal="center" vertical="top"/>
      <protection locked="0"/>
    </xf>
    <xf numFmtId="182" fontId="41" fillId="0" borderId="41" xfId="4" applyNumberFormat="1" applyBorder="1" applyAlignment="1">
      <alignment horizontal="right" vertical="top"/>
      <protection locked="0"/>
    </xf>
    <xf numFmtId="182" fontId="53" fillId="3" borderId="35" xfId="4" applyNumberFormat="1" applyFont="1" applyFill="1" applyBorder="1" applyAlignment="1">
      <alignment horizontal="right" vertical="top"/>
      <protection locked="0"/>
    </xf>
    <xf numFmtId="49" fontId="8" fillId="0" borderId="42" xfId="0" applyNumberFormat="1" applyFont="1" applyBorder="1" applyAlignment="1">
      <alignment horizontal="left" indent="1"/>
    </xf>
    <xf numFmtId="165" fontId="8" fillId="0" borderId="42" xfId="1" applyNumberFormat="1" applyFont="1" applyBorder="1" applyAlignment="1"/>
    <xf numFmtId="49" fontId="51" fillId="0" borderId="0" xfId="0" applyNumberFormat="1" applyFont="1" applyAlignment="1">
      <alignment horizontal="left" indent="1"/>
    </xf>
    <xf numFmtId="165" fontId="51" fillId="0" borderId="0" xfId="1" applyNumberFormat="1" applyFont="1" applyAlignment="1"/>
    <xf numFmtId="180" fontId="42" fillId="0" borderId="0" xfId="4" applyNumberFormat="1" applyFont="1" applyBorder="1" applyAlignment="1">
      <alignment horizontal="center"/>
      <protection locked="0"/>
    </xf>
    <xf numFmtId="0" fontId="42" fillId="0" borderId="0" xfId="4" applyFont="1" applyBorder="1" applyAlignment="1">
      <alignment horizontal="center" wrapText="1"/>
      <protection locked="0"/>
    </xf>
    <xf numFmtId="0" fontId="42" fillId="0" borderId="0" xfId="4" applyFont="1" applyBorder="1" applyAlignment="1">
      <alignment horizontal="left" wrapText="1"/>
      <protection locked="0"/>
    </xf>
    <xf numFmtId="182" fontId="42" fillId="0" borderId="0" xfId="4" applyNumberFormat="1" applyFont="1" applyBorder="1" applyAlignment="1">
      <alignment horizontal="center"/>
      <protection locked="0"/>
    </xf>
    <xf numFmtId="182" fontId="42" fillId="0" borderId="0" xfId="4" applyNumberFormat="1" applyFont="1" applyBorder="1" applyAlignment="1">
      <alignment horizontal="right"/>
      <protection locked="0"/>
    </xf>
    <xf numFmtId="181" fontId="42" fillId="0" borderId="0" xfId="4" applyNumberFormat="1" applyFont="1" applyBorder="1" applyAlignment="1">
      <alignment horizontal="right"/>
      <protection locked="0"/>
    </xf>
    <xf numFmtId="166" fontId="20" fillId="0" borderId="4" xfId="0" applyNumberFormat="1" applyFont="1" applyFill="1" applyBorder="1" applyAlignment="1" applyProtection="1">
      <alignment horizontal="right" vertical="top"/>
      <protection locked="0"/>
    </xf>
    <xf numFmtId="166" fontId="11" fillId="0" borderId="4" xfId="0" applyNumberFormat="1" applyFont="1" applyFill="1" applyBorder="1" applyAlignment="1" applyProtection="1">
      <alignment horizontal="right" vertical="top"/>
      <protection locked="0"/>
    </xf>
    <xf numFmtId="49" fontId="34" fillId="4" borderId="44" xfId="0" applyNumberFormat="1" applyFont="1" applyFill="1" applyBorder="1" applyAlignment="1" applyProtection="1">
      <alignment horizontal="left" vertical="top"/>
      <protection locked="0"/>
    </xf>
    <xf numFmtId="0" fontId="10" fillId="0" borderId="44" xfId="0" applyNumberFormat="1" applyFont="1" applyBorder="1" applyAlignment="1" applyProtection="1">
      <alignment horizontal="left" vertical="top" wrapText="1"/>
      <protection locked="0"/>
    </xf>
    <xf numFmtId="49" fontId="10" fillId="0" borderId="44" xfId="0" applyNumberFormat="1" applyFont="1" applyBorder="1" applyAlignment="1" applyProtection="1">
      <alignment horizontal="center" vertical="top"/>
      <protection locked="0"/>
    </xf>
    <xf numFmtId="166" fontId="11" fillId="0" borderId="44" xfId="0" applyNumberFormat="1" applyFont="1" applyFill="1" applyBorder="1" applyAlignment="1" applyProtection="1">
      <alignment horizontal="center" vertical="top"/>
      <protection locked="0"/>
    </xf>
    <xf numFmtId="164" fontId="10" fillId="0" borderId="44" xfId="0" applyNumberFormat="1" applyFont="1" applyBorder="1" applyAlignment="1" applyProtection="1">
      <alignment horizontal="right" vertical="top"/>
      <protection locked="0"/>
    </xf>
    <xf numFmtId="168" fontId="10" fillId="0" borderId="44" xfId="0" applyNumberFormat="1" applyFont="1" applyBorder="1" applyAlignment="1" applyProtection="1">
      <alignment horizontal="right" vertical="top"/>
      <protection locked="0"/>
    </xf>
    <xf numFmtId="0" fontId="42" fillId="0" borderId="43" xfId="0" applyFont="1" applyBorder="1" applyAlignment="1" applyProtection="1">
      <alignment horizontal="left" wrapText="1"/>
      <protection locked="0"/>
    </xf>
    <xf numFmtId="181" fontId="42" fillId="0" borderId="43" xfId="0" applyNumberFormat="1" applyFont="1" applyBorder="1" applyAlignment="1" applyProtection="1">
      <alignment horizontal="right"/>
      <protection locked="0"/>
    </xf>
    <xf numFmtId="182" fontId="42" fillId="0" borderId="43" xfId="0" applyNumberFormat="1" applyFont="1" applyBorder="1" applyAlignment="1" applyProtection="1">
      <alignment horizontal="right"/>
      <protection locked="0"/>
    </xf>
    <xf numFmtId="0" fontId="2" fillId="3" borderId="19" xfId="0" applyFont="1" applyFill="1" applyBorder="1" applyAlignment="1" applyProtection="1">
      <alignment vertical="top"/>
      <protection locked="0"/>
    </xf>
    <xf numFmtId="0" fontId="2" fillId="3" borderId="21" xfId="0" applyFont="1" applyFill="1" applyBorder="1" applyAlignment="1" applyProtection="1">
      <alignment vertical="top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vertical="top"/>
      <protection locked="0"/>
    </xf>
    <xf numFmtId="0" fontId="2" fillId="3" borderId="20" xfId="0" applyFont="1" applyFill="1" applyBorder="1" applyAlignment="1" applyProtection="1">
      <alignment horizontal="right" vertical="top"/>
      <protection locked="0"/>
    </xf>
    <xf numFmtId="0" fontId="1" fillId="3" borderId="20" xfId="0" applyFont="1" applyFill="1" applyBorder="1" applyAlignment="1" applyProtection="1">
      <alignment vertical="top"/>
      <protection locked="0"/>
    </xf>
    <xf numFmtId="0" fontId="14" fillId="3" borderId="20" xfId="0" applyFont="1" applyFill="1" applyBorder="1" applyAlignment="1" applyProtection="1">
      <alignment vertical="top"/>
      <protection locked="0"/>
    </xf>
    <xf numFmtId="2" fontId="2" fillId="3" borderId="20" xfId="0" applyNumberFormat="1" applyFont="1" applyFill="1" applyBorder="1" applyAlignment="1" applyProtection="1">
      <alignment horizontal="center" vertical="top"/>
      <protection locked="0"/>
    </xf>
    <xf numFmtId="164" fontId="1" fillId="3" borderId="20" xfId="0" applyNumberFormat="1" applyFont="1" applyFill="1" applyBorder="1" applyAlignment="1" applyProtection="1">
      <alignment horizontal="center" vertical="top"/>
      <protection locked="0"/>
    </xf>
    <xf numFmtId="49" fontId="2" fillId="3" borderId="20" xfId="1" applyNumberFormat="1" applyFont="1" applyFill="1" applyBorder="1" applyAlignment="1" applyProtection="1">
      <alignment vertical="top"/>
      <protection locked="0"/>
    </xf>
    <xf numFmtId="0" fontId="2" fillId="3" borderId="15" xfId="0" applyFont="1" applyFill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2" fontId="2" fillId="3" borderId="0" xfId="0" applyNumberFormat="1" applyFont="1" applyFill="1" applyBorder="1" applyAlignment="1" applyProtection="1">
      <alignment horizontal="center" vertical="top"/>
      <protection locked="0"/>
    </xf>
    <xf numFmtId="164" fontId="2" fillId="3" borderId="0" xfId="0" applyNumberFormat="1" applyFont="1" applyFill="1" applyBorder="1" applyAlignment="1" applyProtection="1">
      <alignment horizontal="center" vertical="top"/>
      <protection locked="0"/>
    </xf>
    <xf numFmtId="165" fontId="2" fillId="3" borderId="0" xfId="1" applyNumberFormat="1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 applyProtection="1">
      <alignment vertical="top"/>
      <protection locked="0"/>
    </xf>
    <xf numFmtId="0" fontId="2" fillId="3" borderId="31" xfId="0" applyFont="1" applyFill="1" applyBorder="1" applyAlignment="1" applyProtection="1">
      <alignment vertical="top"/>
      <protection locked="0"/>
    </xf>
    <xf numFmtId="0" fontId="6" fillId="3" borderId="24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/>
      <protection locked="0"/>
    </xf>
    <xf numFmtId="164" fontId="6" fillId="3" borderId="24" xfId="0" applyNumberFormat="1" applyFont="1" applyFill="1" applyBorder="1" applyAlignment="1" applyProtection="1">
      <alignment horizontal="center" vertical="center"/>
      <protection locked="0"/>
    </xf>
    <xf numFmtId="165" fontId="6" fillId="3" borderId="24" xfId="1" applyNumberFormat="1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40" fillId="0" borderId="4" xfId="0" applyNumberFormat="1" applyFont="1" applyBorder="1" applyAlignment="1" applyProtection="1">
      <alignment horizontal="right" vertical="top"/>
      <protection locked="0"/>
    </xf>
    <xf numFmtId="0" fontId="10" fillId="4" borderId="4" xfId="0" applyNumberFormat="1" applyFont="1" applyFill="1" applyBorder="1" applyAlignment="1" applyProtection="1">
      <alignment horizontal="left" vertical="top" wrapText="1"/>
      <protection locked="0"/>
    </xf>
    <xf numFmtId="49" fontId="10" fillId="4" borderId="4" xfId="0" applyNumberFormat="1" applyFont="1" applyFill="1" applyBorder="1" applyAlignment="1" applyProtection="1">
      <alignment horizontal="center" vertical="top"/>
      <protection locked="0"/>
    </xf>
    <xf numFmtId="171" fontId="11" fillId="4" borderId="4" xfId="0" applyNumberFormat="1" applyFont="1" applyFill="1" applyBorder="1" applyAlignment="1" applyProtection="1">
      <alignment horizontal="center" vertical="top"/>
      <protection locked="0"/>
    </xf>
    <xf numFmtId="169" fontId="10" fillId="0" borderId="4" xfId="0" applyNumberFormat="1" applyFont="1" applyBorder="1" applyAlignment="1" applyProtection="1">
      <alignment horizontal="right" vertical="top"/>
      <protection locked="0"/>
    </xf>
    <xf numFmtId="0" fontId="10" fillId="0" borderId="4" xfId="0" applyFont="1" applyBorder="1" applyAlignment="1" applyProtection="1">
      <alignment vertical="top"/>
      <protection locked="0"/>
    </xf>
    <xf numFmtId="49" fontId="10" fillId="0" borderId="9" xfId="0" applyNumberFormat="1" applyFont="1" applyBorder="1" applyAlignment="1" applyProtection="1">
      <alignment horizontal="center" vertical="top"/>
      <protection locked="0"/>
    </xf>
    <xf numFmtId="173" fontId="11" fillId="0" borderId="4" xfId="0" applyNumberFormat="1" applyFont="1" applyFill="1" applyBorder="1" applyAlignment="1" applyProtection="1">
      <alignment horizontal="center" vertical="top"/>
      <protection locked="0"/>
    </xf>
    <xf numFmtId="49" fontId="9" fillId="0" borderId="9" xfId="0" applyNumberFormat="1" applyFont="1" applyBorder="1" applyAlignment="1" applyProtection="1">
      <alignment horizontal="center" vertical="top"/>
      <protection locked="0"/>
    </xf>
    <xf numFmtId="164" fontId="9" fillId="0" borderId="27" xfId="0" applyNumberFormat="1" applyFont="1" applyBorder="1" applyAlignment="1" applyProtection="1">
      <alignment horizontal="right" vertical="top"/>
      <protection locked="0"/>
    </xf>
    <xf numFmtId="167" fontId="10" fillId="0" borderId="4" xfId="0" applyNumberFormat="1" applyFont="1" applyBorder="1" applyAlignment="1" applyProtection="1">
      <alignment horizontal="center" vertical="top"/>
      <protection locked="0"/>
    </xf>
    <xf numFmtId="0" fontId="24" fillId="0" borderId="4" xfId="0" applyFont="1" applyBorder="1" applyAlignment="1" applyProtection="1">
      <alignment vertical="center"/>
      <protection locked="0"/>
    </xf>
    <xf numFmtId="2" fontId="24" fillId="0" borderId="4" xfId="0" applyNumberFormat="1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167" fontId="10" fillId="0" borderId="4" xfId="0" applyNumberFormat="1" applyFont="1" applyBorder="1" applyAlignment="1" applyProtection="1">
      <alignment horizontal="left" vertical="top"/>
      <protection locked="0"/>
    </xf>
    <xf numFmtId="167" fontId="15" fillId="0" borderId="4" xfId="0" applyNumberFormat="1" applyFont="1" applyBorder="1" applyAlignment="1" applyProtection="1">
      <alignment horizontal="left" vertical="top"/>
      <protection locked="0"/>
    </xf>
    <xf numFmtId="166" fontId="11" fillId="4" borderId="4" xfId="0" applyNumberFormat="1" applyFont="1" applyFill="1" applyBorder="1" applyAlignment="1" applyProtection="1">
      <alignment horizontal="center" vertical="top"/>
      <protection locked="0"/>
    </xf>
    <xf numFmtId="0" fontId="54" fillId="0" borderId="4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167" fontId="10" fillId="4" borderId="4" xfId="0" applyNumberFormat="1" applyFont="1" applyFill="1" applyBorder="1" applyAlignment="1" applyProtection="1">
      <alignment horizontal="right" vertical="top"/>
      <protection locked="0"/>
    </xf>
    <xf numFmtId="178" fontId="0" fillId="0" borderId="0" xfId="0" applyNumberFormat="1" applyProtection="1">
      <protection locked="0"/>
    </xf>
    <xf numFmtId="166" fontId="11" fillId="4" borderId="4" xfId="0" applyNumberFormat="1" applyFont="1" applyFill="1" applyBorder="1" applyAlignment="1" applyProtection="1">
      <alignment horizontal="right" vertical="top"/>
      <protection locked="0"/>
    </xf>
    <xf numFmtId="168" fontId="10" fillId="0" borderId="4" xfId="0" applyNumberFormat="1" applyFont="1" applyBorder="1" applyAlignment="1" applyProtection="1">
      <alignment horizontal="center" vertical="top"/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4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7" fillId="0" borderId="0" xfId="0" applyFont="1" applyProtection="1"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5" fillId="0" borderId="0" xfId="0" applyFont="1" applyProtection="1">
      <protection locked="0"/>
    </xf>
    <xf numFmtId="1" fontId="9" fillId="0" borderId="27" xfId="0" applyNumberFormat="1" applyFont="1" applyBorder="1" applyAlignment="1" applyProtection="1">
      <alignment horizontal="left" vertical="top"/>
      <protection locked="0"/>
    </xf>
    <xf numFmtId="49" fontId="9" fillId="0" borderId="27" xfId="0" applyNumberFormat="1" applyFont="1" applyBorder="1" applyAlignment="1" applyProtection="1">
      <alignment horizontal="center" vertical="top"/>
      <protection locked="0"/>
    </xf>
    <xf numFmtId="1" fontId="9" fillId="0" borderId="4" xfId="0" applyNumberFormat="1" applyFont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164" fontId="10" fillId="4" borderId="4" xfId="0" applyNumberFormat="1" applyFont="1" applyFill="1" applyBorder="1" applyAlignment="1" applyProtection="1">
      <alignment horizontal="right" vertical="top"/>
      <protection locked="0"/>
    </xf>
    <xf numFmtId="1" fontId="9" fillId="0" borderId="0" xfId="0" applyNumberFormat="1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167" fontId="10" fillId="4" borderId="0" xfId="0" applyNumberFormat="1" applyFont="1" applyFill="1" applyBorder="1" applyAlignment="1" applyProtection="1">
      <alignment horizontal="right" vertical="top"/>
      <protection locked="0"/>
    </xf>
    <xf numFmtId="0" fontId="36" fillId="0" borderId="0" xfId="0" applyFont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49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175" fontId="8" fillId="0" borderId="0" xfId="0" applyNumberFormat="1" applyFont="1" applyFill="1" applyBorder="1" applyAlignment="1" applyProtection="1">
      <alignment horizontal="center"/>
      <protection locked="0"/>
    </xf>
    <xf numFmtId="176" fontId="8" fillId="0" borderId="0" xfId="0" applyNumberFormat="1" applyFont="1" applyFill="1" applyBorder="1" applyAlignment="1" applyProtection="1">
      <protection locked="0"/>
    </xf>
    <xf numFmtId="177" fontId="7" fillId="0" borderId="0" xfId="0" applyNumberFormat="1" applyFont="1" applyFill="1" applyBorder="1" applyAlignment="1" applyProtection="1">
      <alignment horizontal="center"/>
      <protection locked="0"/>
    </xf>
    <xf numFmtId="172" fontId="7" fillId="0" borderId="0" xfId="0" applyNumberFormat="1" applyFont="1" applyFill="1" applyBorder="1" applyAlignment="1" applyProtection="1">
      <alignment horizontal="center"/>
      <protection locked="0"/>
    </xf>
    <xf numFmtId="167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locked="0"/>
    </xf>
    <xf numFmtId="49" fontId="9" fillId="0" borderId="4" xfId="0" applyNumberFormat="1" applyFont="1" applyFill="1" applyBorder="1" applyAlignment="1" applyProtection="1">
      <alignment horizontal="center" vertical="top"/>
      <protection locked="0"/>
    </xf>
    <xf numFmtId="176" fontId="10" fillId="0" borderId="4" xfId="0" applyNumberFormat="1" applyFont="1" applyFill="1" applyBorder="1" applyAlignment="1" applyProtection="1">
      <alignment horizontal="right" vertical="top"/>
      <protection locked="0"/>
    </xf>
    <xf numFmtId="177" fontId="9" fillId="0" borderId="4" xfId="0" applyNumberFormat="1" applyFont="1" applyFill="1" applyBorder="1" applyAlignment="1" applyProtection="1">
      <alignment horizontal="center" vertical="top"/>
      <protection locked="0"/>
    </xf>
    <xf numFmtId="172" fontId="9" fillId="0" borderId="4" xfId="0" applyNumberFormat="1" applyFont="1" applyFill="1" applyBorder="1" applyAlignment="1" applyProtection="1">
      <alignment horizontal="center" vertical="top"/>
      <protection locked="0"/>
    </xf>
    <xf numFmtId="169" fontId="9" fillId="0" borderId="4" xfId="0" applyNumberFormat="1" applyFont="1" applyFill="1" applyBorder="1" applyAlignment="1" applyProtection="1">
      <alignment horizontal="right" vertical="top"/>
      <protection locked="0"/>
    </xf>
    <xf numFmtId="164" fontId="9" fillId="0" borderId="4" xfId="0" applyNumberFormat="1" applyFont="1" applyFill="1" applyBorder="1" applyAlignment="1" applyProtection="1">
      <alignment horizontal="right" vertical="top"/>
      <protection locked="0"/>
    </xf>
    <xf numFmtId="0" fontId="42" fillId="0" borderId="43" xfId="0" applyFont="1" applyBorder="1" applyAlignment="1" applyProtection="1">
      <alignment horizontal="left" vertical="top" wrapText="1"/>
      <protection locked="0"/>
    </xf>
    <xf numFmtId="181" fontId="42" fillId="0" borderId="43" xfId="0" applyNumberFormat="1" applyFont="1" applyBorder="1" applyAlignment="1" applyProtection="1">
      <alignment horizontal="right" vertical="top"/>
      <protection locked="0"/>
    </xf>
    <xf numFmtId="182" fontId="42" fillId="0" borderId="43" xfId="0" applyNumberFormat="1" applyFont="1" applyBorder="1" applyAlignment="1" applyProtection="1">
      <alignment horizontal="right" vertical="top"/>
      <protection locked="0"/>
    </xf>
    <xf numFmtId="0" fontId="0" fillId="0" borderId="0" xfId="0" applyAlignment="1" applyProtection="1">
      <alignment vertical="top"/>
      <protection locked="0"/>
    </xf>
    <xf numFmtId="0" fontId="42" fillId="0" borderId="43" xfId="0" applyFont="1" applyBorder="1" applyAlignment="1" applyProtection="1">
      <alignment horizontal="center" vertical="top" wrapText="1"/>
      <protection locked="0"/>
    </xf>
    <xf numFmtId="0" fontId="48" fillId="0" borderId="43" xfId="0" applyFont="1" applyBorder="1" applyAlignment="1" applyProtection="1">
      <alignment horizontal="center" vertical="top" wrapText="1"/>
      <protection locked="0"/>
    </xf>
    <xf numFmtId="183" fontId="42" fillId="0" borderId="43" xfId="0" applyNumberFormat="1" applyFont="1" applyBorder="1" applyAlignment="1" applyProtection="1">
      <alignment horizontal="center" vertical="top"/>
      <protection locked="0"/>
    </xf>
    <xf numFmtId="169" fontId="9" fillId="0" borderId="9" xfId="0" applyNumberFormat="1" applyFont="1" applyBorder="1" applyAlignment="1" applyProtection="1">
      <alignment horizontal="right" vertical="top"/>
      <protection locked="0"/>
    </xf>
    <xf numFmtId="168" fontId="10" fillId="0" borderId="43" xfId="0" applyNumberFormat="1" applyFont="1" applyBorder="1" applyAlignment="1" applyProtection="1">
      <alignment horizontal="right" vertical="top"/>
      <protection locked="0"/>
    </xf>
    <xf numFmtId="49" fontId="9" fillId="4" borderId="4" xfId="0" applyNumberFormat="1" applyFont="1" applyFill="1" applyBorder="1" applyAlignment="1">
      <alignment horizontal="center" vertical="top"/>
    </xf>
    <xf numFmtId="0" fontId="10" fillId="0" borderId="4" xfId="0" applyNumberFormat="1" applyFont="1" applyBorder="1" applyAlignment="1">
      <alignment horizontal="left" vertical="top"/>
    </xf>
    <xf numFmtId="49" fontId="10" fillId="0" borderId="4" xfId="6" applyNumberFormat="1" applyFont="1" applyBorder="1" applyAlignment="1">
      <alignment horizontal="center" vertical="top"/>
    </xf>
    <xf numFmtId="2" fontId="11" fillId="0" borderId="4" xfId="6" applyNumberFormat="1" applyFont="1" applyFill="1" applyBorder="1" applyAlignment="1">
      <alignment horizontal="center" vertical="top"/>
    </xf>
    <xf numFmtId="164" fontId="10" fillId="0" borderId="4" xfId="6" applyNumberFormat="1" applyFont="1" applyBorder="1" applyAlignment="1">
      <alignment horizontal="center" vertical="top"/>
    </xf>
    <xf numFmtId="169" fontId="9" fillId="0" borderId="4" xfId="6" applyNumberFormat="1" applyFont="1" applyBorder="1" applyAlignment="1">
      <alignment horizontal="right" vertical="top"/>
    </xf>
    <xf numFmtId="170" fontId="9" fillId="0" borderId="4" xfId="6" applyNumberFormat="1" applyFont="1" applyBorder="1" applyAlignment="1">
      <alignment horizontal="right" vertical="top"/>
    </xf>
    <xf numFmtId="168" fontId="7" fillId="0" borderId="0" xfId="0" applyNumberFormat="1" applyFont="1" applyAlignment="1" applyProtection="1">
      <protection locked="0"/>
    </xf>
    <xf numFmtId="180" fontId="42" fillId="0" borderId="43" xfId="0" applyNumberFormat="1" applyFont="1" applyBorder="1" applyAlignment="1" applyProtection="1">
      <alignment horizontal="center"/>
      <protection locked="0"/>
    </xf>
    <xf numFmtId="0" fontId="42" fillId="0" borderId="43" xfId="0" applyFont="1" applyBorder="1" applyAlignment="1" applyProtection="1">
      <alignment horizontal="center" wrapText="1"/>
      <protection locked="0"/>
    </xf>
    <xf numFmtId="182" fontId="42" fillId="0" borderId="43" xfId="0" applyNumberFormat="1" applyFont="1" applyBorder="1" applyAlignment="1" applyProtection="1">
      <alignment horizontal="center"/>
      <protection locked="0"/>
    </xf>
    <xf numFmtId="183" fontId="42" fillId="0" borderId="43" xfId="0" applyNumberFormat="1" applyFont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46" fillId="0" borderId="43" xfId="0" applyFont="1" applyBorder="1" applyAlignment="1" applyProtection="1">
      <alignment horizontal="left" wrapText="1"/>
      <protection locked="0"/>
    </xf>
    <xf numFmtId="0" fontId="46" fillId="0" borderId="43" xfId="0" applyFont="1" applyBorder="1" applyAlignment="1" applyProtection="1">
      <alignment horizontal="center" wrapText="1"/>
      <protection locked="0"/>
    </xf>
    <xf numFmtId="182" fontId="46" fillId="0" borderId="43" xfId="0" applyNumberFormat="1" applyFont="1" applyBorder="1" applyAlignment="1" applyProtection="1">
      <alignment horizontal="center"/>
      <protection locked="0"/>
    </xf>
    <xf numFmtId="183" fontId="46" fillId="0" borderId="43" xfId="0" applyNumberFormat="1" applyFont="1" applyBorder="1" applyAlignment="1" applyProtection="1">
      <alignment horizontal="center"/>
      <protection locked="0"/>
    </xf>
    <xf numFmtId="182" fontId="46" fillId="0" borderId="43" xfId="0" applyNumberFormat="1" applyFont="1" applyBorder="1" applyAlignment="1" applyProtection="1">
      <alignment horizontal="right"/>
      <protection locked="0"/>
    </xf>
    <xf numFmtId="181" fontId="46" fillId="0" borderId="43" xfId="0" applyNumberFormat="1" applyFont="1" applyBorder="1" applyAlignment="1" applyProtection="1">
      <alignment horizontal="right"/>
      <protection locked="0"/>
    </xf>
    <xf numFmtId="0" fontId="0" fillId="4" borderId="0" xfId="0" applyFill="1" applyProtection="1">
      <protection locked="0"/>
    </xf>
    <xf numFmtId="1" fontId="1" fillId="4" borderId="4" xfId="0" applyNumberFormat="1" applyFont="1" applyFill="1" applyBorder="1" applyAlignment="1" applyProtection="1">
      <alignment horizontal="center" vertical="top"/>
      <protection locked="0"/>
    </xf>
    <xf numFmtId="0" fontId="55" fillId="4" borderId="4" xfId="0" applyFont="1" applyFill="1" applyBorder="1" applyAlignment="1" applyProtection="1">
      <alignment horizontal="center" vertical="top"/>
      <protection locked="0"/>
    </xf>
    <xf numFmtId="0" fontId="37" fillId="4" borderId="0" xfId="0" applyFont="1" applyFill="1" applyProtection="1">
      <protection locked="0"/>
    </xf>
    <xf numFmtId="0" fontId="17" fillId="4" borderId="4" xfId="0" applyNumberFormat="1" applyFont="1" applyFill="1" applyBorder="1" applyAlignment="1" applyProtection="1">
      <alignment horizontal="left"/>
      <protection locked="0"/>
    </xf>
    <xf numFmtId="49" fontId="9" fillId="4" borderId="4" xfId="0" applyNumberFormat="1" applyFont="1" applyFill="1" applyBorder="1" applyAlignment="1" applyProtection="1">
      <alignment horizontal="center" vertical="top"/>
      <protection locked="0"/>
    </xf>
    <xf numFmtId="49" fontId="21" fillId="4" borderId="4" xfId="0" applyNumberFormat="1" applyFont="1" applyFill="1" applyBorder="1" applyAlignment="1" applyProtection="1">
      <alignment horizontal="center" vertical="top"/>
      <protection locked="0"/>
    </xf>
    <xf numFmtId="168" fontId="10" fillId="4" borderId="4" xfId="0" applyNumberFormat="1" applyFont="1" applyFill="1" applyBorder="1" applyAlignment="1" applyProtection="1">
      <alignment horizontal="right" vertical="top"/>
      <protection locked="0"/>
    </xf>
    <xf numFmtId="174" fontId="39" fillId="4" borderId="4" xfId="0" applyNumberFormat="1" applyFont="1" applyFill="1" applyBorder="1" applyAlignment="1" applyProtection="1">
      <alignment horizontal="right" vertical="top"/>
      <protection locked="0"/>
    </xf>
    <xf numFmtId="0" fontId="55" fillId="4" borderId="0" xfId="0" applyFont="1" applyFill="1" applyBorder="1" applyAlignment="1" applyProtection="1">
      <alignment horizontal="center" vertical="top"/>
      <protection locked="0"/>
    </xf>
    <xf numFmtId="0" fontId="7" fillId="4" borderId="0" xfId="0" applyFont="1" applyFill="1" applyProtection="1">
      <protection locked="0"/>
    </xf>
    <xf numFmtId="0" fontId="33" fillId="4" borderId="0" xfId="0" applyFont="1" applyFill="1" applyProtection="1">
      <protection locked="0"/>
    </xf>
    <xf numFmtId="49" fontId="9" fillId="0" borderId="4" xfId="0" applyNumberFormat="1" applyFont="1" applyBorder="1" applyAlignment="1" applyProtection="1">
      <alignment horizontal="center" vertical="top" wrapText="1"/>
      <protection locked="0"/>
    </xf>
    <xf numFmtId="184" fontId="0" fillId="0" borderId="0" xfId="0" applyNumberFormat="1"/>
    <xf numFmtId="185" fontId="0" fillId="0" borderId="0" xfId="0" applyNumberFormat="1"/>
    <xf numFmtId="165" fontId="0" fillId="0" borderId="0" xfId="0" applyNumberFormat="1"/>
  </cellXfs>
  <cellStyles count="7">
    <cellStyle name="Měna" xfId="1" builtinId="4"/>
    <cellStyle name="Měna 2" xfId="5"/>
    <cellStyle name="Normal 2" xfId="6"/>
    <cellStyle name="Normální" xfId="0" builtinId="0"/>
    <cellStyle name="Normální 2" xfId="3"/>
    <cellStyle name="Normální 3" xfId="4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4"/>
  <sheetViews>
    <sheetView workbookViewId="0">
      <selection activeCell="C18" sqref="C18"/>
    </sheetView>
  </sheetViews>
  <sheetFormatPr defaultRowHeight="15"/>
  <cols>
    <col min="1" max="1" width="4.7109375" customWidth="1"/>
    <col min="2" max="2" width="43.140625" customWidth="1"/>
    <col min="3" max="3" width="14.7109375" customWidth="1"/>
    <col min="7" max="7" width="12.28515625" bestFit="1" customWidth="1"/>
  </cols>
  <sheetData>
    <row r="1" spans="1:3">
      <c r="A1" s="98" t="s">
        <v>515</v>
      </c>
      <c r="B1" s="99"/>
      <c r="C1" s="100"/>
    </row>
    <row r="2" spans="1:3">
      <c r="A2" s="101" t="s">
        <v>516</v>
      </c>
      <c r="B2" s="102"/>
      <c r="C2" s="103"/>
    </row>
    <row r="3" spans="1:3" ht="16.899999999999999" customHeight="1">
      <c r="B3" s="104" t="s">
        <v>499</v>
      </c>
    </row>
    <row r="4" spans="1:3">
      <c r="B4" s="104" t="s">
        <v>63</v>
      </c>
      <c r="C4" s="105">
        <f>položky!H4</f>
        <v>0</v>
      </c>
    </row>
    <row r="5" spans="1:3">
      <c r="B5" s="104" t="s">
        <v>76</v>
      </c>
      <c r="C5" s="117">
        <f>položky!H28</f>
        <v>0</v>
      </c>
    </row>
    <row r="6" spans="1:3">
      <c r="B6" s="104" t="s">
        <v>81</v>
      </c>
      <c r="C6" s="117">
        <f>položky!H37</f>
        <v>0</v>
      </c>
    </row>
    <row r="7" spans="1:3">
      <c r="B7" s="104" t="s">
        <v>86</v>
      </c>
      <c r="C7" s="117">
        <f>položky!H48</f>
        <v>0</v>
      </c>
    </row>
    <row r="8" spans="1:3">
      <c r="B8" s="104" t="s">
        <v>756</v>
      </c>
      <c r="C8" s="117">
        <f>položky!H66</f>
        <v>0</v>
      </c>
    </row>
    <row r="9" spans="1:3">
      <c r="B9" s="104" t="s">
        <v>97</v>
      </c>
      <c r="C9" s="117">
        <f>položky!H72</f>
        <v>0</v>
      </c>
    </row>
    <row r="10" spans="1:3">
      <c r="B10" s="104" t="s">
        <v>771</v>
      </c>
      <c r="C10" s="117">
        <f>položky!H113</f>
        <v>0</v>
      </c>
    </row>
    <row r="11" spans="1:3">
      <c r="B11" s="104" t="s">
        <v>102</v>
      </c>
      <c r="C11" s="117">
        <f>položky!H118</f>
        <v>0</v>
      </c>
    </row>
    <row r="12" spans="1:3">
      <c r="B12" s="104" t="s">
        <v>129</v>
      </c>
      <c r="C12" s="117">
        <f>položky!H217</f>
        <v>0</v>
      </c>
    </row>
    <row r="13" spans="1:3">
      <c r="B13" s="104" t="s">
        <v>139</v>
      </c>
      <c r="C13" s="117">
        <f>položky!H230</f>
        <v>0</v>
      </c>
    </row>
    <row r="14" spans="1:3">
      <c r="B14" s="104" t="s">
        <v>147</v>
      </c>
      <c r="C14" s="117">
        <f>položky!H243</f>
        <v>0</v>
      </c>
    </row>
    <row r="15" spans="1:3">
      <c r="B15" s="104" t="s">
        <v>148</v>
      </c>
      <c r="C15" s="117">
        <f>položky!H250</f>
        <v>0</v>
      </c>
    </row>
    <row r="16" spans="1:3">
      <c r="B16" s="104" t="s">
        <v>245</v>
      </c>
      <c r="C16" s="117">
        <f>položky!H274</f>
        <v>0</v>
      </c>
    </row>
    <row r="17" spans="2:3">
      <c r="B17" s="104" t="s">
        <v>330</v>
      </c>
      <c r="C17" s="117">
        <f>položky!H348</f>
        <v>0</v>
      </c>
    </row>
    <row r="18" spans="2:3">
      <c r="B18" s="104" t="s">
        <v>500</v>
      </c>
      <c r="C18" s="117">
        <f>položky!H318</f>
        <v>0</v>
      </c>
    </row>
    <row r="19" spans="2:3">
      <c r="B19" s="104" t="s">
        <v>331</v>
      </c>
      <c r="C19" s="105">
        <f>položky!H362</f>
        <v>0</v>
      </c>
    </row>
    <row r="20" spans="2:3">
      <c r="B20" s="104" t="s">
        <v>501</v>
      </c>
      <c r="C20" s="105">
        <f>položky!H380</f>
        <v>0</v>
      </c>
    </row>
    <row r="21" spans="2:3">
      <c r="B21" s="104" t="s">
        <v>502</v>
      </c>
      <c r="C21" s="117">
        <f>položky!H458</f>
        <v>0</v>
      </c>
    </row>
    <row r="22" spans="2:3">
      <c r="B22" s="104" t="s">
        <v>359</v>
      </c>
      <c r="C22" s="105">
        <f>položky!H477</f>
        <v>0</v>
      </c>
    </row>
    <row r="23" spans="2:3">
      <c r="B23" s="104" t="s">
        <v>473</v>
      </c>
      <c r="C23" s="105">
        <f>položky!H487</f>
        <v>0</v>
      </c>
    </row>
    <row r="24" spans="2:3">
      <c r="B24" s="104" t="s">
        <v>479</v>
      </c>
      <c r="C24" s="105">
        <f>položky!H494</f>
        <v>0</v>
      </c>
    </row>
    <row r="25" spans="2:3">
      <c r="B25" s="104" t="s">
        <v>503</v>
      </c>
      <c r="C25" s="105">
        <f>položky!H503</f>
        <v>0</v>
      </c>
    </row>
    <row r="26" spans="2:3">
      <c r="B26" s="104" t="s">
        <v>504</v>
      </c>
      <c r="C26" s="105">
        <f>položky!H513</f>
        <v>0</v>
      </c>
    </row>
    <row r="27" spans="2:3">
      <c r="B27" s="104" t="s">
        <v>959</v>
      </c>
      <c r="C27" s="105">
        <f>kanal.!J70</f>
        <v>0</v>
      </c>
    </row>
    <row r="28" spans="2:3">
      <c r="B28" s="104" t="s">
        <v>1053</v>
      </c>
      <c r="C28" s="105">
        <f>vodovod!J54</f>
        <v>0</v>
      </c>
    </row>
    <row r="29" spans="2:3">
      <c r="B29" s="104" t="s">
        <v>505</v>
      </c>
      <c r="C29" s="105">
        <f>UT!J76</f>
        <v>0</v>
      </c>
    </row>
    <row r="30" spans="2:3">
      <c r="B30" s="104" t="s">
        <v>1380</v>
      </c>
      <c r="C30" s="105">
        <f>silno!J125</f>
        <v>0</v>
      </c>
    </row>
    <row r="31" spans="2:3">
      <c r="B31" s="104" t="s">
        <v>1488</v>
      </c>
      <c r="C31" s="105">
        <f>slabo!H4</f>
        <v>0</v>
      </c>
    </row>
    <row r="32" spans="2:3" ht="15.75" thickBot="1">
      <c r="B32" s="250" t="s">
        <v>506</v>
      </c>
      <c r="C32" s="251">
        <f>VZT!H4</f>
        <v>0</v>
      </c>
    </row>
    <row r="33" spans="2:7">
      <c r="B33" s="252" t="s">
        <v>507</v>
      </c>
      <c r="C33" s="253">
        <f>SUM(C4:C32)</f>
        <v>0</v>
      </c>
    </row>
    <row r="34" spans="2:7">
      <c r="B34" s="104" t="s">
        <v>508</v>
      </c>
      <c r="C34" s="105"/>
    </row>
    <row r="35" spans="2:7">
      <c r="B35" s="108" t="s">
        <v>509</v>
      </c>
      <c r="C35" s="109"/>
    </row>
    <row r="36" spans="2:7">
      <c r="B36" s="108" t="s">
        <v>510</v>
      </c>
      <c r="C36" s="109"/>
    </row>
    <row r="37" spans="2:7">
      <c r="B37" s="106"/>
      <c r="C37" s="107"/>
    </row>
    <row r="38" spans="2:7">
      <c r="B38" s="252" t="s">
        <v>511</v>
      </c>
      <c r="C38" s="253">
        <f>SUM(C35:C37)</f>
        <v>0</v>
      </c>
    </row>
    <row r="39" spans="2:7" ht="15.75" thickBot="1">
      <c r="B39" s="110"/>
      <c r="C39" s="111"/>
    </row>
    <row r="40" spans="2:7">
      <c r="B40" s="112" t="s">
        <v>512</v>
      </c>
      <c r="C40" s="113">
        <f>C38+C33</f>
        <v>0</v>
      </c>
    </row>
    <row r="41" spans="2:7" ht="15.75" thickBot="1">
      <c r="B41" s="114" t="s">
        <v>513</v>
      </c>
      <c r="C41" s="115">
        <f>C40*0.21</f>
        <v>0</v>
      </c>
    </row>
    <row r="42" spans="2:7">
      <c r="B42" s="112" t="s">
        <v>514</v>
      </c>
      <c r="C42" s="113">
        <f>C41+C40</f>
        <v>0</v>
      </c>
    </row>
    <row r="43" spans="2:7">
      <c r="C43" s="399"/>
      <c r="G43" s="398"/>
    </row>
    <row r="44" spans="2:7">
      <c r="C44" s="400"/>
      <c r="G44" s="398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D37" sqref="D37"/>
    </sheetView>
  </sheetViews>
  <sheetFormatPr defaultColWidth="8.85546875" defaultRowHeight="12"/>
  <cols>
    <col min="1" max="1" width="5.28515625" style="1" customWidth="1"/>
    <col min="2" max="2" width="3" style="1" bestFit="1" customWidth="1"/>
    <col min="3" max="3" width="7.28515625" style="3" customWidth="1"/>
    <col min="4" max="9" width="5.7109375" style="1" customWidth="1"/>
    <col min="10" max="14" width="4.7109375" style="1" customWidth="1"/>
    <col min="15" max="15" width="9.5703125" style="1" customWidth="1"/>
    <col min="16" max="16" width="4.7109375" style="1" customWidth="1"/>
    <col min="17" max="16384" width="8.85546875" style="1"/>
  </cols>
  <sheetData>
    <row r="1" spans="1:15" ht="15">
      <c r="A1" s="2" t="s">
        <v>12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1" t="s">
        <v>414</v>
      </c>
    </row>
    <row r="2" spans="1:15">
      <c r="A2" s="5" t="s">
        <v>13</v>
      </c>
      <c r="B2" s="20">
        <v>1</v>
      </c>
      <c r="C2" s="3">
        <v>22.4</v>
      </c>
      <c r="D2" s="1">
        <f>C2</f>
        <v>22.4</v>
      </c>
    </row>
    <row r="3" spans="1:15">
      <c r="A3" s="5" t="s">
        <v>13</v>
      </c>
      <c r="B3" s="20">
        <f>B2+1</f>
        <v>2</v>
      </c>
      <c r="C3" s="3">
        <v>43.8</v>
      </c>
      <c r="H3" s="1">
        <f>C3</f>
        <v>43.8</v>
      </c>
    </row>
    <row r="4" spans="1:15">
      <c r="A4" s="5" t="s">
        <v>13</v>
      </c>
      <c r="B4" s="20">
        <f t="shared" ref="B4:B12" si="0">B3+1</f>
        <v>3</v>
      </c>
      <c r="C4" s="3">
        <v>16.3</v>
      </c>
      <c r="D4" s="1">
        <f>C4</f>
        <v>16.3</v>
      </c>
    </row>
    <row r="5" spans="1:15">
      <c r="A5" s="5" t="s">
        <v>13</v>
      </c>
      <c r="B5" s="20">
        <f t="shared" si="0"/>
        <v>4</v>
      </c>
      <c r="C5" s="3">
        <v>13.6</v>
      </c>
      <c r="D5" s="1">
        <f t="shared" ref="D5:D6" si="1">C5</f>
        <v>13.6</v>
      </c>
    </row>
    <row r="6" spans="1:15">
      <c r="A6" s="5" t="s">
        <v>13</v>
      </c>
      <c r="B6" s="20">
        <f t="shared" si="0"/>
        <v>5</v>
      </c>
      <c r="C6" s="3">
        <v>13.6</v>
      </c>
      <c r="D6" s="1">
        <f t="shared" si="1"/>
        <v>13.6</v>
      </c>
    </row>
    <row r="7" spans="1:15">
      <c r="A7" s="5" t="s">
        <v>13</v>
      </c>
      <c r="B7" s="20">
        <f t="shared" si="0"/>
        <v>6</v>
      </c>
      <c r="C7" s="3">
        <v>11.9</v>
      </c>
      <c r="I7" s="1">
        <f>C7</f>
        <v>11.9</v>
      </c>
    </row>
    <row r="8" spans="1:15">
      <c r="A8" s="5" t="s">
        <v>13</v>
      </c>
      <c r="B8" s="20">
        <f t="shared" si="0"/>
        <v>7</v>
      </c>
      <c r="C8" s="3">
        <v>41.2</v>
      </c>
      <c r="E8" s="1">
        <f>C8</f>
        <v>41.2</v>
      </c>
    </row>
    <row r="9" spans="1:15">
      <c r="A9" s="5" t="s">
        <v>13</v>
      </c>
      <c r="B9" s="20">
        <f t="shared" si="0"/>
        <v>8</v>
      </c>
      <c r="C9" s="3">
        <v>17.3</v>
      </c>
      <c r="E9" s="1">
        <f>C9</f>
        <v>17.3</v>
      </c>
    </row>
    <row r="10" spans="1:15">
      <c r="A10" s="5" t="s">
        <v>13</v>
      </c>
      <c r="B10" s="20">
        <f t="shared" si="0"/>
        <v>9</v>
      </c>
      <c r="C10" s="3">
        <v>3.5</v>
      </c>
      <c r="G10" s="1">
        <f>C10</f>
        <v>3.5</v>
      </c>
      <c r="O10" s="1">
        <f>C10</f>
        <v>3.5</v>
      </c>
    </row>
    <row r="11" spans="1:15">
      <c r="A11" s="5" t="s">
        <v>13</v>
      </c>
      <c r="B11" s="20">
        <f t="shared" si="0"/>
        <v>10</v>
      </c>
      <c r="C11" s="3">
        <v>4.5</v>
      </c>
      <c r="G11" s="1">
        <f t="shared" ref="G11:G14" si="2">C11</f>
        <v>4.5</v>
      </c>
      <c r="O11" s="1">
        <f t="shared" ref="O11:O14" si="3">C11</f>
        <v>4.5</v>
      </c>
    </row>
    <row r="12" spans="1:15">
      <c r="A12" s="5" t="s">
        <v>13</v>
      </c>
      <c r="B12" s="20">
        <f t="shared" si="0"/>
        <v>11</v>
      </c>
      <c r="C12" s="3">
        <v>4.7</v>
      </c>
      <c r="G12" s="1">
        <f t="shared" si="2"/>
        <v>4.7</v>
      </c>
      <c r="O12" s="1">
        <f t="shared" si="3"/>
        <v>4.7</v>
      </c>
    </row>
    <row r="13" spans="1:15">
      <c r="A13" s="5" t="s">
        <v>13</v>
      </c>
      <c r="B13" s="20">
        <f t="shared" ref="B13:B14" si="4">B12+1</f>
        <v>12</v>
      </c>
      <c r="C13" s="3">
        <v>3.2</v>
      </c>
      <c r="G13" s="1">
        <f t="shared" si="2"/>
        <v>3.2</v>
      </c>
      <c r="O13" s="1">
        <f t="shared" si="3"/>
        <v>3.2</v>
      </c>
    </row>
    <row r="14" spans="1:15">
      <c r="A14" s="5" t="s">
        <v>13</v>
      </c>
      <c r="B14" s="20">
        <f t="shared" si="4"/>
        <v>13</v>
      </c>
      <c r="C14" s="3">
        <v>6.5</v>
      </c>
      <c r="G14" s="1">
        <f t="shared" si="2"/>
        <v>6.5</v>
      </c>
      <c r="O14" s="1">
        <f t="shared" si="3"/>
        <v>6.5</v>
      </c>
    </row>
    <row r="15" spans="1:15">
      <c r="A15" s="5" t="s">
        <v>14</v>
      </c>
      <c r="B15" s="20">
        <v>1</v>
      </c>
      <c r="C15" s="3">
        <v>9.1999999999999993</v>
      </c>
      <c r="F15" s="1">
        <f>C15</f>
        <v>9.1999999999999993</v>
      </c>
    </row>
    <row r="16" spans="1:15">
      <c r="C16" s="21">
        <f>SUM(C2:C15)</f>
        <v>211.69999999999996</v>
      </c>
      <c r="D16" s="21">
        <f t="shared" ref="D16:J16" si="5">SUM(D2:D15)</f>
        <v>65.900000000000006</v>
      </c>
      <c r="E16" s="21">
        <f t="shared" si="5"/>
        <v>58.5</v>
      </c>
      <c r="F16" s="21">
        <f t="shared" si="5"/>
        <v>9.1999999999999993</v>
      </c>
      <c r="G16" s="21">
        <f t="shared" si="5"/>
        <v>22.4</v>
      </c>
      <c r="H16" s="21">
        <f t="shared" si="5"/>
        <v>43.8</v>
      </c>
      <c r="I16" s="21">
        <f t="shared" si="5"/>
        <v>11.9</v>
      </c>
      <c r="J16" s="3">
        <f t="shared" si="5"/>
        <v>0</v>
      </c>
    </row>
    <row r="17" spans="1:17">
      <c r="A17" s="5" t="s">
        <v>15</v>
      </c>
      <c r="B17" s="20">
        <v>1</v>
      </c>
      <c r="C17" s="3">
        <v>5.9</v>
      </c>
      <c r="J17" s="1">
        <f>C17</f>
        <v>5.9</v>
      </c>
      <c r="O17" s="1">
        <f>C17</f>
        <v>5.9</v>
      </c>
    </row>
    <row r="18" spans="1:17">
      <c r="A18" s="5" t="s">
        <v>15</v>
      </c>
      <c r="B18" s="20">
        <f>B17+1</f>
        <v>2</v>
      </c>
      <c r="C18" s="3">
        <v>38.9</v>
      </c>
      <c r="J18" s="1">
        <f>C18</f>
        <v>38.9</v>
      </c>
      <c r="O18" s="1">
        <f t="shared" ref="O18:O20" si="6">C18</f>
        <v>38.9</v>
      </c>
    </row>
    <row r="19" spans="1:17">
      <c r="A19" s="5" t="s">
        <v>15</v>
      </c>
      <c r="B19" s="20">
        <f t="shared" ref="B19:B27" si="7">B18+1</f>
        <v>3</v>
      </c>
      <c r="C19" s="3">
        <v>4.5</v>
      </c>
      <c r="J19" s="1">
        <f>C19</f>
        <v>4.5</v>
      </c>
      <c r="O19" s="1">
        <f t="shared" si="6"/>
        <v>4.5</v>
      </c>
    </row>
    <row r="20" spans="1:17">
      <c r="A20" s="5" t="s">
        <v>15</v>
      </c>
      <c r="B20" s="20">
        <f t="shared" si="7"/>
        <v>4</v>
      </c>
      <c r="C20" s="3">
        <v>1.8</v>
      </c>
      <c r="K20" s="1">
        <f>C20</f>
        <v>1.8</v>
      </c>
      <c r="O20" s="1">
        <f t="shared" si="6"/>
        <v>1.8</v>
      </c>
    </row>
    <row r="21" spans="1:17" ht="10.9" customHeight="1">
      <c r="A21" s="5" t="s">
        <v>15</v>
      </c>
      <c r="B21" s="20">
        <f t="shared" si="7"/>
        <v>5</v>
      </c>
      <c r="C21" s="3">
        <v>24.2</v>
      </c>
      <c r="N21" s="1">
        <f>C21</f>
        <v>24.2</v>
      </c>
    </row>
    <row r="22" spans="1:17">
      <c r="A22" s="5" t="s">
        <v>15</v>
      </c>
      <c r="B22" s="20">
        <f t="shared" si="7"/>
        <v>6</v>
      </c>
      <c r="C22" s="3">
        <v>10</v>
      </c>
      <c r="M22" s="1">
        <f>C22</f>
        <v>10</v>
      </c>
    </row>
    <row r="23" spans="1:17">
      <c r="A23" s="5" t="s">
        <v>15</v>
      </c>
      <c r="B23" s="20">
        <f t="shared" si="7"/>
        <v>7</v>
      </c>
      <c r="C23" s="3">
        <v>7.8</v>
      </c>
      <c r="N23" s="1">
        <f>C23</f>
        <v>7.8</v>
      </c>
    </row>
    <row r="24" spans="1:17">
      <c r="A24" s="5" t="s">
        <v>15</v>
      </c>
      <c r="B24" s="20">
        <f t="shared" si="7"/>
        <v>8</v>
      </c>
      <c r="C24" s="3">
        <v>19</v>
      </c>
      <c r="M24" s="1">
        <f>C24</f>
        <v>19</v>
      </c>
    </row>
    <row r="25" spans="1:17">
      <c r="A25" s="5" t="s">
        <v>15</v>
      </c>
      <c r="B25" s="20">
        <f t="shared" si="7"/>
        <v>9</v>
      </c>
      <c r="C25" s="3">
        <v>49.6</v>
      </c>
      <c r="M25" s="1">
        <f>C25</f>
        <v>49.6</v>
      </c>
    </row>
    <row r="26" spans="1:17">
      <c r="A26" s="5" t="s">
        <v>15</v>
      </c>
      <c r="B26" s="20">
        <f t="shared" si="7"/>
        <v>10</v>
      </c>
      <c r="C26" s="3">
        <v>13.2</v>
      </c>
      <c r="M26" s="1">
        <f>C26</f>
        <v>13.2</v>
      </c>
    </row>
    <row r="27" spans="1:17">
      <c r="A27" s="5" t="s">
        <v>15</v>
      </c>
      <c r="B27" s="20">
        <f t="shared" si="7"/>
        <v>11</v>
      </c>
      <c r="C27" s="3">
        <v>8.8000000000000007</v>
      </c>
      <c r="N27" s="1">
        <f>C27</f>
        <v>8.8000000000000007</v>
      </c>
    </row>
    <row r="28" spans="1:17">
      <c r="A28" s="5"/>
      <c r="B28" s="20"/>
      <c r="C28" s="21">
        <f>SUM(C17:C27)</f>
        <v>183.7</v>
      </c>
      <c r="D28" s="22"/>
      <c r="E28" s="22"/>
      <c r="F28" s="22"/>
      <c r="G28" s="22"/>
      <c r="H28" s="22"/>
      <c r="I28" s="22"/>
      <c r="J28" s="6">
        <f>SUM(J17:J27)</f>
        <v>49.3</v>
      </c>
      <c r="K28" s="6">
        <f t="shared" ref="K28:N28" si="8">SUM(K17:K27)</f>
        <v>1.8</v>
      </c>
      <c r="L28" s="6">
        <f t="shared" si="8"/>
        <v>0</v>
      </c>
      <c r="M28" s="6">
        <f t="shared" si="8"/>
        <v>91.8</v>
      </c>
      <c r="N28" s="6">
        <f t="shared" si="8"/>
        <v>40.799999999999997</v>
      </c>
      <c r="Q28" s="1">
        <f>SUM(J28:P28)</f>
        <v>183.7</v>
      </c>
    </row>
    <row r="29" spans="1:17">
      <c r="A29" s="5" t="s">
        <v>16</v>
      </c>
      <c r="B29" s="20">
        <v>1</v>
      </c>
      <c r="C29" s="3">
        <v>6</v>
      </c>
      <c r="J29" s="1">
        <f>C29</f>
        <v>6</v>
      </c>
    </row>
    <row r="30" spans="1:17">
      <c r="A30" s="5" t="s">
        <v>16</v>
      </c>
      <c r="B30" s="20">
        <f>B29+1</f>
        <v>2</v>
      </c>
      <c r="C30" s="3">
        <v>45.7</v>
      </c>
      <c r="J30" s="1">
        <f>C30</f>
        <v>45.7</v>
      </c>
    </row>
    <row r="31" spans="1:17">
      <c r="A31" s="5" t="s">
        <v>16</v>
      </c>
      <c r="B31" s="20">
        <f t="shared" ref="B31:B33" si="9">B30+1</f>
        <v>3</v>
      </c>
      <c r="C31" s="3">
        <v>70.400000000000006</v>
      </c>
      <c r="L31" s="1">
        <f>C31</f>
        <v>70.400000000000006</v>
      </c>
    </row>
    <row r="32" spans="1:17">
      <c r="A32" s="5" t="s">
        <v>16</v>
      </c>
      <c r="B32" s="20">
        <f t="shared" si="9"/>
        <v>4</v>
      </c>
      <c r="C32" s="3">
        <v>3.9</v>
      </c>
      <c r="L32" s="1">
        <f>C32</f>
        <v>3.9</v>
      </c>
    </row>
    <row r="33" spans="1:17">
      <c r="A33" s="5" t="s">
        <v>16</v>
      </c>
      <c r="B33" s="20">
        <f t="shared" si="9"/>
        <v>5</v>
      </c>
      <c r="C33" s="3">
        <v>76.2</v>
      </c>
      <c r="M33" s="1">
        <f>C33</f>
        <v>76.2</v>
      </c>
    </row>
    <row r="34" spans="1:17">
      <c r="C34" s="21">
        <f>SUM(C29:C33)</f>
        <v>202.20000000000002</v>
      </c>
      <c r="D34" s="21">
        <f t="shared" ref="D34:N34" si="10">SUM(D29:D33)</f>
        <v>0</v>
      </c>
      <c r="E34" s="21">
        <f t="shared" si="10"/>
        <v>0</v>
      </c>
      <c r="F34" s="21">
        <f t="shared" si="10"/>
        <v>0</v>
      </c>
      <c r="G34" s="21">
        <f t="shared" si="10"/>
        <v>0</v>
      </c>
      <c r="H34" s="21">
        <f t="shared" si="10"/>
        <v>0</v>
      </c>
      <c r="I34" s="21">
        <f t="shared" si="10"/>
        <v>0</v>
      </c>
      <c r="J34" s="7">
        <f t="shared" si="10"/>
        <v>51.7</v>
      </c>
      <c r="K34" s="7">
        <f t="shared" si="10"/>
        <v>0</v>
      </c>
      <c r="L34" s="7">
        <f t="shared" si="10"/>
        <v>74.300000000000011</v>
      </c>
      <c r="M34" s="7">
        <f t="shared" si="10"/>
        <v>76.2</v>
      </c>
      <c r="N34" s="7">
        <f t="shared" si="10"/>
        <v>0</v>
      </c>
      <c r="O34" s="84">
        <f>SUM(O2:O33)</f>
        <v>73.499999999999986</v>
      </c>
      <c r="Q34" s="1">
        <f>SUM(D34:N34)</f>
        <v>202.20000000000002</v>
      </c>
    </row>
    <row r="35" spans="1:17">
      <c r="O35" s="85" t="s">
        <v>414</v>
      </c>
    </row>
    <row r="36" spans="1:17">
      <c r="D36" s="8" t="s">
        <v>1</v>
      </c>
      <c r="E36" s="8" t="s">
        <v>2</v>
      </c>
      <c r="F36" s="8" t="s">
        <v>3</v>
      </c>
      <c r="G36" s="8" t="s">
        <v>4</v>
      </c>
      <c r="H36" s="8" t="s">
        <v>5</v>
      </c>
      <c r="I36" s="8" t="s">
        <v>6</v>
      </c>
      <c r="J36" s="8" t="s">
        <v>7</v>
      </c>
      <c r="K36" s="8" t="s">
        <v>8</v>
      </c>
      <c r="L36" s="8" t="s">
        <v>9</v>
      </c>
      <c r="M36" s="8" t="s">
        <v>10</v>
      </c>
      <c r="N36" s="8" t="s">
        <v>11</v>
      </c>
    </row>
    <row r="37" spans="1:17">
      <c r="C37" s="4">
        <f>C34+C28+C16</f>
        <v>597.59999999999991</v>
      </c>
      <c r="D37" s="8">
        <f>D34+D28+D16</f>
        <v>65.900000000000006</v>
      </c>
      <c r="E37" s="8">
        <f t="shared" ref="E37:N37" si="11">E34+E28+E16</f>
        <v>58.5</v>
      </c>
      <c r="F37" s="8">
        <f t="shared" si="11"/>
        <v>9.1999999999999993</v>
      </c>
      <c r="G37" s="8">
        <f t="shared" si="11"/>
        <v>22.4</v>
      </c>
      <c r="H37" s="8">
        <f t="shared" si="11"/>
        <v>43.8</v>
      </c>
      <c r="I37" s="8">
        <f t="shared" si="11"/>
        <v>11.9</v>
      </c>
      <c r="J37" s="8">
        <f t="shared" si="11"/>
        <v>101</v>
      </c>
      <c r="K37" s="8">
        <f t="shared" si="11"/>
        <v>1.8</v>
      </c>
      <c r="L37" s="8">
        <f t="shared" si="11"/>
        <v>74.300000000000011</v>
      </c>
      <c r="M37" s="8">
        <f t="shared" si="11"/>
        <v>168</v>
      </c>
      <c r="N37" s="8">
        <f t="shared" si="11"/>
        <v>40.799999999999997</v>
      </c>
    </row>
    <row r="38" spans="1:17">
      <c r="C38" s="3">
        <f>SUM(D37:N37)</f>
        <v>597.6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531"/>
  <sheetViews>
    <sheetView tabSelected="1" zoomScale="94" zoomScaleNormal="94" workbookViewId="0">
      <selection activeCell="K10" sqref="K10"/>
    </sheetView>
  </sheetViews>
  <sheetFormatPr defaultColWidth="8.85546875" defaultRowHeight="15"/>
  <cols>
    <col min="1" max="1" width="4.5703125" style="32" customWidth="1"/>
    <col min="2" max="2" width="3.28515625" style="32" customWidth="1"/>
    <col min="3" max="3" width="11.140625" style="32" customWidth="1"/>
    <col min="4" max="4" width="50.7109375" style="32" customWidth="1"/>
    <col min="5" max="5" width="6" style="32" customWidth="1"/>
    <col min="6" max="6" width="8.140625" style="325" customWidth="1"/>
    <col min="7" max="7" width="9.85546875" style="32" bestFit="1" customWidth="1"/>
    <col min="8" max="8" width="10.28515625" style="32" customWidth="1"/>
    <col min="9" max="12" width="7.7109375" style="32" customWidth="1"/>
    <col min="13" max="13" width="4.28515625" style="32" customWidth="1"/>
    <col min="14" max="14" width="8.85546875" style="32"/>
    <col min="15" max="15" width="62.85546875" style="32" bestFit="1" customWidth="1"/>
    <col min="16" max="16384" width="8.85546875" style="32"/>
  </cols>
  <sheetData>
    <row r="1" spans="1:13" s="282" customFormat="1" ht="12.75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 s="282" customFormat="1" ht="13.9" customHeight="1">
      <c r="A2" s="272"/>
      <c r="B2" s="283"/>
      <c r="C2" s="284" t="s">
        <v>51</v>
      </c>
      <c r="D2" s="285" t="s">
        <v>152</v>
      </c>
      <c r="E2" s="283" t="s">
        <v>52</v>
      </c>
      <c r="F2" s="286"/>
      <c r="G2" s="287"/>
      <c r="H2" s="288"/>
      <c r="I2" s="283"/>
      <c r="J2" s="289"/>
      <c r="K2" s="289"/>
      <c r="L2" s="289"/>
      <c r="M2" s="290"/>
    </row>
    <row r="3" spans="1:13" s="297" customFormat="1" ht="11.45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6.149999999999999" customHeight="1" thickTop="1">
      <c r="B4" s="33"/>
      <c r="C4" s="34"/>
      <c r="D4" s="35" t="s">
        <v>63</v>
      </c>
      <c r="E4" s="36"/>
      <c r="F4" s="132"/>
      <c r="G4" s="37"/>
      <c r="H4" s="38">
        <f>SUBTOTAL(9,H5:H27)</f>
        <v>0</v>
      </c>
      <c r="I4" s="39"/>
      <c r="J4" s="40">
        <f>SUBTOTAL(9,J5:J27)</f>
        <v>0</v>
      </c>
      <c r="K4" s="41"/>
      <c r="L4" s="40">
        <f>SUBTOTAL(9,L5:L27)</f>
        <v>100.8</v>
      </c>
      <c r="M4" s="40"/>
    </row>
    <row r="5" spans="1:13" ht="16.149999999999999" customHeight="1">
      <c r="A5" s="378">
        <v>1</v>
      </c>
      <c r="B5" s="42" t="s">
        <v>64</v>
      </c>
      <c r="C5" s="43" t="s">
        <v>65</v>
      </c>
      <c r="D5" s="44" t="s">
        <v>66</v>
      </c>
      <c r="E5" s="45" t="s">
        <v>67</v>
      </c>
      <c r="F5" s="136">
        <f>SUM(F6:F9)</f>
        <v>84.866</v>
      </c>
      <c r="G5" s="46"/>
      <c r="H5" s="47">
        <f>F5*G5</f>
        <v>0</v>
      </c>
      <c r="I5" s="48"/>
      <c r="J5" s="49">
        <f>F5*I5</f>
        <v>0</v>
      </c>
      <c r="K5" s="48"/>
      <c r="L5" s="49">
        <f>F5*K5</f>
        <v>0</v>
      </c>
      <c r="M5" s="298" t="s">
        <v>803</v>
      </c>
    </row>
    <row r="6" spans="1:13" ht="16.149999999999999" customHeight="1">
      <c r="A6" s="378"/>
      <c r="B6" s="64" t="s">
        <v>78</v>
      </c>
      <c r="C6" s="65">
        <f>F6/0.05</f>
        <v>752.75999999999988</v>
      </c>
      <c r="D6" s="66" t="s">
        <v>161</v>
      </c>
      <c r="E6" s="63" t="s">
        <v>67</v>
      </c>
      <c r="F6" s="139">
        <f>(24.13+42.21+17.3)*0.45</f>
        <v>37.637999999999998</v>
      </c>
      <c r="G6" s="46"/>
      <c r="H6" s="47"/>
      <c r="I6" s="48"/>
      <c r="J6" s="49"/>
      <c r="K6" s="48"/>
      <c r="L6" s="49"/>
      <c r="M6" s="298"/>
    </row>
    <row r="7" spans="1:13" ht="16.149999999999999" customHeight="1">
      <c r="A7" s="378"/>
      <c r="B7" s="64" t="s">
        <v>78</v>
      </c>
      <c r="C7" s="65">
        <f>F7/0.1</f>
        <v>136.63999999999999</v>
      </c>
      <c r="D7" s="66" t="s">
        <v>162</v>
      </c>
      <c r="E7" s="63" t="s">
        <v>67</v>
      </c>
      <c r="F7" s="139">
        <f>(13.61+13.53+11.9)*0.35</f>
        <v>13.664</v>
      </c>
      <c r="G7" s="46"/>
      <c r="H7" s="47"/>
      <c r="I7" s="48"/>
      <c r="J7" s="49"/>
      <c r="K7" s="48"/>
      <c r="L7" s="49"/>
      <c r="M7" s="298"/>
    </row>
    <row r="8" spans="1:13" ht="16.149999999999999" customHeight="1">
      <c r="A8" s="378"/>
      <c r="B8" s="64" t="s">
        <v>78</v>
      </c>
      <c r="C8" s="65">
        <f>11.71+10.95+9.14</f>
        <v>31.8</v>
      </c>
      <c r="D8" s="66" t="s">
        <v>163</v>
      </c>
      <c r="E8" s="63" t="s">
        <v>67</v>
      </c>
      <c r="F8" s="139">
        <f>C8*0.3</f>
        <v>9.5399999999999991</v>
      </c>
      <c r="G8" s="46"/>
      <c r="H8" s="47"/>
      <c r="I8" s="48"/>
      <c r="J8" s="49"/>
      <c r="K8" s="48"/>
      <c r="L8" s="49"/>
      <c r="M8" s="298"/>
    </row>
    <row r="9" spans="1:13" ht="16.149999999999999" customHeight="1">
      <c r="A9" s="378"/>
      <c r="B9" s="64" t="s">
        <v>78</v>
      </c>
      <c r="C9" s="65">
        <f>F9/0.1</f>
        <v>240.24</v>
      </c>
      <c r="D9" s="66" t="s">
        <v>164</v>
      </c>
      <c r="E9" s="63" t="s">
        <v>67</v>
      </c>
      <c r="F9" s="139">
        <f>(43.81+16.25)*0.4</f>
        <v>24.024000000000001</v>
      </c>
      <c r="G9" s="46"/>
      <c r="H9" s="47"/>
      <c r="I9" s="48"/>
      <c r="J9" s="49"/>
      <c r="K9" s="48"/>
      <c r="L9" s="49"/>
      <c r="M9" s="298"/>
    </row>
    <row r="10" spans="1:13" ht="16.149999999999999" customHeight="1">
      <c r="A10" s="378">
        <f>A5+1</f>
        <v>2</v>
      </c>
      <c r="B10" s="42" t="s">
        <v>64</v>
      </c>
      <c r="C10" s="43" t="s">
        <v>701</v>
      </c>
      <c r="D10" s="44" t="s">
        <v>702</v>
      </c>
      <c r="E10" s="45" t="s">
        <v>78</v>
      </c>
      <c r="F10" s="133">
        <v>210</v>
      </c>
      <c r="G10" s="46"/>
      <c r="H10" s="47">
        <f t="shared" ref="H10:H21" si="0">F10*G10</f>
        <v>0</v>
      </c>
      <c r="I10" s="48"/>
      <c r="J10" s="49">
        <f t="shared" ref="J10:J22" si="1">F10*I10</f>
        <v>0</v>
      </c>
      <c r="K10" s="48">
        <v>0.48</v>
      </c>
      <c r="L10" s="49">
        <f t="shared" ref="L10:L22" si="2">F10*K10</f>
        <v>100.8</v>
      </c>
      <c r="M10" s="298" t="s">
        <v>803</v>
      </c>
    </row>
    <row r="11" spans="1:13" ht="16.149999999999999" customHeight="1">
      <c r="A11" s="378">
        <f>A10+1</f>
        <v>3</v>
      </c>
      <c r="B11" s="42" t="s">
        <v>64</v>
      </c>
      <c r="C11" s="43" t="s">
        <v>703</v>
      </c>
      <c r="D11" s="44" t="s">
        <v>704</v>
      </c>
      <c r="E11" s="45" t="s">
        <v>67</v>
      </c>
      <c r="F11" s="133">
        <v>84</v>
      </c>
      <c r="G11" s="46"/>
      <c r="H11" s="47">
        <f t="shared" si="0"/>
        <v>0</v>
      </c>
      <c r="I11" s="48"/>
      <c r="J11" s="49">
        <f t="shared" si="1"/>
        <v>0</v>
      </c>
      <c r="K11" s="48"/>
      <c r="L11" s="49">
        <f t="shared" si="2"/>
        <v>0</v>
      </c>
      <c r="M11" s="298" t="s">
        <v>803</v>
      </c>
    </row>
    <row r="12" spans="1:13" ht="22.9" customHeight="1">
      <c r="A12" s="378">
        <f>A11+1</f>
        <v>4</v>
      </c>
      <c r="B12" s="42" t="s">
        <v>64</v>
      </c>
      <c r="C12" s="43" t="s">
        <v>705</v>
      </c>
      <c r="D12" s="44" t="s">
        <v>706</v>
      </c>
      <c r="E12" s="45" t="s">
        <v>67</v>
      </c>
      <c r="F12" s="133">
        <v>133</v>
      </c>
      <c r="G12" s="46"/>
      <c r="H12" s="47">
        <f t="shared" si="0"/>
        <v>0</v>
      </c>
      <c r="I12" s="48"/>
      <c r="J12" s="49">
        <f t="shared" si="1"/>
        <v>0</v>
      </c>
      <c r="K12" s="48"/>
      <c r="L12" s="49">
        <f t="shared" si="2"/>
        <v>0</v>
      </c>
      <c r="M12" s="298" t="s">
        <v>803</v>
      </c>
    </row>
    <row r="13" spans="1:13" ht="16.149999999999999" customHeight="1">
      <c r="A13" s="378">
        <f t="shared" ref="A13:A26" si="3">A12+1</f>
        <v>5</v>
      </c>
      <c r="B13" s="42" t="s">
        <v>64</v>
      </c>
      <c r="C13" s="43" t="s">
        <v>707</v>
      </c>
      <c r="D13" s="44" t="s">
        <v>708</v>
      </c>
      <c r="E13" s="45" t="s">
        <v>67</v>
      </c>
      <c r="F13" s="133">
        <f>F12*0.5</f>
        <v>66.5</v>
      </c>
      <c r="G13" s="46"/>
      <c r="H13" s="47">
        <f t="shared" si="0"/>
        <v>0</v>
      </c>
      <c r="I13" s="48"/>
      <c r="J13" s="49">
        <f t="shared" si="1"/>
        <v>0</v>
      </c>
      <c r="K13" s="48"/>
      <c r="L13" s="49">
        <f t="shared" si="2"/>
        <v>0</v>
      </c>
      <c r="M13" s="298" t="s">
        <v>803</v>
      </c>
    </row>
    <row r="14" spans="1:13" ht="16.149999999999999" customHeight="1">
      <c r="A14" s="378">
        <f t="shared" si="3"/>
        <v>6</v>
      </c>
      <c r="B14" s="42" t="s">
        <v>64</v>
      </c>
      <c r="C14" s="43" t="s">
        <v>709</v>
      </c>
      <c r="D14" s="44" t="s">
        <v>710</v>
      </c>
      <c r="E14" s="45" t="s">
        <v>67</v>
      </c>
      <c r="F14" s="133">
        <v>74</v>
      </c>
      <c r="G14" s="46"/>
      <c r="H14" s="47">
        <f t="shared" si="0"/>
        <v>0</v>
      </c>
      <c r="I14" s="48"/>
      <c r="J14" s="49">
        <f t="shared" si="1"/>
        <v>0</v>
      </c>
      <c r="K14" s="48"/>
      <c r="L14" s="49">
        <f t="shared" si="2"/>
        <v>0</v>
      </c>
      <c r="M14" s="298" t="s">
        <v>803</v>
      </c>
    </row>
    <row r="15" spans="1:13" ht="19.899999999999999" customHeight="1">
      <c r="A15" s="378">
        <f t="shared" si="3"/>
        <v>7</v>
      </c>
      <c r="B15" s="42" t="s">
        <v>64</v>
      </c>
      <c r="C15" s="43" t="s">
        <v>711</v>
      </c>
      <c r="D15" s="44" t="s">
        <v>712</v>
      </c>
      <c r="E15" s="45" t="s">
        <v>67</v>
      </c>
      <c r="F15" s="133">
        <f>F14*0.5</f>
        <v>37</v>
      </c>
      <c r="G15" s="46"/>
      <c r="H15" s="47">
        <f t="shared" si="0"/>
        <v>0</v>
      </c>
      <c r="I15" s="48"/>
      <c r="J15" s="49">
        <f t="shared" si="1"/>
        <v>0</v>
      </c>
      <c r="K15" s="48"/>
      <c r="L15" s="49">
        <f t="shared" si="2"/>
        <v>0</v>
      </c>
      <c r="M15" s="298" t="s">
        <v>803</v>
      </c>
    </row>
    <row r="16" spans="1:13" ht="16.149999999999999" customHeight="1">
      <c r="A16" s="378">
        <f t="shared" si="3"/>
        <v>8</v>
      </c>
      <c r="B16" s="42" t="s">
        <v>64</v>
      </c>
      <c r="C16" s="43" t="s">
        <v>713</v>
      </c>
      <c r="D16" s="44" t="s">
        <v>714</v>
      </c>
      <c r="E16" s="45" t="s">
        <v>67</v>
      </c>
      <c r="F16" s="133">
        <v>155.80000000000001</v>
      </c>
      <c r="G16" s="46"/>
      <c r="H16" s="47">
        <f t="shared" si="0"/>
        <v>0</v>
      </c>
      <c r="I16" s="48"/>
      <c r="J16" s="49">
        <f t="shared" si="1"/>
        <v>0</v>
      </c>
      <c r="K16" s="48"/>
      <c r="L16" s="49">
        <f t="shared" si="2"/>
        <v>0</v>
      </c>
      <c r="M16" s="298" t="s">
        <v>803</v>
      </c>
    </row>
    <row r="17" spans="1:13" ht="16.149999999999999" customHeight="1">
      <c r="A17" s="378">
        <f t="shared" si="3"/>
        <v>9</v>
      </c>
      <c r="B17" s="42" t="s">
        <v>64</v>
      </c>
      <c r="C17" s="43" t="s">
        <v>715</v>
      </c>
      <c r="D17" s="44" t="s">
        <v>716</v>
      </c>
      <c r="E17" s="45" t="s">
        <v>67</v>
      </c>
      <c r="F17" s="133">
        <f>F16*0.5</f>
        <v>77.900000000000006</v>
      </c>
      <c r="G17" s="46"/>
      <c r="H17" s="47">
        <f t="shared" si="0"/>
        <v>0</v>
      </c>
      <c r="I17" s="48"/>
      <c r="J17" s="49">
        <f t="shared" si="1"/>
        <v>0</v>
      </c>
      <c r="K17" s="48"/>
      <c r="L17" s="49">
        <f t="shared" si="2"/>
        <v>0</v>
      </c>
      <c r="M17" s="298" t="s">
        <v>803</v>
      </c>
    </row>
    <row r="18" spans="1:13" ht="16.149999999999999" customHeight="1">
      <c r="A18" s="378">
        <f t="shared" si="3"/>
        <v>10</v>
      </c>
      <c r="B18" s="42" t="s">
        <v>64</v>
      </c>
      <c r="C18" s="43" t="s">
        <v>717</v>
      </c>
      <c r="D18" s="44" t="s">
        <v>718</v>
      </c>
      <c r="E18" s="45" t="s">
        <v>67</v>
      </c>
      <c r="F18" s="133">
        <v>108</v>
      </c>
      <c r="G18" s="46"/>
      <c r="H18" s="47">
        <f t="shared" si="0"/>
        <v>0</v>
      </c>
      <c r="I18" s="48"/>
      <c r="J18" s="49">
        <f t="shared" si="1"/>
        <v>0</v>
      </c>
      <c r="K18" s="48"/>
      <c r="L18" s="49">
        <f t="shared" si="2"/>
        <v>0</v>
      </c>
      <c r="M18" s="298" t="s">
        <v>803</v>
      </c>
    </row>
    <row r="19" spans="1:13" ht="22.9" customHeight="1">
      <c r="A19" s="378">
        <f t="shared" si="3"/>
        <v>11</v>
      </c>
      <c r="B19" s="42" t="s">
        <v>64</v>
      </c>
      <c r="C19" s="43" t="s">
        <v>719</v>
      </c>
      <c r="D19" s="44" t="s">
        <v>720</v>
      </c>
      <c r="E19" s="45" t="s">
        <v>78</v>
      </c>
      <c r="F19" s="133">
        <v>315</v>
      </c>
      <c r="G19" s="46"/>
      <c r="H19" s="47">
        <f t="shared" si="0"/>
        <v>0</v>
      </c>
      <c r="I19" s="48"/>
      <c r="J19" s="49">
        <f t="shared" si="1"/>
        <v>0</v>
      </c>
      <c r="K19" s="48"/>
      <c r="L19" s="49">
        <f t="shared" si="2"/>
        <v>0</v>
      </c>
      <c r="M19" s="298" t="s">
        <v>803</v>
      </c>
    </row>
    <row r="20" spans="1:13" ht="22.9" customHeight="1">
      <c r="A20" s="378">
        <f t="shared" si="3"/>
        <v>12</v>
      </c>
      <c r="B20" s="42" t="s">
        <v>64</v>
      </c>
      <c r="C20" s="43" t="s">
        <v>721</v>
      </c>
      <c r="D20" s="44" t="s">
        <v>722</v>
      </c>
      <c r="E20" s="45" t="s">
        <v>78</v>
      </c>
      <c r="F20" s="133">
        <f>105+315</f>
        <v>420</v>
      </c>
      <c r="G20" s="46"/>
      <c r="H20" s="47">
        <f t="shared" si="0"/>
        <v>0</v>
      </c>
      <c r="I20" s="48"/>
      <c r="J20" s="49">
        <f t="shared" si="1"/>
        <v>0</v>
      </c>
      <c r="K20" s="48"/>
      <c r="L20" s="49">
        <f t="shared" si="2"/>
        <v>0</v>
      </c>
      <c r="M20" s="298" t="s">
        <v>803</v>
      </c>
    </row>
    <row r="21" spans="1:13" ht="22.9" customHeight="1">
      <c r="A21" s="378">
        <f t="shared" si="3"/>
        <v>13</v>
      </c>
      <c r="B21" s="42" t="s">
        <v>64</v>
      </c>
      <c r="C21" s="43" t="s">
        <v>723</v>
      </c>
      <c r="D21" s="44" t="s">
        <v>724</v>
      </c>
      <c r="E21" s="45" t="s">
        <v>78</v>
      </c>
      <c r="F21" s="133">
        <v>315</v>
      </c>
      <c r="G21" s="46"/>
      <c r="H21" s="47">
        <f t="shared" si="0"/>
        <v>0</v>
      </c>
      <c r="I21" s="48"/>
      <c r="J21" s="49">
        <f t="shared" si="1"/>
        <v>0</v>
      </c>
      <c r="K21" s="48"/>
      <c r="L21" s="49">
        <f t="shared" si="2"/>
        <v>0</v>
      </c>
      <c r="M21" s="298" t="s">
        <v>803</v>
      </c>
    </row>
    <row r="22" spans="1:13" ht="14.45" customHeight="1">
      <c r="A22" s="378">
        <f t="shared" si="3"/>
        <v>14</v>
      </c>
      <c r="B22" s="42" t="s">
        <v>219</v>
      </c>
      <c r="C22" s="43" t="s">
        <v>725</v>
      </c>
      <c r="D22" s="299" t="s">
        <v>726</v>
      </c>
      <c r="E22" s="300" t="s">
        <v>235</v>
      </c>
      <c r="F22" s="301">
        <f>0.025*F21</f>
        <v>7.875</v>
      </c>
      <c r="G22" s="46"/>
      <c r="H22" s="47">
        <f t="shared" ref="H22" si="4">F22*G22</f>
        <v>0</v>
      </c>
      <c r="I22" s="48"/>
      <c r="J22" s="49">
        <f t="shared" si="1"/>
        <v>0</v>
      </c>
      <c r="K22" s="48"/>
      <c r="L22" s="49">
        <f t="shared" si="2"/>
        <v>0</v>
      </c>
      <c r="M22" s="298"/>
    </row>
    <row r="23" spans="1:13" ht="26.45" customHeight="1">
      <c r="A23" s="378">
        <f t="shared" si="3"/>
        <v>15</v>
      </c>
      <c r="B23" s="42" t="s">
        <v>64</v>
      </c>
      <c r="C23" s="43" t="s">
        <v>68</v>
      </c>
      <c r="D23" s="44" t="s">
        <v>69</v>
      </c>
      <c r="E23" s="45" t="s">
        <v>67</v>
      </c>
      <c r="F23" s="131">
        <f>F5+F12+F14+F16-F18</f>
        <v>339.666</v>
      </c>
      <c r="G23" s="46"/>
      <c r="H23" s="47">
        <f t="shared" ref="H23:H26" si="5">F23*G23</f>
        <v>0</v>
      </c>
      <c r="I23" s="48"/>
      <c r="J23" s="49">
        <f t="shared" ref="J23:J26" si="6">F23*I23</f>
        <v>0</v>
      </c>
      <c r="K23" s="48"/>
      <c r="L23" s="49">
        <f t="shared" ref="L23:L26" si="7">F23*K23</f>
        <v>0</v>
      </c>
      <c r="M23" s="298" t="s">
        <v>803</v>
      </c>
    </row>
    <row r="24" spans="1:13" ht="24" customHeight="1">
      <c r="A24" s="378">
        <f t="shared" si="3"/>
        <v>16</v>
      </c>
      <c r="B24" s="42" t="s">
        <v>64</v>
      </c>
      <c r="C24" s="43" t="s">
        <v>70</v>
      </c>
      <c r="D24" s="44" t="s">
        <v>165</v>
      </c>
      <c r="E24" s="45" t="s">
        <v>67</v>
      </c>
      <c r="F24" s="131">
        <f>F23*7</f>
        <v>2377.6619999999998</v>
      </c>
      <c r="G24" s="46"/>
      <c r="H24" s="47">
        <f t="shared" si="5"/>
        <v>0</v>
      </c>
      <c r="I24" s="48"/>
      <c r="J24" s="49">
        <f t="shared" si="6"/>
        <v>0</v>
      </c>
      <c r="K24" s="48"/>
      <c r="L24" s="49">
        <f t="shared" si="7"/>
        <v>0</v>
      </c>
      <c r="M24" s="298" t="s">
        <v>803</v>
      </c>
    </row>
    <row r="25" spans="1:13" ht="16.149999999999999" customHeight="1">
      <c r="A25" s="378">
        <f t="shared" si="3"/>
        <v>17</v>
      </c>
      <c r="B25" s="42" t="s">
        <v>64</v>
      </c>
      <c r="C25" s="43" t="s">
        <v>71</v>
      </c>
      <c r="D25" s="44" t="s">
        <v>72</v>
      </c>
      <c r="E25" s="45" t="s">
        <v>67</v>
      </c>
      <c r="F25" s="131">
        <f>F23</f>
        <v>339.666</v>
      </c>
      <c r="G25" s="46"/>
      <c r="H25" s="47">
        <f t="shared" si="5"/>
        <v>0</v>
      </c>
      <c r="I25" s="48"/>
      <c r="J25" s="49">
        <f t="shared" si="6"/>
        <v>0</v>
      </c>
      <c r="K25" s="48"/>
      <c r="L25" s="49">
        <f t="shared" si="7"/>
        <v>0</v>
      </c>
      <c r="M25" s="298" t="s">
        <v>803</v>
      </c>
    </row>
    <row r="26" spans="1:13" ht="16.149999999999999" customHeight="1">
      <c r="A26" s="378">
        <f t="shared" si="3"/>
        <v>18</v>
      </c>
      <c r="B26" s="42" t="s">
        <v>64</v>
      </c>
      <c r="C26" s="43" t="s">
        <v>73</v>
      </c>
      <c r="D26" s="44" t="s">
        <v>74</v>
      </c>
      <c r="E26" s="45" t="s">
        <v>75</v>
      </c>
      <c r="F26" s="126">
        <f>F23*1.8</f>
        <v>611.39880000000005</v>
      </c>
      <c r="G26" s="46"/>
      <c r="H26" s="47">
        <f t="shared" si="5"/>
        <v>0</v>
      </c>
      <c r="I26" s="48"/>
      <c r="J26" s="49">
        <f t="shared" si="6"/>
        <v>0</v>
      </c>
      <c r="K26" s="48"/>
      <c r="L26" s="49">
        <f t="shared" si="7"/>
        <v>0</v>
      </c>
      <c r="M26" s="298" t="s">
        <v>803</v>
      </c>
    </row>
    <row r="27" spans="1:13" ht="16.149999999999999" customHeight="1">
      <c r="A27" s="385"/>
      <c r="B27" s="50"/>
      <c r="C27" s="50"/>
      <c r="D27" s="51"/>
      <c r="E27" s="52"/>
      <c r="F27" s="53"/>
      <c r="G27" s="54"/>
      <c r="H27" s="55"/>
      <c r="I27" s="56"/>
      <c r="J27" s="57"/>
      <c r="K27" s="57"/>
      <c r="L27" s="57"/>
      <c r="M27" s="57"/>
    </row>
    <row r="28" spans="1:13" ht="16.149999999999999" customHeight="1">
      <c r="A28" s="385"/>
      <c r="B28" s="33"/>
      <c r="C28" s="34"/>
      <c r="D28" s="35" t="s">
        <v>76</v>
      </c>
      <c r="E28" s="36"/>
      <c r="F28" s="132"/>
      <c r="G28" s="37"/>
      <c r="H28" s="38">
        <f>SUBTOTAL(9,H29:H36)</f>
        <v>0</v>
      </c>
      <c r="I28" s="39"/>
      <c r="J28" s="89">
        <f>SUBTOTAL(9,J29:J36)</f>
        <v>25.0022917169442</v>
      </c>
      <c r="K28" s="41"/>
      <c r="L28" s="40">
        <f>SUBTOTAL(9,L29:L36)</f>
        <v>0</v>
      </c>
      <c r="M28" s="41"/>
    </row>
    <row r="29" spans="1:13" ht="16.149999999999999" customHeight="1">
      <c r="A29" s="378">
        <f>A26+1</f>
        <v>19</v>
      </c>
      <c r="B29" s="42" t="s">
        <v>64</v>
      </c>
      <c r="C29" s="43" t="s">
        <v>77</v>
      </c>
      <c r="D29" s="44" t="s">
        <v>435</v>
      </c>
      <c r="E29" s="45" t="s">
        <v>67</v>
      </c>
      <c r="F29" s="133">
        <f>1.5*1.5*1.2</f>
        <v>2.6999999999999997</v>
      </c>
      <c r="G29" s="46"/>
      <c r="H29" s="47">
        <f t="shared" ref="H29:H33" si="8">F29*G29</f>
        <v>0</v>
      </c>
      <c r="I29" s="48">
        <v>2.45329</v>
      </c>
      <c r="J29" s="88">
        <f t="shared" ref="J29:J33" si="9">F29*I29</f>
        <v>6.6238829999999993</v>
      </c>
      <c r="K29" s="48"/>
      <c r="L29" s="49">
        <f t="shared" ref="L29:L33" si="10">F29*K29</f>
        <v>0</v>
      </c>
      <c r="M29" s="298" t="s">
        <v>803</v>
      </c>
    </row>
    <row r="30" spans="1:13" ht="16.149999999999999" customHeight="1">
      <c r="A30" s="378"/>
      <c r="B30" s="42"/>
      <c r="C30" s="43"/>
      <c r="D30" s="61" t="s">
        <v>727</v>
      </c>
      <c r="E30" s="45"/>
      <c r="F30" s="133"/>
      <c r="G30" s="46"/>
      <c r="H30" s="47"/>
      <c r="I30" s="48"/>
      <c r="J30" s="88"/>
      <c r="K30" s="48"/>
      <c r="L30" s="49"/>
      <c r="M30" s="298"/>
    </row>
    <row r="31" spans="1:13" ht="15.6" customHeight="1">
      <c r="A31" s="378">
        <f>A29+1</f>
        <v>20</v>
      </c>
      <c r="B31" s="42" t="s">
        <v>64</v>
      </c>
      <c r="C31" s="43" t="s">
        <v>436</v>
      </c>
      <c r="D31" s="44" t="s">
        <v>437</v>
      </c>
      <c r="E31" s="45" t="s">
        <v>75</v>
      </c>
      <c r="F31" s="133">
        <f>0.9*0.9*1.1*0.00527</f>
        <v>4.6955700000000013E-3</v>
      </c>
      <c r="G31" s="46"/>
      <c r="H31" s="47">
        <f t="shared" ref="H31" si="11">F31*G31</f>
        <v>0</v>
      </c>
      <c r="I31" s="48">
        <v>1.0530600000000001</v>
      </c>
      <c r="J31" s="90">
        <f t="shared" ref="J31" si="12">F31*I31</f>
        <v>4.9447169442000021E-3</v>
      </c>
      <c r="K31" s="302"/>
      <c r="L31" s="128">
        <f t="shared" ref="L31" si="13">F31*K31</f>
        <v>0</v>
      </c>
      <c r="M31" s="298" t="s">
        <v>803</v>
      </c>
    </row>
    <row r="32" spans="1:13" ht="15.6" customHeight="1">
      <c r="A32" s="378">
        <f>A31+1</f>
        <v>21</v>
      </c>
      <c r="B32" s="42" t="s">
        <v>64</v>
      </c>
      <c r="C32" s="43" t="s">
        <v>79</v>
      </c>
      <c r="D32" s="44" t="s">
        <v>438</v>
      </c>
      <c r="E32" s="45" t="s">
        <v>78</v>
      </c>
      <c r="F32" s="133">
        <f>0.9*0.5*4</f>
        <v>1.8</v>
      </c>
      <c r="G32" s="46"/>
      <c r="H32" s="47">
        <f t="shared" si="8"/>
        <v>0</v>
      </c>
      <c r="I32" s="48">
        <v>1.0300000000000001E-3</v>
      </c>
      <c r="J32" s="90">
        <f t="shared" si="9"/>
        <v>1.8540000000000002E-3</v>
      </c>
      <c r="K32" s="48"/>
      <c r="L32" s="49">
        <f t="shared" si="10"/>
        <v>0</v>
      </c>
      <c r="M32" s="298" t="s">
        <v>803</v>
      </c>
    </row>
    <row r="33" spans="1:13" ht="15.6" customHeight="1">
      <c r="A33" s="378">
        <f t="shared" ref="A33:A35" si="14">A32+1</f>
        <v>22</v>
      </c>
      <c r="B33" s="42" t="s">
        <v>64</v>
      </c>
      <c r="C33" s="43" t="s">
        <v>80</v>
      </c>
      <c r="D33" s="44" t="s">
        <v>439</v>
      </c>
      <c r="E33" s="45" t="s">
        <v>78</v>
      </c>
      <c r="F33" s="133">
        <f>F32</f>
        <v>1.8</v>
      </c>
      <c r="G33" s="46"/>
      <c r="H33" s="47">
        <f t="shared" si="8"/>
        <v>0</v>
      </c>
      <c r="I33" s="48"/>
      <c r="J33" s="49">
        <f t="shared" si="9"/>
        <v>0</v>
      </c>
      <c r="K33" s="48"/>
      <c r="L33" s="49">
        <f t="shared" si="10"/>
        <v>0</v>
      </c>
      <c r="M33" s="298" t="s">
        <v>803</v>
      </c>
    </row>
    <row r="34" spans="1:13" ht="25.15" customHeight="1">
      <c r="A34" s="378">
        <f t="shared" si="14"/>
        <v>23</v>
      </c>
      <c r="B34" s="42" t="s">
        <v>64</v>
      </c>
      <c r="C34" s="43" t="s">
        <v>728</v>
      </c>
      <c r="D34" s="44" t="s">
        <v>729</v>
      </c>
      <c r="E34" s="45" t="s">
        <v>83</v>
      </c>
      <c r="F34" s="133">
        <v>81</v>
      </c>
      <c r="G34" s="46"/>
      <c r="H34" s="47">
        <f>F34*G34</f>
        <v>0</v>
      </c>
      <c r="I34" s="48">
        <v>0.22656999999999999</v>
      </c>
      <c r="J34" s="49">
        <f>F34*I34</f>
        <v>18.352170000000001</v>
      </c>
      <c r="K34" s="48"/>
      <c r="L34" s="49">
        <f>F34*K34</f>
        <v>0</v>
      </c>
      <c r="M34" s="298" t="s">
        <v>803</v>
      </c>
    </row>
    <row r="35" spans="1:13" ht="16.149999999999999" customHeight="1">
      <c r="A35" s="378">
        <f t="shared" si="14"/>
        <v>24</v>
      </c>
      <c r="B35" s="42" t="s">
        <v>64</v>
      </c>
      <c r="C35" s="43" t="s">
        <v>730</v>
      </c>
      <c r="D35" s="44" t="s">
        <v>731</v>
      </c>
      <c r="E35" s="45" t="s">
        <v>78</v>
      </c>
      <c r="F35" s="133">
        <v>194.4</v>
      </c>
      <c r="G35" s="46"/>
      <c r="H35" s="47">
        <f>F35*G35</f>
        <v>0</v>
      </c>
      <c r="I35" s="48">
        <v>1E-4</v>
      </c>
      <c r="J35" s="49">
        <f>F35*I35</f>
        <v>1.9440000000000002E-2</v>
      </c>
      <c r="K35" s="48"/>
      <c r="L35" s="49">
        <f>F35*K35</f>
        <v>0</v>
      </c>
      <c r="M35" s="298" t="s">
        <v>803</v>
      </c>
    </row>
    <row r="36" spans="1:13" ht="16.149999999999999" customHeight="1">
      <c r="A36" s="129"/>
      <c r="B36" s="81"/>
      <c r="C36" s="82"/>
      <c r="D36" s="83"/>
      <c r="E36" s="121"/>
      <c r="F36" s="134"/>
      <c r="G36" s="122"/>
      <c r="H36" s="123"/>
      <c r="I36" s="124"/>
      <c r="J36" s="125"/>
      <c r="K36" s="124"/>
      <c r="L36" s="125"/>
      <c r="M36" s="57"/>
    </row>
    <row r="37" spans="1:13" ht="16.149999999999999" customHeight="1">
      <c r="A37" s="385"/>
      <c r="B37" s="33"/>
      <c r="C37" s="34"/>
      <c r="D37" s="35" t="s">
        <v>81</v>
      </c>
      <c r="E37" s="36"/>
      <c r="F37" s="132"/>
      <c r="G37" s="37"/>
      <c r="H37" s="38">
        <f>SUBTOTAL(9,H38:H47)</f>
        <v>0</v>
      </c>
      <c r="I37" s="39"/>
      <c r="J37" s="40">
        <f>SUBTOTAL(9,J38:J47)</f>
        <v>20.536981999999995</v>
      </c>
      <c r="K37" s="41"/>
      <c r="L37" s="40">
        <f>SUBTOTAL(9,L38:L47)</f>
        <v>0</v>
      </c>
      <c r="M37" s="41"/>
    </row>
    <row r="38" spans="1:13" ht="23.45" customHeight="1">
      <c r="A38" s="378">
        <f>A35+1</f>
        <v>25</v>
      </c>
      <c r="B38" s="42" t="s">
        <v>64</v>
      </c>
      <c r="C38" s="43" t="s">
        <v>732</v>
      </c>
      <c r="D38" s="44" t="s">
        <v>733</v>
      </c>
      <c r="E38" s="45" t="s">
        <v>67</v>
      </c>
      <c r="F38" s="133">
        <v>22</v>
      </c>
      <c r="G38" s="46"/>
      <c r="H38" s="47">
        <f>F38*G38</f>
        <v>0</v>
      </c>
      <c r="I38" s="48">
        <v>0.70067999999999997</v>
      </c>
      <c r="J38" s="49">
        <f>F38*I38</f>
        <v>15.414959999999999</v>
      </c>
      <c r="K38" s="48"/>
      <c r="L38" s="49">
        <f>F38*K38</f>
        <v>0</v>
      </c>
      <c r="M38" s="298" t="s">
        <v>803</v>
      </c>
    </row>
    <row r="39" spans="1:13" ht="25.15" customHeight="1">
      <c r="A39" s="378">
        <f>A38+1</f>
        <v>26</v>
      </c>
      <c r="B39" s="42" t="s">
        <v>64</v>
      </c>
      <c r="C39" s="43" t="s">
        <v>84</v>
      </c>
      <c r="D39" s="44" t="s">
        <v>85</v>
      </c>
      <c r="E39" s="45" t="s">
        <v>75</v>
      </c>
      <c r="F39" s="133">
        <v>0.62009999999999998</v>
      </c>
      <c r="G39" s="46"/>
      <c r="H39" s="47">
        <f t="shared" ref="H39" si="15">F39*G39</f>
        <v>0</v>
      </c>
      <c r="I39" s="48">
        <v>1.0900000000000001</v>
      </c>
      <c r="J39" s="49">
        <f t="shared" ref="J39" si="16">F39*I39</f>
        <v>0.67590899999999998</v>
      </c>
      <c r="K39" s="48"/>
      <c r="L39" s="49">
        <f t="shared" ref="L39" si="17">F39*K39</f>
        <v>0</v>
      </c>
      <c r="M39" s="298" t="s">
        <v>803</v>
      </c>
    </row>
    <row r="40" spans="1:13" ht="25.15" customHeight="1">
      <c r="A40" s="378">
        <f t="shared" ref="A40:A46" si="18">A39+1</f>
        <v>27</v>
      </c>
      <c r="B40" s="42" t="s">
        <v>64</v>
      </c>
      <c r="C40" s="43" t="s">
        <v>734</v>
      </c>
      <c r="D40" s="44" t="s">
        <v>735</v>
      </c>
      <c r="E40" s="45" t="s">
        <v>82</v>
      </c>
      <c r="F40" s="133">
        <v>10</v>
      </c>
      <c r="G40" s="46"/>
      <c r="H40" s="47">
        <f>F40*G40</f>
        <v>0</v>
      </c>
      <c r="I40" s="48">
        <v>2.443E-2</v>
      </c>
      <c r="J40" s="49">
        <f>F40*I40</f>
        <v>0.24430000000000002</v>
      </c>
      <c r="K40" s="48"/>
      <c r="L40" s="49">
        <f>F40*K40</f>
        <v>0</v>
      </c>
      <c r="M40" s="298" t="s">
        <v>803</v>
      </c>
    </row>
    <row r="41" spans="1:13" ht="25.15" customHeight="1">
      <c r="A41" s="378">
        <f t="shared" si="18"/>
        <v>28</v>
      </c>
      <c r="B41" s="42" t="s">
        <v>64</v>
      </c>
      <c r="C41" s="43" t="s">
        <v>736</v>
      </c>
      <c r="D41" s="44" t="s">
        <v>737</v>
      </c>
      <c r="E41" s="45" t="s">
        <v>82</v>
      </c>
      <c r="F41" s="133">
        <v>2</v>
      </c>
      <c r="G41" s="46"/>
      <c r="H41" s="47">
        <f>F41*G41</f>
        <v>0</v>
      </c>
      <c r="I41" s="48">
        <v>3.5479999999999998E-2</v>
      </c>
      <c r="J41" s="49">
        <f>F41*I41</f>
        <v>7.0959999999999995E-2</v>
      </c>
      <c r="K41" s="48"/>
      <c r="L41" s="49">
        <f>F41*K41</f>
        <v>0</v>
      </c>
      <c r="M41" s="298" t="s">
        <v>803</v>
      </c>
    </row>
    <row r="42" spans="1:13" ht="25.15" customHeight="1">
      <c r="A42" s="378">
        <f t="shared" si="18"/>
        <v>29</v>
      </c>
      <c r="B42" s="42" t="s">
        <v>64</v>
      </c>
      <c r="C42" s="43" t="s">
        <v>738</v>
      </c>
      <c r="D42" s="44" t="s">
        <v>739</v>
      </c>
      <c r="E42" s="45" t="s">
        <v>82</v>
      </c>
      <c r="F42" s="133">
        <v>1</v>
      </c>
      <c r="G42" s="46"/>
      <c r="H42" s="47">
        <f>F42*G42</f>
        <v>0</v>
      </c>
      <c r="I42" s="48">
        <v>0.12084</v>
      </c>
      <c r="J42" s="49">
        <f>F42*I42</f>
        <v>0.12084</v>
      </c>
      <c r="K42" s="48"/>
      <c r="L42" s="49">
        <f>F42*K42</f>
        <v>0</v>
      </c>
      <c r="M42" s="298" t="s">
        <v>803</v>
      </c>
    </row>
    <row r="43" spans="1:13" ht="14.45" customHeight="1">
      <c r="A43" s="378">
        <f t="shared" si="18"/>
        <v>30</v>
      </c>
      <c r="B43" s="42" t="s">
        <v>64</v>
      </c>
      <c r="C43" s="43" t="s">
        <v>740</v>
      </c>
      <c r="D43" s="44" t="s">
        <v>741</v>
      </c>
      <c r="E43" s="45" t="s">
        <v>78</v>
      </c>
      <c r="F43" s="133">
        <v>8.5</v>
      </c>
      <c r="G43" s="46"/>
      <c r="H43" s="47">
        <f t="shared" ref="H43:H46" si="19">F43*G43</f>
        <v>0</v>
      </c>
      <c r="I43" s="48">
        <v>0.23458000000000001</v>
      </c>
      <c r="J43" s="49">
        <f t="shared" ref="J43:J46" si="20">F43*I43</f>
        <v>1.9939300000000002</v>
      </c>
      <c r="K43" s="48"/>
      <c r="L43" s="49">
        <f t="shared" ref="L43:L46" si="21">F43*K43</f>
        <v>0</v>
      </c>
      <c r="M43" s="298" t="s">
        <v>803</v>
      </c>
    </row>
    <row r="44" spans="1:13" ht="25.15" customHeight="1">
      <c r="A44" s="378">
        <f t="shared" si="18"/>
        <v>31</v>
      </c>
      <c r="B44" s="42" t="s">
        <v>64</v>
      </c>
      <c r="C44" s="43" t="s">
        <v>742</v>
      </c>
      <c r="D44" s="44" t="s">
        <v>743</v>
      </c>
      <c r="E44" s="45" t="s">
        <v>78</v>
      </c>
      <c r="F44" s="133">
        <v>4.5999999999999996</v>
      </c>
      <c r="G44" s="46"/>
      <c r="H44" s="47">
        <f t="shared" si="19"/>
        <v>0</v>
      </c>
      <c r="I44" s="48">
        <v>6.9510000000000002E-2</v>
      </c>
      <c r="J44" s="49">
        <f t="shared" si="20"/>
        <v>0.31974599999999997</v>
      </c>
      <c r="K44" s="48"/>
      <c r="L44" s="49">
        <f t="shared" si="21"/>
        <v>0</v>
      </c>
      <c r="M44" s="298" t="s">
        <v>803</v>
      </c>
    </row>
    <row r="45" spans="1:13" ht="25.15" customHeight="1">
      <c r="A45" s="378">
        <f t="shared" si="18"/>
        <v>32</v>
      </c>
      <c r="B45" s="42" t="s">
        <v>64</v>
      </c>
      <c r="C45" s="43" t="s">
        <v>744</v>
      </c>
      <c r="D45" s="44" t="s">
        <v>745</v>
      </c>
      <c r="E45" s="45" t="s">
        <v>67</v>
      </c>
      <c r="F45" s="133">
        <v>0.8</v>
      </c>
      <c r="G45" s="46"/>
      <c r="H45" s="47">
        <f t="shared" si="19"/>
        <v>0</v>
      </c>
      <c r="I45" s="48">
        <v>1.8774999999999999</v>
      </c>
      <c r="J45" s="49">
        <f t="shared" si="20"/>
        <v>1.502</v>
      </c>
      <c r="K45" s="48"/>
      <c r="L45" s="49">
        <f t="shared" si="21"/>
        <v>0</v>
      </c>
      <c r="M45" s="298" t="s">
        <v>803</v>
      </c>
    </row>
    <row r="46" spans="1:13" ht="25.15" customHeight="1">
      <c r="A46" s="378">
        <f t="shared" si="18"/>
        <v>33</v>
      </c>
      <c r="B46" s="42" t="s">
        <v>64</v>
      </c>
      <c r="C46" s="43" t="s">
        <v>746</v>
      </c>
      <c r="D46" s="44" t="s">
        <v>747</v>
      </c>
      <c r="E46" s="45" t="s">
        <v>67</v>
      </c>
      <c r="F46" s="133">
        <v>0.18</v>
      </c>
      <c r="G46" s="46"/>
      <c r="H46" s="47">
        <f t="shared" si="19"/>
        <v>0</v>
      </c>
      <c r="I46" s="48">
        <v>1.07965</v>
      </c>
      <c r="J46" s="49">
        <f t="shared" si="20"/>
        <v>0.19433699999999998</v>
      </c>
      <c r="K46" s="48"/>
      <c r="L46" s="49">
        <f t="shared" si="21"/>
        <v>0</v>
      </c>
      <c r="M46" s="298" t="s">
        <v>803</v>
      </c>
    </row>
    <row r="47" spans="1:13" ht="16.149999999999999" customHeight="1">
      <c r="A47" s="385"/>
      <c r="B47" s="50"/>
      <c r="C47" s="50"/>
      <c r="D47" s="51"/>
      <c r="E47" s="52"/>
      <c r="F47" s="62"/>
      <c r="G47" s="54"/>
      <c r="H47" s="55"/>
      <c r="I47" s="56"/>
      <c r="J47" s="57"/>
      <c r="K47" s="57"/>
      <c r="L47" s="57"/>
      <c r="M47" s="57"/>
    </row>
    <row r="48" spans="1:13" ht="16.149999999999999" customHeight="1">
      <c r="A48" s="385"/>
      <c r="B48" s="33"/>
      <c r="C48" s="34"/>
      <c r="D48" s="35" t="s">
        <v>86</v>
      </c>
      <c r="E48" s="36"/>
      <c r="F48" s="132"/>
      <c r="G48" s="37"/>
      <c r="H48" s="38">
        <f>SUBTOTAL(9,H49:H65)</f>
        <v>0</v>
      </c>
      <c r="I48" s="39"/>
      <c r="J48" s="40">
        <f>SUBTOTAL(9,J49:J65)</f>
        <v>172.43467967700005</v>
      </c>
      <c r="K48" s="41"/>
      <c r="L48" s="40">
        <f>SUBTOTAL(9,L49:L65)</f>
        <v>0</v>
      </c>
      <c r="M48" s="41"/>
    </row>
    <row r="49" spans="1:13" ht="16.149999999999999" customHeight="1">
      <c r="A49" s="378">
        <f>A46+1</f>
        <v>34</v>
      </c>
      <c r="B49" s="42" t="s">
        <v>64</v>
      </c>
      <c r="C49" s="43" t="s">
        <v>87</v>
      </c>
      <c r="D49" s="44" t="s">
        <v>88</v>
      </c>
      <c r="E49" s="45" t="s">
        <v>67</v>
      </c>
      <c r="F49" s="133">
        <f>0.8+2</f>
        <v>2.8</v>
      </c>
      <c r="G49" s="46"/>
      <c r="H49" s="47">
        <f t="shared" ref="H49:H64" si="22">F49*G49</f>
        <v>0</v>
      </c>
      <c r="I49" s="48">
        <v>2.4533999999999998</v>
      </c>
      <c r="J49" s="49">
        <f t="shared" ref="J49:J55" si="23">F49*I49</f>
        <v>6.8695199999999987</v>
      </c>
      <c r="K49" s="48"/>
      <c r="L49" s="49">
        <f t="shared" ref="L49:L55" si="24">F49*K49</f>
        <v>0</v>
      </c>
      <c r="M49" s="298" t="s">
        <v>803</v>
      </c>
    </row>
    <row r="50" spans="1:13" ht="16.149999999999999" customHeight="1">
      <c r="A50" s="386">
        <f>A49+1</f>
        <v>35</v>
      </c>
      <c r="B50" s="42" t="s">
        <v>64</v>
      </c>
      <c r="C50" s="43" t="s">
        <v>89</v>
      </c>
      <c r="D50" s="44" t="s">
        <v>90</v>
      </c>
      <c r="E50" s="45" t="s">
        <v>78</v>
      </c>
      <c r="F50" s="126">
        <f>0.2*2*16+0.25*2*16+0.33*2*12.2</f>
        <v>22.451999999999998</v>
      </c>
      <c r="G50" s="46"/>
      <c r="H50" s="47">
        <f t="shared" si="22"/>
        <v>0</v>
      </c>
      <c r="I50" s="48">
        <v>5.1900000000000002E-3</v>
      </c>
      <c r="J50" s="49">
        <f t="shared" si="23"/>
        <v>0.11652588</v>
      </c>
      <c r="K50" s="48"/>
      <c r="L50" s="49">
        <f t="shared" si="24"/>
        <v>0</v>
      </c>
      <c r="M50" s="298" t="s">
        <v>803</v>
      </c>
    </row>
    <row r="51" spans="1:13" ht="16.149999999999999" customHeight="1">
      <c r="A51" s="386">
        <f t="shared" ref="A51:A57" si="25">A50+1</f>
        <v>36</v>
      </c>
      <c r="B51" s="42" t="s">
        <v>64</v>
      </c>
      <c r="C51" s="43" t="s">
        <v>91</v>
      </c>
      <c r="D51" s="44" t="s">
        <v>92</v>
      </c>
      <c r="E51" s="45" t="s">
        <v>78</v>
      </c>
      <c r="F51" s="126">
        <f>F50</f>
        <v>22.451999999999998</v>
      </c>
      <c r="G51" s="46"/>
      <c r="H51" s="47">
        <f t="shared" si="22"/>
        <v>0</v>
      </c>
      <c r="I51" s="48"/>
      <c r="J51" s="49">
        <f t="shared" si="23"/>
        <v>0</v>
      </c>
      <c r="K51" s="48"/>
      <c r="L51" s="49">
        <f t="shared" si="24"/>
        <v>0</v>
      </c>
      <c r="M51" s="298" t="s">
        <v>803</v>
      </c>
    </row>
    <row r="52" spans="1:13" ht="16.149999999999999" customHeight="1">
      <c r="A52" s="386">
        <f t="shared" si="25"/>
        <v>37</v>
      </c>
      <c r="B52" s="42" t="s">
        <v>64</v>
      </c>
      <c r="C52" s="43" t="s">
        <v>93</v>
      </c>
      <c r="D52" s="44" t="s">
        <v>94</v>
      </c>
      <c r="E52" s="45" t="s">
        <v>75</v>
      </c>
      <c r="F52" s="133">
        <f>0.0085*(16+16+12.5)</f>
        <v>0.37825000000000003</v>
      </c>
      <c r="G52" s="46"/>
      <c r="H52" s="47">
        <f t="shared" si="22"/>
        <v>0</v>
      </c>
      <c r="I52" s="48">
        <v>1.0525599999999999</v>
      </c>
      <c r="J52" s="49">
        <f t="shared" si="23"/>
        <v>0.39813082</v>
      </c>
      <c r="K52" s="48"/>
      <c r="L52" s="49">
        <f t="shared" si="24"/>
        <v>0</v>
      </c>
      <c r="M52" s="298" t="s">
        <v>803</v>
      </c>
    </row>
    <row r="53" spans="1:13" ht="16.149999999999999" customHeight="1">
      <c r="A53" s="386">
        <f t="shared" si="25"/>
        <v>38</v>
      </c>
      <c r="B53" s="42" t="s">
        <v>64</v>
      </c>
      <c r="C53" s="43" t="s">
        <v>750</v>
      </c>
      <c r="D53" s="44" t="s">
        <v>751</v>
      </c>
      <c r="E53" s="45" t="s">
        <v>67</v>
      </c>
      <c r="F53" s="133">
        <f>11.8+20.6+5.6+25</f>
        <v>63.000000000000007</v>
      </c>
      <c r="G53" s="46"/>
      <c r="H53" s="47">
        <f t="shared" si="22"/>
        <v>0</v>
      </c>
      <c r="I53" s="48">
        <v>1.8907700000000001</v>
      </c>
      <c r="J53" s="49">
        <f t="shared" si="23"/>
        <v>119.11851000000001</v>
      </c>
      <c r="K53" s="48"/>
      <c r="L53" s="49">
        <f t="shared" si="24"/>
        <v>0</v>
      </c>
      <c r="M53" s="298" t="s">
        <v>803</v>
      </c>
    </row>
    <row r="54" spans="1:13" ht="16.149999999999999" customHeight="1">
      <c r="A54" s="386">
        <f t="shared" si="25"/>
        <v>39</v>
      </c>
      <c r="B54" s="42" t="s">
        <v>64</v>
      </c>
      <c r="C54" s="43" t="s">
        <v>752</v>
      </c>
      <c r="D54" s="44" t="s">
        <v>753</v>
      </c>
      <c r="E54" s="45" t="s">
        <v>67</v>
      </c>
      <c r="F54" s="133">
        <v>19.3</v>
      </c>
      <c r="G54" s="46"/>
      <c r="H54" s="47">
        <f t="shared" si="22"/>
        <v>0</v>
      </c>
      <c r="I54" s="48">
        <v>1.7034</v>
      </c>
      <c r="J54" s="49">
        <f t="shared" si="23"/>
        <v>32.875620000000005</v>
      </c>
      <c r="K54" s="48"/>
      <c r="L54" s="49">
        <f t="shared" si="24"/>
        <v>0</v>
      </c>
      <c r="M54" s="298" t="s">
        <v>803</v>
      </c>
    </row>
    <row r="55" spans="1:13" ht="16.149999999999999" customHeight="1">
      <c r="A55" s="386">
        <f t="shared" si="25"/>
        <v>40</v>
      </c>
      <c r="B55" s="42" t="s">
        <v>64</v>
      </c>
      <c r="C55" s="43" t="s">
        <v>754</v>
      </c>
      <c r="D55" s="44" t="s">
        <v>755</v>
      </c>
      <c r="E55" s="45" t="s">
        <v>67</v>
      </c>
      <c r="F55" s="133">
        <v>1.35</v>
      </c>
      <c r="G55" s="46"/>
      <c r="H55" s="47">
        <f t="shared" si="22"/>
        <v>0</v>
      </c>
      <c r="I55" s="48">
        <v>2.234</v>
      </c>
      <c r="J55" s="49">
        <f t="shared" si="23"/>
        <v>3.0159000000000002</v>
      </c>
      <c r="K55" s="48"/>
      <c r="L55" s="49">
        <f t="shared" si="24"/>
        <v>0</v>
      </c>
      <c r="M55" s="298" t="s">
        <v>803</v>
      </c>
    </row>
    <row r="56" spans="1:13" ht="22.9" customHeight="1">
      <c r="A56" s="386">
        <f t="shared" si="25"/>
        <v>41</v>
      </c>
      <c r="B56" s="45" t="s">
        <v>64</v>
      </c>
      <c r="C56" s="43" t="s">
        <v>580</v>
      </c>
      <c r="D56" s="44" t="s">
        <v>581</v>
      </c>
      <c r="E56" s="45" t="s">
        <v>75</v>
      </c>
      <c r="F56" s="133">
        <f>2.2161-F57</f>
        <v>1.4586000000000001</v>
      </c>
      <c r="G56" s="46"/>
      <c r="H56" s="47">
        <f t="shared" si="22"/>
        <v>0</v>
      </c>
      <c r="I56" s="47">
        <v>0</v>
      </c>
      <c r="J56" s="49">
        <f t="shared" ref="J56:J61" si="26">F56*I56</f>
        <v>0</v>
      </c>
      <c r="K56" s="48"/>
      <c r="L56" s="49">
        <f t="shared" ref="L56:L61" si="27">F56*K56</f>
        <v>0</v>
      </c>
      <c r="M56" s="298" t="s">
        <v>803</v>
      </c>
    </row>
    <row r="57" spans="1:13" ht="22.9" customHeight="1">
      <c r="A57" s="386">
        <f t="shared" si="25"/>
        <v>42</v>
      </c>
      <c r="B57" s="45" t="s">
        <v>64</v>
      </c>
      <c r="C57" s="43" t="s">
        <v>582</v>
      </c>
      <c r="D57" s="44" t="s">
        <v>583</v>
      </c>
      <c r="E57" s="45" t="s">
        <v>75</v>
      </c>
      <c r="F57" s="133">
        <v>0.75749999999999995</v>
      </c>
      <c r="G57" s="46"/>
      <c r="H57" s="47">
        <f t="shared" si="22"/>
        <v>0</v>
      </c>
      <c r="I57" s="47">
        <v>0</v>
      </c>
      <c r="J57" s="49">
        <f t="shared" si="26"/>
        <v>0</v>
      </c>
      <c r="K57" s="48"/>
      <c r="L57" s="49">
        <f t="shared" si="27"/>
        <v>0</v>
      </c>
      <c r="M57" s="298" t="s">
        <v>803</v>
      </c>
    </row>
    <row r="58" spans="1:13" ht="15.6" customHeight="1">
      <c r="A58" s="378">
        <f t="shared" ref="A58:A62" si="28">A57+1</f>
        <v>43</v>
      </c>
      <c r="B58" s="45" t="s">
        <v>219</v>
      </c>
      <c r="C58" s="43" t="s">
        <v>588</v>
      </c>
      <c r="D58" s="44" t="s">
        <v>589</v>
      </c>
      <c r="E58" s="45" t="s">
        <v>235</v>
      </c>
      <c r="F58" s="126">
        <f>2216.1</f>
        <v>2216.1</v>
      </c>
      <c r="G58" s="46"/>
      <c r="H58" s="47">
        <f t="shared" si="22"/>
        <v>0</v>
      </c>
      <c r="I58" s="47"/>
      <c r="J58" s="49">
        <f>F58*0.001</f>
        <v>2.2161</v>
      </c>
      <c r="K58" s="48"/>
      <c r="L58" s="49">
        <f t="shared" si="27"/>
        <v>0</v>
      </c>
      <c r="M58" s="298"/>
    </row>
    <row r="59" spans="1:13" ht="14.45" customHeight="1">
      <c r="A59" s="378">
        <f t="shared" si="28"/>
        <v>44</v>
      </c>
      <c r="B59" s="45" t="s">
        <v>64</v>
      </c>
      <c r="C59" s="43" t="s">
        <v>95</v>
      </c>
      <c r="D59" s="44" t="s">
        <v>96</v>
      </c>
      <c r="E59" s="45" t="s">
        <v>82</v>
      </c>
      <c r="F59" s="133">
        <f>38*2</f>
        <v>76</v>
      </c>
      <c r="G59" s="46"/>
      <c r="H59" s="47">
        <f t="shared" si="22"/>
        <v>0</v>
      </c>
      <c r="I59" s="48">
        <v>5.8999999999999997E-2</v>
      </c>
      <c r="J59" s="49">
        <f>F59*I59</f>
        <v>4.484</v>
      </c>
      <c r="K59" s="48"/>
      <c r="L59" s="49">
        <f t="shared" si="27"/>
        <v>0</v>
      </c>
      <c r="M59" s="298" t="s">
        <v>803</v>
      </c>
    </row>
    <row r="60" spans="1:13" ht="22.9" customHeight="1">
      <c r="A60" s="378">
        <f t="shared" si="28"/>
        <v>45</v>
      </c>
      <c r="B60" s="45" t="s">
        <v>64</v>
      </c>
      <c r="C60" s="43" t="s">
        <v>584</v>
      </c>
      <c r="D60" s="44" t="s">
        <v>585</v>
      </c>
      <c r="E60" s="45" t="s">
        <v>75</v>
      </c>
      <c r="F60" s="131">
        <f>3.1341-F61</f>
        <v>2.3157000000000001</v>
      </c>
      <c r="G60" s="46"/>
      <c r="H60" s="47">
        <f t="shared" si="22"/>
        <v>0</v>
      </c>
      <c r="I60" s="48">
        <v>1.7090000000000001E-2</v>
      </c>
      <c r="J60" s="49">
        <f t="shared" si="26"/>
        <v>3.9575313000000001E-2</v>
      </c>
      <c r="K60" s="48"/>
      <c r="L60" s="49">
        <f t="shared" si="27"/>
        <v>0</v>
      </c>
      <c r="M60" s="298" t="s">
        <v>803</v>
      </c>
    </row>
    <row r="61" spans="1:13" ht="22.9" customHeight="1">
      <c r="A61" s="378">
        <f t="shared" si="28"/>
        <v>46</v>
      </c>
      <c r="B61" s="45" t="s">
        <v>64</v>
      </c>
      <c r="C61" s="43" t="s">
        <v>586</v>
      </c>
      <c r="D61" s="44" t="s">
        <v>587</v>
      </c>
      <c r="E61" s="45" t="s">
        <v>75</v>
      </c>
      <c r="F61" s="131">
        <f>0.8184</f>
        <v>0.81840000000000002</v>
      </c>
      <c r="G61" s="46"/>
      <c r="H61" s="47">
        <f t="shared" si="22"/>
        <v>0</v>
      </c>
      <c r="I61" s="48">
        <v>1.221E-2</v>
      </c>
      <c r="J61" s="49">
        <f t="shared" si="26"/>
        <v>9.9926640000000001E-3</v>
      </c>
      <c r="K61" s="48"/>
      <c r="L61" s="49">
        <f t="shared" si="27"/>
        <v>0</v>
      </c>
      <c r="M61" s="298" t="s">
        <v>803</v>
      </c>
    </row>
    <row r="62" spans="1:13" ht="15.6" customHeight="1">
      <c r="A62" s="378">
        <f t="shared" si="28"/>
        <v>47</v>
      </c>
      <c r="B62" s="45" t="s">
        <v>219</v>
      </c>
      <c r="C62" s="91" t="s">
        <v>588</v>
      </c>
      <c r="D62" s="303" t="s">
        <v>590</v>
      </c>
      <c r="E62" s="304" t="s">
        <v>235</v>
      </c>
      <c r="F62" s="131">
        <f>0.3432*1.05*1000</f>
        <v>360.36</v>
      </c>
      <c r="G62" s="46"/>
      <c r="H62" s="47">
        <f t="shared" si="22"/>
        <v>0</v>
      </c>
      <c r="I62" s="47"/>
      <c r="J62" s="49">
        <f>F62*0.001</f>
        <v>0.36036000000000001</v>
      </c>
      <c r="K62" s="48"/>
      <c r="L62" s="49">
        <f t="shared" ref="L62" si="29">F62*K62</f>
        <v>0</v>
      </c>
      <c r="M62" s="298"/>
    </row>
    <row r="63" spans="1:13" ht="15.6" customHeight="1">
      <c r="A63" s="378">
        <f t="shared" ref="A63:A64" si="30">A62+1</f>
        <v>48</v>
      </c>
      <c r="B63" s="45" t="s">
        <v>219</v>
      </c>
      <c r="C63" s="91" t="s">
        <v>593</v>
      </c>
      <c r="D63" s="303" t="s">
        <v>591</v>
      </c>
      <c r="E63" s="304" t="s">
        <v>235</v>
      </c>
      <c r="F63" s="131">
        <f>0.8184*1.05*1000</f>
        <v>859.32</v>
      </c>
      <c r="G63" s="46"/>
      <c r="H63" s="47">
        <f t="shared" si="22"/>
        <v>0</v>
      </c>
      <c r="I63" s="47"/>
      <c r="J63" s="49">
        <f t="shared" ref="J63:J64" si="31">F63*0.001</f>
        <v>0.85932000000000008</v>
      </c>
      <c r="K63" s="48"/>
      <c r="L63" s="49">
        <f t="shared" ref="L63:L64" si="32">F63*K63</f>
        <v>0</v>
      </c>
      <c r="M63" s="298"/>
    </row>
    <row r="64" spans="1:13" ht="15.6" customHeight="1">
      <c r="A64" s="378">
        <f t="shared" si="30"/>
        <v>49</v>
      </c>
      <c r="B64" s="45" t="s">
        <v>219</v>
      </c>
      <c r="C64" s="91" t="s">
        <v>594</v>
      </c>
      <c r="D64" s="303" t="s">
        <v>592</v>
      </c>
      <c r="E64" s="304" t="s">
        <v>235</v>
      </c>
      <c r="F64" s="131">
        <f>3134.1*1.05-F62-F63</f>
        <v>2071.1249999999995</v>
      </c>
      <c r="G64" s="46"/>
      <c r="H64" s="47">
        <f t="shared" si="22"/>
        <v>0</v>
      </c>
      <c r="I64" s="47"/>
      <c r="J64" s="49">
        <f t="shared" si="31"/>
        <v>2.0711249999999994</v>
      </c>
      <c r="K64" s="48"/>
      <c r="L64" s="49">
        <f t="shared" si="32"/>
        <v>0</v>
      </c>
      <c r="M64" s="298"/>
    </row>
    <row r="65" spans="1:13" ht="16.149999999999999" customHeight="1">
      <c r="A65" s="385"/>
      <c r="B65" s="81"/>
      <c r="C65" s="82"/>
      <c r="D65" s="83"/>
      <c r="E65" s="121"/>
      <c r="F65" s="134"/>
      <c r="G65" s="122"/>
      <c r="H65" s="123"/>
      <c r="I65" s="124"/>
      <c r="J65" s="125"/>
      <c r="K65" s="124"/>
      <c r="L65" s="125"/>
      <c r="M65" s="124"/>
    </row>
    <row r="66" spans="1:13" ht="16.149999999999999" customHeight="1">
      <c r="A66" s="385"/>
      <c r="B66" s="33"/>
      <c r="C66" s="34"/>
      <c r="D66" s="35" t="s">
        <v>756</v>
      </c>
      <c r="E66" s="36"/>
      <c r="F66" s="132"/>
      <c r="G66" s="37"/>
      <c r="H66" s="38">
        <f>SUM(H67:H71)</f>
        <v>0</v>
      </c>
      <c r="I66" s="39"/>
      <c r="J66" s="40">
        <f>SUBTOTAL(9,J67:J71)</f>
        <v>339.80160000000001</v>
      </c>
      <c r="K66" s="41"/>
      <c r="L66" s="40">
        <f>SUBTOTAL(9,L67:L71)</f>
        <v>0</v>
      </c>
      <c r="M66" s="41"/>
    </row>
    <row r="67" spans="1:13" ht="16.149999999999999" customHeight="1">
      <c r="A67" s="378">
        <f>A64+1</f>
        <v>50</v>
      </c>
      <c r="B67" s="42" t="s">
        <v>64</v>
      </c>
      <c r="C67" s="43" t="s">
        <v>757</v>
      </c>
      <c r="D67" s="44" t="s">
        <v>758</v>
      </c>
      <c r="E67" s="45" t="s">
        <v>78</v>
      </c>
      <c r="F67" s="133">
        <v>320</v>
      </c>
      <c r="G67" s="46"/>
      <c r="H67" s="47">
        <f>F67*G67</f>
        <v>0</v>
      </c>
      <c r="I67" s="48">
        <v>0.27994000000000002</v>
      </c>
      <c r="J67" s="49">
        <f>F67*I67</f>
        <v>89.580800000000011</v>
      </c>
      <c r="K67" s="48"/>
      <c r="L67" s="49">
        <f>F67*K67</f>
        <v>0</v>
      </c>
      <c r="M67" s="298" t="s">
        <v>803</v>
      </c>
    </row>
    <row r="68" spans="1:13" ht="16.149999999999999" customHeight="1">
      <c r="A68" s="378">
        <f>A67+1</f>
        <v>51</v>
      </c>
      <c r="B68" s="42" t="s">
        <v>64</v>
      </c>
      <c r="C68" s="43" t="s">
        <v>759</v>
      </c>
      <c r="D68" s="44" t="s">
        <v>760</v>
      </c>
      <c r="E68" s="45" t="s">
        <v>78</v>
      </c>
      <c r="F68" s="133">
        <v>320</v>
      </c>
      <c r="G68" s="46"/>
      <c r="H68" s="47">
        <f>F68*G68</f>
        <v>0</v>
      </c>
      <c r="I68" s="48">
        <v>9.8199999999999996E-2</v>
      </c>
      <c r="J68" s="49">
        <f>F68*I68</f>
        <v>31.423999999999999</v>
      </c>
      <c r="K68" s="48"/>
      <c r="L68" s="49">
        <f>F68*K68</f>
        <v>0</v>
      </c>
      <c r="M68" s="298" t="s">
        <v>803</v>
      </c>
    </row>
    <row r="69" spans="1:13" ht="27.6" customHeight="1">
      <c r="A69" s="378">
        <f t="shared" ref="A69:A70" si="33">A68+1</f>
        <v>52</v>
      </c>
      <c r="B69" s="42" t="s">
        <v>64</v>
      </c>
      <c r="C69" s="43" t="s">
        <v>761</v>
      </c>
      <c r="D69" s="44" t="s">
        <v>800</v>
      </c>
      <c r="E69" s="45" t="s">
        <v>78</v>
      </c>
      <c r="F69" s="133">
        <v>320</v>
      </c>
      <c r="G69" s="46"/>
      <c r="H69" s="47">
        <f>F69*G69</f>
        <v>0</v>
      </c>
      <c r="I69" s="48">
        <v>0.58020000000000005</v>
      </c>
      <c r="J69" s="49">
        <f>F69*I69</f>
        <v>185.66400000000002</v>
      </c>
      <c r="K69" s="48"/>
      <c r="L69" s="49">
        <f>F69*K69</f>
        <v>0</v>
      </c>
      <c r="M69" s="298" t="s">
        <v>803</v>
      </c>
    </row>
    <row r="70" spans="1:13" ht="16.149999999999999" customHeight="1">
      <c r="A70" s="378">
        <f t="shared" si="33"/>
        <v>53</v>
      </c>
      <c r="B70" s="42" t="s">
        <v>64</v>
      </c>
      <c r="C70" s="43" t="s">
        <v>762</v>
      </c>
      <c r="D70" s="44" t="s">
        <v>763</v>
      </c>
      <c r="E70" s="45" t="s">
        <v>78</v>
      </c>
      <c r="F70" s="133">
        <v>320</v>
      </c>
      <c r="G70" s="46"/>
      <c r="H70" s="47">
        <f>F70*G70</f>
        <v>0</v>
      </c>
      <c r="I70" s="48">
        <v>0.10353999999999999</v>
      </c>
      <c r="J70" s="49">
        <f>F70*I70</f>
        <v>33.132799999999996</v>
      </c>
      <c r="K70" s="48"/>
      <c r="L70" s="49">
        <f>F70*K70</f>
        <v>0</v>
      </c>
      <c r="M70" s="298" t="s">
        <v>803</v>
      </c>
    </row>
    <row r="71" spans="1:13" ht="16.149999999999999" customHeight="1">
      <c r="A71" s="385"/>
      <c r="B71" s="81"/>
      <c r="C71" s="82"/>
      <c r="D71" s="83"/>
      <c r="E71" s="121"/>
      <c r="F71" s="134"/>
      <c r="G71" s="122"/>
      <c r="H71" s="123"/>
      <c r="I71" s="124"/>
      <c r="J71" s="125"/>
      <c r="K71" s="124"/>
      <c r="L71" s="125"/>
      <c r="M71" s="124"/>
    </row>
    <row r="72" spans="1:13" ht="16.149999999999999" customHeight="1">
      <c r="A72" s="385"/>
      <c r="B72" s="33"/>
      <c r="C72" s="34"/>
      <c r="D72" s="35" t="s">
        <v>97</v>
      </c>
      <c r="E72" s="36"/>
      <c r="F72" s="132"/>
      <c r="G72" s="37"/>
      <c r="H72" s="38">
        <f>SUBTOTAL(9,H73:H112)</f>
        <v>0</v>
      </c>
      <c r="I72" s="39"/>
      <c r="J72" s="40">
        <f>SUBTOTAL(9,J73:J112)</f>
        <v>122.68402444888001</v>
      </c>
      <c r="K72" s="41"/>
      <c r="L72" s="40">
        <f>SUBTOTAL(9,L73:L100)</f>
        <v>0</v>
      </c>
      <c r="M72" s="41"/>
    </row>
    <row r="73" spans="1:13" ht="25.9" customHeight="1">
      <c r="A73" s="378">
        <f>A70+1</f>
        <v>54</v>
      </c>
      <c r="B73" s="42" t="s">
        <v>64</v>
      </c>
      <c r="C73" s="43" t="s">
        <v>98</v>
      </c>
      <c r="D73" s="44" t="s">
        <v>99</v>
      </c>
      <c r="E73" s="45" t="s">
        <v>67</v>
      </c>
      <c r="F73" s="133">
        <f>65.9*0.06+289.8*0.05+9.2*0.08</f>
        <v>19.180000000000003</v>
      </c>
      <c r="G73" s="46"/>
      <c r="H73" s="47">
        <f t="shared" ref="H73" si="34">F73*G73</f>
        <v>0</v>
      </c>
      <c r="I73" s="48">
        <v>2.45329</v>
      </c>
      <c r="J73" s="49">
        <f t="shared" ref="J73" si="35">F73*I73</f>
        <v>47.05410220000001</v>
      </c>
      <c r="K73" s="48"/>
      <c r="L73" s="49">
        <f t="shared" ref="L73" si="36">F73*K73</f>
        <v>0</v>
      </c>
      <c r="M73" s="298" t="s">
        <v>803</v>
      </c>
    </row>
    <row r="74" spans="1:13" ht="15" customHeight="1">
      <c r="A74" s="378"/>
      <c r="B74" s="42"/>
      <c r="C74" s="43"/>
      <c r="D74" s="61" t="s">
        <v>154</v>
      </c>
      <c r="E74" s="45"/>
      <c r="F74" s="133"/>
      <c r="G74" s="46"/>
      <c r="H74" s="47"/>
      <c r="I74" s="48"/>
      <c r="J74" s="49"/>
      <c r="K74" s="48"/>
      <c r="L74" s="49"/>
      <c r="M74" s="298"/>
    </row>
    <row r="75" spans="1:13" ht="25.15" customHeight="1">
      <c r="A75" s="378">
        <f>A73+1</f>
        <v>55</v>
      </c>
      <c r="B75" s="42" t="s">
        <v>64</v>
      </c>
      <c r="C75" s="43" t="s">
        <v>186</v>
      </c>
      <c r="D75" s="44" t="s">
        <v>187</v>
      </c>
      <c r="E75" s="45" t="s">
        <v>67</v>
      </c>
      <c r="F75" s="126">
        <f xml:space="preserve"> 58.5*0.095</f>
        <v>5.5575000000000001</v>
      </c>
      <c r="G75" s="46"/>
      <c r="H75" s="47">
        <f t="shared" ref="H75:H81" si="37">F75*G75</f>
        <v>0</v>
      </c>
      <c r="I75" s="48">
        <v>2.45329</v>
      </c>
      <c r="J75" s="49">
        <f t="shared" ref="J75:J81" si="38">F75*I75</f>
        <v>13.634159175000001</v>
      </c>
      <c r="K75" s="48"/>
      <c r="L75" s="49">
        <f t="shared" ref="L75:L81" si="39">F75*K75</f>
        <v>0</v>
      </c>
      <c r="M75" s="298" t="s">
        <v>803</v>
      </c>
    </row>
    <row r="76" spans="1:13" ht="15" customHeight="1">
      <c r="A76" s="378"/>
      <c r="B76" s="42"/>
      <c r="C76" s="43"/>
      <c r="D76" s="61" t="s">
        <v>192</v>
      </c>
      <c r="E76" s="45"/>
      <c r="F76" s="133"/>
      <c r="G76" s="46"/>
      <c r="H76" s="47"/>
      <c r="I76" s="48"/>
      <c r="J76" s="49"/>
      <c r="K76" s="48"/>
      <c r="L76" s="49"/>
      <c r="M76" s="298"/>
    </row>
    <row r="77" spans="1:13" ht="25.15" customHeight="1">
      <c r="A77" s="378">
        <f>A75+1</f>
        <v>56</v>
      </c>
      <c r="B77" s="42" t="s">
        <v>64</v>
      </c>
      <c r="C77" s="43" t="s">
        <v>188</v>
      </c>
      <c r="D77" s="44" t="s">
        <v>189</v>
      </c>
      <c r="E77" s="45" t="s">
        <v>67</v>
      </c>
      <c r="F77" s="133">
        <f>F73</f>
        <v>19.180000000000003</v>
      </c>
      <c r="G77" s="46"/>
      <c r="H77" s="47">
        <f t="shared" si="37"/>
        <v>0</v>
      </c>
      <c r="I77" s="48"/>
      <c r="J77" s="49">
        <f t="shared" si="38"/>
        <v>0</v>
      </c>
      <c r="K77" s="48"/>
      <c r="L77" s="49">
        <f t="shared" si="39"/>
        <v>0</v>
      </c>
      <c r="M77" s="298" t="s">
        <v>803</v>
      </c>
    </row>
    <row r="78" spans="1:13" ht="25.15" customHeight="1">
      <c r="A78" s="378">
        <f t="shared" ref="A78:A79" si="40">A77+1</f>
        <v>57</v>
      </c>
      <c r="B78" s="42" t="s">
        <v>64</v>
      </c>
      <c r="C78" s="43" t="s">
        <v>190</v>
      </c>
      <c r="D78" s="44" t="s">
        <v>191</v>
      </c>
      <c r="E78" s="45" t="s">
        <v>67</v>
      </c>
      <c r="F78" s="126">
        <f>F75</f>
        <v>5.5575000000000001</v>
      </c>
      <c r="G78" s="46"/>
      <c r="H78" s="47">
        <f t="shared" si="37"/>
        <v>0</v>
      </c>
      <c r="I78" s="48"/>
      <c r="J78" s="49">
        <f t="shared" si="38"/>
        <v>0</v>
      </c>
      <c r="K78" s="48"/>
      <c r="L78" s="49">
        <f t="shared" si="39"/>
        <v>0</v>
      </c>
      <c r="M78" s="298" t="s">
        <v>803</v>
      </c>
    </row>
    <row r="79" spans="1:13" ht="15" customHeight="1">
      <c r="A79" s="378">
        <f t="shared" si="40"/>
        <v>58</v>
      </c>
      <c r="B79" s="42" t="s">
        <v>64</v>
      </c>
      <c r="C79" s="43" t="s">
        <v>100</v>
      </c>
      <c r="D79" s="44" t="s">
        <v>101</v>
      </c>
      <c r="E79" s="45" t="s">
        <v>75</v>
      </c>
      <c r="F79" s="126">
        <f>(3.12*211.7 +2.11*390.4)*0.001</f>
        <v>1.484248</v>
      </c>
      <c r="G79" s="46"/>
      <c r="H79" s="47">
        <f t="shared" si="37"/>
        <v>0</v>
      </c>
      <c r="I79" s="48">
        <v>1.0530600000000001</v>
      </c>
      <c r="J79" s="49">
        <f t="shared" si="38"/>
        <v>1.5630021988800002</v>
      </c>
      <c r="K79" s="48"/>
      <c r="L79" s="49">
        <f t="shared" si="39"/>
        <v>0</v>
      </c>
      <c r="M79" s="298" t="s">
        <v>803</v>
      </c>
    </row>
    <row r="80" spans="1:13" ht="15" customHeight="1">
      <c r="A80" s="378"/>
      <c r="B80" s="42"/>
      <c r="C80" s="43"/>
      <c r="D80" s="78" t="s">
        <v>193</v>
      </c>
      <c r="E80" s="45"/>
      <c r="F80" s="126"/>
      <c r="G80" s="46"/>
      <c r="H80" s="47"/>
      <c r="I80" s="48"/>
      <c r="J80" s="49"/>
      <c r="K80" s="48"/>
      <c r="L80" s="49"/>
      <c r="M80" s="298"/>
    </row>
    <row r="81" spans="1:13" ht="16.149999999999999" customHeight="1">
      <c r="A81" s="378">
        <f>A79+1</f>
        <v>59</v>
      </c>
      <c r="B81" s="42" t="s">
        <v>64</v>
      </c>
      <c r="C81" s="43" t="s">
        <v>194</v>
      </c>
      <c r="D81" s="44" t="s">
        <v>195</v>
      </c>
      <c r="E81" s="45" t="s">
        <v>67</v>
      </c>
      <c r="F81" s="126">
        <f>58.5*0.095</f>
        <v>5.5575000000000001</v>
      </c>
      <c r="G81" s="46"/>
      <c r="H81" s="47">
        <f t="shared" si="37"/>
        <v>0</v>
      </c>
      <c r="I81" s="48">
        <v>4.0999999999999999E-4</v>
      </c>
      <c r="J81" s="49">
        <f t="shared" si="38"/>
        <v>2.2785750000000001E-3</v>
      </c>
      <c r="K81" s="48"/>
      <c r="L81" s="49">
        <f t="shared" si="39"/>
        <v>0</v>
      </c>
      <c r="M81" s="298"/>
    </row>
    <row r="82" spans="1:13" ht="16.149999999999999" customHeight="1">
      <c r="A82" s="378">
        <f>A81+1</f>
        <v>60</v>
      </c>
      <c r="B82" s="42" t="s">
        <v>64</v>
      </c>
      <c r="C82" s="43" t="s">
        <v>196</v>
      </c>
      <c r="D82" s="44" t="s">
        <v>203</v>
      </c>
      <c r="E82" s="45" t="s">
        <v>78</v>
      </c>
      <c r="F82" s="133">
        <v>74.3</v>
      </c>
      <c r="G82" s="46"/>
      <c r="H82" s="47">
        <f t="shared" ref="H82:H88" si="41">F82*G82</f>
        <v>0</v>
      </c>
      <c r="I82" s="48">
        <v>6.9999999999999999E-4</v>
      </c>
      <c r="J82" s="49">
        <f t="shared" ref="J82:J88" si="42">F82*I82</f>
        <v>5.2010000000000001E-2</v>
      </c>
      <c r="K82" s="48"/>
      <c r="L82" s="49">
        <f t="shared" ref="L82:L88" si="43">F82*K82</f>
        <v>0</v>
      </c>
      <c r="M82" s="298" t="s">
        <v>803</v>
      </c>
    </row>
    <row r="83" spans="1:13" ht="16.149999999999999" customHeight="1">
      <c r="A83" s="378">
        <f t="shared" ref="A83:A84" si="44">A82+1</f>
        <v>61</v>
      </c>
      <c r="B83" s="42" t="s">
        <v>64</v>
      </c>
      <c r="C83" s="43" t="s">
        <v>197</v>
      </c>
      <c r="D83" s="44" t="s">
        <v>198</v>
      </c>
      <c r="E83" s="45" t="s">
        <v>78</v>
      </c>
      <c r="F83" s="133">
        <v>78.099999999999994</v>
      </c>
      <c r="G83" s="46"/>
      <c r="H83" s="47">
        <f t="shared" si="41"/>
        <v>0</v>
      </c>
      <c r="I83" s="48">
        <v>1.2E-4</v>
      </c>
      <c r="J83" s="49">
        <f t="shared" si="42"/>
        <v>9.3720000000000001E-3</v>
      </c>
      <c r="K83" s="48"/>
      <c r="L83" s="49">
        <f t="shared" si="43"/>
        <v>0</v>
      </c>
      <c r="M83" s="298" t="s">
        <v>803</v>
      </c>
    </row>
    <row r="84" spans="1:13" ht="16.149999999999999" customHeight="1">
      <c r="A84" s="378">
        <f t="shared" si="44"/>
        <v>62</v>
      </c>
      <c r="B84" s="42" t="s">
        <v>64</v>
      </c>
      <c r="C84" s="43" t="s">
        <v>199</v>
      </c>
      <c r="D84" s="44" t="s">
        <v>200</v>
      </c>
      <c r="E84" s="45" t="s">
        <v>67</v>
      </c>
      <c r="F84" s="133">
        <f>190.6*0.1+9.2*0.15</f>
        <v>20.439999999999998</v>
      </c>
      <c r="G84" s="46"/>
      <c r="H84" s="47">
        <f t="shared" si="41"/>
        <v>0</v>
      </c>
      <c r="I84" s="48">
        <v>2.16</v>
      </c>
      <c r="J84" s="49">
        <f t="shared" si="42"/>
        <v>44.150399999999998</v>
      </c>
      <c r="K84" s="48"/>
      <c r="L84" s="49">
        <f t="shared" si="43"/>
        <v>0</v>
      </c>
      <c r="M84" s="298" t="s">
        <v>803</v>
      </c>
    </row>
    <row r="85" spans="1:13" ht="16.149999999999999" customHeight="1">
      <c r="A85" s="378"/>
      <c r="B85" s="42"/>
      <c r="C85" s="43"/>
      <c r="D85" s="78" t="s">
        <v>204</v>
      </c>
      <c r="E85" s="45"/>
      <c r="F85" s="133"/>
      <c r="G85" s="46"/>
      <c r="H85" s="47"/>
      <c r="I85" s="48"/>
      <c r="J85" s="49"/>
      <c r="K85" s="48"/>
      <c r="L85" s="49"/>
      <c r="M85" s="298"/>
    </row>
    <row r="86" spans="1:13" ht="16.149999999999999" customHeight="1">
      <c r="A86" s="378">
        <f>A84+1</f>
        <v>63</v>
      </c>
      <c r="B86" s="42" t="s">
        <v>64</v>
      </c>
      <c r="C86" s="43" t="s">
        <v>207</v>
      </c>
      <c r="D86" s="44" t="s">
        <v>208</v>
      </c>
      <c r="E86" s="45" t="s">
        <v>67</v>
      </c>
      <c r="F86" s="126">
        <f>0.04*74.3</f>
        <v>2.972</v>
      </c>
      <c r="G86" s="46"/>
      <c r="H86" s="47">
        <f t="shared" si="41"/>
        <v>0</v>
      </c>
      <c r="I86" s="48">
        <v>0.42</v>
      </c>
      <c r="J86" s="49">
        <f t="shared" si="42"/>
        <v>1.24824</v>
      </c>
      <c r="K86" s="48"/>
      <c r="L86" s="49">
        <f t="shared" si="43"/>
        <v>0</v>
      </c>
      <c r="M86" s="298"/>
    </row>
    <row r="87" spans="1:13" ht="16.149999999999999" customHeight="1">
      <c r="A87" s="378"/>
      <c r="B87" s="42"/>
      <c r="C87" s="43"/>
      <c r="D87" s="78" t="s">
        <v>209</v>
      </c>
      <c r="E87" s="45"/>
      <c r="F87" s="133"/>
      <c r="G87" s="46"/>
      <c r="H87" s="47"/>
      <c r="I87" s="48"/>
      <c r="J87" s="49"/>
      <c r="K87" s="48"/>
      <c r="L87" s="49"/>
      <c r="M87" s="298"/>
    </row>
    <row r="88" spans="1:13" ht="16.149999999999999" customHeight="1">
      <c r="A88" s="378">
        <f>A86+1</f>
        <v>64</v>
      </c>
      <c r="B88" s="42" t="s">
        <v>64</v>
      </c>
      <c r="C88" s="43" t="s">
        <v>206</v>
      </c>
      <c r="D88" s="44" t="s">
        <v>205</v>
      </c>
      <c r="E88" s="45" t="s">
        <v>67</v>
      </c>
      <c r="F88" s="133">
        <f>11.9*0.1</f>
        <v>1.1900000000000002</v>
      </c>
      <c r="G88" s="46"/>
      <c r="H88" s="47">
        <f t="shared" si="41"/>
        <v>0</v>
      </c>
      <c r="I88" s="48">
        <v>0.20250000000000001</v>
      </c>
      <c r="J88" s="49">
        <f t="shared" si="42"/>
        <v>0.24097500000000005</v>
      </c>
      <c r="K88" s="48"/>
      <c r="L88" s="49">
        <f t="shared" si="43"/>
        <v>0</v>
      </c>
      <c r="M88" s="298"/>
    </row>
    <row r="89" spans="1:13" ht="16.149999999999999" customHeight="1">
      <c r="A89" s="378"/>
      <c r="B89" s="42"/>
      <c r="C89" s="43"/>
      <c r="D89" s="78" t="s">
        <v>210</v>
      </c>
      <c r="E89" s="45"/>
      <c r="F89" s="133"/>
      <c r="G89" s="46"/>
      <c r="H89" s="47"/>
      <c r="I89" s="48"/>
      <c r="J89" s="49"/>
      <c r="K89" s="48"/>
      <c r="L89" s="49"/>
      <c r="M89" s="298"/>
    </row>
    <row r="90" spans="1:13" ht="27.6" customHeight="1">
      <c r="A90" s="378">
        <f>A88+1</f>
        <v>65</v>
      </c>
      <c r="B90" s="42" t="s">
        <v>64</v>
      </c>
      <c r="C90" s="43" t="s">
        <v>201</v>
      </c>
      <c r="D90" s="44" t="s">
        <v>202</v>
      </c>
      <c r="E90" s="45" t="s">
        <v>78</v>
      </c>
      <c r="F90" s="133">
        <f>58.5+9.2</f>
        <v>67.7</v>
      </c>
      <c r="G90" s="46"/>
      <c r="H90" s="47">
        <f>F90*G90</f>
        <v>0</v>
      </c>
      <c r="I90" s="48">
        <v>3.2000000000000002E-3</v>
      </c>
      <c r="J90" s="49">
        <f>F90*I90</f>
        <v>0.21664000000000003</v>
      </c>
      <c r="K90" s="48"/>
      <c r="L90" s="49">
        <f>F90*K90</f>
        <v>0</v>
      </c>
      <c r="M90" s="298" t="s">
        <v>803</v>
      </c>
    </row>
    <row r="91" spans="1:13" ht="16.149999999999999" customHeight="1">
      <c r="A91" s="378"/>
      <c r="B91" s="42"/>
      <c r="C91" s="43"/>
      <c r="D91" s="78" t="s">
        <v>211</v>
      </c>
      <c r="E91" s="45"/>
      <c r="F91" s="133"/>
      <c r="G91" s="46"/>
      <c r="H91" s="47"/>
      <c r="I91" s="48"/>
      <c r="J91" s="49"/>
      <c r="K91" s="48"/>
      <c r="L91" s="49"/>
      <c r="M91" s="298"/>
    </row>
    <row r="92" spans="1:13" ht="27" customHeight="1">
      <c r="A92" s="378">
        <f>A90+1</f>
        <v>66</v>
      </c>
      <c r="B92" s="42" t="s">
        <v>64</v>
      </c>
      <c r="C92" s="43" t="s">
        <v>282</v>
      </c>
      <c r="D92" s="44" t="s">
        <v>283</v>
      </c>
      <c r="E92" s="45" t="s">
        <v>78</v>
      </c>
      <c r="F92" s="305">
        <v>41</v>
      </c>
      <c r="G92" s="46"/>
      <c r="H92" s="47">
        <f t="shared" ref="H92:H111" si="45">F92*G92</f>
        <v>0</v>
      </c>
      <c r="I92" s="48">
        <v>3.4500000000000003E-2</v>
      </c>
      <c r="J92" s="49">
        <f t="shared" ref="J92:J111" si="46">F92*I92</f>
        <v>1.4145000000000001</v>
      </c>
      <c r="K92" s="48"/>
      <c r="L92" s="49">
        <f t="shared" ref="L92:L111" si="47">F92*K92</f>
        <v>0</v>
      </c>
      <c r="M92" s="298" t="s">
        <v>803</v>
      </c>
    </row>
    <row r="93" spans="1:13" ht="27" customHeight="1">
      <c r="A93" s="378">
        <f t="shared" ref="A93:A111" si="48">A92+1</f>
        <v>67</v>
      </c>
      <c r="B93" s="42" t="s">
        <v>64</v>
      </c>
      <c r="C93" s="43" t="s">
        <v>284</v>
      </c>
      <c r="D93" s="44" t="s">
        <v>285</v>
      </c>
      <c r="E93" s="45" t="s">
        <v>78</v>
      </c>
      <c r="F93" s="305">
        <f>F92</f>
        <v>41</v>
      </c>
      <c r="G93" s="46"/>
      <c r="H93" s="47">
        <f t="shared" si="45"/>
        <v>0</v>
      </c>
      <c r="I93" s="48">
        <v>1.55E-2</v>
      </c>
      <c r="J93" s="49">
        <f t="shared" si="46"/>
        <v>0.63549999999999995</v>
      </c>
      <c r="K93" s="48"/>
      <c r="L93" s="49">
        <f t="shared" si="47"/>
        <v>0</v>
      </c>
      <c r="M93" s="298" t="s">
        <v>803</v>
      </c>
    </row>
    <row r="94" spans="1:13" ht="27" customHeight="1">
      <c r="A94" s="378">
        <f t="shared" si="48"/>
        <v>68</v>
      </c>
      <c r="B94" s="42" t="s">
        <v>64</v>
      </c>
      <c r="C94" s="43" t="s">
        <v>286</v>
      </c>
      <c r="D94" s="44" t="s">
        <v>287</v>
      </c>
      <c r="E94" s="45" t="s">
        <v>78</v>
      </c>
      <c r="F94" s="305">
        <v>149</v>
      </c>
      <c r="G94" s="46"/>
      <c r="H94" s="47">
        <f t="shared" si="45"/>
        <v>0</v>
      </c>
      <c r="I94" s="48">
        <v>1.7000000000000001E-2</v>
      </c>
      <c r="J94" s="49">
        <f t="shared" si="46"/>
        <v>2.5330000000000004</v>
      </c>
      <c r="K94" s="48"/>
      <c r="L94" s="49">
        <f t="shared" si="47"/>
        <v>0</v>
      </c>
      <c r="M94" s="298" t="s">
        <v>803</v>
      </c>
    </row>
    <row r="95" spans="1:13" ht="27" customHeight="1">
      <c r="A95" s="378">
        <f t="shared" si="48"/>
        <v>69</v>
      </c>
      <c r="B95" s="42" t="s">
        <v>64</v>
      </c>
      <c r="C95" s="43" t="s">
        <v>288</v>
      </c>
      <c r="D95" s="44" t="s">
        <v>289</v>
      </c>
      <c r="E95" s="45" t="s">
        <v>78</v>
      </c>
      <c r="F95" s="305">
        <v>218</v>
      </c>
      <c r="G95" s="46"/>
      <c r="H95" s="47">
        <f t="shared" si="45"/>
        <v>0</v>
      </c>
      <c r="I95" s="48">
        <v>1.7000000000000001E-2</v>
      </c>
      <c r="J95" s="49">
        <f t="shared" si="46"/>
        <v>3.7060000000000004</v>
      </c>
      <c r="K95" s="48"/>
      <c r="L95" s="49">
        <f t="shared" si="47"/>
        <v>0</v>
      </c>
      <c r="M95" s="298" t="s">
        <v>803</v>
      </c>
    </row>
    <row r="96" spans="1:13" ht="27" customHeight="1">
      <c r="A96" s="378">
        <f t="shared" si="48"/>
        <v>70</v>
      </c>
      <c r="B96" s="42" t="s">
        <v>64</v>
      </c>
      <c r="C96" s="43" t="s">
        <v>290</v>
      </c>
      <c r="D96" s="44" t="s">
        <v>291</v>
      </c>
      <c r="E96" s="45" t="s">
        <v>78</v>
      </c>
      <c r="F96" s="305">
        <v>60</v>
      </c>
      <c r="G96" s="46"/>
      <c r="H96" s="47">
        <f t="shared" si="45"/>
        <v>0</v>
      </c>
      <c r="I96" s="48">
        <v>1.4E-3</v>
      </c>
      <c r="J96" s="49">
        <f t="shared" si="46"/>
        <v>8.4000000000000005E-2</v>
      </c>
      <c r="K96" s="48"/>
      <c r="L96" s="49">
        <f t="shared" si="47"/>
        <v>0</v>
      </c>
      <c r="M96" s="298" t="s">
        <v>803</v>
      </c>
    </row>
    <row r="97" spans="1:13" ht="27" customHeight="1">
      <c r="A97" s="378">
        <f t="shared" si="48"/>
        <v>71</v>
      </c>
      <c r="B97" s="42" t="s">
        <v>64</v>
      </c>
      <c r="C97" s="43" t="s">
        <v>748</v>
      </c>
      <c r="D97" s="44" t="s">
        <v>749</v>
      </c>
      <c r="E97" s="45" t="s">
        <v>78</v>
      </c>
      <c r="F97" s="133">
        <v>112</v>
      </c>
      <c r="G97" s="46"/>
      <c r="H97" s="47">
        <f>F97*G97</f>
        <v>0</v>
      </c>
      <c r="I97" s="48">
        <v>1.103E-2</v>
      </c>
      <c r="J97" s="49">
        <f>F97*I97</f>
        <v>1.23536</v>
      </c>
      <c r="K97" s="48"/>
      <c r="L97" s="49">
        <f>F97*K97</f>
        <v>0</v>
      </c>
      <c r="M97" s="298" t="s">
        <v>803</v>
      </c>
    </row>
    <row r="98" spans="1:13" ht="27" customHeight="1">
      <c r="A98" s="378">
        <f t="shared" si="48"/>
        <v>72</v>
      </c>
      <c r="B98" s="42" t="s">
        <v>64</v>
      </c>
      <c r="C98" s="43" t="s">
        <v>292</v>
      </c>
      <c r="D98" s="44" t="s">
        <v>293</v>
      </c>
      <c r="E98" s="45" t="s">
        <v>78</v>
      </c>
      <c r="F98" s="305">
        <v>70</v>
      </c>
      <c r="G98" s="46"/>
      <c r="H98" s="47">
        <f t="shared" si="45"/>
        <v>0</v>
      </c>
      <c r="I98" s="48">
        <v>1.7330000000000002E-2</v>
      </c>
      <c r="J98" s="49">
        <f t="shared" si="46"/>
        <v>1.2131000000000001</v>
      </c>
      <c r="K98" s="48"/>
      <c r="L98" s="49">
        <f t="shared" si="47"/>
        <v>0</v>
      </c>
      <c r="M98" s="298" t="s">
        <v>803</v>
      </c>
    </row>
    <row r="99" spans="1:13" ht="25.15" customHeight="1">
      <c r="A99" s="378">
        <f t="shared" si="48"/>
        <v>73</v>
      </c>
      <c r="B99" s="42" t="s">
        <v>64</v>
      </c>
      <c r="C99" s="43" t="s">
        <v>307</v>
      </c>
      <c r="D99" s="44" t="s">
        <v>308</v>
      </c>
      <c r="E99" s="45" t="s">
        <v>78</v>
      </c>
      <c r="F99" s="305">
        <v>49</v>
      </c>
      <c r="G99" s="46"/>
      <c r="H99" s="47">
        <f t="shared" si="45"/>
        <v>0</v>
      </c>
      <c r="I99" s="48">
        <v>1.5E-3</v>
      </c>
      <c r="J99" s="49">
        <f t="shared" si="46"/>
        <v>7.3499999999999996E-2</v>
      </c>
      <c r="K99" s="48"/>
      <c r="L99" s="49">
        <f t="shared" si="47"/>
        <v>0</v>
      </c>
      <c r="M99" s="298"/>
    </row>
    <row r="100" spans="1:13" ht="23.45" customHeight="1">
      <c r="A100" s="378">
        <f t="shared" si="48"/>
        <v>74</v>
      </c>
      <c r="B100" s="42" t="s">
        <v>64</v>
      </c>
      <c r="C100" s="43" t="s">
        <v>546</v>
      </c>
      <c r="D100" s="44" t="s">
        <v>764</v>
      </c>
      <c r="E100" s="45" t="s">
        <v>78</v>
      </c>
      <c r="F100" s="305">
        <v>61.5</v>
      </c>
      <c r="G100" s="46"/>
      <c r="H100" s="47">
        <f t="shared" si="45"/>
        <v>0</v>
      </c>
      <c r="I100" s="48">
        <v>8.3199999999999993E-3</v>
      </c>
      <c r="J100" s="49">
        <f t="shared" si="46"/>
        <v>0.51167999999999991</v>
      </c>
      <c r="K100" s="48"/>
      <c r="L100" s="49">
        <f t="shared" si="47"/>
        <v>0</v>
      </c>
      <c r="M100" s="298" t="s">
        <v>803</v>
      </c>
    </row>
    <row r="101" spans="1:13" ht="13.15" customHeight="1">
      <c r="A101" s="378">
        <f t="shared" si="48"/>
        <v>75</v>
      </c>
      <c r="B101" s="42" t="s">
        <v>219</v>
      </c>
      <c r="C101" s="43" t="s">
        <v>555</v>
      </c>
      <c r="D101" s="44" t="s">
        <v>768</v>
      </c>
      <c r="E101" s="45" t="s">
        <v>78</v>
      </c>
      <c r="F101" s="305">
        <f>F100*1.05</f>
        <v>64.575000000000003</v>
      </c>
      <c r="G101" s="46"/>
      <c r="H101" s="47">
        <f t="shared" si="45"/>
        <v>0</v>
      </c>
      <c r="I101" s="48">
        <f>0.015*0.12</f>
        <v>1.8E-3</v>
      </c>
      <c r="J101" s="49">
        <f t="shared" si="46"/>
        <v>0.116235</v>
      </c>
      <c r="K101" s="48"/>
      <c r="L101" s="49"/>
      <c r="M101" s="298"/>
    </row>
    <row r="102" spans="1:13" ht="16.149999999999999" customHeight="1">
      <c r="A102" s="378">
        <f t="shared" si="48"/>
        <v>76</v>
      </c>
      <c r="B102" s="42" t="s">
        <v>64</v>
      </c>
      <c r="C102" s="43" t="s">
        <v>547</v>
      </c>
      <c r="D102" s="44" t="s">
        <v>548</v>
      </c>
      <c r="E102" s="45" t="s">
        <v>83</v>
      </c>
      <c r="F102" s="305">
        <f>(4.63+2.17+0.77+2.7+0.66+3.07+5.1+12.28)</f>
        <v>31.380000000000003</v>
      </c>
      <c r="G102" s="46"/>
      <c r="H102" s="47">
        <f t="shared" si="45"/>
        <v>0</v>
      </c>
      <c r="I102" s="48">
        <v>6.0000000000000002E-5</v>
      </c>
      <c r="J102" s="49">
        <f t="shared" si="46"/>
        <v>1.8828000000000002E-3</v>
      </c>
      <c r="K102" s="48"/>
      <c r="L102" s="49">
        <f t="shared" si="47"/>
        <v>0</v>
      </c>
      <c r="M102" s="298" t="s">
        <v>803</v>
      </c>
    </row>
    <row r="103" spans="1:13" ht="16.149999999999999" customHeight="1">
      <c r="A103" s="378">
        <f t="shared" si="48"/>
        <v>77</v>
      </c>
      <c r="B103" s="42" t="s">
        <v>64</v>
      </c>
      <c r="C103" s="43" t="s">
        <v>549</v>
      </c>
      <c r="D103" s="44" t="s">
        <v>550</v>
      </c>
      <c r="E103" s="45" t="s">
        <v>83</v>
      </c>
      <c r="F103" s="305">
        <f>0.74+0.67*2+0.53+0.67*2+2.87+2.47*2+3.31+2.92*2+0.77+0.88*2+0.33+0.84*2+1.08+2*2</f>
        <v>30.53</v>
      </c>
      <c r="G103" s="46"/>
      <c r="H103" s="47">
        <f t="shared" si="45"/>
        <v>0</v>
      </c>
      <c r="I103" s="48">
        <v>2.5000000000000001E-4</v>
      </c>
      <c r="J103" s="49">
        <f t="shared" si="46"/>
        <v>7.6325000000000004E-3</v>
      </c>
      <c r="K103" s="48"/>
      <c r="L103" s="49">
        <f t="shared" si="47"/>
        <v>0</v>
      </c>
      <c r="M103" s="298" t="s">
        <v>803</v>
      </c>
    </row>
    <row r="104" spans="1:13" ht="16.149999999999999" customHeight="1">
      <c r="A104" s="378">
        <f t="shared" si="48"/>
        <v>78</v>
      </c>
      <c r="B104" s="42" t="s">
        <v>219</v>
      </c>
      <c r="C104" s="43" t="s">
        <v>556</v>
      </c>
      <c r="D104" s="44" t="s">
        <v>558</v>
      </c>
      <c r="E104" s="45" t="s">
        <v>83</v>
      </c>
      <c r="F104" s="305">
        <f>1.04*F102</f>
        <v>32.635200000000005</v>
      </c>
      <c r="G104" s="46"/>
      <c r="H104" s="47">
        <f t="shared" si="45"/>
        <v>0</v>
      </c>
      <c r="I104" s="48"/>
      <c r="J104" s="49"/>
      <c r="K104" s="48"/>
      <c r="L104" s="49"/>
      <c r="M104" s="298"/>
    </row>
    <row r="105" spans="1:13" ht="16.149999999999999" customHeight="1">
      <c r="A105" s="378">
        <f t="shared" si="48"/>
        <v>79</v>
      </c>
      <c r="B105" s="42" t="s">
        <v>219</v>
      </c>
      <c r="C105" s="43" t="s">
        <v>557</v>
      </c>
      <c r="D105" s="44" t="s">
        <v>559</v>
      </c>
      <c r="E105" s="45" t="s">
        <v>83</v>
      </c>
      <c r="F105" s="305">
        <f>1.04*F103</f>
        <v>31.751200000000001</v>
      </c>
      <c r="G105" s="46"/>
      <c r="H105" s="47">
        <f t="shared" si="45"/>
        <v>0</v>
      </c>
      <c r="I105" s="48"/>
      <c r="J105" s="49"/>
      <c r="K105" s="48"/>
      <c r="L105" s="49"/>
      <c r="M105" s="298"/>
    </row>
    <row r="106" spans="1:13" ht="24.6" customHeight="1">
      <c r="A106" s="378">
        <f t="shared" si="48"/>
        <v>80</v>
      </c>
      <c r="B106" s="42" t="s">
        <v>64</v>
      </c>
      <c r="C106" s="43" t="s">
        <v>1410</v>
      </c>
      <c r="D106" s="44" t="s">
        <v>1411</v>
      </c>
      <c r="E106" s="45" t="s">
        <v>78</v>
      </c>
      <c r="F106" s="305">
        <v>3</v>
      </c>
      <c r="G106" s="46"/>
      <c r="H106" s="47">
        <f t="shared" si="45"/>
        <v>0</v>
      </c>
      <c r="I106" s="48">
        <v>2.6360000000000001E-2</v>
      </c>
      <c r="J106" s="49">
        <f t="shared" ref="J106" si="49">F106*I106</f>
        <v>7.9080000000000011E-2</v>
      </c>
      <c r="K106" s="48"/>
      <c r="L106" s="49">
        <f t="shared" ref="L106" si="50">F106*K106</f>
        <v>0</v>
      </c>
      <c r="M106" s="298" t="s">
        <v>803</v>
      </c>
    </row>
    <row r="107" spans="1:13" ht="24.6" customHeight="1">
      <c r="A107" s="378">
        <f t="shared" si="48"/>
        <v>81</v>
      </c>
      <c r="B107" s="42" t="s">
        <v>64</v>
      </c>
      <c r="C107" s="43" t="s">
        <v>766</v>
      </c>
      <c r="D107" s="299" t="s">
        <v>767</v>
      </c>
      <c r="E107" s="45" t="s">
        <v>78</v>
      </c>
      <c r="F107" s="305">
        <v>61.5</v>
      </c>
      <c r="G107" s="46"/>
      <c r="H107" s="47">
        <f t="shared" si="45"/>
        <v>0</v>
      </c>
      <c r="I107" s="48">
        <v>4.0000000000000001E-3</v>
      </c>
      <c r="J107" s="49">
        <f t="shared" si="46"/>
        <v>0.246</v>
      </c>
      <c r="K107" s="48"/>
      <c r="L107" s="49">
        <f t="shared" si="47"/>
        <v>0</v>
      </c>
      <c r="M107" s="298" t="s">
        <v>803</v>
      </c>
    </row>
    <row r="108" spans="1:13" ht="14.45" customHeight="1">
      <c r="A108" s="378">
        <f t="shared" si="48"/>
        <v>82</v>
      </c>
      <c r="B108" s="42" t="s">
        <v>64</v>
      </c>
      <c r="C108" s="43" t="s">
        <v>551</v>
      </c>
      <c r="D108" s="44" t="s">
        <v>552</v>
      </c>
      <c r="E108" s="45" t="s">
        <v>78</v>
      </c>
      <c r="F108" s="305">
        <f>W400</f>
        <v>0</v>
      </c>
      <c r="G108" s="46"/>
      <c r="H108" s="47">
        <f t="shared" si="45"/>
        <v>0</v>
      </c>
      <c r="I108" s="48">
        <v>1.2E-4</v>
      </c>
      <c r="J108" s="49">
        <f t="shared" si="46"/>
        <v>0</v>
      </c>
      <c r="K108" s="48"/>
      <c r="L108" s="49">
        <f t="shared" si="47"/>
        <v>0</v>
      </c>
      <c r="M108" s="298" t="s">
        <v>803</v>
      </c>
    </row>
    <row r="109" spans="1:13" ht="24" customHeight="1">
      <c r="A109" s="378">
        <f t="shared" si="48"/>
        <v>83</v>
      </c>
      <c r="B109" s="42" t="s">
        <v>64</v>
      </c>
      <c r="C109" s="43" t="s">
        <v>560</v>
      </c>
      <c r="D109" s="44" t="s">
        <v>765</v>
      </c>
      <c r="E109" s="45" t="s">
        <v>78</v>
      </c>
      <c r="F109" s="305">
        <v>48</v>
      </c>
      <c r="G109" s="46"/>
      <c r="H109" s="47">
        <f t="shared" si="45"/>
        <v>0</v>
      </c>
      <c r="I109" s="48"/>
      <c r="J109" s="49"/>
      <c r="K109" s="48"/>
      <c r="L109" s="49"/>
      <c r="M109" s="298"/>
    </row>
    <row r="110" spans="1:13" ht="23.45" customHeight="1">
      <c r="A110" s="378">
        <f t="shared" si="48"/>
        <v>84</v>
      </c>
      <c r="B110" s="42" t="s">
        <v>64</v>
      </c>
      <c r="C110" s="43" t="s">
        <v>553</v>
      </c>
      <c r="D110" s="44" t="s">
        <v>554</v>
      </c>
      <c r="E110" s="45" t="s">
        <v>78</v>
      </c>
      <c r="F110" s="305">
        <v>182.5</v>
      </c>
      <c r="G110" s="46"/>
      <c r="H110" s="47">
        <f t="shared" si="45"/>
        <v>0</v>
      </c>
      <c r="I110" s="48">
        <v>1.455E-2</v>
      </c>
      <c r="J110" s="49">
        <f t="shared" ref="J110" si="51">F110*I110</f>
        <v>2.6553750000000003</v>
      </c>
      <c r="K110" s="48"/>
      <c r="L110" s="49">
        <f t="shared" ref="L110" si="52">F110*K110</f>
        <v>0</v>
      </c>
      <c r="M110" s="298" t="s">
        <v>803</v>
      </c>
    </row>
    <row r="111" spans="1:13" ht="13.9" customHeight="1">
      <c r="A111" s="378">
        <f t="shared" si="48"/>
        <v>85</v>
      </c>
      <c r="B111" s="42" t="s">
        <v>64</v>
      </c>
      <c r="C111" s="43" t="s">
        <v>770</v>
      </c>
      <c r="D111" s="299" t="s">
        <v>786</v>
      </c>
      <c r="E111" s="45" t="s">
        <v>78</v>
      </c>
      <c r="F111" s="305">
        <v>22</v>
      </c>
      <c r="G111" s="46"/>
      <c r="H111" s="47">
        <f t="shared" si="45"/>
        <v>0</v>
      </c>
      <c r="I111" s="48">
        <v>0</v>
      </c>
      <c r="J111" s="49">
        <f t="shared" si="46"/>
        <v>0</v>
      </c>
      <c r="K111" s="48"/>
      <c r="L111" s="49">
        <f t="shared" si="47"/>
        <v>0</v>
      </c>
      <c r="M111" s="298" t="s">
        <v>803</v>
      </c>
    </row>
    <row r="112" spans="1:13" ht="16.149999999999999" customHeight="1">
      <c r="A112" s="385"/>
      <c r="B112" s="57" t="s">
        <v>553</v>
      </c>
      <c r="C112" s="57" t="s">
        <v>780</v>
      </c>
      <c r="D112" s="57" t="s">
        <v>78</v>
      </c>
      <c r="E112" s="57" t="s">
        <v>781</v>
      </c>
      <c r="F112" s="57" t="s">
        <v>782</v>
      </c>
      <c r="G112" s="57"/>
      <c r="H112" s="57" t="s">
        <v>783</v>
      </c>
      <c r="I112" s="57" t="s">
        <v>784</v>
      </c>
      <c r="J112" s="57"/>
      <c r="K112" s="57" t="s">
        <v>785</v>
      </c>
      <c r="L112" s="57"/>
      <c r="M112" s="57" t="s">
        <v>785</v>
      </c>
    </row>
    <row r="113" spans="1:13" ht="16.149999999999999" customHeight="1">
      <c r="A113" s="385"/>
      <c r="B113" s="33"/>
      <c r="C113" s="34"/>
      <c r="D113" s="35" t="s">
        <v>771</v>
      </c>
      <c r="E113" s="36"/>
      <c r="F113" s="132"/>
      <c r="G113" s="37"/>
      <c r="H113" s="38">
        <f>SUBTOTAL(9,H114:H117)</f>
        <v>0</v>
      </c>
      <c r="I113" s="39"/>
      <c r="J113" s="40">
        <f>SUBTOTAL(9,J114:J117)</f>
        <v>23.819375999999998</v>
      </c>
      <c r="K113" s="41"/>
      <c r="L113" s="40">
        <f>SUBTOTAL(9,L114:L117)</f>
        <v>0</v>
      </c>
      <c r="M113" s="41"/>
    </row>
    <row r="114" spans="1:13" ht="25.15" customHeight="1">
      <c r="A114" s="378">
        <f>A111+1</f>
        <v>86</v>
      </c>
      <c r="B114" s="42" t="s">
        <v>64</v>
      </c>
      <c r="C114" s="43" t="s">
        <v>772</v>
      </c>
      <c r="D114" s="44" t="s">
        <v>773</v>
      </c>
      <c r="E114" s="45" t="s">
        <v>82</v>
      </c>
      <c r="F114" s="133">
        <v>3</v>
      </c>
      <c r="G114" s="46"/>
      <c r="H114" s="47">
        <f>F114*G114</f>
        <v>0</v>
      </c>
      <c r="I114" s="48">
        <v>1.9900000000000001E-2</v>
      </c>
      <c r="J114" s="49">
        <f>F114*I114</f>
        <v>5.9700000000000003E-2</v>
      </c>
      <c r="K114" s="48"/>
      <c r="L114" s="49">
        <f>F114*K114</f>
        <v>0</v>
      </c>
      <c r="M114" s="298" t="s">
        <v>803</v>
      </c>
    </row>
    <row r="115" spans="1:13" ht="25.15" customHeight="1">
      <c r="A115" s="378">
        <f>A114+1</f>
        <v>87</v>
      </c>
      <c r="B115" s="42" t="s">
        <v>64</v>
      </c>
      <c r="C115" s="43" t="s">
        <v>774</v>
      </c>
      <c r="D115" s="44" t="s">
        <v>775</v>
      </c>
      <c r="E115" s="45" t="s">
        <v>67</v>
      </c>
      <c r="F115" s="133">
        <v>7.6</v>
      </c>
      <c r="G115" s="46"/>
      <c r="H115" s="47">
        <f>F115*G115</f>
        <v>0</v>
      </c>
      <c r="I115" s="48">
        <v>2.27868</v>
      </c>
      <c r="J115" s="49">
        <f>F115*I115</f>
        <v>17.317968</v>
      </c>
      <c r="K115" s="48"/>
      <c r="L115" s="49">
        <f>F115*K115</f>
        <v>0</v>
      </c>
      <c r="M115" s="298" t="s">
        <v>803</v>
      </c>
    </row>
    <row r="116" spans="1:13" ht="15" customHeight="1">
      <c r="A116" s="378">
        <f>A115+1</f>
        <v>88</v>
      </c>
      <c r="B116" s="42" t="s">
        <v>64</v>
      </c>
      <c r="C116" s="43" t="s">
        <v>776</v>
      </c>
      <c r="D116" s="44" t="s">
        <v>777</v>
      </c>
      <c r="E116" s="45" t="s">
        <v>67</v>
      </c>
      <c r="F116" s="133">
        <v>2.6</v>
      </c>
      <c r="G116" s="46"/>
      <c r="H116" s="47">
        <f>F116*G116</f>
        <v>0</v>
      </c>
      <c r="I116" s="48">
        <v>2.4775800000000001</v>
      </c>
      <c r="J116" s="49">
        <f>F116*I116</f>
        <v>6.4417080000000002</v>
      </c>
      <c r="K116" s="48"/>
      <c r="L116" s="49">
        <f>F116*K116</f>
        <v>0</v>
      </c>
      <c r="M116" s="298" t="s">
        <v>803</v>
      </c>
    </row>
    <row r="117" spans="1:13" ht="16.149999999999999" customHeight="1">
      <c r="A117" s="385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</row>
    <row r="118" spans="1:13" ht="16.149999999999999" customHeight="1">
      <c r="A118" s="385"/>
      <c r="B118" s="33"/>
      <c r="C118" s="118"/>
      <c r="D118" s="35" t="s">
        <v>102</v>
      </c>
      <c r="E118" s="36"/>
      <c r="F118" s="132"/>
      <c r="G118" s="37"/>
      <c r="H118" s="38">
        <f>SUM(H119:H155)</f>
        <v>0</v>
      </c>
      <c r="I118" s="39"/>
      <c r="J118" s="41">
        <f>SUBTOTAL(9,J119:J154)</f>
        <v>104.67386</v>
      </c>
      <c r="K118" s="41"/>
      <c r="L118" s="41">
        <f>SUBTOTAL(9,L119:L154)</f>
        <v>0</v>
      </c>
    </row>
    <row r="119" spans="1:13" ht="24.6" customHeight="1">
      <c r="A119" s="378">
        <f>A116+1</f>
        <v>89</v>
      </c>
      <c r="B119" s="42" t="s">
        <v>64</v>
      </c>
      <c r="C119" s="43" t="s">
        <v>122</v>
      </c>
      <c r="D119" s="44" t="s">
        <v>123</v>
      </c>
      <c r="E119" s="45" t="s">
        <v>78</v>
      </c>
      <c r="F119" s="133">
        <f>(22.36+6.2+9.15+1.8)*2*5.5+12.4*5.3*0.5*2</f>
        <v>500.32999999999993</v>
      </c>
      <c r="G119" s="46"/>
      <c r="H119" s="47">
        <f t="shared" ref="H119:H127" si="53">F119*G119</f>
        <v>0</v>
      </c>
      <c r="I119" s="48"/>
      <c r="J119" s="49">
        <f t="shared" ref="J119:J123" si="54">F119*I119</f>
        <v>0</v>
      </c>
      <c r="K119" s="48"/>
      <c r="L119" s="49">
        <f t="shared" ref="L119:L127" si="55">F119*K119</f>
        <v>0</v>
      </c>
      <c r="M119" s="298" t="s">
        <v>803</v>
      </c>
    </row>
    <row r="120" spans="1:13" ht="24.6" customHeight="1">
      <c r="A120" s="378">
        <f>A119+1</f>
        <v>90</v>
      </c>
      <c r="B120" s="42" t="s">
        <v>64</v>
      </c>
      <c r="C120" s="43" t="s">
        <v>126</v>
      </c>
      <c r="D120" s="44" t="s">
        <v>544</v>
      </c>
      <c r="E120" s="45" t="s">
        <v>78</v>
      </c>
      <c r="F120" s="131">
        <f>F119*50</f>
        <v>25016.499999999996</v>
      </c>
      <c r="G120" s="46"/>
      <c r="H120" s="47">
        <f t="shared" si="53"/>
        <v>0</v>
      </c>
      <c r="I120" s="48"/>
      <c r="J120" s="49">
        <f t="shared" si="54"/>
        <v>0</v>
      </c>
      <c r="K120" s="48"/>
      <c r="L120" s="49">
        <f t="shared" si="55"/>
        <v>0</v>
      </c>
      <c r="M120" s="298" t="s">
        <v>803</v>
      </c>
    </row>
    <row r="121" spans="1:13" ht="24.6" customHeight="1">
      <c r="A121" s="378">
        <f t="shared" ref="A121:A154" si="56">A120+1</f>
        <v>91</v>
      </c>
      <c r="B121" s="42" t="s">
        <v>64</v>
      </c>
      <c r="C121" s="43" t="s">
        <v>127</v>
      </c>
      <c r="D121" s="44" t="s">
        <v>128</v>
      </c>
      <c r="E121" s="45" t="s">
        <v>78</v>
      </c>
      <c r="F121" s="133">
        <f>F119</f>
        <v>500.32999999999993</v>
      </c>
      <c r="G121" s="46"/>
      <c r="H121" s="47">
        <f t="shared" si="53"/>
        <v>0</v>
      </c>
      <c r="I121" s="48"/>
      <c r="J121" s="49">
        <f t="shared" si="54"/>
        <v>0</v>
      </c>
      <c r="K121" s="48"/>
      <c r="L121" s="49">
        <f t="shared" si="55"/>
        <v>0</v>
      </c>
      <c r="M121" s="298" t="s">
        <v>803</v>
      </c>
    </row>
    <row r="122" spans="1:13" ht="24.6" customHeight="1">
      <c r="A122" s="378">
        <f t="shared" si="56"/>
        <v>92</v>
      </c>
      <c r="B122" s="42" t="s">
        <v>64</v>
      </c>
      <c r="C122" s="43" t="s">
        <v>124</v>
      </c>
      <c r="D122" s="44" t="s">
        <v>125</v>
      </c>
      <c r="E122" s="45" t="s">
        <v>78</v>
      </c>
      <c r="F122" s="133">
        <f>podlahy!B2</f>
        <v>597.6</v>
      </c>
      <c r="G122" s="46"/>
      <c r="H122" s="47">
        <f t="shared" ref="H122" si="57">F122*G122</f>
        <v>0</v>
      </c>
      <c r="I122" s="48">
        <v>2.1000000000000001E-4</v>
      </c>
      <c r="J122" s="49">
        <f t="shared" ref="J122" si="58">F122*I122</f>
        <v>0.125496</v>
      </c>
      <c r="K122" s="48"/>
      <c r="L122" s="49">
        <f t="shared" ref="L122" si="59">F122*K122</f>
        <v>0</v>
      </c>
      <c r="M122" s="298" t="s">
        <v>803</v>
      </c>
    </row>
    <row r="123" spans="1:13" ht="24.6" customHeight="1">
      <c r="A123" s="378">
        <f t="shared" si="56"/>
        <v>93</v>
      </c>
      <c r="B123" s="42" t="s">
        <v>64</v>
      </c>
      <c r="C123" s="43" t="s">
        <v>595</v>
      </c>
      <c r="D123" s="44" t="s">
        <v>596</v>
      </c>
      <c r="E123" s="45" t="s">
        <v>75</v>
      </c>
      <c r="F123" s="133">
        <f>1.21332+0.0981</f>
        <v>1.31142</v>
      </c>
      <c r="G123" s="46"/>
      <c r="H123" s="47">
        <f t="shared" si="53"/>
        <v>0</v>
      </c>
      <c r="I123" s="302"/>
      <c r="J123" s="128">
        <f t="shared" si="54"/>
        <v>0</v>
      </c>
      <c r="K123" s="302"/>
      <c r="L123" s="49">
        <f t="shared" si="55"/>
        <v>0</v>
      </c>
      <c r="M123" s="298" t="s">
        <v>803</v>
      </c>
    </row>
    <row r="124" spans="1:13" ht="14.45" customHeight="1">
      <c r="A124" s="378">
        <f t="shared" si="56"/>
        <v>94</v>
      </c>
      <c r="B124" s="366" t="s">
        <v>64</v>
      </c>
      <c r="C124" s="74" t="s">
        <v>1486</v>
      </c>
      <c r="D124" s="367" t="s">
        <v>1487</v>
      </c>
      <c r="E124" s="368" t="s">
        <v>78</v>
      </c>
      <c r="F124" s="369">
        <f>podlahy!B2</f>
        <v>597.6</v>
      </c>
      <c r="G124" s="370"/>
      <c r="H124" s="75">
        <f t="shared" ref="H124" si="60">G124*F124</f>
        <v>0</v>
      </c>
      <c r="I124" s="371">
        <v>4.0000000000000003E-5</v>
      </c>
      <c r="J124" s="372">
        <f t="shared" ref="J124" si="61">I124*F124</f>
        <v>2.3904000000000002E-2</v>
      </c>
      <c r="K124" s="76"/>
      <c r="L124" s="77">
        <f t="shared" si="55"/>
        <v>0</v>
      </c>
      <c r="M124" s="298" t="s">
        <v>803</v>
      </c>
    </row>
    <row r="125" spans="1:13" ht="13.9" customHeight="1">
      <c r="A125" s="378">
        <f t="shared" si="56"/>
        <v>95</v>
      </c>
      <c r="B125" s="42" t="s">
        <v>219</v>
      </c>
      <c r="C125" s="43" t="s">
        <v>597</v>
      </c>
      <c r="D125" s="44" t="s">
        <v>598</v>
      </c>
      <c r="E125" s="45" t="s">
        <v>235</v>
      </c>
      <c r="F125" s="131">
        <f>F123*1000</f>
        <v>1311.42</v>
      </c>
      <c r="G125" s="46"/>
      <c r="H125" s="47">
        <f t="shared" si="53"/>
        <v>0</v>
      </c>
      <c r="I125" s="48"/>
      <c r="J125" s="49">
        <f>F123</f>
        <v>1.31142</v>
      </c>
      <c r="K125" s="48"/>
      <c r="L125" s="49">
        <f t="shared" si="55"/>
        <v>0</v>
      </c>
      <c r="M125" s="298"/>
    </row>
    <row r="126" spans="1:13" ht="25.9" customHeight="1">
      <c r="A126" s="378">
        <f t="shared" si="56"/>
        <v>96</v>
      </c>
      <c r="B126" s="42" t="s">
        <v>219</v>
      </c>
      <c r="C126" s="43" t="s">
        <v>1426</v>
      </c>
      <c r="D126" s="44" t="s">
        <v>1425</v>
      </c>
      <c r="E126" s="45" t="s">
        <v>235</v>
      </c>
      <c r="F126" s="126">
        <f>0.64*7*21.9</f>
        <v>98.112000000000009</v>
      </c>
      <c r="G126" s="46"/>
      <c r="H126" s="47">
        <f t="shared" si="53"/>
        <v>0</v>
      </c>
      <c r="I126" s="48">
        <v>1.05</v>
      </c>
      <c r="J126" s="49">
        <f t="shared" ref="J126:J127" si="62">F126*I126</f>
        <v>103.01760000000002</v>
      </c>
      <c r="K126" s="48"/>
      <c r="L126" s="49">
        <f t="shared" si="55"/>
        <v>0</v>
      </c>
      <c r="M126" s="298"/>
    </row>
    <row r="127" spans="1:13" ht="27" customHeight="1">
      <c r="A127" s="378">
        <f t="shared" ref="A127:A129" si="63">A126+1</f>
        <v>97</v>
      </c>
      <c r="B127" s="42" t="s">
        <v>64</v>
      </c>
      <c r="C127" s="43" t="s">
        <v>1428</v>
      </c>
      <c r="D127" s="44" t="s">
        <v>1427</v>
      </c>
      <c r="E127" s="45" t="s">
        <v>83</v>
      </c>
      <c r="F127" s="261">
        <v>11</v>
      </c>
      <c r="G127" s="46"/>
      <c r="H127" s="47">
        <f t="shared" si="53"/>
        <v>0</v>
      </c>
      <c r="I127" s="48">
        <v>1.2E-2</v>
      </c>
      <c r="J127" s="49">
        <f t="shared" si="62"/>
        <v>0.13200000000000001</v>
      </c>
      <c r="K127" s="48"/>
      <c r="L127" s="49">
        <f t="shared" si="55"/>
        <v>0</v>
      </c>
      <c r="M127" s="298"/>
    </row>
    <row r="128" spans="1:13" ht="13.9" customHeight="1">
      <c r="A128" s="378">
        <f t="shared" si="63"/>
        <v>98</v>
      </c>
      <c r="B128" s="42" t="s">
        <v>64</v>
      </c>
      <c r="C128" s="43" t="s">
        <v>778</v>
      </c>
      <c r="D128" s="44" t="s">
        <v>779</v>
      </c>
      <c r="E128" s="45" t="s">
        <v>78</v>
      </c>
      <c r="F128" s="133">
        <v>210</v>
      </c>
      <c r="G128" s="46"/>
      <c r="H128" s="47">
        <f>F128*G128</f>
        <v>0</v>
      </c>
      <c r="I128" s="48"/>
      <c r="J128" s="49">
        <f>F128*I128</f>
        <v>0</v>
      </c>
      <c r="K128" s="48"/>
      <c r="L128" s="49">
        <f>F128*K128</f>
        <v>0</v>
      </c>
      <c r="M128" s="298"/>
    </row>
    <row r="129" spans="1:13" ht="13.9" customHeight="1">
      <c r="A129" s="387">
        <f t="shared" si="63"/>
        <v>99</v>
      </c>
      <c r="B129" s="42" t="s">
        <v>64</v>
      </c>
      <c r="C129" s="43" t="s">
        <v>294</v>
      </c>
      <c r="D129" s="44" t="s">
        <v>787</v>
      </c>
      <c r="E129" s="45" t="s">
        <v>78</v>
      </c>
      <c r="F129" s="133">
        <v>22</v>
      </c>
      <c r="G129" s="46"/>
      <c r="H129" s="47">
        <f>F129*G129</f>
        <v>0</v>
      </c>
      <c r="I129" s="48"/>
      <c r="J129" s="49">
        <f>F129*I129</f>
        <v>0</v>
      </c>
      <c r="K129" s="48"/>
      <c r="L129" s="49">
        <f>F129*K129</f>
        <v>0</v>
      </c>
      <c r="M129" s="298" t="s">
        <v>803</v>
      </c>
    </row>
    <row r="130" spans="1:13" ht="15" customHeight="1">
      <c r="A130" s="387">
        <f t="shared" si="56"/>
        <v>100</v>
      </c>
      <c r="B130" s="42" t="s">
        <v>64</v>
      </c>
      <c r="C130" s="262" t="s">
        <v>542</v>
      </c>
      <c r="D130" s="263" t="s">
        <v>545</v>
      </c>
      <c r="E130" s="264" t="s">
        <v>543</v>
      </c>
      <c r="F130" s="265">
        <v>1</v>
      </c>
      <c r="G130" s="266"/>
      <c r="H130" s="267">
        <f t="shared" ref="H130:H154" si="64">F130*G130</f>
        <v>0</v>
      </c>
      <c r="I130" s="48"/>
      <c r="J130" s="49">
        <f>F130*I130</f>
        <v>0</v>
      </c>
      <c r="K130" s="48"/>
      <c r="L130" s="49">
        <f>F130*K130</f>
        <v>0</v>
      </c>
      <c r="M130" s="298"/>
    </row>
    <row r="131" spans="1:13" s="360" customFormat="1" ht="23.45" customHeight="1">
      <c r="A131" s="387">
        <f t="shared" si="56"/>
        <v>101</v>
      </c>
      <c r="B131" s="42" t="s">
        <v>64</v>
      </c>
      <c r="C131" s="357" t="s">
        <v>1436</v>
      </c>
      <c r="D131" s="357" t="s">
        <v>1437</v>
      </c>
      <c r="E131" s="361" t="s">
        <v>543</v>
      </c>
      <c r="F131" s="363">
        <v>1</v>
      </c>
      <c r="G131" s="359"/>
      <c r="H131" s="267">
        <f t="shared" si="64"/>
        <v>0</v>
      </c>
      <c r="I131" s="48"/>
      <c r="J131" s="358">
        <v>3.0000000000000001E-5</v>
      </c>
      <c r="K131" s="48"/>
      <c r="L131" s="49">
        <f t="shared" ref="L131:L154" si="65">F131*K131</f>
        <v>0</v>
      </c>
      <c r="M131" s="298"/>
    </row>
    <row r="132" spans="1:13" s="360" customFormat="1" ht="16.149999999999999" customHeight="1">
      <c r="A132" s="387">
        <f t="shared" si="56"/>
        <v>102</v>
      </c>
      <c r="B132" s="42" t="s">
        <v>64</v>
      </c>
      <c r="C132" s="357" t="s">
        <v>1438</v>
      </c>
      <c r="D132" s="357" t="s">
        <v>1439</v>
      </c>
      <c r="E132" s="361" t="s">
        <v>543</v>
      </c>
      <c r="F132" s="363">
        <v>1</v>
      </c>
      <c r="G132" s="359"/>
      <c r="H132" s="267">
        <f t="shared" si="64"/>
        <v>0</v>
      </c>
      <c r="I132" s="48"/>
      <c r="J132" s="358">
        <v>3.0000000000000001E-5</v>
      </c>
      <c r="K132" s="48"/>
      <c r="L132" s="49">
        <f t="shared" si="65"/>
        <v>0</v>
      </c>
      <c r="M132" s="298"/>
    </row>
    <row r="133" spans="1:13" s="360" customFormat="1" ht="26.45" customHeight="1">
      <c r="A133" s="387">
        <f t="shared" si="56"/>
        <v>103</v>
      </c>
      <c r="B133" s="42" t="s">
        <v>64</v>
      </c>
      <c r="C133" s="357" t="s">
        <v>1440</v>
      </c>
      <c r="D133" s="357" t="s">
        <v>1441</v>
      </c>
      <c r="E133" s="361" t="s">
        <v>543</v>
      </c>
      <c r="F133" s="363">
        <v>1</v>
      </c>
      <c r="G133" s="359"/>
      <c r="H133" s="267">
        <f t="shared" si="64"/>
        <v>0</v>
      </c>
      <c r="I133" s="48"/>
      <c r="J133" s="358">
        <v>3.0000000000000001E-5</v>
      </c>
      <c r="K133" s="48"/>
      <c r="L133" s="49">
        <f t="shared" si="65"/>
        <v>0</v>
      </c>
      <c r="M133" s="298"/>
    </row>
    <row r="134" spans="1:13" s="360" customFormat="1" ht="25.9" customHeight="1">
      <c r="A134" s="387">
        <f t="shared" si="56"/>
        <v>104</v>
      </c>
      <c r="B134" s="42" t="s">
        <v>64</v>
      </c>
      <c r="C134" s="357" t="s">
        <v>1442</v>
      </c>
      <c r="D134" s="357" t="s">
        <v>1443</v>
      </c>
      <c r="E134" s="361" t="s">
        <v>543</v>
      </c>
      <c r="F134" s="363">
        <v>1</v>
      </c>
      <c r="G134" s="359"/>
      <c r="H134" s="267">
        <f t="shared" si="64"/>
        <v>0</v>
      </c>
      <c r="I134" s="48"/>
      <c r="J134" s="358">
        <v>4.0000000000000003E-5</v>
      </c>
      <c r="K134" s="48"/>
      <c r="L134" s="49">
        <f t="shared" si="65"/>
        <v>0</v>
      </c>
      <c r="M134" s="298"/>
    </row>
    <row r="135" spans="1:13" s="360" customFormat="1" ht="43.9" customHeight="1">
      <c r="A135" s="387">
        <f t="shared" si="56"/>
        <v>105</v>
      </c>
      <c r="B135" s="42" t="s">
        <v>64</v>
      </c>
      <c r="C135" s="357" t="s">
        <v>1444</v>
      </c>
      <c r="D135" s="357" t="s">
        <v>1445</v>
      </c>
      <c r="E135" s="361" t="s">
        <v>83</v>
      </c>
      <c r="F135" s="363">
        <v>500</v>
      </c>
      <c r="G135" s="359"/>
      <c r="H135" s="267">
        <f t="shared" si="64"/>
        <v>0</v>
      </c>
      <c r="I135" s="48"/>
      <c r="J135" s="358">
        <v>1.4999999999999999E-2</v>
      </c>
      <c r="K135" s="48"/>
      <c r="L135" s="49">
        <f t="shared" si="65"/>
        <v>0</v>
      </c>
      <c r="M135" s="298"/>
    </row>
    <row r="136" spans="1:13" s="360" customFormat="1" ht="25.9" customHeight="1">
      <c r="A136" s="387">
        <f t="shared" si="56"/>
        <v>106</v>
      </c>
      <c r="B136" s="42" t="s">
        <v>64</v>
      </c>
      <c r="C136" s="357" t="s">
        <v>1446</v>
      </c>
      <c r="D136" s="357" t="s">
        <v>1447</v>
      </c>
      <c r="E136" s="361" t="s">
        <v>378</v>
      </c>
      <c r="F136" s="363">
        <v>10</v>
      </c>
      <c r="G136" s="359"/>
      <c r="H136" s="267">
        <f t="shared" si="64"/>
        <v>0</v>
      </c>
      <c r="I136" s="48"/>
      <c r="J136" s="358">
        <v>2.9999999999999997E-4</v>
      </c>
      <c r="K136" s="48"/>
      <c r="L136" s="49">
        <f t="shared" si="65"/>
        <v>0</v>
      </c>
      <c r="M136" s="298"/>
    </row>
    <row r="137" spans="1:13" s="360" customFormat="1" ht="25.9" customHeight="1">
      <c r="A137" s="387">
        <f t="shared" si="56"/>
        <v>107</v>
      </c>
      <c r="B137" s="42" t="s">
        <v>64</v>
      </c>
      <c r="C137" s="357" t="s">
        <v>1448</v>
      </c>
      <c r="D137" s="357" t="s">
        <v>1449</v>
      </c>
      <c r="E137" s="361" t="s">
        <v>83</v>
      </c>
      <c r="F137" s="363">
        <v>200</v>
      </c>
      <c r="G137" s="359"/>
      <c r="H137" s="267">
        <f t="shared" si="64"/>
        <v>0</v>
      </c>
      <c r="I137" s="48"/>
      <c r="J137" s="358">
        <v>8.0000000000000002E-3</v>
      </c>
      <c r="K137" s="48"/>
      <c r="L137" s="49">
        <f t="shared" si="65"/>
        <v>0</v>
      </c>
      <c r="M137" s="298"/>
    </row>
    <row r="138" spans="1:13" s="360" customFormat="1" ht="16.149999999999999" customHeight="1">
      <c r="A138" s="387">
        <f t="shared" si="56"/>
        <v>108</v>
      </c>
      <c r="B138" s="42" t="s">
        <v>64</v>
      </c>
      <c r="C138" s="357" t="s">
        <v>1450</v>
      </c>
      <c r="D138" s="357" t="s">
        <v>1451</v>
      </c>
      <c r="E138" s="361" t="s">
        <v>378</v>
      </c>
      <c r="F138" s="363">
        <v>10</v>
      </c>
      <c r="G138" s="359"/>
      <c r="H138" s="267">
        <f t="shared" si="64"/>
        <v>0</v>
      </c>
      <c r="I138" s="48"/>
      <c r="J138" s="358">
        <v>4.0000000000000002E-4</v>
      </c>
      <c r="K138" s="48"/>
      <c r="L138" s="49">
        <f t="shared" si="65"/>
        <v>0</v>
      </c>
      <c r="M138" s="298"/>
    </row>
    <row r="139" spans="1:13" s="360" customFormat="1" ht="43.15" customHeight="1">
      <c r="A139" s="387">
        <f t="shared" si="56"/>
        <v>109</v>
      </c>
      <c r="B139" s="42" t="s">
        <v>64</v>
      </c>
      <c r="C139" s="357" t="s">
        <v>1452</v>
      </c>
      <c r="D139" s="357" t="s">
        <v>1453</v>
      </c>
      <c r="E139" s="361" t="s">
        <v>378</v>
      </c>
      <c r="F139" s="363">
        <v>1</v>
      </c>
      <c r="G139" s="359"/>
      <c r="H139" s="267">
        <f t="shared" si="64"/>
        <v>0</v>
      </c>
      <c r="I139" s="48"/>
      <c r="J139" s="358">
        <v>5.0000000000000002E-5</v>
      </c>
      <c r="K139" s="48"/>
      <c r="L139" s="49">
        <f t="shared" si="65"/>
        <v>0</v>
      </c>
      <c r="M139" s="298"/>
    </row>
    <row r="140" spans="1:13" s="360" customFormat="1" ht="26.45" customHeight="1">
      <c r="A140" s="387">
        <f t="shared" si="56"/>
        <v>110</v>
      </c>
      <c r="B140" s="42" t="s">
        <v>64</v>
      </c>
      <c r="C140" s="357" t="s">
        <v>1454</v>
      </c>
      <c r="D140" s="357" t="s">
        <v>1455</v>
      </c>
      <c r="E140" s="361" t="s">
        <v>83</v>
      </c>
      <c r="F140" s="363">
        <v>42</v>
      </c>
      <c r="G140" s="359"/>
      <c r="H140" s="267">
        <f t="shared" si="64"/>
        <v>0</v>
      </c>
      <c r="I140" s="48"/>
      <c r="J140" s="358">
        <v>2.9399999999999999E-3</v>
      </c>
      <c r="K140" s="48"/>
      <c r="L140" s="49">
        <f t="shared" si="65"/>
        <v>0</v>
      </c>
      <c r="M140" s="298"/>
    </row>
    <row r="141" spans="1:13" s="360" customFormat="1" ht="16.149999999999999" customHeight="1">
      <c r="A141" s="387">
        <f t="shared" si="56"/>
        <v>111</v>
      </c>
      <c r="B141" s="42" t="s">
        <v>64</v>
      </c>
      <c r="C141" s="357" t="s">
        <v>1456</v>
      </c>
      <c r="D141" s="357" t="s">
        <v>1457</v>
      </c>
      <c r="E141" s="361" t="s">
        <v>378</v>
      </c>
      <c r="F141" s="363">
        <v>10</v>
      </c>
      <c r="G141" s="359"/>
      <c r="H141" s="267">
        <f t="shared" si="64"/>
        <v>0</v>
      </c>
      <c r="I141" s="48"/>
      <c r="J141" s="358">
        <v>2.9999999999999997E-4</v>
      </c>
      <c r="K141" s="48"/>
      <c r="L141" s="49">
        <f t="shared" si="65"/>
        <v>0</v>
      </c>
      <c r="M141" s="298"/>
    </row>
    <row r="142" spans="1:13" s="360" customFormat="1" ht="16.149999999999999" customHeight="1">
      <c r="A142" s="387">
        <f t="shared" si="56"/>
        <v>112</v>
      </c>
      <c r="B142" s="42" t="s">
        <v>64</v>
      </c>
      <c r="C142" s="357" t="s">
        <v>1458</v>
      </c>
      <c r="D142" s="357" t="s">
        <v>1459</v>
      </c>
      <c r="E142" s="361" t="s">
        <v>378</v>
      </c>
      <c r="F142" s="363">
        <v>2</v>
      </c>
      <c r="G142" s="359"/>
      <c r="H142" s="267">
        <f t="shared" si="64"/>
        <v>0</v>
      </c>
      <c r="I142" s="48"/>
      <c r="J142" s="358">
        <v>6.0000000000000002E-5</v>
      </c>
      <c r="K142" s="48"/>
      <c r="L142" s="49">
        <f t="shared" si="65"/>
        <v>0</v>
      </c>
      <c r="M142" s="298"/>
    </row>
    <row r="143" spans="1:13" s="360" customFormat="1" ht="16.149999999999999" customHeight="1">
      <c r="A143" s="387">
        <f t="shared" si="56"/>
        <v>113</v>
      </c>
      <c r="B143" s="42" t="s">
        <v>64</v>
      </c>
      <c r="C143" s="357" t="s">
        <v>1460</v>
      </c>
      <c r="D143" s="357" t="s">
        <v>1461</v>
      </c>
      <c r="E143" s="361" t="s">
        <v>378</v>
      </c>
      <c r="F143" s="363">
        <v>2</v>
      </c>
      <c r="G143" s="359"/>
      <c r="H143" s="267">
        <f t="shared" si="64"/>
        <v>0</v>
      </c>
      <c r="I143" s="48"/>
      <c r="J143" s="358">
        <v>6.0000000000000002E-5</v>
      </c>
      <c r="K143" s="48"/>
      <c r="L143" s="49">
        <f t="shared" si="65"/>
        <v>0</v>
      </c>
      <c r="M143" s="298"/>
    </row>
    <row r="144" spans="1:13" s="360" customFormat="1" ht="20.45" customHeight="1">
      <c r="A144" s="387">
        <f t="shared" si="56"/>
        <v>114</v>
      </c>
      <c r="B144" s="42" t="s">
        <v>64</v>
      </c>
      <c r="C144" s="357" t="s">
        <v>1462</v>
      </c>
      <c r="D144" s="357" t="s">
        <v>1463</v>
      </c>
      <c r="E144" s="361" t="s">
        <v>1464</v>
      </c>
      <c r="F144" s="363">
        <v>425</v>
      </c>
      <c r="G144" s="359"/>
      <c r="H144" s="267">
        <f t="shared" si="64"/>
        <v>0</v>
      </c>
      <c r="I144" s="48"/>
      <c r="J144" s="358">
        <v>1.7000000000000001E-2</v>
      </c>
      <c r="K144" s="48"/>
      <c r="L144" s="49">
        <f t="shared" si="65"/>
        <v>0</v>
      </c>
      <c r="M144" s="298"/>
    </row>
    <row r="145" spans="1:13" s="360" customFormat="1" ht="16.149999999999999" customHeight="1">
      <c r="A145" s="387">
        <f t="shared" si="56"/>
        <v>115</v>
      </c>
      <c r="B145" s="42" t="s">
        <v>64</v>
      </c>
      <c r="C145" s="357" t="s">
        <v>1465</v>
      </c>
      <c r="D145" s="357" t="s">
        <v>1466</v>
      </c>
      <c r="E145" s="361" t="s">
        <v>83</v>
      </c>
      <c r="F145" s="363">
        <v>20</v>
      </c>
      <c r="G145" s="359"/>
      <c r="H145" s="267">
        <f t="shared" si="64"/>
        <v>0</v>
      </c>
      <c r="I145" s="48"/>
      <c r="J145" s="358">
        <v>1E-3</v>
      </c>
      <c r="K145" s="48"/>
      <c r="L145" s="49">
        <f t="shared" si="65"/>
        <v>0</v>
      </c>
      <c r="M145" s="298"/>
    </row>
    <row r="146" spans="1:13" s="360" customFormat="1" ht="16.149999999999999" customHeight="1">
      <c r="A146" s="387">
        <f t="shared" si="56"/>
        <v>116</v>
      </c>
      <c r="B146" s="42" t="s">
        <v>64</v>
      </c>
      <c r="C146" s="357" t="s">
        <v>1467</v>
      </c>
      <c r="D146" s="357" t="s">
        <v>1468</v>
      </c>
      <c r="E146" s="361" t="s">
        <v>83</v>
      </c>
      <c r="F146" s="363">
        <v>20</v>
      </c>
      <c r="G146" s="359"/>
      <c r="H146" s="267">
        <f t="shared" si="64"/>
        <v>0</v>
      </c>
      <c r="I146" s="48"/>
      <c r="J146" s="358">
        <v>1E-3</v>
      </c>
      <c r="K146" s="48"/>
      <c r="L146" s="49">
        <f t="shared" si="65"/>
        <v>0</v>
      </c>
      <c r="M146" s="298"/>
    </row>
    <row r="147" spans="1:13" s="360" customFormat="1" ht="25.15" customHeight="1">
      <c r="A147" s="387">
        <f t="shared" si="56"/>
        <v>117</v>
      </c>
      <c r="B147" s="42" t="s">
        <v>64</v>
      </c>
      <c r="C147" s="357" t="s">
        <v>1469</v>
      </c>
      <c r="D147" s="357" t="s">
        <v>1470</v>
      </c>
      <c r="E147" s="361" t="s">
        <v>83</v>
      </c>
      <c r="F147" s="363">
        <v>55</v>
      </c>
      <c r="G147" s="359"/>
      <c r="H147" s="267">
        <f t="shared" si="64"/>
        <v>0</v>
      </c>
      <c r="I147" s="48"/>
      <c r="J147" s="358">
        <v>6.6E-3</v>
      </c>
      <c r="K147" s="48"/>
      <c r="L147" s="49">
        <f t="shared" si="65"/>
        <v>0</v>
      </c>
      <c r="M147" s="298"/>
    </row>
    <row r="148" spans="1:13" s="360" customFormat="1" ht="13.9" customHeight="1">
      <c r="A148" s="387">
        <f t="shared" si="56"/>
        <v>118</v>
      </c>
      <c r="B148" s="42" t="s">
        <v>64</v>
      </c>
      <c r="C148" s="357" t="s">
        <v>1471</v>
      </c>
      <c r="D148" s="357" t="s">
        <v>1472</v>
      </c>
      <c r="E148" s="361" t="s">
        <v>83</v>
      </c>
      <c r="F148" s="363">
        <v>55</v>
      </c>
      <c r="G148" s="359"/>
      <c r="H148" s="267">
        <f t="shared" si="64"/>
        <v>0</v>
      </c>
      <c r="I148" s="48"/>
      <c r="J148" s="358">
        <v>6.6E-3</v>
      </c>
      <c r="K148" s="48"/>
      <c r="L148" s="49">
        <f t="shared" si="65"/>
        <v>0</v>
      </c>
      <c r="M148" s="298"/>
    </row>
    <row r="149" spans="1:13" s="360" customFormat="1" ht="31.9" customHeight="1">
      <c r="A149" s="387">
        <f t="shared" si="56"/>
        <v>119</v>
      </c>
      <c r="B149" s="42" t="s">
        <v>64</v>
      </c>
      <c r="C149" s="357" t="s">
        <v>1473</v>
      </c>
      <c r="D149" s="357" t="s">
        <v>1474</v>
      </c>
      <c r="E149" s="361" t="s">
        <v>543</v>
      </c>
      <c r="F149" s="363">
        <v>1</v>
      </c>
      <c r="G149" s="359"/>
      <c r="H149" s="267">
        <f t="shared" si="64"/>
        <v>0</v>
      </c>
      <c r="I149" s="48"/>
      <c r="J149" s="358">
        <v>1.2E-4</v>
      </c>
      <c r="K149" s="48"/>
      <c r="L149" s="49">
        <f t="shared" si="65"/>
        <v>0</v>
      </c>
      <c r="M149" s="298"/>
    </row>
    <row r="150" spans="1:13" s="360" customFormat="1" ht="25.15" customHeight="1">
      <c r="A150" s="387">
        <f t="shared" si="56"/>
        <v>120</v>
      </c>
      <c r="B150" s="42" t="s">
        <v>64</v>
      </c>
      <c r="C150" s="357" t="s">
        <v>1475</v>
      </c>
      <c r="D150" s="357" t="s">
        <v>1476</v>
      </c>
      <c r="E150" s="361" t="s">
        <v>543</v>
      </c>
      <c r="F150" s="363">
        <v>1</v>
      </c>
      <c r="G150" s="359"/>
      <c r="H150" s="267">
        <f t="shared" si="64"/>
        <v>0</v>
      </c>
      <c r="I150" s="48"/>
      <c r="J150" s="358">
        <v>1.3999999999999999E-4</v>
      </c>
      <c r="K150" s="48"/>
      <c r="L150" s="49">
        <f t="shared" si="65"/>
        <v>0</v>
      </c>
      <c r="M150" s="298"/>
    </row>
    <row r="151" spans="1:13" s="360" customFormat="1" ht="21.6" customHeight="1">
      <c r="A151" s="387">
        <f t="shared" si="56"/>
        <v>121</v>
      </c>
      <c r="B151" s="42" t="s">
        <v>64</v>
      </c>
      <c r="C151" s="357" t="s">
        <v>1477</v>
      </c>
      <c r="D151" s="357" t="s">
        <v>1478</v>
      </c>
      <c r="E151" s="361" t="s">
        <v>543</v>
      </c>
      <c r="F151" s="363">
        <v>2</v>
      </c>
      <c r="G151" s="359"/>
      <c r="H151" s="267">
        <f t="shared" si="64"/>
        <v>0</v>
      </c>
      <c r="I151" s="48"/>
      <c r="J151" s="358">
        <v>2.5999999999999998E-4</v>
      </c>
      <c r="K151" s="48"/>
      <c r="L151" s="49">
        <f t="shared" si="65"/>
        <v>0</v>
      </c>
      <c r="M151" s="298"/>
    </row>
    <row r="152" spans="1:13" s="360" customFormat="1" ht="16.149999999999999" customHeight="1">
      <c r="A152" s="387">
        <f t="shared" si="56"/>
        <v>122</v>
      </c>
      <c r="B152" s="42" t="s">
        <v>64</v>
      </c>
      <c r="C152" s="357" t="s">
        <v>1479</v>
      </c>
      <c r="D152" s="357" t="s">
        <v>1480</v>
      </c>
      <c r="E152" s="361" t="s">
        <v>83</v>
      </c>
      <c r="F152" s="363">
        <v>20</v>
      </c>
      <c r="G152" s="359"/>
      <c r="H152" s="267">
        <f t="shared" si="64"/>
        <v>0</v>
      </c>
      <c r="I152" s="48"/>
      <c r="J152" s="358">
        <v>2.5999999999999999E-3</v>
      </c>
      <c r="K152" s="48"/>
      <c r="L152" s="49">
        <f t="shared" si="65"/>
        <v>0</v>
      </c>
      <c r="M152" s="298"/>
    </row>
    <row r="153" spans="1:13" s="360" customFormat="1" ht="20.45" customHeight="1">
      <c r="A153" s="387">
        <f t="shared" si="56"/>
        <v>123</v>
      </c>
      <c r="B153" s="42" t="s">
        <v>64</v>
      </c>
      <c r="C153" s="357" t="s">
        <v>1481</v>
      </c>
      <c r="D153" s="357" t="s">
        <v>1482</v>
      </c>
      <c r="E153" s="361" t="s">
        <v>543</v>
      </c>
      <c r="F153" s="363">
        <v>1</v>
      </c>
      <c r="G153" s="359"/>
      <c r="H153" s="267">
        <f t="shared" si="64"/>
        <v>0</v>
      </c>
      <c r="I153" s="48"/>
      <c r="J153" s="358">
        <v>1.2999999999999999E-4</v>
      </c>
      <c r="K153" s="48"/>
      <c r="L153" s="49">
        <f t="shared" si="65"/>
        <v>0</v>
      </c>
      <c r="M153" s="298"/>
    </row>
    <row r="154" spans="1:13" s="360" customFormat="1" ht="20.45" customHeight="1">
      <c r="A154" s="387">
        <f t="shared" si="56"/>
        <v>124</v>
      </c>
      <c r="B154" s="42" t="s">
        <v>64</v>
      </c>
      <c r="C154" s="357" t="s">
        <v>1483</v>
      </c>
      <c r="D154" s="357" t="s">
        <v>1484</v>
      </c>
      <c r="E154" s="362" t="s">
        <v>1485</v>
      </c>
      <c r="F154" s="363">
        <v>5</v>
      </c>
      <c r="G154" s="359"/>
      <c r="H154" s="365">
        <f t="shared" si="64"/>
        <v>0</v>
      </c>
      <c r="I154" s="364"/>
      <c r="J154" s="358">
        <v>7.5000000000000002E-4</v>
      </c>
      <c r="K154" s="48"/>
      <c r="L154" s="49">
        <f t="shared" si="65"/>
        <v>0</v>
      </c>
      <c r="M154" s="298"/>
    </row>
    <row r="155" spans="1:13" ht="16.149999999999999" customHeight="1">
      <c r="A155" s="388"/>
      <c r="B155" s="33"/>
      <c r="C155" s="34"/>
      <c r="D155" s="35" t="s">
        <v>155</v>
      </c>
      <c r="E155" s="36"/>
      <c r="F155" s="138"/>
      <c r="G155" s="37"/>
      <c r="H155" s="38">
        <f>SUBTOTAL(9,H156:H216)</f>
        <v>0</v>
      </c>
      <c r="I155" s="39"/>
      <c r="J155" s="41">
        <f>SUBTOTAL(9,J156:J216)</f>
        <v>0</v>
      </c>
      <c r="K155" s="41"/>
      <c r="L155" s="41">
        <f>SUBTOTAL(9,L156:L216)</f>
        <v>104.73376736800003</v>
      </c>
      <c r="M155" s="39"/>
    </row>
    <row r="156" spans="1:13" ht="22.9" customHeight="1">
      <c r="A156" s="387">
        <f>A154+1</f>
        <v>125</v>
      </c>
      <c r="B156" s="42" t="s">
        <v>64</v>
      </c>
      <c r="C156" s="43" t="s">
        <v>107</v>
      </c>
      <c r="D156" s="44" t="s">
        <v>108</v>
      </c>
      <c r="E156" s="45" t="s">
        <v>67</v>
      </c>
      <c r="F156" s="136">
        <f>SUM(F157:F160)</f>
        <v>14.092000000000001</v>
      </c>
      <c r="G156" s="46"/>
      <c r="H156" s="47">
        <f t="shared" ref="H156" si="66">F156*G156</f>
        <v>0</v>
      </c>
      <c r="I156" s="48"/>
      <c r="J156" s="49">
        <f t="shared" ref="J156" si="67">F156*I156</f>
        <v>0</v>
      </c>
      <c r="K156" s="48">
        <v>2.2000000000000002</v>
      </c>
      <c r="L156" s="49">
        <f t="shared" ref="L156" si="68">F156*K156</f>
        <v>31.002400000000005</v>
      </c>
      <c r="M156" s="298" t="s">
        <v>803</v>
      </c>
    </row>
    <row r="157" spans="1:13" ht="14.45" customHeight="1">
      <c r="A157" s="389"/>
      <c r="B157" s="64" t="s">
        <v>78</v>
      </c>
      <c r="C157" s="65">
        <f>F157/0.05</f>
        <v>83.64</v>
      </c>
      <c r="D157" s="66" t="s">
        <v>156</v>
      </c>
      <c r="E157" s="63" t="s">
        <v>67</v>
      </c>
      <c r="F157" s="139">
        <f>(24.13+42.21+17.3)*0.05</f>
        <v>4.1820000000000004</v>
      </c>
      <c r="G157" s="67"/>
      <c r="H157" s="68"/>
      <c r="I157" s="69"/>
      <c r="J157" s="70"/>
      <c r="K157" s="71"/>
      <c r="L157" s="72"/>
      <c r="M157" s="298"/>
    </row>
    <row r="158" spans="1:13" ht="14.45" customHeight="1">
      <c r="A158" s="389"/>
      <c r="B158" s="64" t="s">
        <v>78</v>
      </c>
      <c r="C158" s="65">
        <f>F158/0.1</f>
        <v>39.04</v>
      </c>
      <c r="D158" s="66" t="s">
        <v>157</v>
      </c>
      <c r="E158" s="63" t="s">
        <v>67</v>
      </c>
      <c r="F158" s="139">
        <f>(13.61+13.53+11.9)*0.1</f>
        <v>3.9039999999999999</v>
      </c>
      <c r="G158" s="67"/>
      <c r="H158" s="68"/>
      <c r="I158" s="69"/>
      <c r="J158" s="70"/>
      <c r="K158" s="71"/>
      <c r="L158" s="72"/>
      <c r="M158" s="298"/>
    </row>
    <row r="159" spans="1:13" ht="14.45" customHeight="1">
      <c r="A159" s="389"/>
      <c r="B159" s="64" t="s">
        <v>78</v>
      </c>
      <c r="C159" s="65">
        <f>11.71+10.95+9.14</f>
        <v>31.8</v>
      </c>
      <c r="D159" s="66" t="s">
        <v>158</v>
      </c>
      <c r="E159" s="63" t="s">
        <v>67</v>
      </c>
      <c r="F159" s="73">
        <f xml:space="preserve"> 0</f>
        <v>0</v>
      </c>
      <c r="G159" s="67"/>
      <c r="H159" s="68"/>
      <c r="I159" s="69"/>
      <c r="J159" s="70"/>
      <c r="K159" s="71"/>
      <c r="L159" s="72"/>
      <c r="M159" s="298"/>
    </row>
    <row r="160" spans="1:13" ht="14.45" customHeight="1">
      <c r="A160" s="389"/>
      <c r="B160" s="64" t="s">
        <v>78</v>
      </c>
      <c r="C160" s="65">
        <f>F160/0.1</f>
        <v>60.06</v>
      </c>
      <c r="D160" s="66" t="s">
        <v>159</v>
      </c>
      <c r="E160" s="63" t="s">
        <v>67</v>
      </c>
      <c r="F160" s="73">
        <f>(43.81+16.25)*0.1</f>
        <v>6.0060000000000002</v>
      </c>
      <c r="G160" s="67"/>
      <c r="H160" s="68"/>
      <c r="I160" s="69"/>
      <c r="J160" s="70"/>
      <c r="K160" s="71"/>
      <c r="L160" s="72"/>
      <c r="M160" s="298"/>
    </row>
    <row r="161" spans="1:13" ht="16.149999999999999" customHeight="1">
      <c r="A161" s="387">
        <f>A156+1</f>
        <v>126</v>
      </c>
      <c r="B161" s="42" t="s">
        <v>64</v>
      </c>
      <c r="C161" s="43" t="s">
        <v>109</v>
      </c>
      <c r="D161" s="44" t="s">
        <v>110</v>
      </c>
      <c r="E161" s="45" t="s">
        <v>67</v>
      </c>
      <c r="F161" s="133">
        <f>F162</f>
        <v>4.7699999999999996</v>
      </c>
      <c r="G161" s="46"/>
      <c r="H161" s="47">
        <f t="shared" ref="H161" si="69">F161*G161</f>
        <v>0</v>
      </c>
      <c r="I161" s="48"/>
      <c r="J161" s="49">
        <f t="shared" ref="J161" si="70">F161*I161</f>
        <v>0</v>
      </c>
      <c r="K161" s="48">
        <v>1.4</v>
      </c>
      <c r="L161" s="49">
        <f t="shared" ref="L161" si="71">F161*K161</f>
        <v>6.677999999999999</v>
      </c>
      <c r="M161" s="298" t="s">
        <v>803</v>
      </c>
    </row>
    <row r="162" spans="1:13" ht="14.45" customHeight="1">
      <c r="A162" s="389"/>
      <c r="B162" s="64"/>
      <c r="C162" s="65"/>
      <c r="D162" s="66" t="s">
        <v>160</v>
      </c>
      <c r="E162" s="63" t="s">
        <v>67</v>
      </c>
      <c r="F162" s="73">
        <f>C159*0.15</f>
        <v>4.7699999999999996</v>
      </c>
      <c r="G162" s="67"/>
      <c r="H162" s="68"/>
      <c r="I162" s="69"/>
      <c r="J162" s="70"/>
      <c r="K162" s="71"/>
      <c r="L162" s="72"/>
      <c r="M162" s="298"/>
    </row>
    <row r="163" spans="1:13" ht="14.45" customHeight="1">
      <c r="A163" s="387">
        <f>A161+1</f>
        <v>127</v>
      </c>
      <c r="B163" s="42" t="s">
        <v>64</v>
      </c>
      <c r="C163" s="43" t="s">
        <v>166</v>
      </c>
      <c r="D163" s="44" t="s">
        <v>167</v>
      </c>
      <c r="E163" s="45" t="s">
        <v>78</v>
      </c>
      <c r="F163" s="126">
        <f>2.5*(1.83+0.93+1.6)+2.6*(1.8+1.11)</f>
        <v>18.466000000000001</v>
      </c>
      <c r="G163" s="46"/>
      <c r="H163" s="47">
        <f t="shared" ref="H163:H165" si="72">F163*G163</f>
        <v>0</v>
      </c>
      <c r="I163" s="48"/>
      <c r="J163" s="49">
        <f t="shared" ref="J163:J165" si="73">F163*I163</f>
        <v>0</v>
      </c>
      <c r="K163" s="48">
        <v>0.13100000000000001</v>
      </c>
      <c r="L163" s="49">
        <f t="shared" ref="L163:L165" si="74">F163*K163</f>
        <v>2.4190460000000003</v>
      </c>
      <c r="M163" s="298" t="s">
        <v>803</v>
      </c>
    </row>
    <row r="164" spans="1:13" ht="14.45" customHeight="1">
      <c r="A164" s="387"/>
      <c r="B164" s="42"/>
      <c r="C164" s="43"/>
      <c r="D164" s="61" t="s">
        <v>168</v>
      </c>
      <c r="E164" s="45"/>
      <c r="F164" s="126"/>
      <c r="G164" s="46"/>
      <c r="H164" s="47"/>
      <c r="I164" s="48"/>
      <c r="J164" s="49"/>
      <c r="K164" s="48"/>
      <c r="L164" s="49"/>
      <c r="M164" s="298"/>
    </row>
    <row r="165" spans="1:13" ht="14.45" customHeight="1">
      <c r="A165" s="387">
        <f>A163+1</f>
        <v>128</v>
      </c>
      <c r="B165" s="42" t="s">
        <v>64</v>
      </c>
      <c r="C165" s="43" t="s">
        <v>103</v>
      </c>
      <c r="D165" s="44" t="s">
        <v>104</v>
      </c>
      <c r="E165" s="45" t="s">
        <v>78</v>
      </c>
      <c r="F165" s="126">
        <f>2.6*5.74+3*(3.24+1.2)</f>
        <v>28.244</v>
      </c>
      <c r="G165" s="46"/>
      <c r="H165" s="47">
        <f t="shared" si="72"/>
        <v>0</v>
      </c>
      <c r="I165" s="48"/>
      <c r="J165" s="49">
        <f t="shared" si="73"/>
        <v>0</v>
      </c>
      <c r="K165" s="48">
        <v>0.26100000000000001</v>
      </c>
      <c r="L165" s="49">
        <f t="shared" si="74"/>
        <v>7.3716840000000001</v>
      </c>
      <c r="M165" s="298" t="s">
        <v>803</v>
      </c>
    </row>
    <row r="166" spans="1:13" ht="14.45" customHeight="1">
      <c r="A166" s="389"/>
      <c r="B166" s="64"/>
      <c r="C166" s="65"/>
      <c r="D166" s="66" t="s">
        <v>169</v>
      </c>
      <c r="E166" s="63"/>
      <c r="F166" s="137"/>
      <c r="G166" s="67"/>
      <c r="H166" s="68"/>
      <c r="I166" s="69"/>
      <c r="J166" s="70"/>
      <c r="K166" s="71"/>
      <c r="L166" s="72"/>
      <c r="M166" s="298"/>
    </row>
    <row r="167" spans="1:13" ht="14.45" customHeight="1">
      <c r="A167" s="387">
        <f>A165+1</f>
        <v>129</v>
      </c>
      <c r="B167" s="42" t="s">
        <v>64</v>
      </c>
      <c r="C167" s="43" t="s">
        <v>105</v>
      </c>
      <c r="D167" s="44" t="s">
        <v>106</v>
      </c>
      <c r="E167" s="45" t="s">
        <v>67</v>
      </c>
      <c r="F167" s="126">
        <f>1.83*3*0.3+(1.45+1.83)*0.5*0.85*2.6+1.13*2*0.386+1.1*2.3*0.31</f>
        <v>6.9280600000000003</v>
      </c>
      <c r="G167" s="46"/>
      <c r="H167" s="47">
        <f t="shared" ref="H167" si="75">F167*G167</f>
        <v>0</v>
      </c>
      <c r="I167" s="48"/>
      <c r="J167" s="49">
        <f t="shared" ref="J167" si="76">F167*I167</f>
        <v>0</v>
      </c>
      <c r="K167" s="48">
        <v>1.8</v>
      </c>
      <c r="L167" s="49">
        <f t="shared" ref="L167" si="77">F167*K167</f>
        <v>12.470508000000001</v>
      </c>
      <c r="M167" s="298" t="s">
        <v>803</v>
      </c>
    </row>
    <row r="168" spans="1:13" ht="14.45" customHeight="1">
      <c r="A168" s="389"/>
      <c r="B168" s="64"/>
      <c r="C168" s="65"/>
      <c r="D168" s="66" t="s">
        <v>170</v>
      </c>
      <c r="E168" s="63"/>
      <c r="F168" s="73"/>
      <c r="G168" s="67"/>
      <c r="H168" s="68"/>
      <c r="I168" s="69"/>
      <c r="J168" s="70"/>
      <c r="K168" s="71"/>
      <c r="L168" s="72"/>
      <c r="M168" s="298"/>
    </row>
    <row r="169" spans="1:13" ht="14.45" customHeight="1">
      <c r="A169" s="387">
        <f>A167+1</f>
        <v>130</v>
      </c>
      <c r="B169" s="42" t="s">
        <v>64</v>
      </c>
      <c r="C169" s="43" t="s">
        <v>171</v>
      </c>
      <c r="D169" s="44" t="s">
        <v>172</v>
      </c>
      <c r="E169" s="45" t="s">
        <v>78</v>
      </c>
      <c r="F169" s="133">
        <v>23.34</v>
      </c>
      <c r="G169" s="46"/>
      <c r="H169" s="47">
        <f t="shared" ref="H169" si="78">F169*G169</f>
        <v>0</v>
      </c>
      <c r="I169" s="48"/>
      <c r="J169" s="49">
        <f t="shared" ref="J169" si="79">F169*I169</f>
        <v>0</v>
      </c>
      <c r="K169" s="48">
        <v>0.27900000000000003</v>
      </c>
      <c r="L169" s="49">
        <f t="shared" ref="L169" si="80">F169*K169</f>
        <v>6.5118600000000004</v>
      </c>
      <c r="M169" s="298" t="s">
        <v>803</v>
      </c>
    </row>
    <row r="170" spans="1:13" ht="14.45" customHeight="1">
      <c r="A170" s="389"/>
      <c r="B170" s="64"/>
      <c r="C170" s="65"/>
      <c r="D170" s="66" t="s">
        <v>173</v>
      </c>
      <c r="E170" s="63"/>
      <c r="F170" s="73"/>
      <c r="G170" s="67"/>
      <c r="H170" s="68"/>
      <c r="I170" s="69"/>
      <c r="J170" s="70"/>
      <c r="K170" s="71"/>
      <c r="L170" s="72"/>
      <c r="M170" s="298" t="s">
        <v>803</v>
      </c>
    </row>
    <row r="171" spans="1:13" ht="14.45" customHeight="1">
      <c r="A171" s="387">
        <f>A169+1</f>
        <v>131</v>
      </c>
      <c r="B171" s="42" t="s">
        <v>64</v>
      </c>
      <c r="C171" s="43" t="s">
        <v>174</v>
      </c>
      <c r="D171" s="44" t="s">
        <v>175</v>
      </c>
      <c r="E171" s="45" t="s">
        <v>75</v>
      </c>
      <c r="F171" s="133">
        <f>( (3.4+0.5)*2+(4.04+0.5)*3)*0.0188</f>
        <v>0.40269600000000005</v>
      </c>
      <c r="G171" s="46"/>
      <c r="H171" s="47">
        <f t="shared" ref="H171" si="81">F171*G171</f>
        <v>0</v>
      </c>
      <c r="I171" s="48"/>
      <c r="J171" s="49">
        <f t="shared" ref="J171" si="82">F171*I171</f>
        <v>0</v>
      </c>
      <c r="K171" s="48">
        <v>1.258</v>
      </c>
      <c r="L171" s="49">
        <f t="shared" ref="L171" si="83">F171*K171</f>
        <v>0.50659156800000005</v>
      </c>
      <c r="M171" s="298" t="s">
        <v>803</v>
      </c>
    </row>
    <row r="172" spans="1:13" ht="14.45" customHeight="1">
      <c r="A172" s="389"/>
      <c r="B172" s="64"/>
      <c r="C172" s="65"/>
      <c r="D172" s="66" t="s">
        <v>176</v>
      </c>
      <c r="E172" s="63"/>
      <c r="F172" s="73"/>
      <c r="G172" s="67"/>
      <c r="H172" s="68"/>
      <c r="I172" s="69"/>
      <c r="J172" s="70"/>
      <c r="K172" s="71"/>
      <c r="L172" s="72"/>
      <c r="M172" s="298"/>
    </row>
    <row r="173" spans="1:13" ht="25.15" customHeight="1">
      <c r="A173" s="387">
        <f>A171+1</f>
        <v>132</v>
      </c>
      <c r="B173" s="42" t="s">
        <v>64</v>
      </c>
      <c r="C173" s="43" t="s">
        <v>177</v>
      </c>
      <c r="D173" s="44" t="s">
        <v>178</v>
      </c>
      <c r="E173" s="45" t="s">
        <v>78</v>
      </c>
      <c r="F173" s="133">
        <v>8.92</v>
      </c>
      <c r="G173" s="46"/>
      <c r="H173" s="47">
        <f t="shared" ref="H173:H174" si="84">F173*G173</f>
        <v>0</v>
      </c>
      <c r="I173" s="48"/>
      <c r="J173" s="49">
        <f t="shared" ref="J173:J174" si="85">F173*I173</f>
        <v>0</v>
      </c>
      <c r="K173" s="48">
        <v>0.05</v>
      </c>
      <c r="L173" s="49">
        <f t="shared" ref="L173:L174" si="86">F173*K173</f>
        <v>0.44600000000000001</v>
      </c>
      <c r="M173" s="298" t="s">
        <v>803</v>
      </c>
    </row>
    <row r="174" spans="1:13" ht="14.45" customHeight="1">
      <c r="A174" s="387">
        <f>A173+1</f>
        <v>133</v>
      </c>
      <c r="B174" s="42" t="s">
        <v>64</v>
      </c>
      <c r="C174" s="43" t="s">
        <v>120</v>
      </c>
      <c r="D174" s="44" t="s">
        <v>121</v>
      </c>
      <c r="E174" s="45" t="s">
        <v>67</v>
      </c>
      <c r="F174" s="126">
        <f>6.3*0.45</f>
        <v>2.835</v>
      </c>
      <c r="G174" s="46"/>
      <c r="H174" s="47">
        <f t="shared" si="84"/>
        <v>0</v>
      </c>
      <c r="I174" s="48"/>
      <c r="J174" s="49">
        <f t="shared" si="85"/>
        <v>0</v>
      </c>
      <c r="K174" s="48">
        <v>2.5</v>
      </c>
      <c r="L174" s="49">
        <f t="shared" si="86"/>
        <v>7.0875000000000004</v>
      </c>
      <c r="M174" s="298" t="s">
        <v>803</v>
      </c>
    </row>
    <row r="175" spans="1:13" ht="14.45" customHeight="1">
      <c r="A175" s="389"/>
      <c r="B175" s="64"/>
      <c r="C175" s="65"/>
      <c r="D175" s="66" t="s">
        <v>179</v>
      </c>
      <c r="E175" s="63"/>
      <c r="F175" s="73"/>
      <c r="G175" s="67"/>
      <c r="H175" s="68"/>
      <c r="I175" s="69"/>
      <c r="J175" s="70"/>
      <c r="K175" s="71"/>
      <c r="L175" s="72"/>
      <c r="M175" s="298" t="s">
        <v>803</v>
      </c>
    </row>
    <row r="176" spans="1:13" ht="25.9" customHeight="1">
      <c r="A176" s="387">
        <f>A174+1</f>
        <v>134</v>
      </c>
      <c r="B176" s="42" t="s">
        <v>64</v>
      </c>
      <c r="C176" s="130" t="s">
        <v>180</v>
      </c>
      <c r="D176" s="44" t="s">
        <v>181</v>
      </c>
      <c r="E176" s="45" t="s">
        <v>78</v>
      </c>
      <c r="F176" s="133">
        <f>C158</f>
        <v>39.04</v>
      </c>
      <c r="G176" s="46"/>
      <c r="H176" s="47">
        <f t="shared" ref="H176:H178" si="87">F176*G176</f>
        <v>0</v>
      </c>
      <c r="I176" s="48"/>
      <c r="J176" s="49">
        <f t="shared" ref="J176:J178" si="88">F176*I176</f>
        <v>0</v>
      </c>
      <c r="K176" s="48">
        <v>3.5000000000000003E-2</v>
      </c>
      <c r="L176" s="49">
        <f t="shared" ref="L176:L178" si="89">F176*K176</f>
        <v>1.3664000000000001</v>
      </c>
      <c r="M176" s="298" t="s">
        <v>803</v>
      </c>
    </row>
    <row r="177" spans="1:13" ht="25.9" customHeight="1">
      <c r="A177" s="387">
        <f>A176+1</f>
        <v>135</v>
      </c>
      <c r="B177" s="42" t="s">
        <v>64</v>
      </c>
      <c r="C177" s="130" t="s">
        <v>182</v>
      </c>
      <c r="D177" s="44" t="s">
        <v>183</v>
      </c>
      <c r="E177" s="45" t="s">
        <v>78</v>
      </c>
      <c r="F177" s="133">
        <f>C159</f>
        <v>31.8</v>
      </c>
      <c r="G177" s="46"/>
      <c r="H177" s="47">
        <f t="shared" si="87"/>
        <v>0</v>
      </c>
      <c r="I177" s="48"/>
      <c r="J177" s="49">
        <f t="shared" si="88"/>
        <v>0</v>
      </c>
      <c r="K177" s="48">
        <v>0.19</v>
      </c>
      <c r="L177" s="49">
        <f t="shared" si="89"/>
        <v>6.0419999999999998</v>
      </c>
      <c r="M177" s="298" t="s">
        <v>803</v>
      </c>
    </row>
    <row r="178" spans="1:13" ht="16.149999999999999" customHeight="1">
      <c r="A178" s="387">
        <f>A177+1</f>
        <v>136</v>
      </c>
      <c r="B178" s="42" t="s">
        <v>64</v>
      </c>
      <c r="C178" s="43" t="s">
        <v>294</v>
      </c>
      <c r="D178" s="44" t="s">
        <v>296</v>
      </c>
      <c r="E178" s="45" t="s">
        <v>78</v>
      </c>
      <c r="F178" s="133">
        <v>109</v>
      </c>
      <c r="G178" s="46"/>
      <c r="H178" s="47">
        <f t="shared" si="87"/>
        <v>0</v>
      </c>
      <c r="I178" s="48"/>
      <c r="J178" s="49">
        <f t="shared" si="88"/>
        <v>0</v>
      </c>
      <c r="K178" s="48"/>
      <c r="L178" s="49">
        <f t="shared" si="89"/>
        <v>0</v>
      </c>
      <c r="M178" s="298" t="s">
        <v>803</v>
      </c>
    </row>
    <row r="179" spans="1:13" ht="15" customHeight="1">
      <c r="A179" s="387"/>
      <c r="B179" s="306"/>
      <c r="C179" s="43"/>
      <c r="D179" s="61" t="s">
        <v>295</v>
      </c>
      <c r="E179" s="45"/>
      <c r="F179" s="133"/>
      <c r="G179" s="46"/>
      <c r="H179" s="47"/>
      <c r="I179" s="48"/>
      <c r="J179" s="49"/>
      <c r="K179" s="48"/>
      <c r="L179" s="307"/>
      <c r="M179" s="298" t="s">
        <v>803</v>
      </c>
    </row>
    <row r="180" spans="1:13" ht="26.45" customHeight="1">
      <c r="A180" s="387">
        <f>A178+1</f>
        <v>137</v>
      </c>
      <c r="B180" s="42" t="s">
        <v>64</v>
      </c>
      <c r="C180" s="43" t="s">
        <v>297</v>
      </c>
      <c r="D180" s="44" t="s">
        <v>302</v>
      </c>
      <c r="E180" s="45" t="s">
        <v>67</v>
      </c>
      <c r="F180" s="131">
        <f>2.32*2.01*(2.5+0.3)</f>
        <v>13.056959999999997</v>
      </c>
      <c r="G180" s="46"/>
      <c r="H180" s="47">
        <f t="shared" ref="H180:H184" si="90">F180*G180</f>
        <v>0</v>
      </c>
      <c r="I180" s="48"/>
      <c r="J180" s="49">
        <f t="shared" ref="J180:J183" si="91">F180*I180</f>
        <v>0</v>
      </c>
      <c r="K180" s="48">
        <v>0.65</v>
      </c>
      <c r="L180" s="49">
        <f t="shared" ref="L180:L184" si="92">F180*K180</f>
        <v>8.4870239999999981</v>
      </c>
      <c r="M180" s="298" t="s">
        <v>803</v>
      </c>
    </row>
    <row r="181" spans="1:13" ht="14.45" customHeight="1">
      <c r="A181" s="387"/>
      <c r="B181" s="42"/>
      <c r="C181" s="80" t="s">
        <v>303</v>
      </c>
      <c r="D181" s="61" t="s">
        <v>304</v>
      </c>
      <c r="E181" s="45"/>
      <c r="F181" s="133"/>
      <c r="G181" s="46"/>
      <c r="H181" s="47"/>
      <c r="I181" s="48"/>
      <c r="J181" s="49"/>
      <c r="K181" s="48"/>
      <c r="L181" s="49"/>
      <c r="M181" s="298"/>
    </row>
    <row r="182" spans="1:13" ht="23.45" customHeight="1">
      <c r="A182" s="387">
        <f>A180+1</f>
        <v>138</v>
      </c>
      <c r="B182" s="42" t="s">
        <v>64</v>
      </c>
      <c r="C182" s="43" t="s">
        <v>298</v>
      </c>
      <c r="D182" s="44" t="s">
        <v>299</v>
      </c>
      <c r="E182" s="45" t="s">
        <v>78</v>
      </c>
      <c r="F182" s="133">
        <v>149</v>
      </c>
      <c r="G182" s="46"/>
      <c r="H182" s="47">
        <f t="shared" si="90"/>
        <v>0</v>
      </c>
      <c r="I182" s="48"/>
      <c r="J182" s="49">
        <f t="shared" si="91"/>
        <v>0</v>
      </c>
      <c r="K182" s="48">
        <v>0.01</v>
      </c>
      <c r="L182" s="49">
        <f t="shared" si="92"/>
        <v>1.49</v>
      </c>
      <c r="M182" s="298" t="s">
        <v>803</v>
      </c>
    </row>
    <row r="183" spans="1:13" ht="23.45" customHeight="1">
      <c r="A183" s="387">
        <f>A182+1</f>
        <v>139</v>
      </c>
      <c r="B183" s="42" t="s">
        <v>64</v>
      </c>
      <c r="C183" s="43" t="s">
        <v>300</v>
      </c>
      <c r="D183" s="44" t="s">
        <v>301</v>
      </c>
      <c r="E183" s="45" t="s">
        <v>78</v>
      </c>
      <c r="F183" s="133">
        <f>218</f>
        <v>218</v>
      </c>
      <c r="G183" s="46"/>
      <c r="H183" s="47">
        <f t="shared" si="90"/>
        <v>0</v>
      </c>
      <c r="I183" s="48"/>
      <c r="J183" s="49">
        <f t="shared" si="91"/>
        <v>0</v>
      </c>
      <c r="K183" s="48">
        <v>0.01</v>
      </c>
      <c r="L183" s="49">
        <f t="shared" si="92"/>
        <v>2.1800000000000002</v>
      </c>
      <c r="M183" s="298" t="s">
        <v>803</v>
      </c>
    </row>
    <row r="184" spans="1:13" ht="14.45" customHeight="1">
      <c r="A184" s="387">
        <f>A183+1</f>
        <v>140</v>
      </c>
      <c r="B184" s="42" t="s">
        <v>64</v>
      </c>
      <c r="C184" s="43" t="s">
        <v>305</v>
      </c>
      <c r="D184" s="44" t="s">
        <v>306</v>
      </c>
      <c r="E184" s="45" t="s">
        <v>78</v>
      </c>
      <c r="F184" s="136">
        <v>49</v>
      </c>
      <c r="G184" s="308"/>
      <c r="H184" s="47">
        <f t="shared" si="90"/>
        <v>0</v>
      </c>
      <c r="I184" s="69"/>
      <c r="J184" s="70"/>
      <c r="K184" s="48">
        <v>4.5999999999999999E-2</v>
      </c>
      <c r="L184" s="49">
        <f t="shared" si="92"/>
        <v>2.254</v>
      </c>
      <c r="M184" s="298" t="s">
        <v>803</v>
      </c>
    </row>
    <row r="185" spans="1:13" ht="15" customHeight="1">
      <c r="A185" s="387">
        <f>A184+1</f>
        <v>141</v>
      </c>
      <c r="B185" s="42" t="s">
        <v>64</v>
      </c>
      <c r="C185" s="43" t="s">
        <v>111</v>
      </c>
      <c r="D185" s="44" t="s">
        <v>112</v>
      </c>
      <c r="E185" s="45" t="s">
        <v>78</v>
      </c>
      <c r="F185" s="136">
        <f>SUM(F186:F194)</f>
        <v>23.9846</v>
      </c>
      <c r="G185" s="46"/>
      <c r="H185" s="47">
        <f t="shared" ref="H185:H215" si="93">F185*G185</f>
        <v>0</v>
      </c>
      <c r="I185" s="48"/>
      <c r="J185" s="49">
        <f t="shared" ref="J185:J209" si="94">F185*I185</f>
        <v>0</v>
      </c>
      <c r="K185" s="48">
        <v>7.4999999999999997E-2</v>
      </c>
      <c r="L185" s="49">
        <f t="shared" ref="L185:L212" si="95">F185*K185</f>
        <v>1.798845</v>
      </c>
      <c r="M185" s="298" t="s">
        <v>803</v>
      </c>
    </row>
    <row r="186" spans="1:13" ht="15" customHeight="1">
      <c r="A186" s="390"/>
      <c r="B186" s="42"/>
      <c r="C186" s="91"/>
      <c r="D186" s="309" t="s">
        <v>440</v>
      </c>
      <c r="E186" s="119" t="s">
        <v>78</v>
      </c>
      <c r="F186" s="310">
        <f>0.74*0.67</f>
        <v>0.49580000000000002</v>
      </c>
      <c r="G186" s="46"/>
      <c r="H186" s="47"/>
      <c r="I186" s="48"/>
      <c r="J186" s="49"/>
      <c r="K186" s="48"/>
      <c r="L186" s="49"/>
      <c r="M186" s="298"/>
    </row>
    <row r="187" spans="1:13" ht="15" customHeight="1">
      <c r="A187" s="390"/>
      <c r="B187" s="42"/>
      <c r="D187" s="309" t="s">
        <v>442</v>
      </c>
      <c r="E187" s="119" t="s">
        <v>78</v>
      </c>
      <c r="F187" s="310">
        <f>0.57*1.1</f>
        <v>0.627</v>
      </c>
      <c r="G187" s="46"/>
      <c r="H187" s="47"/>
      <c r="I187" s="48"/>
      <c r="J187" s="49"/>
      <c r="K187" s="48"/>
      <c r="L187" s="49"/>
      <c r="M187" s="298"/>
    </row>
    <row r="188" spans="1:13" ht="15" customHeight="1">
      <c r="A188" s="390"/>
      <c r="B188" s="42"/>
      <c r="C188" s="91"/>
      <c r="D188" s="309" t="s">
        <v>445</v>
      </c>
      <c r="E188" s="119" t="s">
        <v>78</v>
      </c>
      <c r="F188" s="310">
        <f>1.1*1.56*5</f>
        <v>8.5800000000000018</v>
      </c>
      <c r="G188" s="46"/>
      <c r="H188" s="47"/>
      <c r="I188" s="48"/>
      <c r="J188" s="49"/>
      <c r="K188" s="48"/>
      <c r="L188" s="49"/>
      <c r="M188" s="298"/>
    </row>
    <row r="189" spans="1:13" ht="15" customHeight="1">
      <c r="A189" s="390"/>
      <c r="B189" s="42"/>
      <c r="C189" s="91"/>
      <c r="D189" s="309" t="s">
        <v>447</v>
      </c>
      <c r="E189" s="119" t="s">
        <v>78</v>
      </c>
      <c r="F189" s="310">
        <f>1.04*1.17*2</f>
        <v>2.4335999999999998</v>
      </c>
      <c r="G189" s="46"/>
      <c r="H189" s="47"/>
      <c r="I189" s="48"/>
      <c r="J189" s="49"/>
      <c r="K189" s="48"/>
      <c r="L189" s="49"/>
      <c r="M189" s="298"/>
    </row>
    <row r="190" spans="1:13" ht="15" customHeight="1">
      <c r="A190" s="390"/>
      <c r="B190" s="42"/>
      <c r="C190" s="91"/>
      <c r="D190" s="309" t="s">
        <v>448</v>
      </c>
      <c r="E190" s="119" t="s">
        <v>78</v>
      </c>
      <c r="F190" s="310">
        <f>1.03*1.38*3</f>
        <v>4.2641999999999998</v>
      </c>
      <c r="G190" s="46"/>
      <c r="H190" s="47"/>
      <c r="I190" s="48"/>
      <c r="J190" s="49"/>
      <c r="K190" s="48"/>
      <c r="L190" s="49"/>
      <c r="M190" s="298"/>
    </row>
    <row r="191" spans="1:13" ht="15" customHeight="1">
      <c r="A191" s="390"/>
      <c r="B191" s="42"/>
      <c r="C191" s="91"/>
      <c r="D191" s="309" t="s">
        <v>449</v>
      </c>
      <c r="E191" s="119" t="s">
        <v>78</v>
      </c>
      <c r="F191" s="310">
        <f>0.92*1.25*3</f>
        <v>3.45</v>
      </c>
      <c r="G191" s="46"/>
      <c r="H191" s="47"/>
      <c r="I191" s="48"/>
      <c r="J191" s="49"/>
      <c r="K191" s="48"/>
      <c r="L191" s="49"/>
      <c r="M191" s="298"/>
    </row>
    <row r="192" spans="1:13" ht="15" customHeight="1">
      <c r="A192" s="390"/>
      <c r="B192" s="42"/>
      <c r="C192" s="91"/>
      <c r="D192" s="309" t="s">
        <v>450</v>
      </c>
      <c r="E192" s="119" t="s">
        <v>78</v>
      </c>
      <c r="F192" s="310">
        <f>0.9*1.23*2</f>
        <v>2.214</v>
      </c>
      <c r="G192" s="46"/>
      <c r="H192" s="47"/>
      <c r="I192" s="48"/>
      <c r="J192" s="49"/>
      <c r="K192" s="48"/>
      <c r="L192" s="49"/>
      <c r="M192" s="298"/>
    </row>
    <row r="193" spans="1:15" ht="15" customHeight="1">
      <c r="A193" s="390"/>
      <c r="B193" s="42"/>
      <c r="C193" s="91"/>
      <c r="D193" s="309" t="s">
        <v>451</v>
      </c>
      <c r="E193" s="119" t="s">
        <v>78</v>
      </c>
      <c r="F193" s="310">
        <f>1.1*0.6</f>
        <v>0.66</v>
      </c>
      <c r="G193" s="46"/>
      <c r="H193" s="47"/>
      <c r="I193" s="48"/>
      <c r="J193" s="49"/>
      <c r="K193" s="48"/>
      <c r="L193" s="49"/>
      <c r="M193" s="298"/>
    </row>
    <row r="194" spans="1:15" ht="15" customHeight="1">
      <c r="A194" s="390"/>
      <c r="B194" s="42"/>
      <c r="C194" s="91"/>
      <c r="D194" s="309" t="s">
        <v>452</v>
      </c>
      <c r="E194" s="119" t="s">
        <v>78</v>
      </c>
      <c r="F194" s="310">
        <f>0.7*0.9*2</f>
        <v>1.26</v>
      </c>
      <c r="G194" s="46"/>
      <c r="H194" s="47"/>
      <c r="I194" s="48"/>
      <c r="J194" s="49"/>
      <c r="K194" s="48"/>
      <c r="L194" s="49"/>
      <c r="M194" s="298"/>
    </row>
    <row r="195" spans="1:15" ht="24.6" customHeight="1">
      <c r="A195" s="387">
        <f>A185+1</f>
        <v>142</v>
      </c>
      <c r="B195" s="42" t="s">
        <v>64</v>
      </c>
      <c r="C195" s="43" t="s">
        <v>113</v>
      </c>
      <c r="D195" s="44" t="s">
        <v>455</v>
      </c>
      <c r="E195" s="45" t="s">
        <v>78</v>
      </c>
      <c r="F195" s="133">
        <f>F196</f>
        <v>9.1450000000000014</v>
      </c>
      <c r="G195" s="46"/>
      <c r="H195" s="47">
        <f>F195*G195</f>
        <v>0</v>
      </c>
      <c r="I195" s="48"/>
      <c r="J195" s="49">
        <f>F195*I195</f>
        <v>0</v>
      </c>
      <c r="K195" s="48">
        <v>5.3999999999999999E-2</v>
      </c>
      <c r="L195" s="49">
        <f>F195*K195</f>
        <v>0.49383000000000005</v>
      </c>
      <c r="M195" s="298" t="s">
        <v>803</v>
      </c>
    </row>
    <row r="196" spans="1:15" ht="16.149999999999999" customHeight="1">
      <c r="A196" s="391"/>
      <c r="B196" s="92"/>
      <c r="C196" s="93" t="s">
        <v>453</v>
      </c>
      <c r="D196" s="309" t="s">
        <v>441</v>
      </c>
      <c r="E196" s="63" t="s">
        <v>78</v>
      </c>
      <c r="F196" s="310">
        <f>3.1*2.95</f>
        <v>9.1450000000000014</v>
      </c>
      <c r="G196" s="94"/>
      <c r="H196" s="95"/>
      <c r="I196" s="96"/>
      <c r="J196" s="97"/>
      <c r="K196" s="96"/>
      <c r="L196" s="97"/>
      <c r="M196" s="298"/>
    </row>
    <row r="197" spans="1:15" ht="16.149999999999999" customHeight="1">
      <c r="A197" s="387">
        <f>A195+1</f>
        <v>143</v>
      </c>
      <c r="B197" s="42" t="s">
        <v>64</v>
      </c>
      <c r="C197" s="43" t="s">
        <v>114</v>
      </c>
      <c r="D197" s="44" t="s">
        <v>115</v>
      </c>
      <c r="E197" s="45" t="s">
        <v>78</v>
      </c>
      <c r="F197" s="136">
        <f>SUM(F198:F200)</f>
        <v>7.6963500000000007</v>
      </c>
      <c r="G197" s="46"/>
      <c r="H197" s="47">
        <f t="shared" si="93"/>
        <v>0</v>
      </c>
      <c r="I197" s="48"/>
      <c r="J197" s="49">
        <f t="shared" si="94"/>
        <v>0</v>
      </c>
      <c r="K197" s="48">
        <v>8.7999999999999995E-2</v>
      </c>
      <c r="L197" s="49">
        <f t="shared" si="95"/>
        <v>0.67727880000000007</v>
      </c>
      <c r="M197" s="298" t="s">
        <v>803</v>
      </c>
    </row>
    <row r="198" spans="1:15" ht="16.149999999999999" customHeight="1">
      <c r="A198" s="391"/>
      <c r="B198" s="92"/>
      <c r="C198" s="93" t="s">
        <v>454</v>
      </c>
      <c r="D198" s="309" t="s">
        <v>443</v>
      </c>
      <c r="E198" s="63" t="s">
        <v>78</v>
      </c>
      <c r="F198" s="310">
        <f>1.185*1.89</f>
        <v>2.2396500000000001</v>
      </c>
      <c r="G198" s="94"/>
      <c r="H198" s="47"/>
      <c r="I198" s="48"/>
      <c r="J198" s="49"/>
      <c r="K198" s="48"/>
      <c r="L198" s="49"/>
      <c r="M198" s="298"/>
    </row>
    <row r="199" spans="1:15" ht="16.149999999999999" customHeight="1">
      <c r="A199" s="391"/>
      <c r="B199" s="92"/>
      <c r="C199" s="93" t="s">
        <v>454</v>
      </c>
      <c r="D199" s="309" t="s">
        <v>444</v>
      </c>
      <c r="E199" s="63" t="s">
        <v>78</v>
      </c>
      <c r="F199" s="310">
        <f>0.99*1.11*3</f>
        <v>3.2967</v>
      </c>
      <c r="G199" s="94"/>
      <c r="H199" s="47"/>
      <c r="I199" s="48"/>
      <c r="J199" s="49"/>
      <c r="K199" s="48"/>
      <c r="L199" s="49"/>
      <c r="M199" s="298"/>
    </row>
    <row r="200" spans="1:15" ht="16.149999999999999" customHeight="1">
      <c r="A200" s="391"/>
      <c r="B200" s="92"/>
      <c r="C200" s="93" t="s">
        <v>454</v>
      </c>
      <c r="D200" s="309" t="s">
        <v>446</v>
      </c>
      <c r="E200" s="63" t="s">
        <v>78</v>
      </c>
      <c r="F200" s="310">
        <f>1.08*2</f>
        <v>2.16</v>
      </c>
      <c r="G200" s="94"/>
      <c r="H200" s="47"/>
      <c r="I200" s="48"/>
      <c r="J200" s="49"/>
      <c r="K200" s="48"/>
      <c r="L200" s="49"/>
      <c r="M200" s="298"/>
    </row>
    <row r="201" spans="1:15" ht="24" customHeight="1">
      <c r="A201" s="387">
        <f>A197+1</f>
        <v>144</v>
      </c>
      <c r="B201" s="42" t="s">
        <v>64</v>
      </c>
      <c r="C201" s="43" t="s">
        <v>496</v>
      </c>
      <c r="D201" s="44" t="s">
        <v>497</v>
      </c>
      <c r="E201" s="45" t="s">
        <v>78</v>
      </c>
      <c r="F201" s="133">
        <v>182.5</v>
      </c>
      <c r="G201" s="46"/>
      <c r="H201" s="47">
        <f t="shared" ref="H201:H202" si="96">F201*G201</f>
        <v>0</v>
      </c>
      <c r="I201" s="48"/>
      <c r="J201" s="49">
        <f t="shared" ref="J201:J202" si="97">F201*I201</f>
        <v>0</v>
      </c>
      <c r="K201" s="48">
        <v>1.6E-2</v>
      </c>
      <c r="L201" s="49">
        <f t="shared" ref="L201:L202" si="98">F201*K201</f>
        <v>2.92</v>
      </c>
      <c r="M201" s="298" t="s">
        <v>803</v>
      </c>
    </row>
    <row r="202" spans="1:15" ht="24" customHeight="1">
      <c r="A202" s="387">
        <f>A201+1</f>
        <v>145</v>
      </c>
      <c r="B202" s="42" t="s">
        <v>64</v>
      </c>
      <c r="C202" s="43" t="s">
        <v>498</v>
      </c>
      <c r="D202" s="44" t="s">
        <v>769</v>
      </c>
      <c r="E202" s="45" t="s">
        <v>78</v>
      </c>
      <c r="F202" s="133">
        <v>48</v>
      </c>
      <c r="G202" s="46"/>
      <c r="H202" s="47">
        <f t="shared" si="96"/>
        <v>0</v>
      </c>
      <c r="I202" s="48"/>
      <c r="J202" s="49">
        <f t="shared" si="97"/>
        <v>0</v>
      </c>
      <c r="K202" s="48">
        <v>4.8000000000000001E-2</v>
      </c>
      <c r="L202" s="49">
        <f t="shared" si="98"/>
        <v>2.3040000000000003</v>
      </c>
      <c r="M202" s="298" t="s">
        <v>803</v>
      </c>
    </row>
    <row r="203" spans="1:15" ht="16.149999999999999" customHeight="1">
      <c r="A203" s="387">
        <f t="shared" ref="A203:A206" si="99">A202+1</f>
        <v>146</v>
      </c>
      <c r="B203" s="42" t="s">
        <v>64</v>
      </c>
      <c r="C203" s="43" t="s">
        <v>116</v>
      </c>
      <c r="D203" s="44" t="s">
        <v>117</v>
      </c>
      <c r="E203" s="45" t="s">
        <v>78</v>
      </c>
      <c r="F203" s="133">
        <v>1.8</v>
      </c>
      <c r="G203" s="46"/>
      <c r="H203" s="47">
        <f t="shared" si="93"/>
        <v>0</v>
      </c>
      <c r="I203" s="48"/>
      <c r="J203" s="49">
        <f t="shared" si="94"/>
        <v>0</v>
      </c>
      <c r="K203" s="48">
        <v>7.5999999999999998E-2</v>
      </c>
      <c r="L203" s="49">
        <f t="shared" si="95"/>
        <v>0.1368</v>
      </c>
      <c r="M203" s="298" t="s">
        <v>803</v>
      </c>
    </row>
    <row r="204" spans="1:15" ht="24.6" customHeight="1">
      <c r="A204" s="387">
        <f t="shared" si="99"/>
        <v>147</v>
      </c>
      <c r="B204" s="42" t="s">
        <v>64</v>
      </c>
      <c r="C204" s="43" t="s">
        <v>118</v>
      </c>
      <c r="D204" s="44" t="s">
        <v>119</v>
      </c>
      <c r="E204" s="45" t="s">
        <v>67</v>
      </c>
      <c r="F204" s="133">
        <v>0.05</v>
      </c>
      <c r="G204" s="46"/>
      <c r="H204" s="47">
        <f t="shared" si="93"/>
        <v>0</v>
      </c>
      <c r="I204" s="48"/>
      <c r="J204" s="49">
        <f t="shared" si="94"/>
        <v>0</v>
      </c>
      <c r="K204" s="48">
        <v>1.8</v>
      </c>
      <c r="L204" s="49">
        <f t="shared" si="95"/>
        <v>9.0000000000000011E-2</v>
      </c>
      <c r="M204" s="298" t="s">
        <v>803</v>
      </c>
    </row>
    <row r="205" spans="1:15" ht="24.6" customHeight="1">
      <c r="A205" s="387">
        <f t="shared" si="99"/>
        <v>148</v>
      </c>
      <c r="B205" s="42"/>
      <c r="C205" s="43"/>
      <c r="D205" s="44"/>
      <c r="E205" s="45" t="s">
        <v>78</v>
      </c>
      <c r="F205" s="133">
        <v>0</v>
      </c>
      <c r="G205" s="46"/>
      <c r="H205" s="47">
        <f t="shared" si="93"/>
        <v>0</v>
      </c>
      <c r="I205" s="48"/>
      <c r="J205" s="49">
        <f t="shared" si="94"/>
        <v>0</v>
      </c>
      <c r="K205" s="48"/>
      <c r="L205" s="49">
        <f t="shared" si="95"/>
        <v>0</v>
      </c>
      <c r="M205" s="298" t="s">
        <v>803</v>
      </c>
      <c r="O205" s="44"/>
    </row>
    <row r="206" spans="1:15" ht="24.6" customHeight="1">
      <c r="A206" s="387">
        <f t="shared" si="99"/>
        <v>149</v>
      </c>
      <c r="B206" s="42"/>
      <c r="C206" s="43"/>
      <c r="D206" s="44"/>
      <c r="E206" s="45" t="s">
        <v>78</v>
      </c>
      <c r="F206" s="133">
        <v>0</v>
      </c>
      <c r="G206" s="46"/>
      <c r="H206" s="47">
        <f t="shared" si="93"/>
        <v>0</v>
      </c>
      <c r="I206" s="48"/>
      <c r="J206" s="49">
        <f t="shared" si="94"/>
        <v>0</v>
      </c>
      <c r="K206" s="48"/>
      <c r="L206" s="49">
        <f t="shared" si="95"/>
        <v>0</v>
      </c>
      <c r="M206" s="298" t="s">
        <v>803</v>
      </c>
      <c r="O206" s="44"/>
    </row>
    <row r="207" spans="1:15" ht="24.6" customHeight="1">
      <c r="A207" s="387">
        <f t="shared" ref="A207:A215" si="100">A206+1</f>
        <v>150</v>
      </c>
      <c r="B207" s="42"/>
      <c r="C207" s="43"/>
      <c r="D207" s="44"/>
      <c r="E207" s="45" t="s">
        <v>78</v>
      </c>
      <c r="F207" s="131">
        <f>F206*50</f>
        <v>0</v>
      </c>
      <c r="G207" s="46"/>
      <c r="H207" s="47">
        <f t="shared" si="93"/>
        <v>0</v>
      </c>
      <c r="I207" s="48"/>
      <c r="J207" s="49">
        <f t="shared" si="94"/>
        <v>0</v>
      </c>
      <c r="K207" s="48"/>
      <c r="L207" s="49">
        <f t="shared" si="95"/>
        <v>0</v>
      </c>
      <c r="M207" s="298" t="s">
        <v>803</v>
      </c>
      <c r="O207" s="44"/>
    </row>
    <row r="208" spans="1:15" ht="24.6" customHeight="1">
      <c r="A208" s="387">
        <f t="shared" si="100"/>
        <v>151</v>
      </c>
      <c r="B208" s="42"/>
      <c r="C208" s="43"/>
      <c r="D208" s="44"/>
      <c r="E208" s="45" t="s">
        <v>78</v>
      </c>
      <c r="F208" s="133">
        <f>F205</f>
        <v>0</v>
      </c>
      <c r="G208" s="46"/>
      <c r="H208" s="47">
        <f t="shared" si="93"/>
        <v>0</v>
      </c>
      <c r="I208" s="48"/>
      <c r="J208" s="49">
        <f t="shared" si="94"/>
        <v>0</v>
      </c>
      <c r="K208" s="48"/>
      <c r="L208" s="49">
        <f t="shared" si="95"/>
        <v>0</v>
      </c>
      <c r="M208" s="298" t="s">
        <v>803</v>
      </c>
      <c r="O208" s="44"/>
    </row>
    <row r="209" spans="1:15" ht="24.6" customHeight="1">
      <c r="A209" s="387">
        <f t="shared" si="100"/>
        <v>152</v>
      </c>
      <c r="B209" s="42"/>
      <c r="C209" s="43"/>
      <c r="D209" s="44"/>
      <c r="E209" s="45" t="s">
        <v>75</v>
      </c>
      <c r="F209" s="133">
        <v>0</v>
      </c>
      <c r="G209" s="46"/>
      <c r="H209" s="47">
        <f t="shared" si="93"/>
        <v>0</v>
      </c>
      <c r="I209" s="302"/>
      <c r="J209" s="128">
        <f t="shared" si="94"/>
        <v>0</v>
      </c>
      <c r="K209" s="302"/>
      <c r="L209" s="49">
        <f t="shared" si="95"/>
        <v>0</v>
      </c>
      <c r="M209" s="298" t="s">
        <v>803</v>
      </c>
      <c r="O209" s="44"/>
    </row>
    <row r="210" spans="1:15" ht="13.9" customHeight="1">
      <c r="A210" s="387">
        <f t="shared" si="100"/>
        <v>153</v>
      </c>
      <c r="B210" s="42"/>
      <c r="C210" s="43"/>
      <c r="D210" s="44"/>
      <c r="E210" s="45" t="s">
        <v>235</v>
      </c>
      <c r="F210" s="131">
        <f>F209*1000</f>
        <v>0</v>
      </c>
      <c r="G210" s="46"/>
      <c r="H210" s="47">
        <f t="shared" si="93"/>
        <v>0</v>
      </c>
      <c r="I210" s="48"/>
      <c r="J210" s="49">
        <f>F209</f>
        <v>0</v>
      </c>
      <c r="K210" s="48"/>
      <c r="L210" s="49">
        <f t="shared" si="95"/>
        <v>0</v>
      </c>
      <c r="M210" s="298"/>
      <c r="O210" s="44"/>
    </row>
    <row r="211" spans="1:15" ht="25.9" customHeight="1">
      <c r="A211" s="387">
        <f>A210+1</f>
        <v>154</v>
      </c>
      <c r="B211" s="42"/>
      <c r="C211" s="43"/>
      <c r="D211" s="44"/>
      <c r="E211" s="45" t="s">
        <v>235</v>
      </c>
      <c r="F211" s="126">
        <v>0</v>
      </c>
      <c r="G211" s="46"/>
      <c r="H211" s="47">
        <f t="shared" si="93"/>
        <v>0</v>
      </c>
      <c r="I211" s="48"/>
      <c r="J211" s="49">
        <f t="shared" ref="J211:J212" si="101">F211*I211</f>
        <v>0</v>
      </c>
      <c r="K211" s="48"/>
      <c r="L211" s="49">
        <f t="shared" si="95"/>
        <v>0</v>
      </c>
      <c r="M211" s="298"/>
      <c r="O211" s="44"/>
    </row>
    <row r="212" spans="1:15" ht="16.149999999999999" customHeight="1">
      <c r="A212" s="388"/>
      <c r="B212" s="42"/>
      <c r="C212" s="43"/>
      <c r="D212" s="44"/>
      <c r="E212" s="45" t="s">
        <v>83</v>
      </c>
      <c r="F212" s="133">
        <v>0</v>
      </c>
      <c r="G212" s="46"/>
      <c r="H212" s="47">
        <f t="shared" si="93"/>
        <v>0</v>
      </c>
      <c r="I212" s="48"/>
      <c r="J212" s="49">
        <f t="shared" si="101"/>
        <v>0</v>
      </c>
      <c r="K212" s="48"/>
      <c r="L212" s="49">
        <f t="shared" si="95"/>
        <v>0</v>
      </c>
      <c r="M212" s="298"/>
      <c r="O212" s="44"/>
    </row>
    <row r="213" spans="1:15" ht="13.9" customHeight="1">
      <c r="A213" s="387">
        <f>A210+1</f>
        <v>154</v>
      </c>
      <c r="B213" s="42"/>
      <c r="C213" s="43"/>
      <c r="D213" s="44"/>
      <c r="E213" s="45" t="s">
        <v>78</v>
      </c>
      <c r="F213" s="133">
        <v>0</v>
      </c>
      <c r="G213" s="46"/>
      <c r="H213" s="47">
        <f>F213*G213</f>
        <v>0</v>
      </c>
      <c r="I213" s="48"/>
      <c r="J213" s="49">
        <f>F213*I213</f>
        <v>0</v>
      </c>
      <c r="K213" s="48"/>
      <c r="L213" s="49">
        <f>F213*K213</f>
        <v>0</v>
      </c>
      <c r="M213" s="298"/>
      <c r="O213" s="44"/>
    </row>
    <row r="214" spans="1:15" ht="13.9" customHeight="1">
      <c r="A214" s="387">
        <f t="shared" si="100"/>
        <v>155</v>
      </c>
      <c r="B214" s="42"/>
      <c r="C214" s="43"/>
      <c r="D214" s="44"/>
      <c r="E214" s="45" t="s">
        <v>78</v>
      </c>
      <c r="F214" s="133">
        <v>0</v>
      </c>
      <c r="G214" s="46"/>
      <c r="H214" s="47">
        <f>F214*G214</f>
        <v>0</v>
      </c>
      <c r="I214" s="48"/>
      <c r="J214" s="49">
        <f>F214*I214</f>
        <v>0</v>
      </c>
      <c r="K214" s="48"/>
      <c r="L214" s="49">
        <f>F214*K214</f>
        <v>0</v>
      </c>
      <c r="M214" s="298" t="s">
        <v>803</v>
      </c>
      <c r="O214" s="44"/>
    </row>
    <row r="215" spans="1:15" ht="15" customHeight="1">
      <c r="A215" s="387">
        <f t="shared" si="100"/>
        <v>156</v>
      </c>
      <c r="B215" s="42"/>
      <c r="C215" s="120"/>
      <c r="D215" s="44"/>
      <c r="E215" s="45" t="s">
        <v>543</v>
      </c>
      <c r="F215" s="133">
        <v>0</v>
      </c>
      <c r="G215" s="128"/>
      <c r="H215" s="47">
        <f t="shared" si="93"/>
        <v>0</v>
      </c>
      <c r="I215" s="48"/>
      <c r="J215" s="49">
        <f>F215*I215</f>
        <v>0</v>
      </c>
      <c r="K215" s="48"/>
      <c r="L215" s="49">
        <f>F215*K215</f>
        <v>0</v>
      </c>
      <c r="M215" s="298"/>
      <c r="O215" s="263"/>
    </row>
    <row r="216" spans="1:15" ht="16.149999999999999" customHeight="1">
      <c r="A216" s="388"/>
      <c r="B216" s="50"/>
      <c r="C216" s="50"/>
      <c r="D216" s="51"/>
      <c r="E216" s="52"/>
      <c r="F216" s="53"/>
      <c r="G216" s="54"/>
      <c r="H216" s="55"/>
      <c r="I216" s="56"/>
      <c r="J216" s="57"/>
      <c r="K216" s="57"/>
      <c r="L216" s="57"/>
      <c r="M216" s="56"/>
      <c r="O216" s="367"/>
    </row>
    <row r="217" spans="1:15" ht="16.149999999999999" customHeight="1">
      <c r="A217" s="388"/>
      <c r="B217" s="33"/>
      <c r="C217" s="34"/>
      <c r="D217" s="35" t="s">
        <v>129</v>
      </c>
      <c r="E217" s="36"/>
      <c r="F217" s="132"/>
      <c r="G217" s="37"/>
      <c r="H217" s="38">
        <f>SUBTOTAL(9,H218:H229)</f>
        <v>0</v>
      </c>
      <c r="I217" s="39"/>
      <c r="J217" s="40">
        <f>SUBTOTAL(9,J218:J229)</f>
        <v>0</v>
      </c>
      <c r="K217" s="41"/>
      <c r="L217" s="40">
        <f>SUBTOTAL(9,L218:L229)</f>
        <v>0</v>
      </c>
      <c r="M217" s="39"/>
    </row>
    <row r="218" spans="1:15" ht="23.45" customHeight="1">
      <c r="A218" s="387">
        <f>A215+1</f>
        <v>157</v>
      </c>
      <c r="B218" s="42" t="s">
        <v>64</v>
      </c>
      <c r="C218" s="43" t="s">
        <v>130</v>
      </c>
      <c r="D218" s="44" t="s">
        <v>278</v>
      </c>
      <c r="E218" s="45" t="s">
        <v>75</v>
      </c>
      <c r="F218" s="126">
        <f>(F219+F222+F220+F221)*0.5</f>
        <v>68.856896838081653</v>
      </c>
      <c r="G218" s="46"/>
      <c r="H218" s="47">
        <f t="shared" ref="H218:H228" si="102">F218*G218</f>
        <v>0</v>
      </c>
      <c r="I218" s="48"/>
      <c r="J218" s="49">
        <f t="shared" ref="J218:J228" si="103">F218*I218</f>
        <v>0</v>
      </c>
      <c r="K218" s="48"/>
      <c r="L218" s="49">
        <f t="shared" ref="L218:L228" si="104">F218*K218</f>
        <v>0</v>
      </c>
      <c r="M218" s="298" t="s">
        <v>803</v>
      </c>
    </row>
    <row r="219" spans="1:15" ht="13.9" customHeight="1">
      <c r="A219" s="387"/>
      <c r="B219" s="42"/>
      <c r="C219" s="43"/>
      <c r="D219" s="61" t="s">
        <v>276</v>
      </c>
      <c r="E219" s="63" t="s">
        <v>75</v>
      </c>
      <c r="F219" s="127">
        <f>L155</f>
        <v>104.73376736800003</v>
      </c>
      <c r="G219" s="46"/>
      <c r="H219" s="47"/>
      <c r="I219" s="48"/>
      <c r="J219" s="49"/>
      <c r="K219" s="48"/>
      <c r="L219" s="49"/>
      <c r="M219" s="298"/>
    </row>
    <row r="220" spans="1:15" ht="13.9" customHeight="1">
      <c r="A220" s="387"/>
      <c r="B220" s="42"/>
      <c r="C220" s="43"/>
      <c r="D220" s="61" t="s">
        <v>309</v>
      </c>
      <c r="E220" s="63" t="s">
        <v>75</v>
      </c>
      <c r="F220" s="127">
        <f>L362</f>
        <v>12.4983761</v>
      </c>
      <c r="G220" s="46"/>
      <c r="H220" s="47"/>
      <c r="I220" s="48"/>
      <c r="J220" s="49"/>
      <c r="K220" s="48"/>
      <c r="L220" s="49"/>
      <c r="M220" s="298"/>
    </row>
    <row r="221" spans="1:15" ht="13.9" customHeight="1">
      <c r="A221" s="387"/>
      <c r="B221" s="42"/>
      <c r="C221" s="43"/>
      <c r="D221" s="61" t="s">
        <v>673</v>
      </c>
      <c r="E221" s="63" t="s">
        <v>75</v>
      </c>
      <c r="F221" s="127">
        <f>L318</f>
        <v>0.50363730000000007</v>
      </c>
      <c r="G221" s="46"/>
      <c r="H221" s="47"/>
      <c r="I221" s="48"/>
      <c r="J221" s="49"/>
      <c r="K221" s="48"/>
      <c r="L221" s="49"/>
      <c r="M221" s="298"/>
    </row>
    <row r="222" spans="1:15" ht="13.9" customHeight="1">
      <c r="A222" s="387"/>
      <c r="B222" s="42"/>
      <c r="C222" s="43"/>
      <c r="D222" s="61" t="s">
        <v>277</v>
      </c>
      <c r="E222" s="63" t="s">
        <v>75</v>
      </c>
      <c r="F222" s="127">
        <f>L274</f>
        <v>19.978012908163265</v>
      </c>
      <c r="G222" s="46"/>
      <c r="H222" s="47"/>
      <c r="I222" s="48"/>
      <c r="J222" s="49"/>
      <c r="K222" s="48"/>
      <c r="L222" s="49"/>
      <c r="M222" s="298"/>
    </row>
    <row r="223" spans="1:15" ht="23.45" customHeight="1">
      <c r="A223" s="387">
        <f>A218+1</f>
        <v>158</v>
      </c>
      <c r="B223" s="42" t="s">
        <v>64</v>
      </c>
      <c r="C223" s="43" t="s">
        <v>131</v>
      </c>
      <c r="D223" s="44" t="s">
        <v>279</v>
      </c>
      <c r="E223" s="45" t="s">
        <v>75</v>
      </c>
      <c r="F223" s="126">
        <f>F218</f>
        <v>68.856896838081653</v>
      </c>
      <c r="G223" s="46"/>
      <c r="H223" s="47">
        <f t="shared" si="102"/>
        <v>0</v>
      </c>
      <c r="I223" s="48"/>
      <c r="J223" s="49">
        <f t="shared" si="103"/>
        <v>0</v>
      </c>
      <c r="K223" s="48"/>
      <c r="L223" s="49">
        <f t="shared" si="104"/>
        <v>0</v>
      </c>
      <c r="M223" s="298" t="s">
        <v>803</v>
      </c>
    </row>
    <row r="224" spans="1:15" ht="23.45" customHeight="1">
      <c r="A224" s="387">
        <f t="shared" ref="A224:A228" si="105">A223+1</f>
        <v>159</v>
      </c>
      <c r="B224" s="42" t="s">
        <v>64</v>
      </c>
      <c r="C224" s="43" t="s">
        <v>132</v>
      </c>
      <c r="D224" s="44" t="s">
        <v>133</v>
      </c>
      <c r="E224" s="45" t="s">
        <v>75</v>
      </c>
      <c r="F224" s="126">
        <f>F218/0.5</f>
        <v>137.71379367616331</v>
      </c>
      <c r="G224" s="46"/>
      <c r="H224" s="47">
        <f t="shared" si="102"/>
        <v>0</v>
      </c>
      <c r="I224" s="48"/>
      <c r="J224" s="49">
        <f t="shared" si="103"/>
        <v>0</v>
      </c>
      <c r="K224" s="48"/>
      <c r="L224" s="49">
        <f t="shared" si="104"/>
        <v>0</v>
      </c>
      <c r="M224" s="298" t="s">
        <v>803</v>
      </c>
    </row>
    <row r="225" spans="1:14" ht="23.45" customHeight="1">
      <c r="A225" s="387">
        <f t="shared" si="105"/>
        <v>160</v>
      </c>
      <c r="B225" s="42" t="s">
        <v>64</v>
      </c>
      <c r="C225" s="43" t="s">
        <v>134</v>
      </c>
      <c r="D225" s="44" t="s">
        <v>212</v>
      </c>
      <c r="E225" s="45" t="s">
        <v>75</v>
      </c>
      <c r="F225" s="131">
        <f>F224*14</f>
        <v>1927.9931114662863</v>
      </c>
      <c r="G225" s="46"/>
      <c r="H225" s="47">
        <f t="shared" si="102"/>
        <v>0</v>
      </c>
      <c r="I225" s="48"/>
      <c r="J225" s="49">
        <f t="shared" si="103"/>
        <v>0</v>
      </c>
      <c r="K225" s="48"/>
      <c r="L225" s="49">
        <f t="shared" si="104"/>
        <v>0</v>
      </c>
      <c r="M225" s="298" t="s">
        <v>803</v>
      </c>
    </row>
    <row r="226" spans="1:14" ht="24.6" customHeight="1">
      <c r="A226" s="387">
        <f t="shared" si="105"/>
        <v>161</v>
      </c>
      <c r="B226" s="42" t="s">
        <v>64</v>
      </c>
      <c r="C226" s="43" t="s">
        <v>135</v>
      </c>
      <c r="D226" s="44" t="s">
        <v>136</v>
      </c>
      <c r="E226" s="45" t="s">
        <v>75</v>
      </c>
      <c r="F226" s="126">
        <f>F224-L171-F228</f>
        <v>117.22918920000004</v>
      </c>
      <c r="G226" s="46"/>
      <c r="H226" s="47">
        <f t="shared" si="102"/>
        <v>0</v>
      </c>
      <c r="I226" s="48"/>
      <c r="J226" s="49">
        <f t="shared" si="103"/>
        <v>0</v>
      </c>
      <c r="K226" s="48"/>
      <c r="L226" s="49">
        <f t="shared" si="104"/>
        <v>0</v>
      </c>
      <c r="M226" s="298" t="s">
        <v>803</v>
      </c>
    </row>
    <row r="227" spans="1:14" ht="25.15" customHeight="1">
      <c r="A227" s="387">
        <f t="shared" si="105"/>
        <v>162</v>
      </c>
      <c r="B227" s="42" t="s">
        <v>64</v>
      </c>
      <c r="C227" s="43" t="s">
        <v>137</v>
      </c>
      <c r="D227" s="44" t="s">
        <v>138</v>
      </c>
      <c r="E227" s="45" t="s">
        <v>75</v>
      </c>
      <c r="F227" s="126">
        <f>L171+F220-L374-L375</f>
        <v>6.9835315679999992</v>
      </c>
      <c r="G227" s="46"/>
      <c r="H227" s="47">
        <f t="shared" si="102"/>
        <v>0</v>
      </c>
      <c r="I227" s="48"/>
      <c r="J227" s="49">
        <f t="shared" si="103"/>
        <v>0</v>
      </c>
      <c r="K227" s="48"/>
      <c r="L227" s="49">
        <f t="shared" si="104"/>
        <v>0</v>
      </c>
      <c r="M227" s="298" t="s">
        <v>803</v>
      </c>
    </row>
    <row r="228" spans="1:14" ht="25.15" customHeight="1">
      <c r="A228" s="387">
        <f t="shared" si="105"/>
        <v>163</v>
      </c>
      <c r="B228" s="42" t="s">
        <v>64</v>
      </c>
      <c r="C228" s="43" t="s">
        <v>184</v>
      </c>
      <c r="D228" s="44" t="s">
        <v>185</v>
      </c>
      <c r="E228" s="45" t="s">
        <v>75</v>
      </c>
      <c r="F228" s="126">
        <f>F222</f>
        <v>19.978012908163265</v>
      </c>
      <c r="G228" s="46"/>
      <c r="H228" s="47">
        <f t="shared" si="102"/>
        <v>0</v>
      </c>
      <c r="I228" s="48"/>
      <c r="J228" s="49">
        <f t="shared" si="103"/>
        <v>0</v>
      </c>
      <c r="K228" s="48"/>
      <c r="L228" s="49">
        <f t="shared" si="104"/>
        <v>0</v>
      </c>
      <c r="M228" s="298" t="s">
        <v>803</v>
      </c>
    </row>
    <row r="229" spans="1:14" ht="16.149999999999999" customHeight="1">
      <c r="A229" s="385"/>
      <c r="B229" s="50"/>
      <c r="C229" s="50"/>
      <c r="D229" s="51"/>
      <c r="E229" s="52"/>
      <c r="F229" s="53"/>
      <c r="G229" s="54"/>
      <c r="H229" s="55"/>
      <c r="I229" s="56"/>
      <c r="J229" s="57"/>
      <c r="K229" s="57"/>
      <c r="L229" s="57"/>
      <c r="M229" s="57"/>
    </row>
    <row r="230" spans="1:14" ht="16.149999999999999" customHeight="1">
      <c r="A230" s="385"/>
      <c r="B230" s="33"/>
      <c r="C230" s="34"/>
      <c r="D230" s="35" t="s">
        <v>139</v>
      </c>
      <c r="E230" s="36"/>
      <c r="F230" s="132"/>
      <c r="G230" s="37"/>
      <c r="H230" s="38">
        <f>SUBTOTAL(9,H231:H242)</f>
        <v>0</v>
      </c>
      <c r="I230" s="39"/>
      <c r="J230" s="40">
        <f>SUBTOTAL(9,J231:J242)</f>
        <v>34.666764990000004</v>
      </c>
      <c r="K230" s="41"/>
      <c r="L230" s="40">
        <f>SUBTOTAL(9,L231:L242)</f>
        <v>0</v>
      </c>
      <c r="M230" s="41"/>
    </row>
    <row r="231" spans="1:14" ht="25.15" customHeight="1">
      <c r="A231" s="378">
        <v>1</v>
      </c>
      <c r="B231" s="42" t="s">
        <v>64</v>
      </c>
      <c r="C231" s="43" t="s">
        <v>140</v>
      </c>
      <c r="D231" s="44" t="s">
        <v>230</v>
      </c>
      <c r="E231" s="45" t="s">
        <v>78</v>
      </c>
      <c r="F231" s="133">
        <v>214.54</v>
      </c>
      <c r="G231" s="46"/>
      <c r="H231" s="47">
        <f t="shared" ref="H231:H237" si="106">F231*G231</f>
        <v>0</v>
      </c>
      <c r="I231" s="48"/>
      <c r="J231" s="49">
        <f t="shared" ref="J231:J237" si="107">F231*I231</f>
        <v>0</v>
      </c>
      <c r="K231" s="48"/>
      <c r="L231" s="49">
        <f t="shared" ref="L231:L237" si="108">F231*K231</f>
        <v>0</v>
      </c>
      <c r="M231" s="298" t="s">
        <v>803</v>
      </c>
    </row>
    <row r="232" spans="1:14" ht="25.15" customHeight="1">
      <c r="A232" s="378">
        <f>A231+1</f>
        <v>2</v>
      </c>
      <c r="B232" s="42" t="s">
        <v>64</v>
      </c>
      <c r="C232" s="43" t="s">
        <v>141</v>
      </c>
      <c r="D232" s="44" t="s">
        <v>231</v>
      </c>
      <c r="E232" s="45" t="s">
        <v>78</v>
      </c>
      <c r="F232" s="126">
        <v>55</v>
      </c>
      <c r="G232" s="46"/>
      <c r="H232" s="47">
        <f t="shared" si="106"/>
        <v>0</v>
      </c>
      <c r="I232" s="48"/>
      <c r="J232" s="49">
        <f t="shared" si="107"/>
        <v>0</v>
      </c>
      <c r="K232" s="48"/>
      <c r="L232" s="49">
        <f t="shared" si="108"/>
        <v>0</v>
      </c>
      <c r="M232" s="298" t="s">
        <v>803</v>
      </c>
    </row>
    <row r="233" spans="1:14" ht="14.45" customHeight="1">
      <c r="A233" s="378">
        <f t="shared" ref="A233:A239" si="109">A232+1</f>
        <v>3</v>
      </c>
      <c r="B233" s="42" t="s">
        <v>219</v>
      </c>
      <c r="C233" s="43" t="s">
        <v>232</v>
      </c>
      <c r="D233" s="44" t="s">
        <v>234</v>
      </c>
      <c r="E233" s="45" t="s">
        <v>235</v>
      </c>
      <c r="F233" s="126">
        <f>(F231+F232)*0.3</f>
        <v>80.861999999999981</v>
      </c>
      <c r="G233" s="308"/>
      <c r="H233" s="47">
        <f t="shared" si="106"/>
        <v>0</v>
      </c>
      <c r="I233" s="48">
        <v>1E-3</v>
      </c>
      <c r="J233" s="49">
        <f t="shared" si="107"/>
        <v>8.0861999999999976E-2</v>
      </c>
      <c r="K233" s="48"/>
      <c r="L233" s="49">
        <f t="shared" si="108"/>
        <v>0</v>
      </c>
      <c r="M233" s="298"/>
    </row>
    <row r="234" spans="1:14" ht="25.15" customHeight="1">
      <c r="A234" s="378">
        <f t="shared" si="109"/>
        <v>4</v>
      </c>
      <c r="B234" s="42" t="s">
        <v>64</v>
      </c>
      <c r="C234" s="43" t="s">
        <v>142</v>
      </c>
      <c r="D234" s="44" t="s">
        <v>143</v>
      </c>
      <c r="E234" s="45" t="s">
        <v>78</v>
      </c>
      <c r="F234" s="126">
        <f>F231</f>
        <v>214.54</v>
      </c>
      <c r="G234" s="46"/>
      <c r="H234" s="47">
        <f t="shared" si="106"/>
        <v>0</v>
      </c>
      <c r="I234" s="48">
        <v>4.0000000000000002E-4</v>
      </c>
      <c r="J234" s="49">
        <f t="shared" si="107"/>
        <v>8.5816000000000003E-2</v>
      </c>
      <c r="K234" s="48"/>
      <c r="L234" s="49">
        <f t="shared" si="108"/>
        <v>0</v>
      </c>
      <c r="M234" s="298" t="s">
        <v>803</v>
      </c>
    </row>
    <row r="235" spans="1:14" ht="15.6" customHeight="1">
      <c r="A235" s="378">
        <f t="shared" si="109"/>
        <v>5</v>
      </c>
      <c r="B235" s="42" t="s">
        <v>64</v>
      </c>
      <c r="C235" s="43" t="s">
        <v>144</v>
      </c>
      <c r="D235" s="44" t="s">
        <v>145</v>
      </c>
      <c r="E235" s="45" t="s">
        <v>78</v>
      </c>
      <c r="F235" s="126">
        <f>F232</f>
        <v>55</v>
      </c>
      <c r="G235" s="46"/>
      <c r="H235" s="47">
        <f t="shared" si="106"/>
        <v>0</v>
      </c>
      <c r="I235" s="48">
        <v>4.0000000000000002E-4</v>
      </c>
      <c r="J235" s="49">
        <f t="shared" si="107"/>
        <v>2.2000000000000002E-2</v>
      </c>
      <c r="K235" s="48"/>
      <c r="L235" s="49">
        <f t="shared" si="108"/>
        <v>0</v>
      </c>
      <c r="M235" s="298" t="s">
        <v>803</v>
      </c>
    </row>
    <row r="236" spans="1:14" ht="13.9" customHeight="1" thickBot="1">
      <c r="A236" s="378">
        <f t="shared" si="109"/>
        <v>6</v>
      </c>
      <c r="B236" s="42" t="s">
        <v>219</v>
      </c>
      <c r="C236" s="43" t="s">
        <v>233</v>
      </c>
      <c r="D236" s="44" t="s">
        <v>236</v>
      </c>
      <c r="E236" s="45" t="s">
        <v>78</v>
      </c>
      <c r="F236" s="126">
        <f>F234*1.15+F235*1.2</f>
        <v>312.721</v>
      </c>
      <c r="G236" s="308"/>
      <c r="H236" s="47">
        <f t="shared" si="106"/>
        <v>0</v>
      </c>
      <c r="I236" s="48">
        <v>1.9000000000000001E-4</v>
      </c>
      <c r="J236" s="49">
        <f t="shared" si="107"/>
        <v>5.9416990000000003E-2</v>
      </c>
      <c r="K236" s="48"/>
      <c r="L236" s="49">
        <f t="shared" si="108"/>
        <v>0</v>
      </c>
      <c r="M236" s="298"/>
      <c r="N236" s="311"/>
    </row>
    <row r="237" spans="1:14" ht="24.6" customHeight="1">
      <c r="A237" s="378">
        <f t="shared" si="109"/>
        <v>7</v>
      </c>
      <c r="B237" s="42" t="s">
        <v>64</v>
      </c>
      <c r="C237" s="43" t="s">
        <v>146</v>
      </c>
      <c r="D237" s="44" t="s">
        <v>237</v>
      </c>
      <c r="E237" s="45" t="s">
        <v>78</v>
      </c>
      <c r="F237" s="126">
        <f>podlahy!B14</f>
        <v>190.60000000000002</v>
      </c>
      <c r="G237" s="46"/>
      <c r="H237" s="47">
        <f t="shared" si="106"/>
        <v>0</v>
      </c>
      <c r="I237" s="48">
        <v>0.17993000000000001</v>
      </c>
      <c r="J237" s="49">
        <f t="shared" si="107"/>
        <v>34.294658000000005</v>
      </c>
      <c r="K237" s="48"/>
      <c r="L237" s="49">
        <f t="shared" si="108"/>
        <v>0</v>
      </c>
      <c r="M237" s="298" t="s">
        <v>803</v>
      </c>
    </row>
    <row r="238" spans="1:14" ht="24.6" customHeight="1">
      <c r="A238" s="378">
        <f t="shared" si="109"/>
        <v>8</v>
      </c>
      <c r="B238" s="42" t="s">
        <v>64</v>
      </c>
      <c r="C238" s="43" t="s">
        <v>238</v>
      </c>
      <c r="D238" s="44" t="s">
        <v>242</v>
      </c>
      <c r="E238" s="45" t="s">
        <v>78</v>
      </c>
      <c r="F238" s="126">
        <f>podlahy!B20</f>
        <v>24.2</v>
      </c>
      <c r="G238" s="46"/>
      <c r="H238" s="47">
        <f>F238*G238</f>
        <v>0</v>
      </c>
      <c r="I238" s="48">
        <v>3.5000000000000001E-3</v>
      </c>
      <c r="J238" s="49">
        <f>F238*I238</f>
        <v>8.4699999999999998E-2</v>
      </c>
      <c r="K238" s="48"/>
      <c r="L238" s="49">
        <f>F238*K238</f>
        <v>0</v>
      </c>
      <c r="M238" s="298" t="s">
        <v>803</v>
      </c>
    </row>
    <row r="239" spans="1:14" ht="24.6" customHeight="1">
      <c r="A239" s="378">
        <f t="shared" si="109"/>
        <v>9</v>
      </c>
      <c r="B239" s="42" t="s">
        <v>64</v>
      </c>
      <c r="C239" s="43" t="s">
        <v>239</v>
      </c>
      <c r="D239" s="44" t="s">
        <v>243</v>
      </c>
      <c r="E239" s="45" t="s">
        <v>78</v>
      </c>
      <c r="F239" s="126">
        <f>((2.37+1.1+1.45+3.4-1.03+0.97+0.94+1.84+1.2+1.3+1.31+0.2+2.17+3.4+1.9)*2-0.7*4-0.8*6)*0.3</f>
        <v>11.231999999999999</v>
      </c>
      <c r="G239" s="46"/>
      <c r="H239" s="47">
        <f>F239*G239</f>
        <v>0</v>
      </c>
      <c r="I239" s="48">
        <v>3.5000000000000001E-3</v>
      </c>
      <c r="J239" s="49">
        <f>F239*I239</f>
        <v>3.9312E-2</v>
      </c>
      <c r="K239" s="48"/>
      <c r="L239" s="49">
        <f>F239*K239</f>
        <v>0</v>
      </c>
      <c r="M239" s="298" t="s">
        <v>803</v>
      </c>
    </row>
    <row r="240" spans="1:14" ht="16.899999999999999" customHeight="1">
      <c r="A240" s="378"/>
      <c r="B240" s="42"/>
      <c r="C240" s="43"/>
      <c r="D240" s="78" t="s">
        <v>244</v>
      </c>
      <c r="E240" s="45"/>
      <c r="F240" s="133"/>
      <c r="G240" s="46"/>
      <c r="H240" s="47"/>
      <c r="I240" s="48"/>
      <c r="J240" s="49"/>
      <c r="K240" s="48"/>
      <c r="L240" s="49"/>
      <c r="M240" s="298"/>
    </row>
    <row r="241" spans="1:13" ht="24.6" customHeight="1">
      <c r="A241" s="378">
        <f>A239+1</f>
        <v>10</v>
      </c>
      <c r="B241" s="42" t="s">
        <v>64</v>
      </c>
      <c r="C241" s="43" t="s">
        <v>240</v>
      </c>
      <c r="D241" s="44" t="s">
        <v>241</v>
      </c>
      <c r="E241" s="45" t="s">
        <v>75</v>
      </c>
      <c r="F241" s="133">
        <f>J230</f>
        <v>34.666764990000004</v>
      </c>
      <c r="G241" s="46"/>
      <c r="H241" s="47">
        <f>F241*G241</f>
        <v>0</v>
      </c>
      <c r="I241" s="48"/>
      <c r="J241" s="49">
        <v>0</v>
      </c>
      <c r="K241" s="48"/>
      <c r="L241" s="49">
        <f>F241*K241</f>
        <v>0</v>
      </c>
      <c r="M241" s="298" t="s">
        <v>803</v>
      </c>
    </row>
    <row r="242" spans="1:13" ht="16.149999999999999" customHeight="1">
      <c r="A242" s="385"/>
      <c r="B242" s="50"/>
      <c r="C242" s="50"/>
      <c r="D242" s="51"/>
      <c r="E242" s="52"/>
      <c r="F242" s="53"/>
      <c r="G242" s="54"/>
      <c r="H242" s="55"/>
      <c r="I242" s="56"/>
      <c r="J242" s="57"/>
      <c r="K242" s="57"/>
      <c r="L242" s="57"/>
      <c r="M242" s="57"/>
    </row>
    <row r="243" spans="1:13" ht="16.149999999999999" customHeight="1">
      <c r="A243" s="385"/>
      <c r="B243" s="33"/>
      <c r="C243" s="34"/>
      <c r="D243" s="35" t="s">
        <v>147</v>
      </c>
      <c r="E243" s="36"/>
      <c r="F243" s="132"/>
      <c r="G243" s="37"/>
      <c r="H243" s="38">
        <f>SUBTOTAL(9,H244:H249)</f>
        <v>0</v>
      </c>
      <c r="I243" s="39"/>
      <c r="J243" s="40">
        <f>SUBTOTAL(9,J244:J249)</f>
        <v>1.0927875</v>
      </c>
      <c r="K243" s="41"/>
      <c r="L243" s="40">
        <f>SUBTOTAL(9,L244:L249)</f>
        <v>0</v>
      </c>
      <c r="M243" s="41"/>
    </row>
    <row r="244" spans="1:13" ht="24" customHeight="1">
      <c r="A244" s="378">
        <f>A241+1</f>
        <v>11</v>
      </c>
      <c r="B244" s="42" t="s">
        <v>64</v>
      </c>
      <c r="C244" s="43" t="s">
        <v>310</v>
      </c>
      <c r="D244" s="44" t="s">
        <v>312</v>
      </c>
      <c r="E244" s="45" t="s">
        <v>78</v>
      </c>
      <c r="F244" s="133">
        <v>378</v>
      </c>
      <c r="G244" s="46"/>
      <c r="H244" s="47">
        <f>F244*G244</f>
        <v>0</v>
      </c>
      <c r="I244" s="48"/>
      <c r="J244" s="49">
        <f>F244*I244</f>
        <v>0</v>
      </c>
      <c r="K244" s="48"/>
      <c r="L244" s="49">
        <f>F244*K244</f>
        <v>0</v>
      </c>
      <c r="M244" s="298" t="s">
        <v>803</v>
      </c>
    </row>
    <row r="245" spans="1:13" ht="24" customHeight="1">
      <c r="A245" s="378">
        <f>A244+1</f>
        <v>12</v>
      </c>
      <c r="B245" s="42" t="s">
        <v>64</v>
      </c>
      <c r="C245" s="43" t="s">
        <v>311</v>
      </c>
      <c r="D245" s="44" t="s">
        <v>313</v>
      </c>
      <c r="E245" s="45" t="s">
        <v>78</v>
      </c>
      <c r="F245" s="133">
        <v>385</v>
      </c>
      <c r="G245" s="46"/>
      <c r="H245" s="47">
        <f>F245*G245</f>
        <v>0</v>
      </c>
      <c r="I245" s="48"/>
      <c r="J245" s="49">
        <f>F245*I245</f>
        <v>0</v>
      </c>
      <c r="K245" s="48"/>
      <c r="L245" s="49">
        <f>F245*K245</f>
        <v>0</v>
      </c>
      <c r="M245" s="298" t="s">
        <v>803</v>
      </c>
    </row>
    <row r="246" spans="1:13" ht="16.149999999999999" customHeight="1">
      <c r="A246" s="378">
        <f t="shared" ref="A246:A248" si="110">A245+1</f>
        <v>13</v>
      </c>
      <c r="B246" s="42" t="s">
        <v>219</v>
      </c>
      <c r="C246" s="43" t="s">
        <v>314</v>
      </c>
      <c r="D246" s="44" t="s">
        <v>316</v>
      </c>
      <c r="E246" s="45" t="s">
        <v>78</v>
      </c>
      <c r="F246" s="133">
        <f>F245*1.15</f>
        <v>442.74999999999994</v>
      </c>
      <c r="G246" s="46"/>
      <c r="H246" s="47">
        <f>F246*G246</f>
        <v>0</v>
      </c>
      <c r="I246" s="48">
        <v>2.1000000000000001E-4</v>
      </c>
      <c r="J246" s="49">
        <f>F246*I246</f>
        <v>9.2977499999999991E-2</v>
      </c>
      <c r="K246" s="48"/>
      <c r="L246" s="49"/>
      <c r="M246" s="298"/>
    </row>
    <row r="247" spans="1:13" ht="16.149999999999999" customHeight="1">
      <c r="A247" s="378">
        <f t="shared" si="110"/>
        <v>14</v>
      </c>
      <c r="B247" s="42" t="s">
        <v>219</v>
      </c>
      <c r="C247" s="43" t="s">
        <v>315</v>
      </c>
      <c r="D247" s="44" t="s">
        <v>317</v>
      </c>
      <c r="E247" s="45" t="s">
        <v>78</v>
      </c>
      <c r="F247" s="133">
        <f>F244*1.15</f>
        <v>434.7</v>
      </c>
      <c r="G247" s="46"/>
      <c r="H247" s="47">
        <f>F247*G247</f>
        <v>0</v>
      </c>
      <c r="I247" s="48">
        <v>2.3E-3</v>
      </c>
      <c r="J247" s="49">
        <f>F247*I247</f>
        <v>0.99980999999999998</v>
      </c>
      <c r="K247" s="48"/>
      <c r="L247" s="49"/>
      <c r="M247" s="298"/>
    </row>
    <row r="248" spans="1:13" ht="24" customHeight="1">
      <c r="A248" s="378">
        <f t="shared" si="110"/>
        <v>15</v>
      </c>
      <c r="B248" s="42" t="s">
        <v>64</v>
      </c>
      <c r="C248" s="43" t="s">
        <v>318</v>
      </c>
      <c r="D248" s="44" t="s">
        <v>319</v>
      </c>
      <c r="E248" s="45" t="s">
        <v>75</v>
      </c>
      <c r="F248" s="133">
        <f>J243</f>
        <v>1.0927875</v>
      </c>
      <c r="G248" s="46"/>
      <c r="H248" s="47">
        <f t="shared" ref="H248" si="111">F248*G248</f>
        <v>0</v>
      </c>
      <c r="I248" s="48"/>
      <c r="J248" s="49">
        <v>0</v>
      </c>
      <c r="K248" s="48"/>
      <c r="L248" s="49">
        <f t="shared" ref="L248" si="112">F248*K248</f>
        <v>0</v>
      </c>
      <c r="M248" s="298" t="s">
        <v>803</v>
      </c>
    </row>
    <row r="249" spans="1:13" ht="9" customHeight="1">
      <c r="A249" s="385"/>
      <c r="B249" s="50"/>
      <c r="C249" s="50"/>
      <c r="D249" s="51"/>
      <c r="E249" s="52"/>
      <c r="F249" s="53"/>
      <c r="G249" s="54"/>
      <c r="H249" s="55"/>
      <c r="I249" s="56"/>
      <c r="J249" s="57"/>
      <c r="K249" s="57"/>
      <c r="L249" s="57"/>
      <c r="M249" s="57"/>
    </row>
    <row r="250" spans="1:13" ht="16.149999999999999" customHeight="1">
      <c r="A250" s="385"/>
      <c r="B250" s="33"/>
      <c r="C250" s="34"/>
      <c r="D250" s="35" t="s">
        <v>148</v>
      </c>
      <c r="E250" s="36"/>
      <c r="F250" s="132"/>
      <c r="G250" s="37"/>
      <c r="H250" s="38">
        <f>SUBTOTAL(9,H251:H273)</f>
        <v>0</v>
      </c>
      <c r="I250" s="39"/>
      <c r="J250" s="40">
        <f>SUBTOTAL(9,J251:J273)</f>
        <v>13.631682450000001</v>
      </c>
      <c r="K250" s="41"/>
      <c r="L250" s="40">
        <f>SUBTOTAL(9,L251:L268)</f>
        <v>0</v>
      </c>
      <c r="M250" s="41"/>
    </row>
    <row r="251" spans="1:13" ht="28.15" customHeight="1">
      <c r="A251" s="378">
        <f>A248+1</f>
        <v>16</v>
      </c>
      <c r="B251" s="42" t="s">
        <v>64</v>
      </c>
      <c r="C251" s="43" t="s">
        <v>149</v>
      </c>
      <c r="D251" s="44" t="s">
        <v>150</v>
      </c>
      <c r="E251" s="45" t="s">
        <v>78</v>
      </c>
      <c r="F251" s="133">
        <f>SUM(F252:F257)</f>
        <v>474.6</v>
      </c>
      <c r="G251" s="46"/>
      <c r="H251" s="47">
        <f t="shared" ref="H251:H256" si="113">F251*G251</f>
        <v>0</v>
      </c>
      <c r="I251" s="48"/>
      <c r="J251" s="49">
        <f t="shared" ref="J251:J263" si="114">F251*I251</f>
        <v>0</v>
      </c>
      <c r="K251" s="48"/>
      <c r="L251" s="49">
        <f t="shared" ref="L251:L263" si="115">F251*K251</f>
        <v>0</v>
      </c>
      <c r="M251" s="298" t="s">
        <v>803</v>
      </c>
    </row>
    <row r="252" spans="1:13" ht="13.9" customHeight="1">
      <c r="A252" s="392"/>
      <c r="B252" s="42"/>
      <c r="C252" s="80" t="s">
        <v>214</v>
      </c>
      <c r="D252" s="61" t="s">
        <v>213</v>
      </c>
      <c r="E252" s="63" t="s">
        <v>78</v>
      </c>
      <c r="F252" s="135">
        <f>podlahy!B21</f>
        <v>34.299999999999997</v>
      </c>
      <c r="G252" s="46"/>
      <c r="H252" s="47">
        <f t="shared" si="113"/>
        <v>0</v>
      </c>
      <c r="I252" s="48"/>
      <c r="J252" s="49">
        <f t="shared" si="114"/>
        <v>0</v>
      </c>
      <c r="K252" s="48"/>
      <c r="L252" s="49">
        <f t="shared" si="115"/>
        <v>0</v>
      </c>
      <c r="M252" s="298"/>
    </row>
    <row r="253" spans="1:13" ht="13.9" customHeight="1">
      <c r="A253" s="392"/>
      <c r="B253" s="42"/>
      <c r="C253" s="80" t="s">
        <v>214</v>
      </c>
      <c r="D253" s="61" t="s">
        <v>215</v>
      </c>
      <c r="E253" s="63" t="s">
        <v>78</v>
      </c>
      <c r="F253" s="135">
        <f>podlahy!B10</f>
        <v>124.4</v>
      </c>
      <c r="G253" s="46"/>
      <c r="H253" s="47">
        <f t="shared" si="113"/>
        <v>0</v>
      </c>
      <c r="I253" s="48"/>
      <c r="J253" s="49">
        <f t="shared" si="114"/>
        <v>0</v>
      </c>
      <c r="K253" s="48"/>
      <c r="L253" s="49">
        <f t="shared" si="115"/>
        <v>0</v>
      </c>
      <c r="M253" s="298"/>
    </row>
    <row r="254" spans="1:13" ht="13.9" customHeight="1">
      <c r="A254" s="392"/>
      <c r="B254" s="42"/>
      <c r="C254" s="80" t="s">
        <v>214</v>
      </c>
      <c r="D254" s="61" t="s">
        <v>216</v>
      </c>
      <c r="E254" s="63" t="s">
        <v>78</v>
      </c>
      <c r="F254" s="135">
        <f>podlahy!B11</f>
        <v>43.8</v>
      </c>
      <c r="G254" s="46"/>
      <c r="H254" s="47">
        <f t="shared" si="113"/>
        <v>0</v>
      </c>
      <c r="I254" s="48"/>
      <c r="J254" s="49">
        <f t="shared" si="114"/>
        <v>0</v>
      </c>
      <c r="K254" s="48"/>
      <c r="L254" s="49">
        <f t="shared" si="115"/>
        <v>0</v>
      </c>
      <c r="M254" s="298"/>
    </row>
    <row r="255" spans="1:13" ht="13.9" customHeight="1">
      <c r="A255" s="392"/>
      <c r="B255" s="42"/>
      <c r="C255" s="80" t="s">
        <v>214</v>
      </c>
      <c r="D255" s="61" t="s">
        <v>217</v>
      </c>
      <c r="E255" s="63" t="s">
        <v>78</v>
      </c>
      <c r="F255" s="135">
        <f>podlahy!B25</f>
        <v>102.8</v>
      </c>
      <c r="G255" s="46"/>
      <c r="H255" s="47">
        <f t="shared" si="113"/>
        <v>0</v>
      </c>
      <c r="I255" s="48"/>
      <c r="J255" s="49">
        <f t="shared" si="114"/>
        <v>0</v>
      </c>
      <c r="K255" s="48"/>
      <c r="L255" s="49">
        <f t="shared" si="115"/>
        <v>0</v>
      </c>
      <c r="M255" s="298"/>
    </row>
    <row r="256" spans="1:13" ht="13.9" customHeight="1">
      <c r="A256" s="392"/>
      <c r="B256" s="42"/>
      <c r="C256" s="80" t="s">
        <v>214</v>
      </c>
      <c r="D256" s="61" t="s">
        <v>218</v>
      </c>
      <c r="E256" s="63" t="s">
        <v>78</v>
      </c>
      <c r="F256" s="135">
        <f>podlahy!B26</f>
        <v>74.300000000000011</v>
      </c>
      <c r="G256" s="46"/>
      <c r="H256" s="47">
        <f t="shared" si="113"/>
        <v>0</v>
      </c>
      <c r="I256" s="48"/>
      <c r="J256" s="49">
        <f t="shared" si="114"/>
        <v>0</v>
      </c>
      <c r="K256" s="48"/>
      <c r="L256" s="49">
        <f t="shared" si="115"/>
        <v>0</v>
      </c>
      <c r="M256" s="298"/>
    </row>
    <row r="257" spans="1:13" ht="13.9" customHeight="1">
      <c r="A257" s="392"/>
      <c r="B257" s="42"/>
      <c r="C257" s="80" t="s">
        <v>1412</v>
      </c>
      <c r="D257" s="61" t="s">
        <v>1413</v>
      </c>
      <c r="E257" s="63" t="s">
        <v>78</v>
      </c>
      <c r="F257" s="260">
        <v>95</v>
      </c>
      <c r="G257" s="46"/>
      <c r="H257" s="47"/>
      <c r="I257" s="48"/>
      <c r="J257" s="49"/>
      <c r="K257" s="48"/>
      <c r="L257" s="49"/>
    </row>
    <row r="258" spans="1:13" ht="13.9" customHeight="1">
      <c r="A258" s="378">
        <f>A251+1</f>
        <v>17</v>
      </c>
      <c r="B258" s="42" t="s">
        <v>219</v>
      </c>
      <c r="C258" s="43" t="s">
        <v>220</v>
      </c>
      <c r="D258" s="44" t="s">
        <v>223</v>
      </c>
      <c r="E258" s="45" t="s">
        <v>78</v>
      </c>
      <c r="F258" s="126">
        <f t="shared" ref="F258:F263" si="116">F252*1.04</f>
        <v>35.671999999999997</v>
      </c>
      <c r="G258" s="46"/>
      <c r="H258" s="47">
        <f t="shared" ref="H258:H263" si="117">F258*G258</f>
        <v>0</v>
      </c>
      <c r="I258" s="48">
        <f>0.02*0.14</f>
        <v>2.8000000000000004E-3</v>
      </c>
      <c r="J258" s="49">
        <f t="shared" si="114"/>
        <v>9.9881600000000001E-2</v>
      </c>
      <c r="K258" s="48"/>
      <c r="L258" s="49">
        <f t="shared" si="115"/>
        <v>0</v>
      </c>
      <c r="M258" s="298"/>
    </row>
    <row r="259" spans="1:13" ht="13.9" customHeight="1">
      <c r="A259" s="378">
        <f t="shared" ref="A259:A268" si="118">A258+1</f>
        <v>18</v>
      </c>
      <c r="B259" s="42" t="s">
        <v>219</v>
      </c>
      <c r="C259" s="43" t="s">
        <v>222</v>
      </c>
      <c r="D259" s="44" t="s">
        <v>224</v>
      </c>
      <c r="E259" s="45" t="s">
        <v>78</v>
      </c>
      <c r="F259" s="126">
        <f t="shared" si="116"/>
        <v>129.376</v>
      </c>
      <c r="G259" s="46"/>
      <c r="H259" s="47">
        <f t="shared" si="117"/>
        <v>0</v>
      </c>
      <c r="I259" s="48">
        <f>0.02*0.08</f>
        <v>1.6000000000000001E-3</v>
      </c>
      <c r="J259" s="49">
        <f t="shared" si="114"/>
        <v>0.20700160000000001</v>
      </c>
      <c r="K259" s="48"/>
      <c r="L259" s="49">
        <f t="shared" si="115"/>
        <v>0</v>
      </c>
      <c r="M259" s="298"/>
    </row>
    <row r="260" spans="1:13" ht="13.9" customHeight="1">
      <c r="A260" s="378">
        <f t="shared" si="118"/>
        <v>19</v>
      </c>
      <c r="B260" s="42" t="s">
        <v>219</v>
      </c>
      <c r="C260" s="43" t="s">
        <v>221</v>
      </c>
      <c r="D260" s="44" t="s">
        <v>225</v>
      </c>
      <c r="E260" s="45" t="s">
        <v>78</v>
      </c>
      <c r="F260" s="126">
        <f t="shared" si="116"/>
        <v>45.552</v>
      </c>
      <c r="G260" s="46"/>
      <c r="H260" s="47">
        <f t="shared" si="117"/>
        <v>0</v>
      </c>
      <c r="I260" s="48">
        <f>0.02*0.1</f>
        <v>2E-3</v>
      </c>
      <c r="J260" s="49">
        <f t="shared" si="114"/>
        <v>9.1104000000000004E-2</v>
      </c>
      <c r="K260" s="48"/>
      <c r="L260" s="49">
        <f t="shared" si="115"/>
        <v>0</v>
      </c>
      <c r="M260" s="298"/>
    </row>
    <row r="261" spans="1:13" ht="13.9" customHeight="1">
      <c r="A261" s="378">
        <f t="shared" si="118"/>
        <v>20</v>
      </c>
      <c r="B261" s="42" t="s">
        <v>219</v>
      </c>
      <c r="C261" s="43" t="s">
        <v>226</v>
      </c>
      <c r="D261" s="44" t="s">
        <v>228</v>
      </c>
      <c r="E261" s="45" t="s">
        <v>78</v>
      </c>
      <c r="F261" s="126">
        <f t="shared" si="116"/>
        <v>106.91200000000001</v>
      </c>
      <c r="G261" s="46"/>
      <c r="H261" s="47">
        <f t="shared" si="117"/>
        <v>0</v>
      </c>
      <c r="I261" s="48">
        <f>0.12*0.1</f>
        <v>1.2E-2</v>
      </c>
      <c r="J261" s="49">
        <f t="shared" si="114"/>
        <v>1.2829440000000001</v>
      </c>
      <c r="K261" s="48"/>
      <c r="L261" s="49">
        <f t="shared" si="115"/>
        <v>0</v>
      </c>
      <c r="M261" s="298"/>
    </row>
    <row r="262" spans="1:13" ht="13.9" customHeight="1">
      <c r="A262" s="378">
        <f t="shared" si="118"/>
        <v>21</v>
      </c>
      <c r="B262" s="42" t="s">
        <v>219</v>
      </c>
      <c r="C262" s="43" t="s">
        <v>227</v>
      </c>
      <c r="D262" s="44" t="s">
        <v>229</v>
      </c>
      <c r="E262" s="45" t="s">
        <v>78</v>
      </c>
      <c r="F262" s="126">
        <f t="shared" si="116"/>
        <v>77.27200000000002</v>
      </c>
      <c r="G262" s="46"/>
      <c r="H262" s="47">
        <f t="shared" si="117"/>
        <v>0</v>
      </c>
      <c r="I262" s="48">
        <f>0.12*0.1</f>
        <v>1.2E-2</v>
      </c>
      <c r="J262" s="49">
        <f t="shared" si="114"/>
        <v>0.92726400000000031</v>
      </c>
      <c r="K262" s="48"/>
      <c r="L262" s="49">
        <f t="shared" si="115"/>
        <v>0</v>
      </c>
      <c r="M262" s="298"/>
    </row>
    <row r="263" spans="1:13" ht="13.9" customHeight="1">
      <c r="A263" s="378"/>
      <c r="B263" s="42" t="s">
        <v>219</v>
      </c>
      <c r="C263" s="43" t="s">
        <v>459</v>
      </c>
      <c r="D263" s="44" t="s">
        <v>1414</v>
      </c>
      <c r="E263" s="45" t="s">
        <v>78</v>
      </c>
      <c r="F263" s="261">
        <f t="shared" si="116"/>
        <v>98.8</v>
      </c>
      <c r="G263" s="46"/>
      <c r="H263" s="47">
        <f t="shared" si="117"/>
        <v>0</v>
      </c>
      <c r="I263" s="48">
        <f>0.12*0.08</f>
        <v>9.5999999999999992E-3</v>
      </c>
      <c r="J263" s="49">
        <f t="shared" si="114"/>
        <v>0.94847999999999988</v>
      </c>
      <c r="K263" s="48"/>
      <c r="L263" s="49">
        <f t="shared" si="115"/>
        <v>0</v>
      </c>
    </row>
    <row r="264" spans="1:13" ht="22.15" customHeight="1">
      <c r="A264" s="378">
        <f>A262+1</f>
        <v>22</v>
      </c>
      <c r="B264" s="42" t="s">
        <v>64</v>
      </c>
      <c r="C264" s="43" t="s">
        <v>321</v>
      </c>
      <c r="D264" s="44" t="s">
        <v>322</v>
      </c>
      <c r="E264" s="45" t="s">
        <v>78</v>
      </c>
      <c r="F264" s="133">
        <v>378</v>
      </c>
      <c r="G264" s="46"/>
      <c r="H264" s="47">
        <f>F264*G264</f>
        <v>0</v>
      </c>
      <c r="I264" s="48"/>
      <c r="J264" s="49">
        <f>F264*I264</f>
        <v>0</v>
      </c>
      <c r="K264" s="48"/>
      <c r="L264" s="49">
        <f>F264*K264</f>
        <v>0</v>
      </c>
      <c r="M264" s="298" t="s">
        <v>803</v>
      </c>
    </row>
    <row r="265" spans="1:13" ht="14.45" customHeight="1">
      <c r="A265" s="378">
        <f t="shared" si="118"/>
        <v>23</v>
      </c>
      <c r="B265" s="42" t="s">
        <v>219</v>
      </c>
      <c r="C265" s="43" t="s">
        <v>227</v>
      </c>
      <c r="D265" s="44" t="s">
        <v>320</v>
      </c>
      <c r="E265" s="45" t="s">
        <v>78</v>
      </c>
      <c r="F265" s="133">
        <f>F264*1.05</f>
        <v>396.90000000000003</v>
      </c>
      <c r="G265" s="46"/>
      <c r="H265" s="47">
        <f>F265*G265</f>
        <v>0</v>
      </c>
      <c r="I265" s="48">
        <f>0.14*0.15</f>
        <v>2.1000000000000001E-2</v>
      </c>
      <c r="J265" s="49">
        <f>F265*I265</f>
        <v>8.3349000000000011</v>
      </c>
      <c r="K265" s="48"/>
      <c r="L265" s="49">
        <f>F265*K265</f>
        <v>0</v>
      </c>
      <c r="M265" s="298"/>
    </row>
    <row r="266" spans="1:13" ht="28.15" customHeight="1">
      <c r="A266" s="378">
        <f t="shared" si="118"/>
        <v>24</v>
      </c>
      <c r="B266" s="42" t="s">
        <v>64</v>
      </c>
      <c r="C266" s="43" t="s">
        <v>456</v>
      </c>
      <c r="D266" s="299" t="s">
        <v>788</v>
      </c>
      <c r="E266" s="45" t="s">
        <v>78</v>
      </c>
      <c r="F266" s="133">
        <v>126</v>
      </c>
      <c r="G266" s="46"/>
      <c r="H266" s="47">
        <f>F266*G266</f>
        <v>0</v>
      </c>
      <c r="I266" s="48">
        <v>6.0000000000000001E-3</v>
      </c>
      <c r="J266" s="49">
        <f>F266*I266</f>
        <v>0.75600000000000001</v>
      </c>
      <c r="K266" s="48"/>
      <c r="L266" s="49">
        <f>F266*K266</f>
        <v>0</v>
      </c>
      <c r="M266" s="298" t="s">
        <v>803</v>
      </c>
    </row>
    <row r="267" spans="1:13" ht="14.45" customHeight="1">
      <c r="A267" s="378">
        <f t="shared" si="118"/>
        <v>25</v>
      </c>
      <c r="B267" s="42" t="s">
        <v>219</v>
      </c>
      <c r="C267" s="43" t="s">
        <v>459</v>
      </c>
      <c r="D267" s="44" t="s">
        <v>789</v>
      </c>
      <c r="E267" s="45" t="s">
        <v>78</v>
      </c>
      <c r="F267" s="133">
        <f>F266*1.05*2</f>
        <v>264.60000000000002</v>
      </c>
      <c r="G267" s="46"/>
      <c r="H267" s="47">
        <f>F267*G267</f>
        <v>0</v>
      </c>
      <c r="I267" s="48">
        <f>0.016*0.16</f>
        <v>2.5600000000000002E-3</v>
      </c>
      <c r="J267" s="49">
        <f>F267*I267</f>
        <v>0.67737600000000009</v>
      </c>
      <c r="K267" s="48"/>
      <c r="L267" s="49">
        <f t="shared" ref="L267:L272" si="119">F267*K267</f>
        <v>0</v>
      </c>
      <c r="M267" s="298"/>
    </row>
    <row r="268" spans="1:13">
      <c r="A268" s="378">
        <f t="shared" si="118"/>
        <v>26</v>
      </c>
      <c r="B268" s="42" t="s">
        <v>64</v>
      </c>
      <c r="C268" s="43" t="s">
        <v>457</v>
      </c>
      <c r="D268" s="312" t="s">
        <v>458</v>
      </c>
      <c r="E268" s="45" t="s">
        <v>78</v>
      </c>
      <c r="F268" s="133">
        <f>126*2+137.5</f>
        <v>389.5</v>
      </c>
      <c r="G268" s="46"/>
      <c r="H268" s="47">
        <f>F268*G268</f>
        <v>0</v>
      </c>
      <c r="I268" s="48">
        <v>4.0000000000000003E-5</v>
      </c>
      <c r="J268" s="49">
        <f>F268*I268</f>
        <v>1.5580000000000002E-2</v>
      </c>
      <c r="K268" s="48"/>
      <c r="L268" s="49">
        <f t="shared" si="119"/>
        <v>0</v>
      </c>
      <c r="M268" s="298" t="s">
        <v>803</v>
      </c>
    </row>
    <row r="269" spans="1:13">
      <c r="A269" s="378"/>
      <c r="B269" s="42"/>
      <c r="C269" s="42"/>
      <c r="D269" s="313" t="s">
        <v>541</v>
      </c>
      <c r="E269" s="45"/>
      <c r="F269" s="133"/>
      <c r="G269" s="46"/>
      <c r="H269" s="47">
        <f t="shared" ref="H269:H270" si="120">F269*G269</f>
        <v>0</v>
      </c>
      <c r="I269" s="48"/>
      <c r="J269" s="49"/>
      <c r="K269" s="48"/>
      <c r="L269" s="49">
        <f t="shared" si="119"/>
        <v>0</v>
      </c>
      <c r="M269" s="298"/>
    </row>
    <row r="270" spans="1:13">
      <c r="A270" s="378">
        <f>A268+1</f>
        <v>27</v>
      </c>
      <c r="B270" s="42" t="s">
        <v>219</v>
      </c>
      <c r="C270" s="43" t="s">
        <v>459</v>
      </c>
      <c r="D270" s="44" t="s">
        <v>460</v>
      </c>
      <c r="E270" s="45" t="s">
        <v>78</v>
      </c>
      <c r="F270" s="133">
        <f>126*1.15</f>
        <v>144.89999999999998</v>
      </c>
      <c r="G270" s="46"/>
      <c r="H270" s="47">
        <f t="shared" si="120"/>
        <v>0</v>
      </c>
      <c r="I270" s="48">
        <f>0.00065</f>
        <v>6.4999999999999997E-4</v>
      </c>
      <c r="J270" s="49">
        <f>F270*I270</f>
        <v>9.4184999999999977E-2</v>
      </c>
      <c r="K270" s="48"/>
      <c r="L270" s="49">
        <f t="shared" si="119"/>
        <v>0</v>
      </c>
      <c r="M270" s="298"/>
    </row>
    <row r="271" spans="1:13">
      <c r="A271" s="378">
        <f>A270+1</f>
        <v>28</v>
      </c>
      <c r="B271" s="42" t="s">
        <v>219</v>
      </c>
      <c r="C271" s="43" t="s">
        <v>461</v>
      </c>
      <c r="D271" s="44" t="s">
        <v>462</v>
      </c>
      <c r="E271" s="45" t="s">
        <v>78</v>
      </c>
      <c r="F271" s="131">
        <f>126*1.15+137.5*1.15</f>
        <v>303.02499999999998</v>
      </c>
      <c r="G271" s="46"/>
      <c r="H271" s="47">
        <f t="shared" ref="H271" si="121">F271*G271</f>
        <v>0</v>
      </c>
      <c r="I271" s="48">
        <f>0.00065</f>
        <v>6.4999999999999997E-4</v>
      </c>
      <c r="J271" s="49">
        <f>F271*I271</f>
        <v>0.19696624999999998</v>
      </c>
      <c r="K271" s="48"/>
      <c r="L271" s="49">
        <f t="shared" si="119"/>
        <v>0</v>
      </c>
      <c r="M271" s="298"/>
    </row>
    <row r="272" spans="1:13" ht="24">
      <c r="A272" s="378">
        <f>A271+1</f>
        <v>29</v>
      </c>
      <c r="B272" s="42" t="s">
        <v>64</v>
      </c>
      <c r="C272" s="43" t="s">
        <v>463</v>
      </c>
      <c r="D272" s="44" t="s">
        <v>464</v>
      </c>
      <c r="E272" s="45" t="s">
        <v>75</v>
      </c>
      <c r="F272" s="133">
        <f>J250</f>
        <v>13.631682450000001</v>
      </c>
      <c r="G272" s="46"/>
      <c r="H272" s="47">
        <f t="shared" ref="H272" si="122">F272*G272</f>
        <v>0</v>
      </c>
      <c r="I272" s="48">
        <v>0</v>
      </c>
      <c r="J272" s="49">
        <v>0</v>
      </c>
      <c r="K272" s="48"/>
      <c r="L272" s="49">
        <f t="shared" si="119"/>
        <v>0</v>
      </c>
      <c r="M272" s="298" t="s">
        <v>803</v>
      </c>
    </row>
    <row r="273" spans="1:13">
      <c r="A273" s="385"/>
      <c r="B273" s="81"/>
      <c r="C273" s="82"/>
      <c r="D273" s="83"/>
      <c r="E273" s="121"/>
      <c r="F273" s="134"/>
      <c r="G273" s="122"/>
      <c r="H273" s="123"/>
      <c r="I273" s="124"/>
      <c r="J273" s="125"/>
      <c r="K273" s="124"/>
      <c r="L273" s="125"/>
      <c r="M273" s="124"/>
    </row>
    <row r="274" spans="1:13">
      <c r="A274" s="385"/>
      <c r="B274" s="33"/>
      <c r="C274" s="34"/>
      <c r="D274" s="35" t="s">
        <v>245</v>
      </c>
      <c r="E274" s="36"/>
      <c r="F274" s="132"/>
      <c r="G274" s="37"/>
      <c r="H274" s="38">
        <f>SUBTOTAL(9,H275:H317)</f>
        <v>0</v>
      </c>
      <c r="I274" s="39"/>
      <c r="J274" s="40">
        <f>SUBTOTAL(9,J275:J317)</f>
        <v>12.40343183992</v>
      </c>
      <c r="K274" s="41"/>
      <c r="L274" s="41">
        <f>SUBTOTAL(9,L275:L317)</f>
        <v>19.978012908163265</v>
      </c>
      <c r="M274" s="41"/>
    </row>
    <row r="275" spans="1:13" ht="24">
      <c r="A275" s="378">
        <f>A272+1</f>
        <v>30</v>
      </c>
      <c r="B275" s="42" t="s">
        <v>64</v>
      </c>
      <c r="C275" s="43" t="s">
        <v>246</v>
      </c>
      <c r="D275" s="44" t="s">
        <v>267</v>
      </c>
      <c r="E275" s="45" t="s">
        <v>78</v>
      </c>
      <c r="F275" s="133">
        <v>177.1</v>
      </c>
      <c r="G275" s="46"/>
      <c r="H275" s="47">
        <f t="shared" ref="H275:H316" si="123">F275*G275</f>
        <v>0</v>
      </c>
      <c r="I275" s="48">
        <v>1.567E-2</v>
      </c>
      <c r="J275" s="49">
        <f t="shared" ref="J275:J316" si="124">F275*I275</f>
        <v>2.7751570000000001</v>
      </c>
      <c r="K275" s="48"/>
      <c r="L275" s="49">
        <f t="shared" ref="L275:L316" si="125">F275*K275</f>
        <v>0</v>
      </c>
      <c r="M275" s="298" t="s">
        <v>803</v>
      </c>
    </row>
    <row r="276" spans="1:13" ht="24">
      <c r="A276" s="378">
        <f t="shared" ref="A276:A303" si="126">A275+1</f>
        <v>31</v>
      </c>
      <c r="B276" s="42" t="s">
        <v>64</v>
      </c>
      <c r="C276" s="43" t="s">
        <v>247</v>
      </c>
      <c r="D276" s="44" t="s">
        <v>268</v>
      </c>
      <c r="E276" s="45" t="s">
        <v>78</v>
      </c>
      <c r="F276" s="133">
        <v>102.8</v>
      </c>
      <c r="G276" s="46"/>
      <c r="H276" s="47">
        <f t="shared" si="123"/>
        <v>0</v>
      </c>
      <c r="I276" s="48">
        <v>9.7800000000000005E-3</v>
      </c>
      <c r="J276" s="49">
        <f t="shared" si="124"/>
        <v>1.0053840000000001</v>
      </c>
      <c r="K276" s="48"/>
      <c r="L276" s="49">
        <f t="shared" si="125"/>
        <v>0</v>
      </c>
      <c r="M276" s="298" t="s">
        <v>803</v>
      </c>
    </row>
    <row r="277" spans="1:13">
      <c r="A277" s="378">
        <f t="shared" si="126"/>
        <v>32</v>
      </c>
      <c r="B277" s="42" t="s">
        <v>64</v>
      </c>
      <c r="C277" s="43" t="s">
        <v>1415</v>
      </c>
      <c r="D277" s="44" t="s">
        <v>1416</v>
      </c>
      <c r="E277" s="45" t="s">
        <v>78</v>
      </c>
      <c r="F277" s="261">
        <v>52</v>
      </c>
      <c r="G277" s="46"/>
      <c r="H277" s="47">
        <f t="shared" si="123"/>
        <v>0</v>
      </c>
      <c r="I277" s="48"/>
      <c r="J277" s="49">
        <f t="shared" si="124"/>
        <v>0</v>
      </c>
      <c r="K277" s="48"/>
      <c r="L277" s="49"/>
      <c r="M277" s="298" t="s">
        <v>803</v>
      </c>
    </row>
    <row r="278" spans="1:13">
      <c r="A278" s="378">
        <f t="shared" si="126"/>
        <v>33</v>
      </c>
      <c r="B278" s="42" t="s">
        <v>219</v>
      </c>
      <c r="C278" s="43" t="s">
        <v>280</v>
      </c>
      <c r="D278" s="44" t="s">
        <v>1417</v>
      </c>
      <c r="E278" s="45" t="s">
        <v>78</v>
      </c>
      <c r="F278" s="261">
        <f>F277*1.1</f>
        <v>57.2</v>
      </c>
      <c r="G278" s="46"/>
      <c r="H278" s="47">
        <f t="shared" si="123"/>
        <v>0</v>
      </c>
      <c r="I278" s="48">
        <f>0.025*0.55</f>
        <v>1.3750000000000002E-2</v>
      </c>
      <c r="J278" s="49">
        <f t="shared" si="124"/>
        <v>0.78650000000000009</v>
      </c>
      <c r="K278" s="48"/>
      <c r="L278" s="49"/>
      <c r="M278" s="49"/>
    </row>
    <row r="279" spans="1:13" ht="24">
      <c r="A279" s="378">
        <f t="shared" si="126"/>
        <v>34</v>
      </c>
      <c r="B279" s="42" t="s">
        <v>64</v>
      </c>
      <c r="C279" s="43" t="s">
        <v>248</v>
      </c>
      <c r="D279" s="44" t="s">
        <v>249</v>
      </c>
      <c r="E279" s="45" t="s">
        <v>78</v>
      </c>
      <c r="F279" s="133">
        <f>F276+F275+F277</f>
        <v>331.9</v>
      </c>
      <c r="G279" s="46"/>
      <c r="H279" s="47">
        <f t="shared" si="123"/>
        <v>0</v>
      </c>
      <c r="I279" s="48">
        <v>1.9000000000000001E-4</v>
      </c>
      <c r="J279" s="49">
        <f t="shared" si="124"/>
        <v>6.3061000000000006E-2</v>
      </c>
      <c r="K279" s="48"/>
      <c r="L279" s="49">
        <f t="shared" si="125"/>
        <v>0</v>
      </c>
      <c r="M279" s="298" t="s">
        <v>803</v>
      </c>
    </row>
    <row r="280" spans="1:13" ht="24">
      <c r="A280" s="378">
        <f t="shared" si="126"/>
        <v>35</v>
      </c>
      <c r="B280" s="42" t="s">
        <v>64</v>
      </c>
      <c r="C280" s="43" t="s">
        <v>250</v>
      </c>
      <c r="D280" s="44" t="s">
        <v>251</v>
      </c>
      <c r="E280" s="45" t="s">
        <v>83</v>
      </c>
      <c r="F280" s="261">
        <f>92.5+132</f>
        <v>224.5</v>
      </c>
      <c r="G280" s="46"/>
      <c r="H280" s="47">
        <f t="shared" si="123"/>
        <v>0</v>
      </c>
      <c r="I280" s="48"/>
      <c r="J280" s="49">
        <f t="shared" si="124"/>
        <v>0</v>
      </c>
      <c r="K280" s="48"/>
      <c r="L280" s="49">
        <f t="shared" si="125"/>
        <v>0</v>
      </c>
      <c r="M280" s="298" t="s">
        <v>803</v>
      </c>
    </row>
    <row r="281" spans="1:13">
      <c r="A281" s="378">
        <f t="shared" si="126"/>
        <v>36</v>
      </c>
      <c r="B281" s="42" t="s">
        <v>219</v>
      </c>
      <c r="C281" s="43" t="s">
        <v>575</v>
      </c>
      <c r="D281" s="44" t="s">
        <v>576</v>
      </c>
      <c r="E281" s="45" t="s">
        <v>83</v>
      </c>
      <c r="F281" s="133">
        <f>F280*1.1</f>
        <v>246.95000000000002</v>
      </c>
      <c r="G281" s="46"/>
      <c r="H281" s="47">
        <f t="shared" si="123"/>
        <v>0</v>
      </c>
      <c r="I281" s="48">
        <f>0.08*0.08*0.55</f>
        <v>3.5200000000000006E-3</v>
      </c>
      <c r="J281" s="49">
        <f t="shared" si="124"/>
        <v>0.86926400000000015</v>
      </c>
      <c r="K281" s="48"/>
      <c r="L281" s="49">
        <f t="shared" si="125"/>
        <v>0</v>
      </c>
      <c r="M281" s="298"/>
    </row>
    <row r="282" spans="1:13">
      <c r="A282" s="378"/>
      <c r="B282" s="42" t="s">
        <v>219</v>
      </c>
      <c r="C282" s="43" t="s">
        <v>579</v>
      </c>
      <c r="D282" s="44" t="s">
        <v>1418</v>
      </c>
      <c r="E282" s="45" t="s">
        <v>67</v>
      </c>
      <c r="F282" s="261">
        <f>1.9*1.1</f>
        <v>2.09</v>
      </c>
      <c r="G282" s="46"/>
      <c r="H282" s="47">
        <f>F282*G282</f>
        <v>0</v>
      </c>
      <c r="I282" s="48">
        <v>0.55000000000000004</v>
      </c>
      <c r="J282" s="49">
        <f t="shared" si="124"/>
        <v>1.1495</v>
      </c>
      <c r="K282" s="48"/>
      <c r="L282" s="49"/>
      <c r="M282" s="298"/>
    </row>
    <row r="283" spans="1:13" ht="24">
      <c r="A283" s="378">
        <f>A281+1</f>
        <v>37</v>
      </c>
      <c r="B283" s="42" t="s">
        <v>64</v>
      </c>
      <c r="C283" s="43" t="s">
        <v>565</v>
      </c>
      <c r="D283" s="44" t="s">
        <v>566</v>
      </c>
      <c r="E283" s="45" t="s">
        <v>83</v>
      </c>
      <c r="F283" s="133">
        <v>21.7</v>
      </c>
      <c r="G283" s="46"/>
      <c r="H283" s="47">
        <f t="shared" si="123"/>
        <v>0</v>
      </c>
      <c r="I283" s="48"/>
      <c r="J283" s="49">
        <f t="shared" si="124"/>
        <v>0</v>
      </c>
      <c r="K283" s="48"/>
      <c r="L283" s="49">
        <f t="shared" si="125"/>
        <v>0</v>
      </c>
      <c r="M283" s="298" t="s">
        <v>803</v>
      </c>
    </row>
    <row r="284" spans="1:13" ht="24">
      <c r="A284" s="378">
        <f t="shared" si="126"/>
        <v>38</v>
      </c>
      <c r="B284" s="42" t="s">
        <v>64</v>
      </c>
      <c r="C284" s="43" t="s">
        <v>567</v>
      </c>
      <c r="D284" s="44" t="s">
        <v>568</v>
      </c>
      <c r="E284" s="45" t="s">
        <v>83</v>
      </c>
      <c r="F284" s="261">
        <f>261.2+29.2+1.4*8</f>
        <v>301.59999999999997</v>
      </c>
      <c r="G284" s="46"/>
      <c r="H284" s="47">
        <f t="shared" si="123"/>
        <v>0</v>
      </c>
      <c r="I284" s="48"/>
      <c r="J284" s="49">
        <f t="shared" si="124"/>
        <v>0</v>
      </c>
      <c r="K284" s="48"/>
      <c r="L284" s="49">
        <f t="shared" si="125"/>
        <v>0</v>
      </c>
      <c r="M284" s="298" t="s">
        <v>803</v>
      </c>
    </row>
    <row r="285" spans="1:13" ht="24">
      <c r="A285" s="378">
        <f t="shared" si="126"/>
        <v>39</v>
      </c>
      <c r="B285" s="42" t="s">
        <v>64</v>
      </c>
      <c r="C285" s="43" t="s">
        <v>569</v>
      </c>
      <c r="D285" s="44" t="s">
        <v>570</v>
      </c>
      <c r="E285" s="45" t="s">
        <v>83</v>
      </c>
      <c r="F285" s="133">
        <f>49.6+28+39.2</f>
        <v>116.8</v>
      </c>
      <c r="G285" s="46"/>
      <c r="H285" s="47">
        <f t="shared" si="123"/>
        <v>0</v>
      </c>
      <c r="I285" s="48"/>
      <c r="J285" s="49">
        <f t="shared" si="124"/>
        <v>0</v>
      </c>
      <c r="K285" s="48"/>
      <c r="L285" s="49">
        <f t="shared" si="125"/>
        <v>0</v>
      </c>
      <c r="M285" s="298" t="s">
        <v>803</v>
      </c>
    </row>
    <row r="286" spans="1:13" ht="24">
      <c r="A286" s="378">
        <f t="shared" si="126"/>
        <v>40</v>
      </c>
      <c r="B286" s="42" t="s">
        <v>64</v>
      </c>
      <c r="C286" s="43" t="s">
        <v>571</v>
      </c>
      <c r="D286" s="44" t="s">
        <v>572</v>
      </c>
      <c r="E286" s="45" t="s">
        <v>83</v>
      </c>
      <c r="F286" s="133">
        <v>10</v>
      </c>
      <c r="G286" s="46"/>
      <c r="H286" s="47">
        <f t="shared" si="123"/>
        <v>0</v>
      </c>
      <c r="I286" s="48"/>
      <c r="J286" s="49">
        <f t="shared" si="124"/>
        <v>0</v>
      </c>
      <c r="K286" s="48"/>
      <c r="L286" s="49">
        <f t="shared" si="125"/>
        <v>0</v>
      </c>
      <c r="M286" s="298" t="s">
        <v>803</v>
      </c>
    </row>
    <row r="287" spans="1:13" ht="24">
      <c r="A287" s="378">
        <f t="shared" si="126"/>
        <v>41</v>
      </c>
      <c r="B287" s="42" t="s">
        <v>64</v>
      </c>
      <c r="C287" s="43" t="s">
        <v>573</v>
      </c>
      <c r="D287" s="44" t="s">
        <v>574</v>
      </c>
      <c r="E287" s="45" t="s">
        <v>83</v>
      </c>
      <c r="F287" s="314">
        <f>83.5-8.7</f>
        <v>74.8</v>
      </c>
      <c r="G287" s="46"/>
      <c r="H287" s="47">
        <f t="shared" si="123"/>
        <v>0</v>
      </c>
      <c r="I287" s="48"/>
      <c r="J287" s="49">
        <f t="shared" si="124"/>
        <v>0</v>
      </c>
      <c r="K287" s="48"/>
      <c r="L287" s="49">
        <f t="shared" si="125"/>
        <v>0</v>
      </c>
      <c r="M287" s="298" t="s">
        <v>803</v>
      </c>
    </row>
    <row r="288" spans="1:13">
      <c r="A288" s="378">
        <f t="shared" si="126"/>
        <v>42</v>
      </c>
      <c r="B288" s="42" t="s">
        <v>219</v>
      </c>
      <c r="C288" s="43" t="s">
        <v>1420</v>
      </c>
      <c r="D288" s="44" t="s">
        <v>1429</v>
      </c>
      <c r="E288" s="45" t="s">
        <v>67</v>
      </c>
      <c r="F288" s="126">
        <f>5.114*1.1</f>
        <v>5.6254</v>
      </c>
      <c r="G288" s="46"/>
      <c r="H288" s="47">
        <f t="shared" si="123"/>
        <v>0</v>
      </c>
      <c r="I288" s="48">
        <v>0.55000000000000004</v>
      </c>
      <c r="J288" s="49">
        <f>F288*I288</f>
        <v>3.0939700000000001</v>
      </c>
      <c r="K288" s="48"/>
      <c r="L288" s="49"/>
      <c r="M288" s="298"/>
    </row>
    <row r="289" spans="1:13">
      <c r="A289" s="378">
        <f t="shared" si="126"/>
        <v>43</v>
      </c>
      <c r="B289" s="42" t="s">
        <v>219</v>
      </c>
      <c r="C289" s="43" t="s">
        <v>1419</v>
      </c>
      <c r="D289" s="44" t="s">
        <v>577</v>
      </c>
      <c r="E289" s="45" t="s">
        <v>578</v>
      </c>
      <c r="F289" s="261">
        <f>185.6*1.1+1.1*1.4*8</f>
        <v>216.48</v>
      </c>
      <c r="G289" s="46"/>
      <c r="H289" s="47">
        <f t="shared" si="123"/>
        <v>0</v>
      </c>
      <c r="I289" s="48">
        <f>0.12*0.16*0.55</f>
        <v>1.056E-2</v>
      </c>
      <c r="J289" s="49">
        <f t="shared" si="124"/>
        <v>2.2860288</v>
      </c>
      <c r="K289" s="48"/>
      <c r="L289" s="49"/>
      <c r="M289" s="298"/>
    </row>
    <row r="290" spans="1:13">
      <c r="A290" s="378">
        <f t="shared" si="126"/>
        <v>44</v>
      </c>
      <c r="B290" s="42" t="s">
        <v>64</v>
      </c>
      <c r="C290" s="43" t="s">
        <v>599</v>
      </c>
      <c r="D290" s="44" t="s">
        <v>600</v>
      </c>
      <c r="E290" s="45" t="s">
        <v>67</v>
      </c>
      <c r="F290" s="126">
        <f>F288</f>
        <v>5.6254</v>
      </c>
      <c r="G290" s="46"/>
      <c r="H290" s="47">
        <f t="shared" si="123"/>
        <v>0</v>
      </c>
      <c r="I290" s="302"/>
      <c r="J290" s="128">
        <f t="shared" si="124"/>
        <v>0</v>
      </c>
      <c r="K290" s="302"/>
      <c r="L290" s="128">
        <f t="shared" ref="L290:L292" si="127">K290*F290</f>
        <v>0</v>
      </c>
      <c r="M290" s="298" t="s">
        <v>803</v>
      </c>
    </row>
    <row r="291" spans="1:13" ht="24">
      <c r="A291" s="378">
        <f t="shared" si="126"/>
        <v>45</v>
      </c>
      <c r="B291" s="42" t="s">
        <v>64</v>
      </c>
      <c r="C291" s="43" t="s">
        <v>601</v>
      </c>
      <c r="D291" s="44" t="s">
        <v>602</v>
      </c>
      <c r="E291" s="45" t="s">
        <v>67</v>
      </c>
      <c r="F291" s="133">
        <v>0.3</v>
      </c>
      <c r="G291" s="46"/>
      <c r="H291" s="47">
        <f t="shared" si="123"/>
        <v>0</v>
      </c>
      <c r="I291" s="48">
        <v>1.2199999999999999E-3</v>
      </c>
      <c r="J291" s="128">
        <f t="shared" si="124"/>
        <v>3.6599999999999995E-4</v>
      </c>
      <c r="K291" s="302"/>
      <c r="L291" s="128">
        <f t="shared" si="127"/>
        <v>0</v>
      </c>
      <c r="M291" s="298" t="s">
        <v>803</v>
      </c>
    </row>
    <row r="292" spans="1:13">
      <c r="A292" s="378">
        <f t="shared" si="126"/>
        <v>46</v>
      </c>
      <c r="B292" s="42" t="s">
        <v>64</v>
      </c>
      <c r="C292" s="43" t="s">
        <v>603</v>
      </c>
      <c r="D292" s="44" t="s">
        <v>604</v>
      </c>
      <c r="E292" s="45" t="s">
        <v>78</v>
      </c>
      <c r="F292" s="133">
        <v>1</v>
      </c>
      <c r="G292" s="46"/>
      <c r="H292" s="47">
        <f t="shared" si="123"/>
        <v>0</v>
      </c>
      <c r="I292" s="302"/>
      <c r="J292" s="128">
        <f t="shared" si="124"/>
        <v>0</v>
      </c>
      <c r="K292" s="302"/>
      <c r="L292" s="128">
        <f t="shared" si="127"/>
        <v>0</v>
      </c>
      <c r="M292" s="298" t="s">
        <v>803</v>
      </c>
    </row>
    <row r="293" spans="1:13" ht="24">
      <c r="A293" s="378">
        <f t="shared" si="126"/>
        <v>47</v>
      </c>
      <c r="B293" s="42" t="s">
        <v>64</v>
      </c>
      <c r="C293" s="43" t="s">
        <v>605</v>
      </c>
      <c r="D293" s="44" t="s">
        <v>606</v>
      </c>
      <c r="E293" s="45" t="s">
        <v>67</v>
      </c>
      <c r="F293" s="133">
        <f>F290+F289*0.12*0.16</f>
        <v>9.7818159999999992</v>
      </c>
      <c r="G293" s="46"/>
      <c r="H293" s="47">
        <f t="shared" si="123"/>
        <v>0</v>
      </c>
      <c r="I293" s="48">
        <v>2.3369999999999998E-2</v>
      </c>
      <c r="J293" s="49">
        <f t="shared" si="124"/>
        <v>0.22860103991999997</v>
      </c>
      <c r="K293" s="48"/>
      <c r="L293" s="49"/>
      <c r="M293" s="298" t="s">
        <v>803</v>
      </c>
    </row>
    <row r="294" spans="1:13" ht="24">
      <c r="A294" s="378">
        <f t="shared" si="126"/>
        <v>48</v>
      </c>
      <c r="B294" s="42" t="s">
        <v>64</v>
      </c>
      <c r="C294" s="43" t="s">
        <v>323</v>
      </c>
      <c r="D294" s="44" t="s">
        <v>327</v>
      </c>
      <c r="E294" s="45" t="s">
        <v>78</v>
      </c>
      <c r="F294" s="133">
        <v>385</v>
      </c>
      <c r="G294" s="46"/>
      <c r="H294" s="47">
        <f t="shared" si="123"/>
        <v>0</v>
      </c>
      <c r="I294" s="48"/>
      <c r="J294" s="49">
        <f t="shared" si="124"/>
        <v>0</v>
      </c>
      <c r="K294" s="48"/>
      <c r="L294" s="49">
        <f t="shared" si="125"/>
        <v>0</v>
      </c>
      <c r="M294" s="298" t="s">
        <v>803</v>
      </c>
    </row>
    <row r="295" spans="1:13" ht="24">
      <c r="A295" s="378">
        <f t="shared" si="126"/>
        <v>49</v>
      </c>
      <c r="B295" s="42" t="s">
        <v>64</v>
      </c>
      <c r="C295" s="43" t="s">
        <v>324</v>
      </c>
      <c r="D295" s="44" t="s">
        <v>325</v>
      </c>
      <c r="E295" s="45" t="s">
        <v>78</v>
      </c>
      <c r="F295" s="133">
        <f>F294</f>
        <v>385</v>
      </c>
      <c r="G295" s="46"/>
      <c r="H295" s="47">
        <f t="shared" si="123"/>
        <v>0</v>
      </c>
      <c r="I295" s="48"/>
      <c r="J295" s="49">
        <f t="shared" si="124"/>
        <v>0</v>
      </c>
      <c r="K295" s="48"/>
      <c r="L295" s="49">
        <f t="shared" si="125"/>
        <v>0</v>
      </c>
      <c r="M295" s="298" t="s">
        <v>803</v>
      </c>
    </row>
    <row r="296" spans="1:13">
      <c r="A296" s="378">
        <f t="shared" si="126"/>
        <v>50</v>
      </c>
      <c r="B296" s="42" t="s">
        <v>64</v>
      </c>
      <c r="C296" s="43" t="s">
        <v>326</v>
      </c>
      <c r="D296" s="44" t="s">
        <v>328</v>
      </c>
      <c r="E296" s="45" t="s">
        <v>83</v>
      </c>
      <c r="F296" s="133">
        <f>24*(7.6+9.75)</f>
        <v>416.40000000000003</v>
      </c>
      <c r="G296" s="46"/>
      <c r="H296" s="47">
        <f t="shared" si="123"/>
        <v>0</v>
      </c>
      <c r="I296" s="48"/>
      <c r="J296" s="49">
        <f t="shared" si="124"/>
        <v>0</v>
      </c>
      <c r="K296" s="48"/>
      <c r="L296" s="49">
        <f t="shared" si="125"/>
        <v>0</v>
      </c>
      <c r="M296" s="298" t="s">
        <v>803</v>
      </c>
    </row>
    <row r="297" spans="1:13">
      <c r="A297" s="378">
        <f t="shared" si="126"/>
        <v>51</v>
      </c>
      <c r="B297" s="42" t="s">
        <v>219</v>
      </c>
      <c r="C297" s="43" t="s">
        <v>280</v>
      </c>
      <c r="D297" s="44" t="s">
        <v>329</v>
      </c>
      <c r="E297" s="45" t="s">
        <v>67</v>
      </c>
      <c r="F297" s="126">
        <f>F296*0.06*0.04*1.1+F295*5*0.04*0.06*1.1</f>
        <v>6.1812960000000015</v>
      </c>
      <c r="G297" s="46"/>
      <c r="H297" s="47">
        <f t="shared" ref="H297:H301" si="128">F297*G297</f>
        <v>0</v>
      </c>
      <c r="I297" s="48"/>
      <c r="J297" s="49"/>
      <c r="K297" s="48"/>
      <c r="L297" s="49"/>
      <c r="M297" s="298"/>
    </row>
    <row r="298" spans="1:13">
      <c r="A298" s="378">
        <f t="shared" si="126"/>
        <v>52</v>
      </c>
      <c r="B298" s="315" t="s">
        <v>64</v>
      </c>
      <c r="C298" s="315" t="s">
        <v>1430</v>
      </c>
      <c r="D298" s="316" t="s">
        <v>1434</v>
      </c>
      <c r="E298" s="317" t="s">
        <v>235</v>
      </c>
      <c r="F298" s="317">
        <f>7.1*7</f>
        <v>49.699999999999996</v>
      </c>
      <c r="G298" s="317"/>
      <c r="H298" s="47">
        <f t="shared" si="128"/>
        <v>0</v>
      </c>
      <c r="I298" s="48"/>
      <c r="J298" s="49">
        <f t="shared" ref="J298:J301" si="129">F298*I298</f>
        <v>0</v>
      </c>
      <c r="K298" s="48"/>
      <c r="L298" s="49">
        <f t="shared" ref="L298:L299" si="130">F298*K298</f>
        <v>0</v>
      </c>
      <c r="M298" s="298" t="s">
        <v>803</v>
      </c>
    </row>
    <row r="299" spans="1:13">
      <c r="A299" s="378">
        <f t="shared" si="126"/>
        <v>53</v>
      </c>
      <c r="B299" s="315" t="s">
        <v>64</v>
      </c>
      <c r="C299" s="315" t="s">
        <v>1431</v>
      </c>
      <c r="D299" s="316" t="s">
        <v>1435</v>
      </c>
      <c r="E299" s="317" t="s">
        <v>235</v>
      </c>
      <c r="F299" s="317">
        <f>13.7*7</f>
        <v>95.899999999999991</v>
      </c>
      <c r="G299" s="317"/>
      <c r="H299" s="47">
        <f t="shared" si="128"/>
        <v>0</v>
      </c>
      <c r="I299" s="48"/>
      <c r="J299" s="49">
        <f t="shared" si="129"/>
        <v>0</v>
      </c>
      <c r="K299" s="48"/>
      <c r="L299" s="49">
        <f t="shared" si="130"/>
        <v>0</v>
      </c>
      <c r="M299" s="298" t="s">
        <v>803</v>
      </c>
    </row>
    <row r="300" spans="1:13">
      <c r="A300" s="378">
        <f t="shared" si="126"/>
        <v>54</v>
      </c>
      <c r="B300" s="42" t="s">
        <v>219</v>
      </c>
      <c r="C300" s="43" t="s">
        <v>1421</v>
      </c>
      <c r="D300" s="44" t="s">
        <v>1432</v>
      </c>
      <c r="E300" s="45" t="s">
        <v>378</v>
      </c>
      <c r="F300" s="261">
        <v>7</v>
      </c>
      <c r="G300" s="318"/>
      <c r="H300" s="47">
        <f t="shared" si="128"/>
        <v>0</v>
      </c>
      <c r="I300" s="48">
        <v>7.1000000000000004E-3</v>
      </c>
      <c r="J300" s="49">
        <f t="shared" si="129"/>
        <v>4.9700000000000001E-2</v>
      </c>
      <c r="K300" s="48"/>
      <c r="L300" s="49"/>
      <c r="M300" s="298"/>
    </row>
    <row r="301" spans="1:13">
      <c r="A301" s="378">
        <f t="shared" si="126"/>
        <v>55</v>
      </c>
      <c r="B301" s="42" t="s">
        <v>219</v>
      </c>
      <c r="C301" s="43" t="s">
        <v>1422</v>
      </c>
      <c r="D301" s="44" t="s">
        <v>1433</v>
      </c>
      <c r="E301" s="45" t="s">
        <v>378</v>
      </c>
      <c r="F301" s="261">
        <v>7</v>
      </c>
      <c r="G301" s="318"/>
      <c r="H301" s="47">
        <f t="shared" si="128"/>
        <v>0</v>
      </c>
      <c r="I301" s="48">
        <f>0.0137</f>
        <v>1.37E-2</v>
      </c>
      <c r="J301" s="49">
        <f t="shared" si="129"/>
        <v>9.5899999999999999E-2</v>
      </c>
      <c r="K301" s="48"/>
      <c r="L301" s="49"/>
      <c r="M301" s="298"/>
    </row>
    <row r="302" spans="1:13">
      <c r="A302" s="378">
        <f t="shared" si="126"/>
        <v>56</v>
      </c>
      <c r="B302" s="42" t="s">
        <v>64</v>
      </c>
      <c r="C302" s="43" t="s">
        <v>252</v>
      </c>
      <c r="D302" s="44" t="s">
        <v>253</v>
      </c>
      <c r="E302" s="45" t="s">
        <v>75</v>
      </c>
      <c r="F302" s="133">
        <f>J274</f>
        <v>12.40343183992</v>
      </c>
      <c r="G302" s="46"/>
      <c r="H302" s="47">
        <f t="shared" si="123"/>
        <v>0</v>
      </c>
      <c r="I302" s="48"/>
      <c r="J302" s="49">
        <v>0</v>
      </c>
      <c r="K302" s="48"/>
      <c r="L302" s="49">
        <f t="shared" si="125"/>
        <v>0</v>
      </c>
      <c r="M302" s="298" t="s">
        <v>803</v>
      </c>
    </row>
    <row r="303" spans="1:13">
      <c r="A303" s="378">
        <f t="shared" si="126"/>
        <v>57</v>
      </c>
      <c r="B303" s="42" t="s">
        <v>64</v>
      </c>
      <c r="C303" s="43" t="s">
        <v>254</v>
      </c>
      <c r="D303" s="44" t="s">
        <v>255</v>
      </c>
      <c r="E303" s="45" t="s">
        <v>82</v>
      </c>
      <c r="F303" s="133">
        <v>8</v>
      </c>
      <c r="G303" s="46"/>
      <c r="H303" s="47">
        <f t="shared" si="123"/>
        <v>0</v>
      </c>
      <c r="I303" s="48"/>
      <c r="J303" s="49">
        <f t="shared" si="124"/>
        <v>0</v>
      </c>
      <c r="K303" s="48">
        <v>5.0000000000000001E-3</v>
      </c>
      <c r="L303" s="49">
        <f t="shared" si="125"/>
        <v>0.04</v>
      </c>
      <c r="M303" s="298" t="s">
        <v>803</v>
      </c>
    </row>
    <row r="304" spans="1:13" ht="24">
      <c r="A304" s="378">
        <f t="shared" ref="A304:A309" si="131">A303+1</f>
        <v>58</v>
      </c>
      <c r="B304" s="42" t="s">
        <v>64</v>
      </c>
      <c r="C304" s="43" t="s">
        <v>256</v>
      </c>
      <c r="D304" s="44" t="s">
        <v>269</v>
      </c>
      <c r="E304" s="45" t="s">
        <v>83</v>
      </c>
      <c r="F304" s="133">
        <v>57</v>
      </c>
      <c r="G304" s="46"/>
      <c r="H304" s="47">
        <f t="shared" si="123"/>
        <v>0</v>
      </c>
      <c r="I304" s="48"/>
      <c r="J304" s="49">
        <f t="shared" si="124"/>
        <v>0</v>
      </c>
      <c r="K304" s="48">
        <v>2.4E-2</v>
      </c>
      <c r="L304" s="49">
        <f t="shared" si="125"/>
        <v>1.3680000000000001</v>
      </c>
      <c r="M304" s="298" t="s">
        <v>803</v>
      </c>
    </row>
    <row r="305" spans="1:24" ht="24">
      <c r="A305" s="378">
        <f t="shared" si="131"/>
        <v>59</v>
      </c>
      <c r="B305" s="42" t="s">
        <v>64</v>
      </c>
      <c r="C305" s="43" t="s">
        <v>256</v>
      </c>
      <c r="D305" s="44" t="s">
        <v>271</v>
      </c>
      <c r="E305" s="45" t="s">
        <v>83</v>
      </c>
      <c r="F305" s="133">
        <v>145</v>
      </c>
      <c r="G305" s="46"/>
      <c r="H305" s="47">
        <f t="shared" ref="H305" si="132">F305*G305</f>
        <v>0</v>
      </c>
      <c r="I305" s="48"/>
      <c r="J305" s="49">
        <f t="shared" ref="J305" si="133">F305*I305</f>
        <v>0</v>
      </c>
      <c r="K305" s="48">
        <v>2.4E-2</v>
      </c>
      <c r="L305" s="49">
        <f t="shared" ref="L305" si="134">F305*K305</f>
        <v>3.48</v>
      </c>
      <c r="M305" s="298" t="s">
        <v>803</v>
      </c>
    </row>
    <row r="306" spans="1:24" ht="24">
      <c r="A306" s="378">
        <f t="shared" si="131"/>
        <v>60</v>
      </c>
      <c r="B306" s="42" t="s">
        <v>64</v>
      </c>
      <c r="C306" s="43" t="s">
        <v>257</v>
      </c>
      <c r="D306" s="44" t="s">
        <v>270</v>
      </c>
      <c r="E306" s="45" t="s">
        <v>83</v>
      </c>
      <c r="F306" s="133">
        <v>174</v>
      </c>
      <c r="G306" s="46"/>
      <c r="H306" s="47">
        <f t="shared" si="123"/>
        <v>0</v>
      </c>
      <c r="I306" s="48"/>
      <c r="J306" s="49">
        <f t="shared" si="124"/>
        <v>0</v>
      </c>
      <c r="K306" s="48">
        <v>3.2000000000000001E-2</v>
      </c>
      <c r="L306" s="49">
        <f t="shared" si="125"/>
        <v>5.5680000000000005</v>
      </c>
      <c r="M306" s="298" t="s">
        <v>803</v>
      </c>
    </row>
    <row r="307" spans="1:24">
      <c r="A307" s="378">
        <f t="shared" si="131"/>
        <v>61</v>
      </c>
      <c r="B307" s="42" t="s">
        <v>64</v>
      </c>
      <c r="C307" s="43" t="s">
        <v>258</v>
      </c>
      <c r="D307" s="44" t="s">
        <v>259</v>
      </c>
      <c r="E307" s="45" t="s">
        <v>78</v>
      </c>
      <c r="F307" s="133">
        <v>15</v>
      </c>
      <c r="G307" s="46"/>
      <c r="H307" s="47">
        <f t="shared" si="123"/>
        <v>0</v>
      </c>
      <c r="I307" s="48"/>
      <c r="J307" s="49">
        <f t="shared" si="124"/>
        <v>0</v>
      </c>
      <c r="K307" s="48">
        <v>1.4999999999999999E-2</v>
      </c>
      <c r="L307" s="49">
        <f t="shared" si="125"/>
        <v>0.22499999999999998</v>
      </c>
      <c r="M307" s="298" t="s">
        <v>803</v>
      </c>
    </row>
    <row r="308" spans="1:24">
      <c r="A308" s="378">
        <f t="shared" si="131"/>
        <v>62</v>
      </c>
      <c r="B308" s="42" t="s">
        <v>64</v>
      </c>
      <c r="C308" s="43" t="s">
        <v>260</v>
      </c>
      <c r="D308" s="44" t="s">
        <v>261</v>
      </c>
      <c r="E308" s="45" t="s">
        <v>78</v>
      </c>
      <c r="F308" s="133">
        <f>325</f>
        <v>325</v>
      </c>
      <c r="G308" s="46"/>
      <c r="H308" s="47">
        <f t="shared" si="123"/>
        <v>0</v>
      </c>
      <c r="I308" s="48"/>
      <c r="J308" s="49">
        <f t="shared" si="124"/>
        <v>0</v>
      </c>
      <c r="K308" s="48">
        <v>7.0000000000000001E-3</v>
      </c>
      <c r="L308" s="49">
        <f t="shared" si="125"/>
        <v>2.2749999999999999</v>
      </c>
      <c r="M308" s="298" t="s">
        <v>803</v>
      </c>
    </row>
    <row r="309" spans="1:24">
      <c r="A309" s="378">
        <f t="shared" si="131"/>
        <v>63</v>
      </c>
      <c r="B309" s="42" t="s">
        <v>64</v>
      </c>
      <c r="C309" s="43" t="s">
        <v>262</v>
      </c>
      <c r="D309" s="44" t="s">
        <v>263</v>
      </c>
      <c r="E309" s="45" t="s">
        <v>78</v>
      </c>
      <c r="F309" s="133">
        <f>0.4*(41.21+17.3)</f>
        <v>23.404000000000003</v>
      </c>
      <c r="G309" s="46"/>
      <c r="H309" s="47">
        <f t="shared" si="123"/>
        <v>0</v>
      </c>
      <c r="I309" s="48"/>
      <c r="J309" s="49">
        <f t="shared" si="124"/>
        <v>0</v>
      </c>
      <c r="K309" s="48">
        <v>1.4E-2</v>
      </c>
      <c r="L309" s="49">
        <f t="shared" si="125"/>
        <v>0.32765600000000006</v>
      </c>
      <c r="M309" s="298" t="s">
        <v>803</v>
      </c>
    </row>
    <row r="310" spans="1:24">
      <c r="A310" s="385"/>
      <c r="B310" s="42"/>
      <c r="C310" s="43"/>
      <c r="D310" s="61" t="s">
        <v>272</v>
      </c>
      <c r="E310" s="45"/>
      <c r="F310" s="133"/>
      <c r="G310" s="46"/>
      <c r="H310" s="47"/>
      <c r="I310" s="48"/>
      <c r="J310" s="49"/>
      <c r="K310" s="48"/>
      <c r="L310" s="49"/>
      <c r="M310" s="298"/>
    </row>
    <row r="311" spans="1:24" ht="24">
      <c r="A311" s="378">
        <f>A309+1</f>
        <v>64</v>
      </c>
      <c r="B311" s="42" t="s">
        <v>64</v>
      </c>
      <c r="C311" s="43" t="s">
        <v>264</v>
      </c>
      <c r="D311" s="44" t="s">
        <v>265</v>
      </c>
      <c r="E311" s="45" t="s">
        <v>83</v>
      </c>
      <c r="F311" s="133">
        <f>4.8*3+(3.78+2.74+1.28+0.53+3.04+0.71+0.3)*3+2.4+3.95</f>
        <v>57.890000000000008</v>
      </c>
      <c r="G311" s="46"/>
      <c r="H311" s="47">
        <f t="shared" si="123"/>
        <v>0</v>
      </c>
      <c r="I311" s="48"/>
      <c r="J311" s="49">
        <f t="shared" si="124"/>
        <v>0</v>
      </c>
      <c r="K311" s="48">
        <v>2.5000000000000001E-2</v>
      </c>
      <c r="L311" s="49">
        <f t="shared" si="125"/>
        <v>1.4472500000000004</v>
      </c>
      <c r="M311" s="298" t="s">
        <v>803</v>
      </c>
    </row>
    <row r="312" spans="1:24">
      <c r="A312" s="385"/>
      <c r="B312" s="42"/>
      <c r="C312" s="43"/>
      <c r="D312" s="61" t="s">
        <v>273</v>
      </c>
      <c r="E312" s="45"/>
      <c r="F312" s="133"/>
      <c r="G312" s="46"/>
      <c r="H312" s="47"/>
      <c r="I312" s="48"/>
      <c r="J312" s="49"/>
      <c r="K312" s="48"/>
      <c r="L312" s="49"/>
      <c r="M312" s="298"/>
    </row>
    <row r="313" spans="1:24" ht="24">
      <c r="A313" s="378">
        <f>A311+1</f>
        <v>65</v>
      </c>
      <c r="B313" s="42" t="s">
        <v>64</v>
      </c>
      <c r="C313" s="43" t="s">
        <v>266</v>
      </c>
      <c r="D313" s="44" t="s">
        <v>274</v>
      </c>
      <c r="E313" s="45" t="s">
        <v>78</v>
      </c>
      <c r="F313" s="133">
        <v>8.92</v>
      </c>
      <c r="G313" s="46"/>
      <c r="H313" s="47">
        <f t="shared" si="123"/>
        <v>0</v>
      </c>
      <c r="I313" s="48"/>
      <c r="J313" s="49">
        <f t="shared" si="124"/>
        <v>0</v>
      </c>
      <c r="K313" s="48">
        <v>0.04</v>
      </c>
      <c r="L313" s="49">
        <f t="shared" si="125"/>
        <v>0.35680000000000001</v>
      </c>
      <c r="M313" s="298" t="s">
        <v>803</v>
      </c>
    </row>
    <row r="314" spans="1:24" ht="24">
      <c r="A314" s="378">
        <f>A313+1</f>
        <v>66</v>
      </c>
      <c r="B314" s="42" t="s">
        <v>64</v>
      </c>
      <c r="C314" s="43" t="s">
        <v>790</v>
      </c>
      <c r="D314" s="44" t="s">
        <v>791</v>
      </c>
      <c r="E314" s="45" t="s">
        <v>78</v>
      </c>
      <c r="F314" s="133">
        <v>136</v>
      </c>
      <c r="G314" s="46"/>
      <c r="H314" s="47">
        <f>F314*G314</f>
        <v>0</v>
      </c>
      <c r="I314" s="48"/>
      <c r="J314" s="49">
        <f>F314*I314</f>
        <v>0</v>
      </c>
      <c r="K314" s="48">
        <v>1.4E-2</v>
      </c>
      <c r="L314" s="49">
        <f>F314*K314</f>
        <v>1.9040000000000001</v>
      </c>
      <c r="M314" s="298" t="s">
        <v>803</v>
      </c>
    </row>
    <row r="315" spans="1:24" ht="24">
      <c r="A315" s="378">
        <f t="shared" ref="A315:A316" si="135">A314+1</f>
        <v>67</v>
      </c>
      <c r="B315" s="42" t="s">
        <v>64</v>
      </c>
      <c r="C315" s="43" t="s">
        <v>792</v>
      </c>
      <c r="D315" s="44" t="s">
        <v>793</v>
      </c>
      <c r="E315" s="45" t="s">
        <v>83</v>
      </c>
      <c r="F315" s="126">
        <f>5/(0.14*0.14)</f>
        <v>255.10204081632651</v>
      </c>
      <c r="G315" s="46"/>
      <c r="H315" s="47">
        <f>F315*G315</f>
        <v>0</v>
      </c>
      <c r="I315" s="48"/>
      <c r="J315" s="49">
        <f>F315*I315</f>
        <v>0</v>
      </c>
      <c r="K315" s="48">
        <v>0.01</v>
      </c>
      <c r="L315" s="49">
        <f>F315*K315</f>
        <v>2.5510204081632653</v>
      </c>
      <c r="M315" s="298" t="s">
        <v>803</v>
      </c>
    </row>
    <row r="316" spans="1:24">
      <c r="A316" s="378">
        <f t="shared" si="135"/>
        <v>68</v>
      </c>
      <c r="B316" s="42" t="s">
        <v>64</v>
      </c>
      <c r="C316" s="43" t="s">
        <v>275</v>
      </c>
      <c r="D316" s="44" t="s">
        <v>281</v>
      </c>
      <c r="E316" s="45" t="s">
        <v>78</v>
      </c>
      <c r="F316" s="126">
        <f>1.11*2.3</f>
        <v>2.5529999999999999</v>
      </c>
      <c r="G316" s="46"/>
      <c r="H316" s="47">
        <f t="shared" si="123"/>
        <v>0</v>
      </c>
      <c r="I316" s="48"/>
      <c r="J316" s="49">
        <f t="shared" si="124"/>
        <v>0</v>
      </c>
      <c r="K316" s="48">
        <f>0.31*0.55</f>
        <v>0.17050000000000001</v>
      </c>
      <c r="L316" s="49">
        <f t="shared" si="125"/>
        <v>0.43528650000000002</v>
      </c>
      <c r="M316" s="298" t="s">
        <v>803</v>
      </c>
    </row>
    <row r="317" spans="1:24">
      <c r="A317" s="385"/>
      <c r="B317" s="81"/>
      <c r="C317" s="82"/>
      <c r="D317" s="83"/>
      <c r="E317" s="121"/>
      <c r="F317" s="134"/>
      <c r="G317" s="122"/>
      <c r="H317" s="123"/>
      <c r="I317" s="124"/>
      <c r="J317" s="125"/>
      <c r="K317" s="124"/>
      <c r="L317" s="125"/>
      <c r="M317" s="298" t="s">
        <v>803</v>
      </c>
    </row>
    <row r="318" spans="1:24">
      <c r="A318" s="385"/>
      <c r="B318" s="33"/>
      <c r="C318" s="34"/>
      <c r="D318" s="35" t="s">
        <v>500</v>
      </c>
      <c r="E318" s="36"/>
      <c r="F318" s="132"/>
      <c r="G318" s="37"/>
      <c r="H318" s="38">
        <f>SUBTOTAL(9,H319:H347)</f>
        <v>0</v>
      </c>
      <c r="I318" s="39"/>
      <c r="J318" s="40">
        <f>SUBTOTAL(9,J319:J347)</f>
        <v>0.71251880000000001</v>
      </c>
      <c r="K318" s="41"/>
      <c r="L318" s="89">
        <f>SUBTOTAL(9,L319:L347)</f>
        <v>0.50363730000000007</v>
      </c>
      <c r="M318" s="298" t="s">
        <v>803</v>
      </c>
    </row>
    <row r="319" spans="1:24" ht="24">
      <c r="A319" s="378">
        <f>A316+1</f>
        <v>69</v>
      </c>
      <c r="B319" s="42" t="s">
        <v>64</v>
      </c>
      <c r="C319" s="43" t="s">
        <v>621</v>
      </c>
      <c r="D319" s="44" t="s">
        <v>636</v>
      </c>
      <c r="E319" s="45" t="s">
        <v>83</v>
      </c>
      <c r="F319" s="133">
        <v>15.2</v>
      </c>
      <c r="G319" s="46"/>
      <c r="H319" s="47">
        <f t="shared" ref="H319:H338" si="136">F319*G319</f>
        <v>0</v>
      </c>
      <c r="I319" s="48">
        <v>5.8599999999999998E-3</v>
      </c>
      <c r="J319" s="49">
        <f t="shared" ref="J319:J338" si="137">F319*I319</f>
        <v>8.9071999999999998E-2</v>
      </c>
      <c r="K319" s="48"/>
      <c r="L319" s="49">
        <f t="shared" ref="L319:L338" si="138">F319*K319</f>
        <v>0</v>
      </c>
      <c r="M319" s="298" t="s">
        <v>803</v>
      </c>
    </row>
    <row r="320" spans="1:24" ht="24">
      <c r="A320" s="378">
        <f>A319+1</f>
        <v>70</v>
      </c>
      <c r="B320" s="42" t="s">
        <v>64</v>
      </c>
      <c r="C320" s="43" t="s">
        <v>622</v>
      </c>
      <c r="D320" s="44" t="s">
        <v>637</v>
      </c>
      <c r="E320" s="45" t="s">
        <v>83</v>
      </c>
      <c r="F320" s="133">
        <v>36</v>
      </c>
      <c r="G320" s="46"/>
      <c r="H320" s="47">
        <f t="shared" si="136"/>
        <v>0</v>
      </c>
      <c r="I320" s="48">
        <v>2.1800000000000001E-3</v>
      </c>
      <c r="J320" s="49">
        <f t="shared" si="137"/>
        <v>7.8480000000000008E-2</v>
      </c>
      <c r="K320" s="48"/>
      <c r="L320" s="49">
        <f t="shared" si="138"/>
        <v>0</v>
      </c>
      <c r="M320" s="298" t="s">
        <v>803</v>
      </c>
      <c r="X320" s="319"/>
    </row>
    <row r="321" spans="1:13" ht="24">
      <c r="A321" s="378">
        <f t="shared" ref="A321:A346" si="139">A320+1</f>
        <v>71</v>
      </c>
      <c r="B321" s="42" t="s">
        <v>64</v>
      </c>
      <c r="C321" s="43" t="s">
        <v>623</v>
      </c>
      <c r="D321" s="44" t="s">
        <v>638</v>
      </c>
      <c r="E321" s="45" t="s">
        <v>83</v>
      </c>
      <c r="F321" s="133">
        <v>49</v>
      </c>
      <c r="G321" s="46"/>
      <c r="H321" s="47">
        <f t="shared" si="136"/>
        <v>0</v>
      </c>
      <c r="I321" s="48">
        <v>1.8400000000000001E-3</v>
      </c>
      <c r="J321" s="49">
        <f t="shared" si="137"/>
        <v>9.0160000000000004E-2</v>
      </c>
      <c r="K321" s="48"/>
      <c r="L321" s="49">
        <f t="shared" si="138"/>
        <v>0</v>
      </c>
      <c r="M321" s="298" t="s">
        <v>803</v>
      </c>
    </row>
    <row r="322" spans="1:13" ht="24">
      <c r="A322" s="378">
        <f t="shared" si="139"/>
        <v>72</v>
      </c>
      <c r="B322" s="42" t="s">
        <v>64</v>
      </c>
      <c r="C322" s="43" t="s">
        <v>624</v>
      </c>
      <c r="D322" s="44" t="s">
        <v>639</v>
      </c>
      <c r="E322" s="45" t="s">
        <v>83</v>
      </c>
      <c r="F322" s="133">
        <v>1.85</v>
      </c>
      <c r="G322" s="46"/>
      <c r="H322" s="47">
        <f t="shared" si="136"/>
        <v>0</v>
      </c>
      <c r="I322" s="48">
        <v>9.3000000000000005E-4</v>
      </c>
      <c r="J322" s="49">
        <f t="shared" si="137"/>
        <v>1.7205000000000002E-3</v>
      </c>
      <c r="K322" s="48"/>
      <c r="L322" s="49">
        <f t="shared" si="138"/>
        <v>0</v>
      </c>
      <c r="M322" s="298" t="s">
        <v>803</v>
      </c>
    </row>
    <row r="323" spans="1:13" ht="24">
      <c r="A323" s="378">
        <f t="shared" si="139"/>
        <v>73</v>
      </c>
      <c r="B323" s="42" t="s">
        <v>64</v>
      </c>
      <c r="C323" s="43" t="s">
        <v>625</v>
      </c>
      <c r="D323" s="44" t="s">
        <v>640</v>
      </c>
      <c r="E323" s="45" t="s">
        <v>83</v>
      </c>
      <c r="F323" s="133">
        <v>1.3</v>
      </c>
      <c r="G323" s="46"/>
      <c r="H323" s="47">
        <f t="shared" si="136"/>
        <v>0</v>
      </c>
      <c r="I323" s="48">
        <v>1.3600000000000001E-3</v>
      </c>
      <c r="J323" s="49">
        <f t="shared" si="137"/>
        <v>1.7680000000000003E-3</v>
      </c>
      <c r="K323" s="48"/>
      <c r="L323" s="49">
        <f t="shared" si="138"/>
        <v>0</v>
      </c>
      <c r="M323" s="298" t="s">
        <v>803</v>
      </c>
    </row>
    <row r="324" spans="1:13" ht="24">
      <c r="A324" s="378">
        <f t="shared" si="139"/>
        <v>74</v>
      </c>
      <c r="B324" s="42" t="s">
        <v>64</v>
      </c>
      <c r="C324" s="43" t="s">
        <v>626</v>
      </c>
      <c r="D324" s="44" t="s">
        <v>641</v>
      </c>
      <c r="E324" s="45" t="s">
        <v>83</v>
      </c>
      <c r="F324" s="133">
        <v>1.4</v>
      </c>
      <c r="G324" s="46"/>
      <c r="H324" s="47">
        <f t="shared" si="136"/>
        <v>0</v>
      </c>
      <c r="I324" s="48">
        <v>1.7899999999999999E-3</v>
      </c>
      <c r="J324" s="49">
        <f t="shared" si="137"/>
        <v>2.5059999999999995E-3</v>
      </c>
      <c r="K324" s="48"/>
      <c r="L324" s="49">
        <f t="shared" si="138"/>
        <v>0</v>
      </c>
      <c r="M324" s="298" t="s">
        <v>803</v>
      </c>
    </row>
    <row r="325" spans="1:13" ht="24">
      <c r="A325" s="378">
        <f>A323+1</f>
        <v>74</v>
      </c>
      <c r="B325" s="42" t="s">
        <v>64</v>
      </c>
      <c r="C325" s="43" t="s">
        <v>627</v>
      </c>
      <c r="D325" s="44" t="s">
        <v>642</v>
      </c>
      <c r="E325" s="45" t="s">
        <v>83</v>
      </c>
      <c r="F325" s="133">
        <f>0.84+0.63</f>
        <v>1.47</v>
      </c>
      <c r="G325" s="46"/>
      <c r="H325" s="47">
        <f t="shared" ref="H325" si="140">F325*G325</f>
        <v>0</v>
      </c>
      <c r="I325" s="48">
        <v>2.2200000000000002E-3</v>
      </c>
      <c r="J325" s="49">
        <f t="shared" ref="J325" si="141">F325*I325</f>
        <v>3.2634000000000001E-3</v>
      </c>
      <c r="K325" s="48"/>
      <c r="L325" s="49">
        <f t="shared" ref="L325" si="142">F325*K325</f>
        <v>0</v>
      </c>
      <c r="M325" s="298" t="s">
        <v>803</v>
      </c>
    </row>
    <row r="326" spans="1:13" ht="24">
      <c r="A326" s="378">
        <f>A324+1</f>
        <v>75</v>
      </c>
      <c r="B326" s="42" t="s">
        <v>64</v>
      </c>
      <c r="C326" s="43" t="s">
        <v>627</v>
      </c>
      <c r="D326" s="44" t="s">
        <v>644</v>
      </c>
      <c r="E326" s="45" t="s">
        <v>83</v>
      </c>
      <c r="F326" s="133">
        <f>0.67+0.96*3+1.15*5+2*0.75+2*1.01</f>
        <v>12.82</v>
      </c>
      <c r="G326" s="46"/>
      <c r="H326" s="47">
        <f t="shared" si="136"/>
        <v>0</v>
      </c>
      <c r="I326" s="48">
        <v>2.2200000000000002E-3</v>
      </c>
      <c r="J326" s="49">
        <f t="shared" si="137"/>
        <v>2.8460400000000004E-2</v>
      </c>
      <c r="K326" s="48"/>
      <c r="L326" s="49">
        <f t="shared" si="138"/>
        <v>0</v>
      </c>
      <c r="M326" s="298" t="s">
        <v>803</v>
      </c>
    </row>
    <row r="327" spans="1:13" ht="24">
      <c r="A327" s="378">
        <f t="shared" si="139"/>
        <v>76</v>
      </c>
      <c r="B327" s="42" t="s">
        <v>64</v>
      </c>
      <c r="C327" s="43" t="s">
        <v>628</v>
      </c>
      <c r="D327" s="44" t="s">
        <v>645</v>
      </c>
      <c r="E327" s="45" t="s">
        <v>83</v>
      </c>
      <c r="F327" s="133">
        <v>3</v>
      </c>
      <c r="G327" s="46"/>
      <c r="H327" s="47">
        <f t="shared" si="136"/>
        <v>0</v>
      </c>
      <c r="I327" s="48">
        <v>2.9099999999999998E-3</v>
      </c>
      <c r="J327" s="49">
        <f t="shared" si="137"/>
        <v>8.7299999999999999E-3</v>
      </c>
      <c r="K327" s="48"/>
      <c r="L327" s="49">
        <f t="shared" si="138"/>
        <v>0</v>
      </c>
      <c r="M327" s="298" t="s">
        <v>803</v>
      </c>
    </row>
    <row r="328" spans="1:13" ht="24">
      <c r="A328" s="378">
        <f t="shared" si="139"/>
        <v>77</v>
      </c>
      <c r="B328" s="42" t="s">
        <v>64</v>
      </c>
      <c r="C328" s="43" t="s">
        <v>628</v>
      </c>
      <c r="D328" s="44" t="s">
        <v>643</v>
      </c>
      <c r="E328" s="45" t="s">
        <v>83</v>
      </c>
      <c r="F328" s="133">
        <f>1.07*5</f>
        <v>5.3500000000000005</v>
      </c>
      <c r="G328" s="46"/>
      <c r="H328" s="47">
        <f t="shared" ref="H328:H329" si="143">F328*G328</f>
        <v>0</v>
      </c>
      <c r="I328" s="48">
        <v>2.9099999999999998E-3</v>
      </c>
      <c r="J328" s="49">
        <f t="shared" ref="J328:J329" si="144">F328*I328</f>
        <v>1.5568500000000001E-2</v>
      </c>
      <c r="K328" s="48"/>
      <c r="L328" s="49">
        <f t="shared" ref="L328:L329" si="145">F328*K328</f>
        <v>0</v>
      </c>
      <c r="M328" s="298" t="s">
        <v>803</v>
      </c>
    </row>
    <row r="329" spans="1:13" ht="24">
      <c r="A329" s="378">
        <f t="shared" si="139"/>
        <v>78</v>
      </c>
      <c r="B329" s="42" t="s">
        <v>64</v>
      </c>
      <c r="C329" s="43" t="s">
        <v>1423</v>
      </c>
      <c r="D329" s="44" t="s">
        <v>1424</v>
      </c>
      <c r="E329" s="45" t="s">
        <v>83</v>
      </c>
      <c r="F329" s="320">
        <v>7.2</v>
      </c>
      <c r="G329" s="46"/>
      <c r="H329" s="47">
        <f t="shared" si="143"/>
        <v>0</v>
      </c>
      <c r="I329" s="48">
        <v>4.0000000000000001E-3</v>
      </c>
      <c r="J329" s="49">
        <f t="shared" si="144"/>
        <v>2.8800000000000003E-2</v>
      </c>
      <c r="K329" s="48"/>
      <c r="L329" s="49">
        <f t="shared" si="145"/>
        <v>0</v>
      </c>
      <c r="M329" s="298" t="s">
        <v>803</v>
      </c>
    </row>
    <row r="330" spans="1:13" ht="24">
      <c r="A330" s="378">
        <f t="shared" si="139"/>
        <v>79</v>
      </c>
      <c r="B330" s="42" t="s">
        <v>64</v>
      </c>
      <c r="C330" s="43" t="s">
        <v>629</v>
      </c>
      <c r="D330" s="44" t="s">
        <v>646</v>
      </c>
      <c r="E330" s="45" t="s">
        <v>83</v>
      </c>
      <c r="F330" s="133">
        <f>9+5</f>
        <v>14</v>
      </c>
      <c r="G330" s="46"/>
      <c r="H330" s="47">
        <f t="shared" si="136"/>
        <v>0</v>
      </c>
      <c r="I330" s="48">
        <v>5.3800000000000002E-3</v>
      </c>
      <c r="J330" s="49">
        <f t="shared" si="137"/>
        <v>7.5319999999999998E-2</v>
      </c>
      <c r="K330" s="48"/>
      <c r="L330" s="49">
        <f t="shared" si="138"/>
        <v>0</v>
      </c>
      <c r="M330" s="298" t="s">
        <v>803</v>
      </c>
    </row>
    <row r="331" spans="1:13" ht="24">
      <c r="A331" s="378">
        <f t="shared" si="139"/>
        <v>80</v>
      </c>
      <c r="B331" s="42" t="s">
        <v>64</v>
      </c>
      <c r="C331" s="43" t="s">
        <v>630</v>
      </c>
      <c r="D331" s="44" t="s">
        <v>647</v>
      </c>
      <c r="E331" s="45" t="s">
        <v>83</v>
      </c>
      <c r="F331" s="133">
        <v>7</v>
      </c>
      <c r="G331" s="46"/>
      <c r="H331" s="47">
        <f t="shared" si="136"/>
        <v>0</v>
      </c>
      <c r="I331" s="48">
        <v>5.8199999999999997E-3</v>
      </c>
      <c r="J331" s="49">
        <f t="shared" si="137"/>
        <v>4.0739999999999998E-2</v>
      </c>
      <c r="K331" s="48"/>
      <c r="L331" s="49">
        <f t="shared" si="138"/>
        <v>0</v>
      </c>
      <c r="M331" s="298" t="s">
        <v>803</v>
      </c>
    </row>
    <row r="332" spans="1:13" ht="24">
      <c r="A332" s="378">
        <f t="shared" si="139"/>
        <v>81</v>
      </c>
      <c r="B332" s="42" t="s">
        <v>64</v>
      </c>
      <c r="C332" s="43" t="s">
        <v>631</v>
      </c>
      <c r="D332" s="44" t="s">
        <v>648</v>
      </c>
      <c r="E332" s="45" t="s">
        <v>82</v>
      </c>
      <c r="F332" s="133">
        <v>14</v>
      </c>
      <c r="G332" s="46"/>
      <c r="H332" s="47">
        <f t="shared" si="136"/>
        <v>0</v>
      </c>
      <c r="I332" s="48">
        <v>1.9599999999999999E-3</v>
      </c>
      <c r="J332" s="49">
        <f t="shared" si="137"/>
        <v>2.7439999999999999E-2</v>
      </c>
      <c r="K332" s="48"/>
      <c r="L332" s="49">
        <f t="shared" si="138"/>
        <v>0</v>
      </c>
      <c r="M332" s="298" t="s">
        <v>803</v>
      </c>
    </row>
    <row r="333" spans="1:13" ht="24">
      <c r="A333" s="378">
        <f t="shared" si="139"/>
        <v>82</v>
      </c>
      <c r="B333" s="42" t="s">
        <v>64</v>
      </c>
      <c r="C333" s="43" t="s">
        <v>632</v>
      </c>
      <c r="D333" s="44" t="s">
        <v>649</v>
      </c>
      <c r="E333" s="45" t="s">
        <v>83</v>
      </c>
      <c r="F333" s="133">
        <v>49</v>
      </c>
      <c r="G333" s="46"/>
      <c r="H333" s="47">
        <f t="shared" si="136"/>
        <v>0</v>
      </c>
      <c r="I333" s="48">
        <v>1.74E-3</v>
      </c>
      <c r="J333" s="49">
        <f t="shared" si="137"/>
        <v>8.5260000000000002E-2</v>
      </c>
      <c r="K333" s="48"/>
      <c r="L333" s="49">
        <f t="shared" si="138"/>
        <v>0</v>
      </c>
      <c r="M333" s="298" t="s">
        <v>803</v>
      </c>
    </row>
    <row r="334" spans="1:13" ht="24">
      <c r="A334" s="378">
        <f t="shared" si="139"/>
        <v>83</v>
      </c>
      <c r="B334" s="42" t="s">
        <v>64</v>
      </c>
      <c r="C334" s="43" t="s">
        <v>633</v>
      </c>
      <c r="D334" s="44" t="s">
        <v>650</v>
      </c>
      <c r="E334" s="45" t="s">
        <v>83</v>
      </c>
      <c r="F334" s="133">
        <v>29</v>
      </c>
      <c r="G334" s="46"/>
      <c r="H334" s="47">
        <f t="shared" si="136"/>
        <v>0</v>
      </c>
      <c r="I334" s="48">
        <v>2.8600000000000001E-3</v>
      </c>
      <c r="J334" s="49">
        <f t="shared" si="137"/>
        <v>8.294E-2</v>
      </c>
      <c r="K334" s="48"/>
      <c r="L334" s="49">
        <f t="shared" si="138"/>
        <v>0</v>
      </c>
      <c r="M334" s="298" t="s">
        <v>803</v>
      </c>
    </row>
    <row r="335" spans="1:13" ht="24">
      <c r="A335" s="378">
        <f t="shared" si="139"/>
        <v>84</v>
      </c>
      <c r="B335" s="42" t="s">
        <v>64</v>
      </c>
      <c r="C335" s="43" t="s">
        <v>651</v>
      </c>
      <c r="D335" s="44" t="s">
        <v>652</v>
      </c>
      <c r="E335" s="45" t="s">
        <v>83</v>
      </c>
      <c r="F335" s="133">
        <v>83</v>
      </c>
      <c r="G335" s="46"/>
      <c r="H335" s="47">
        <f t="shared" ref="H335:H337" si="146">F335*G335</f>
        <v>0</v>
      </c>
      <c r="I335" s="48">
        <v>6.3000000000000003E-4</v>
      </c>
      <c r="J335" s="49">
        <f t="shared" ref="J335" si="147">F335*I335</f>
        <v>5.2290000000000003E-2</v>
      </c>
      <c r="K335" s="48"/>
      <c r="L335" s="49">
        <f t="shared" ref="L335" si="148">F335*K335</f>
        <v>0</v>
      </c>
      <c r="M335" s="298" t="s">
        <v>803</v>
      </c>
    </row>
    <row r="336" spans="1:13">
      <c r="A336" s="378">
        <f t="shared" si="139"/>
        <v>85</v>
      </c>
      <c r="B336" s="397" t="s">
        <v>64</v>
      </c>
      <c r="C336" s="43" t="s">
        <v>653</v>
      </c>
      <c r="D336" s="312" t="s">
        <v>654</v>
      </c>
      <c r="E336" s="321" t="s">
        <v>82</v>
      </c>
      <c r="F336" s="308">
        <v>2</v>
      </c>
      <c r="G336" s="322"/>
      <c r="H336" s="47">
        <f t="shared" si="146"/>
        <v>0</v>
      </c>
      <c r="I336" s="48"/>
      <c r="J336" s="49">
        <f t="shared" ref="J336:J337" si="149">F336*I336</f>
        <v>0</v>
      </c>
      <c r="K336" s="48"/>
      <c r="L336" s="49">
        <f t="shared" ref="L336:L337" si="150">F336*K336</f>
        <v>0</v>
      </c>
      <c r="M336" s="298" t="s">
        <v>803</v>
      </c>
    </row>
    <row r="337" spans="1:13">
      <c r="A337" s="378">
        <f t="shared" si="139"/>
        <v>86</v>
      </c>
      <c r="B337" s="397" t="s">
        <v>64</v>
      </c>
      <c r="C337" s="43" t="s">
        <v>655</v>
      </c>
      <c r="D337" s="312" t="s">
        <v>656</v>
      </c>
      <c r="E337" s="321" t="s">
        <v>82</v>
      </c>
      <c r="F337" s="308">
        <v>5</v>
      </c>
      <c r="G337" s="323"/>
      <c r="H337" s="47">
        <f t="shared" si="146"/>
        <v>0</v>
      </c>
      <c r="I337" s="48"/>
      <c r="J337" s="49">
        <f t="shared" si="149"/>
        <v>0</v>
      </c>
      <c r="K337" s="48"/>
      <c r="L337" s="49">
        <f t="shared" si="150"/>
        <v>0</v>
      </c>
      <c r="M337" s="298" t="s">
        <v>803</v>
      </c>
    </row>
    <row r="338" spans="1:13" ht="24">
      <c r="A338" s="378">
        <f t="shared" si="139"/>
        <v>87</v>
      </c>
      <c r="B338" s="42" t="s">
        <v>64</v>
      </c>
      <c r="C338" s="43" t="s">
        <v>634</v>
      </c>
      <c r="D338" s="44" t="s">
        <v>635</v>
      </c>
      <c r="E338" s="45" t="s">
        <v>75</v>
      </c>
      <c r="F338" s="133">
        <v>6.2329999999999997E-2</v>
      </c>
      <c r="G338" s="46"/>
      <c r="H338" s="47">
        <f t="shared" si="136"/>
        <v>0</v>
      </c>
      <c r="I338" s="48"/>
      <c r="J338" s="49">
        <f t="shared" si="137"/>
        <v>0</v>
      </c>
      <c r="K338" s="48"/>
      <c r="L338" s="49">
        <f t="shared" si="138"/>
        <v>0</v>
      </c>
      <c r="M338" s="298" t="s">
        <v>803</v>
      </c>
    </row>
    <row r="339" spans="1:13">
      <c r="A339" s="378">
        <f t="shared" si="139"/>
        <v>88</v>
      </c>
      <c r="B339" s="397" t="s">
        <v>64</v>
      </c>
      <c r="C339" s="43" t="s">
        <v>657</v>
      </c>
      <c r="D339" s="312" t="s">
        <v>658</v>
      </c>
      <c r="E339" s="321" t="s">
        <v>83</v>
      </c>
      <c r="F339" s="308">
        <f>36</f>
        <v>36</v>
      </c>
      <c r="G339" s="324"/>
      <c r="H339" s="47">
        <f t="shared" ref="H339:H346" si="151">F339*G339</f>
        <v>0</v>
      </c>
      <c r="I339" s="48"/>
      <c r="J339" s="49">
        <f t="shared" ref="J339:J346" si="152">F339*I339</f>
        <v>0</v>
      </c>
      <c r="K339" s="48">
        <v>1.6999999999999999E-3</v>
      </c>
      <c r="L339" s="49">
        <f t="shared" ref="L339:L346" si="153">F339*K339</f>
        <v>6.1199999999999997E-2</v>
      </c>
      <c r="M339" s="298" t="s">
        <v>803</v>
      </c>
    </row>
    <row r="340" spans="1:13">
      <c r="A340" s="378">
        <f t="shared" si="139"/>
        <v>89</v>
      </c>
      <c r="B340" s="397" t="s">
        <v>64</v>
      </c>
      <c r="C340" s="43" t="s">
        <v>659</v>
      </c>
      <c r="D340" s="312" t="s">
        <v>660</v>
      </c>
      <c r="E340" s="321" t="s">
        <v>83</v>
      </c>
      <c r="F340" s="308">
        <v>13</v>
      </c>
      <c r="G340" s="324"/>
      <c r="H340" s="47">
        <f t="shared" si="151"/>
        <v>0</v>
      </c>
      <c r="I340" s="48"/>
      <c r="J340" s="49">
        <f t="shared" si="152"/>
        <v>0</v>
      </c>
      <c r="K340" s="48">
        <v>3.48E-3</v>
      </c>
      <c r="L340" s="49">
        <f t="shared" si="153"/>
        <v>4.5240000000000002E-2</v>
      </c>
      <c r="M340" s="298" t="s">
        <v>803</v>
      </c>
    </row>
    <row r="341" spans="1:13">
      <c r="A341" s="378">
        <f t="shared" si="139"/>
        <v>90</v>
      </c>
      <c r="B341" s="397" t="s">
        <v>64</v>
      </c>
      <c r="C341" s="43" t="s">
        <v>661</v>
      </c>
      <c r="D341" s="312" t="s">
        <v>662</v>
      </c>
      <c r="E341" s="321" t="s">
        <v>83</v>
      </c>
      <c r="F341" s="308">
        <v>49</v>
      </c>
      <c r="G341" s="324"/>
      <c r="H341" s="47">
        <f t="shared" si="151"/>
        <v>0</v>
      </c>
      <c r="I341" s="48"/>
      <c r="J341" s="49">
        <f t="shared" si="152"/>
        <v>0</v>
      </c>
      <c r="K341" s="48">
        <v>1.7700000000000001E-3</v>
      </c>
      <c r="L341" s="49">
        <f t="shared" si="153"/>
        <v>8.6730000000000002E-2</v>
      </c>
      <c r="M341" s="298" t="s">
        <v>803</v>
      </c>
    </row>
    <row r="342" spans="1:13">
      <c r="A342" s="378">
        <f t="shared" si="139"/>
        <v>91</v>
      </c>
      <c r="B342" s="397" t="s">
        <v>64</v>
      </c>
      <c r="C342" s="43" t="s">
        <v>663</v>
      </c>
      <c r="D342" s="312" t="s">
        <v>664</v>
      </c>
      <c r="E342" s="321" t="s">
        <v>83</v>
      </c>
      <c r="F342" s="308">
        <f>SUM(F322:F328)</f>
        <v>27.19</v>
      </c>
      <c r="G342" s="324"/>
      <c r="H342" s="47">
        <f t="shared" si="151"/>
        <v>0</v>
      </c>
      <c r="I342" s="48"/>
      <c r="J342" s="49">
        <f t="shared" si="152"/>
        <v>0</v>
      </c>
      <c r="K342" s="48">
        <v>1.67E-3</v>
      </c>
      <c r="L342" s="49">
        <f t="shared" si="153"/>
        <v>4.5407300000000005E-2</v>
      </c>
      <c r="M342" s="298" t="s">
        <v>803</v>
      </c>
    </row>
    <row r="343" spans="1:13">
      <c r="A343" s="378">
        <f t="shared" si="139"/>
        <v>92</v>
      </c>
      <c r="B343" s="397" t="s">
        <v>64</v>
      </c>
      <c r="C343" s="43" t="s">
        <v>665</v>
      </c>
      <c r="D343" s="312" t="s">
        <v>666</v>
      </c>
      <c r="E343" s="321" t="s">
        <v>83</v>
      </c>
      <c r="F343" s="308">
        <f>F331</f>
        <v>7</v>
      </c>
      <c r="G343" s="324"/>
      <c r="H343" s="47">
        <f t="shared" si="151"/>
        <v>0</v>
      </c>
      <c r="I343" s="48"/>
      <c r="J343" s="49">
        <f t="shared" si="152"/>
        <v>0</v>
      </c>
      <c r="K343" s="48">
        <v>1.75E-3</v>
      </c>
      <c r="L343" s="49">
        <f t="shared" si="153"/>
        <v>1.225E-2</v>
      </c>
      <c r="M343" s="298" t="s">
        <v>803</v>
      </c>
    </row>
    <row r="344" spans="1:13">
      <c r="A344" s="378">
        <f t="shared" si="139"/>
        <v>93</v>
      </c>
      <c r="B344" s="397" t="s">
        <v>64</v>
      </c>
      <c r="C344" s="43" t="s">
        <v>667</v>
      </c>
      <c r="D344" s="312" t="s">
        <v>668</v>
      </c>
      <c r="E344" s="321" t="s">
        <v>83</v>
      </c>
      <c r="F344" s="308">
        <f>5</f>
        <v>5</v>
      </c>
      <c r="G344" s="324"/>
      <c r="H344" s="47">
        <f t="shared" si="151"/>
        <v>0</v>
      </c>
      <c r="I344" s="48"/>
      <c r="J344" s="49">
        <f t="shared" si="152"/>
        <v>0</v>
      </c>
      <c r="K344" s="48">
        <v>2.2300000000000002E-3</v>
      </c>
      <c r="L344" s="49">
        <f t="shared" si="153"/>
        <v>1.115E-2</v>
      </c>
      <c r="M344" s="298" t="s">
        <v>803</v>
      </c>
    </row>
    <row r="345" spans="1:13">
      <c r="A345" s="378">
        <f t="shared" si="139"/>
        <v>94</v>
      </c>
      <c r="B345" s="397" t="s">
        <v>64</v>
      </c>
      <c r="C345" s="43" t="s">
        <v>669</v>
      </c>
      <c r="D345" s="312" t="s">
        <v>670</v>
      </c>
      <c r="E345" s="321" t="s">
        <v>83</v>
      </c>
      <c r="F345" s="308">
        <v>49</v>
      </c>
      <c r="G345" s="324"/>
      <c r="H345" s="47">
        <f t="shared" si="151"/>
        <v>0</v>
      </c>
      <c r="I345" s="48"/>
      <c r="J345" s="49">
        <f t="shared" si="152"/>
        <v>0</v>
      </c>
      <c r="K345" s="48">
        <v>2.5999999999999999E-3</v>
      </c>
      <c r="L345" s="49">
        <f t="shared" si="153"/>
        <v>0.12739999999999999</v>
      </c>
      <c r="M345" s="298" t="s">
        <v>803</v>
      </c>
    </row>
    <row r="346" spans="1:13">
      <c r="A346" s="378">
        <f t="shared" si="139"/>
        <v>95</v>
      </c>
      <c r="B346" s="397" t="s">
        <v>64</v>
      </c>
      <c r="C346" s="43" t="s">
        <v>671</v>
      </c>
      <c r="D346" s="312" t="s">
        <v>672</v>
      </c>
      <c r="E346" s="321" t="s">
        <v>83</v>
      </c>
      <c r="F346" s="308">
        <v>29</v>
      </c>
      <c r="G346" s="324"/>
      <c r="H346" s="47">
        <f t="shared" si="151"/>
        <v>0</v>
      </c>
      <c r="I346" s="48"/>
      <c r="J346" s="49">
        <f t="shared" si="152"/>
        <v>0</v>
      </c>
      <c r="K346" s="48">
        <v>3.9399999999999999E-3</v>
      </c>
      <c r="L346" s="49">
        <f t="shared" si="153"/>
        <v>0.11426</v>
      </c>
      <c r="M346" s="298" t="s">
        <v>803</v>
      </c>
    </row>
    <row r="347" spans="1:13">
      <c r="A347" s="129"/>
      <c r="B347" s="81"/>
      <c r="C347" s="82"/>
      <c r="D347" s="83"/>
      <c r="E347" s="121"/>
      <c r="F347" s="134"/>
      <c r="G347" s="122"/>
      <c r="H347" s="123"/>
      <c r="I347" s="124"/>
      <c r="J347" s="125"/>
      <c r="K347" s="124"/>
      <c r="L347" s="125"/>
      <c r="M347" s="124"/>
    </row>
    <row r="348" spans="1:13">
      <c r="A348" s="385"/>
      <c r="B348" s="33"/>
      <c r="C348" s="34"/>
      <c r="D348" s="35" t="s">
        <v>330</v>
      </c>
      <c r="E348" s="36"/>
      <c r="F348" s="132"/>
      <c r="G348" s="37"/>
      <c r="H348" s="38">
        <f>SUBTOTAL(9,H349:H360)</f>
        <v>0</v>
      </c>
      <c r="I348" s="39"/>
      <c r="J348" s="40">
        <f>SUBTOTAL(9,J349:J360)</f>
        <v>9.4503605999999998</v>
      </c>
      <c r="K348" s="41"/>
      <c r="L348" s="40">
        <f>SUBTOTAL(9,L349:L361)</f>
        <v>0</v>
      </c>
      <c r="M348" s="41"/>
    </row>
    <row r="349" spans="1:13" ht="24">
      <c r="A349" s="378">
        <f>A316+1</f>
        <v>69</v>
      </c>
      <c r="B349" s="42" t="s">
        <v>64</v>
      </c>
      <c r="C349" s="43" t="s">
        <v>352</v>
      </c>
      <c r="D349" s="299" t="s">
        <v>415</v>
      </c>
      <c r="E349" s="45" t="s">
        <v>78</v>
      </c>
      <c r="F349" s="133">
        <f>podlahy!B29</f>
        <v>74.300000000000011</v>
      </c>
      <c r="G349" s="46"/>
      <c r="H349" s="47">
        <f>F349*G349</f>
        <v>0</v>
      </c>
      <c r="I349" s="48">
        <f>0.01088+0.04*0.5</f>
        <v>3.0880000000000001E-2</v>
      </c>
      <c r="J349" s="49">
        <f>F349*I349</f>
        <v>2.2943840000000004</v>
      </c>
      <c r="K349" s="48"/>
      <c r="L349" s="49">
        <f>F349*K349</f>
        <v>0</v>
      </c>
      <c r="M349" s="298" t="s">
        <v>803</v>
      </c>
    </row>
    <row r="350" spans="1:13" ht="24">
      <c r="A350" s="378">
        <f>A349+1</f>
        <v>70</v>
      </c>
      <c r="B350" s="42" t="s">
        <v>64</v>
      </c>
      <c r="C350" s="43" t="s">
        <v>396</v>
      </c>
      <c r="D350" s="44" t="s">
        <v>397</v>
      </c>
      <c r="E350" s="45" t="s">
        <v>78</v>
      </c>
      <c r="F350" s="133">
        <v>10.4</v>
      </c>
      <c r="G350" s="46"/>
      <c r="H350" s="47">
        <f t="shared" ref="H350:H360" si="154">F350*G350</f>
        <v>0</v>
      </c>
      <c r="I350" s="48">
        <v>5.04E-2</v>
      </c>
      <c r="J350" s="49">
        <f t="shared" ref="J350:J359" si="155">F350*I350</f>
        <v>0.52416000000000007</v>
      </c>
      <c r="K350" s="48"/>
      <c r="L350" s="49">
        <f t="shared" ref="L350:L360" si="156">F350*K350</f>
        <v>0</v>
      </c>
      <c r="M350" s="298" t="s">
        <v>803</v>
      </c>
    </row>
    <row r="351" spans="1:13" ht="24">
      <c r="A351" s="378">
        <f t="shared" ref="A351:A360" si="157">A350+1</f>
        <v>71</v>
      </c>
      <c r="B351" s="42" t="s">
        <v>64</v>
      </c>
      <c r="C351" s="43" t="s">
        <v>409</v>
      </c>
      <c r="D351" s="44" t="s">
        <v>408</v>
      </c>
      <c r="E351" s="45" t="s">
        <v>78</v>
      </c>
      <c r="F351" s="133">
        <v>37.659999999999997</v>
      </c>
      <c r="G351" s="46"/>
      <c r="H351" s="47">
        <f t="shared" si="154"/>
        <v>0</v>
      </c>
      <c r="I351" s="48">
        <v>5.5930000000000001E-2</v>
      </c>
      <c r="J351" s="49">
        <f t="shared" si="155"/>
        <v>2.1063237999999997</v>
      </c>
      <c r="K351" s="48"/>
      <c r="L351" s="49">
        <f t="shared" si="156"/>
        <v>0</v>
      </c>
      <c r="M351" s="298"/>
    </row>
    <row r="352" spans="1:13" ht="24">
      <c r="A352" s="378">
        <f t="shared" si="157"/>
        <v>72</v>
      </c>
      <c r="B352" s="42" t="s">
        <v>64</v>
      </c>
      <c r="C352" s="43" t="s">
        <v>398</v>
      </c>
      <c r="D352" s="44" t="s">
        <v>399</v>
      </c>
      <c r="E352" s="45" t="s">
        <v>78</v>
      </c>
      <c r="F352" s="133">
        <v>26.02</v>
      </c>
      <c r="G352" s="46"/>
      <c r="H352" s="47">
        <f t="shared" si="154"/>
        <v>0</v>
      </c>
      <c r="I352" s="48">
        <v>5.04E-2</v>
      </c>
      <c r="J352" s="49">
        <f t="shared" si="155"/>
        <v>1.3114079999999999</v>
      </c>
      <c r="K352" s="48"/>
      <c r="L352" s="49">
        <f t="shared" si="156"/>
        <v>0</v>
      </c>
      <c r="M352" s="298" t="s">
        <v>803</v>
      </c>
    </row>
    <row r="353" spans="1:13" ht="24">
      <c r="A353" s="378">
        <f t="shared" si="157"/>
        <v>73</v>
      </c>
      <c r="B353" s="42" t="s">
        <v>64</v>
      </c>
      <c r="C353" s="43" t="s">
        <v>400</v>
      </c>
      <c r="D353" s="44" t="s">
        <v>401</v>
      </c>
      <c r="E353" s="45" t="s">
        <v>78</v>
      </c>
      <c r="F353" s="133">
        <v>10.48</v>
      </c>
      <c r="G353" s="46"/>
      <c r="H353" s="47">
        <f t="shared" si="154"/>
        <v>0</v>
      </c>
      <c r="I353" s="48">
        <v>5.3719999999999997E-2</v>
      </c>
      <c r="J353" s="49">
        <f t="shared" si="155"/>
        <v>0.56298559999999997</v>
      </c>
      <c r="K353" s="48"/>
      <c r="L353" s="49">
        <f t="shared" si="156"/>
        <v>0</v>
      </c>
      <c r="M353" s="298" t="s">
        <v>803</v>
      </c>
    </row>
    <row r="354" spans="1:13" ht="24">
      <c r="A354" s="378">
        <f t="shared" si="157"/>
        <v>74</v>
      </c>
      <c r="B354" s="42" t="s">
        <v>64</v>
      </c>
      <c r="C354" s="43" t="s">
        <v>411</v>
      </c>
      <c r="D354" s="44" t="s">
        <v>410</v>
      </c>
      <c r="E354" s="45" t="s">
        <v>78</v>
      </c>
      <c r="F354" s="133">
        <v>9.02</v>
      </c>
      <c r="G354" s="46"/>
      <c r="H354" s="47">
        <f t="shared" si="154"/>
        <v>0</v>
      </c>
      <c r="I354" s="48">
        <v>5.2490000000000002E-2</v>
      </c>
      <c r="J354" s="49">
        <f t="shared" si="155"/>
        <v>0.47345979999999999</v>
      </c>
      <c r="K354" s="48"/>
      <c r="L354" s="49">
        <f t="shared" si="156"/>
        <v>0</v>
      </c>
      <c r="M354" s="298"/>
    </row>
    <row r="355" spans="1:13" ht="24">
      <c r="A355" s="378">
        <f t="shared" si="157"/>
        <v>75</v>
      </c>
      <c r="B355" s="42" t="s">
        <v>64</v>
      </c>
      <c r="C355" s="43" t="s">
        <v>412</v>
      </c>
      <c r="D355" s="44" t="s">
        <v>413</v>
      </c>
      <c r="E355" s="45" t="s">
        <v>78</v>
      </c>
      <c r="F355" s="133">
        <v>5.18</v>
      </c>
      <c r="G355" s="46"/>
      <c r="H355" s="47">
        <f t="shared" si="154"/>
        <v>0</v>
      </c>
      <c r="I355" s="48">
        <v>4.9630000000000001E-2</v>
      </c>
      <c r="J355" s="49">
        <f t="shared" si="155"/>
        <v>0.25708339999999996</v>
      </c>
      <c r="K355" s="48"/>
      <c r="L355" s="49">
        <f t="shared" si="156"/>
        <v>0</v>
      </c>
      <c r="M355" s="298"/>
    </row>
    <row r="356" spans="1:13" ht="24">
      <c r="A356" s="378">
        <f t="shared" si="157"/>
        <v>76</v>
      </c>
      <c r="B356" s="42" t="s">
        <v>64</v>
      </c>
      <c r="C356" s="43" t="s">
        <v>402</v>
      </c>
      <c r="D356" s="44" t="s">
        <v>403</v>
      </c>
      <c r="E356" s="45" t="s">
        <v>78</v>
      </c>
      <c r="F356" s="133">
        <v>11.2</v>
      </c>
      <c r="G356" s="46"/>
      <c r="H356" s="47">
        <f t="shared" si="154"/>
        <v>0</v>
      </c>
      <c r="I356" s="48">
        <v>3.116E-2</v>
      </c>
      <c r="J356" s="49">
        <f t="shared" si="155"/>
        <v>0.34899199999999997</v>
      </c>
      <c r="K356" s="48"/>
      <c r="L356" s="49">
        <f t="shared" si="156"/>
        <v>0</v>
      </c>
      <c r="M356" s="298" t="s">
        <v>803</v>
      </c>
    </row>
    <row r="357" spans="1:13" ht="24">
      <c r="A357" s="378">
        <f t="shared" si="157"/>
        <v>77</v>
      </c>
      <c r="B357" s="42" t="s">
        <v>64</v>
      </c>
      <c r="C357" s="43" t="s">
        <v>524</v>
      </c>
      <c r="D357" s="44" t="s">
        <v>523</v>
      </c>
      <c r="E357" s="45" t="s">
        <v>78</v>
      </c>
      <c r="F357" s="133">
        <f>137.5-111.4</f>
        <v>26.099999999999994</v>
      </c>
      <c r="G357" s="46"/>
      <c r="H357" s="47">
        <f>F357*G357</f>
        <v>0</v>
      </c>
      <c r="I357" s="48">
        <v>1.1809999999999999E-2</v>
      </c>
      <c r="J357" s="49">
        <f>F357*I357</f>
        <v>0.30824099999999993</v>
      </c>
      <c r="K357" s="48"/>
      <c r="L357" s="49">
        <f>F357*K357</f>
        <v>0</v>
      </c>
      <c r="M357" s="298"/>
    </row>
    <row r="358" spans="1:13" ht="24">
      <c r="A358" s="378">
        <f t="shared" si="157"/>
        <v>78</v>
      </c>
      <c r="B358" s="42" t="s">
        <v>64</v>
      </c>
      <c r="C358" s="43" t="s">
        <v>521</v>
      </c>
      <c r="D358" s="44" t="s">
        <v>522</v>
      </c>
      <c r="E358" s="45" t="s">
        <v>78</v>
      </c>
      <c r="F358" s="133">
        <v>28.2</v>
      </c>
      <c r="G358" s="46"/>
      <c r="H358" s="47">
        <f>F358*G358</f>
        <v>0</v>
      </c>
      <c r="I358" s="48">
        <v>1.379E-2</v>
      </c>
      <c r="J358" s="49">
        <f>F358*I358</f>
        <v>0.388878</v>
      </c>
      <c r="K358" s="48"/>
      <c r="L358" s="49">
        <f>F358*K358</f>
        <v>0</v>
      </c>
      <c r="M358" s="298" t="s">
        <v>803</v>
      </c>
    </row>
    <row r="359" spans="1:13" ht="24">
      <c r="A359" s="378">
        <f t="shared" si="157"/>
        <v>79</v>
      </c>
      <c r="B359" s="42" t="s">
        <v>64</v>
      </c>
      <c r="C359" s="43" t="s">
        <v>404</v>
      </c>
      <c r="D359" s="44" t="s">
        <v>405</v>
      </c>
      <c r="E359" s="45" t="s">
        <v>78</v>
      </c>
      <c r="F359" s="133">
        <v>71.5</v>
      </c>
      <c r="G359" s="46"/>
      <c r="H359" s="47">
        <f t="shared" si="154"/>
        <v>0</v>
      </c>
      <c r="I359" s="48">
        <v>1.223E-2</v>
      </c>
      <c r="J359" s="49">
        <f t="shared" si="155"/>
        <v>0.87444499999999992</v>
      </c>
      <c r="K359" s="48"/>
      <c r="L359" s="49">
        <f t="shared" si="156"/>
        <v>0</v>
      </c>
      <c r="M359" s="298" t="s">
        <v>803</v>
      </c>
    </row>
    <row r="360" spans="1:13" ht="24">
      <c r="A360" s="378">
        <f t="shared" si="157"/>
        <v>80</v>
      </c>
      <c r="B360" s="42" t="s">
        <v>64</v>
      </c>
      <c r="C360" s="43" t="s">
        <v>406</v>
      </c>
      <c r="D360" s="44" t="s">
        <v>407</v>
      </c>
      <c r="E360" s="45" t="s">
        <v>75</v>
      </c>
      <c r="F360" s="133">
        <f>J348</f>
        <v>9.4503605999999998</v>
      </c>
      <c r="G360" s="46"/>
      <c r="H360" s="47">
        <f t="shared" si="154"/>
        <v>0</v>
      </c>
      <c r="I360" s="48"/>
      <c r="J360" s="49">
        <v>0</v>
      </c>
      <c r="K360" s="48"/>
      <c r="L360" s="49">
        <f t="shared" si="156"/>
        <v>0</v>
      </c>
      <c r="M360" s="298" t="s">
        <v>803</v>
      </c>
    </row>
    <row r="361" spans="1:13">
      <c r="A361" s="385"/>
    </row>
    <row r="362" spans="1:13">
      <c r="A362" s="385"/>
      <c r="B362" s="33"/>
      <c r="C362" s="34"/>
      <c r="D362" s="35" t="s">
        <v>331</v>
      </c>
      <c r="E362" s="36"/>
      <c r="F362" s="132"/>
      <c r="G362" s="37"/>
      <c r="H362" s="38">
        <f>SUBTOTAL(9,H363:H377)</f>
        <v>0</v>
      </c>
      <c r="I362" s="39"/>
      <c r="J362" s="40">
        <f>SUBTOTAL(9,J363:J377)</f>
        <v>6.6198080199999989</v>
      </c>
      <c r="K362" s="41"/>
      <c r="L362" s="40">
        <f>SUBTOTAL(9,L363:L377)</f>
        <v>12.4983761</v>
      </c>
    </row>
    <row r="363" spans="1:13" ht="24">
      <c r="A363" s="378">
        <f>A360+1</f>
        <v>81</v>
      </c>
      <c r="B363" s="42" t="s">
        <v>64</v>
      </c>
      <c r="C363" s="43" t="s">
        <v>332</v>
      </c>
      <c r="D363" s="44" t="s">
        <v>333</v>
      </c>
      <c r="E363" s="45" t="s">
        <v>78</v>
      </c>
      <c r="F363" s="133">
        <v>385</v>
      </c>
      <c r="G363" s="46"/>
      <c r="H363" s="47">
        <f t="shared" ref="H363:H376" si="158">F363*G363</f>
        <v>0</v>
      </c>
      <c r="I363" s="48">
        <v>1.35E-2</v>
      </c>
      <c r="J363" s="49">
        <f t="shared" ref="J363:J376" si="159">F363*I363</f>
        <v>5.1974999999999998</v>
      </c>
      <c r="K363" s="48"/>
      <c r="L363" s="49">
        <f t="shared" ref="L363:L376" si="160">F363*K363</f>
        <v>0</v>
      </c>
      <c r="M363" s="298" t="s">
        <v>803</v>
      </c>
    </row>
    <row r="364" spans="1:13" ht="16.149999999999999" customHeight="1">
      <c r="A364" s="378">
        <f>A363+1</f>
        <v>82</v>
      </c>
      <c r="B364" s="42" t="s">
        <v>64</v>
      </c>
      <c r="C364" s="43" t="s">
        <v>334</v>
      </c>
      <c r="D364" s="44" t="s">
        <v>335</v>
      </c>
      <c r="E364" s="45" t="s">
        <v>78</v>
      </c>
      <c r="F364" s="133">
        <f>F363</f>
        <v>385</v>
      </c>
      <c r="G364" s="46"/>
      <c r="H364" s="47">
        <f t="shared" si="158"/>
        <v>0</v>
      </c>
      <c r="I364" s="48"/>
      <c r="J364" s="49">
        <f t="shared" si="159"/>
        <v>0</v>
      </c>
      <c r="K364" s="48"/>
      <c r="L364" s="49">
        <f t="shared" si="160"/>
        <v>0</v>
      </c>
      <c r="M364" s="298" t="s">
        <v>803</v>
      </c>
    </row>
    <row r="365" spans="1:13" ht="24">
      <c r="A365" s="378">
        <f t="shared" ref="A365:A377" si="161">A364+1</f>
        <v>83</v>
      </c>
      <c r="B365" s="42" t="s">
        <v>64</v>
      </c>
      <c r="C365" s="43" t="s">
        <v>336</v>
      </c>
      <c r="D365" s="44" t="s">
        <v>337</v>
      </c>
      <c r="E365" s="45" t="s">
        <v>83</v>
      </c>
      <c r="F365" s="133">
        <f>22.7+2.93+2.1+15.03</f>
        <v>42.76</v>
      </c>
      <c r="G365" s="46"/>
      <c r="H365" s="47">
        <f t="shared" si="158"/>
        <v>0</v>
      </c>
      <c r="I365" s="48">
        <v>4.0099999999999997E-3</v>
      </c>
      <c r="J365" s="49">
        <f t="shared" si="159"/>
        <v>0.17146759999999997</v>
      </c>
      <c r="K365" s="48"/>
      <c r="L365" s="49">
        <f t="shared" si="160"/>
        <v>0</v>
      </c>
      <c r="M365" s="298" t="s">
        <v>803</v>
      </c>
    </row>
    <row r="366" spans="1:13">
      <c r="A366" s="378"/>
      <c r="B366" s="42"/>
      <c r="C366" s="80"/>
      <c r="D366" s="61" t="s">
        <v>355</v>
      </c>
      <c r="E366" s="63"/>
      <c r="F366" s="135"/>
      <c r="G366" s="46"/>
      <c r="H366" s="47"/>
      <c r="I366" s="48"/>
      <c r="J366" s="49"/>
      <c r="K366" s="48"/>
      <c r="L366" s="49">
        <f t="shared" si="160"/>
        <v>0</v>
      </c>
      <c r="M366" s="298"/>
    </row>
    <row r="367" spans="1:13" ht="24">
      <c r="A367" s="378">
        <f>A365+1</f>
        <v>84</v>
      </c>
      <c r="B367" s="42" t="s">
        <v>64</v>
      </c>
      <c r="C367" s="43" t="s">
        <v>338</v>
      </c>
      <c r="D367" s="44" t="s">
        <v>339</v>
      </c>
      <c r="E367" s="45" t="s">
        <v>83</v>
      </c>
      <c r="F367" s="133">
        <f>(2.4*2+3.8*2+1.4*2)*1.61</f>
        <v>24.472000000000001</v>
      </c>
      <c r="G367" s="46"/>
      <c r="H367" s="47">
        <f t="shared" si="158"/>
        <v>0</v>
      </c>
      <c r="I367" s="48">
        <v>4.0099999999999997E-3</v>
      </c>
      <c r="J367" s="49">
        <f t="shared" si="159"/>
        <v>9.8132719999999993E-2</v>
      </c>
      <c r="K367" s="48"/>
      <c r="L367" s="49">
        <f t="shared" si="160"/>
        <v>0</v>
      </c>
      <c r="M367" s="298" t="s">
        <v>803</v>
      </c>
    </row>
    <row r="368" spans="1:13">
      <c r="A368" s="378"/>
      <c r="B368" s="42"/>
      <c r="C368" s="43"/>
      <c r="D368" s="61" t="s">
        <v>356</v>
      </c>
      <c r="E368" s="63"/>
      <c r="F368" s="135"/>
      <c r="G368" s="46"/>
      <c r="H368" s="47"/>
      <c r="I368" s="48"/>
      <c r="J368" s="49"/>
      <c r="K368" s="48"/>
      <c r="L368" s="49">
        <f t="shared" si="160"/>
        <v>0</v>
      </c>
      <c r="M368" s="298"/>
    </row>
    <row r="369" spans="1:23" ht="24">
      <c r="A369" s="378">
        <f>A367+1</f>
        <v>85</v>
      </c>
      <c r="B369" s="42" t="s">
        <v>64</v>
      </c>
      <c r="C369" s="43" t="s">
        <v>340</v>
      </c>
      <c r="D369" s="44" t="s">
        <v>341</v>
      </c>
      <c r="E369" s="45" t="s">
        <v>83</v>
      </c>
      <c r="F369" s="133">
        <f>24.47+18.5+5.2+4.3</f>
        <v>52.47</v>
      </c>
      <c r="G369" s="46"/>
      <c r="H369" s="47">
        <f t="shared" si="158"/>
        <v>0</v>
      </c>
      <c r="I369" s="48">
        <v>5.7099999999999998E-3</v>
      </c>
      <c r="J369" s="49">
        <f t="shared" si="159"/>
        <v>0.29960369999999997</v>
      </c>
      <c r="K369" s="48"/>
      <c r="L369" s="49">
        <f t="shared" si="160"/>
        <v>0</v>
      </c>
      <c r="M369" s="298" t="s">
        <v>803</v>
      </c>
    </row>
    <row r="370" spans="1:23">
      <c r="A370" s="378"/>
      <c r="B370" s="42"/>
      <c r="C370" s="43"/>
      <c r="D370" s="61" t="s">
        <v>357</v>
      </c>
      <c r="E370" s="63"/>
      <c r="F370" s="135"/>
      <c r="G370" s="46"/>
      <c r="H370" s="47"/>
      <c r="I370" s="48"/>
      <c r="J370" s="49"/>
      <c r="K370" s="48"/>
      <c r="L370" s="49">
        <f t="shared" si="160"/>
        <v>0</v>
      </c>
      <c r="M370" s="298"/>
    </row>
    <row r="371" spans="1:23" ht="24">
      <c r="A371" s="378">
        <f>A369+1</f>
        <v>86</v>
      </c>
      <c r="B371" s="42" t="s">
        <v>64</v>
      </c>
      <c r="C371" s="43" t="s">
        <v>342</v>
      </c>
      <c r="D371" s="44" t="s">
        <v>343</v>
      </c>
      <c r="E371" s="45" t="s">
        <v>83</v>
      </c>
      <c r="F371" s="133">
        <f>(4.2+6.3)*1.6</f>
        <v>16.8</v>
      </c>
      <c r="G371" s="46"/>
      <c r="H371" s="47">
        <f t="shared" si="158"/>
        <v>0</v>
      </c>
      <c r="I371" s="48">
        <v>5.0779999999999999E-2</v>
      </c>
      <c r="J371" s="49">
        <f t="shared" si="159"/>
        <v>0.85310399999999997</v>
      </c>
      <c r="K371" s="48"/>
      <c r="L371" s="49">
        <f t="shared" si="160"/>
        <v>0</v>
      </c>
      <c r="M371" s="298" t="s">
        <v>803</v>
      </c>
    </row>
    <row r="372" spans="1:23">
      <c r="A372" s="378"/>
      <c r="B372" s="42"/>
      <c r="C372" s="43"/>
      <c r="D372" s="44" t="s">
        <v>358</v>
      </c>
      <c r="E372" s="45"/>
      <c r="F372" s="133"/>
      <c r="G372" s="46"/>
      <c r="H372" s="47"/>
      <c r="I372" s="48"/>
      <c r="J372" s="49"/>
      <c r="K372" s="48"/>
      <c r="L372" s="49">
        <f t="shared" si="160"/>
        <v>0</v>
      </c>
      <c r="M372" s="298"/>
    </row>
    <row r="373" spans="1:23" ht="24">
      <c r="A373" s="378">
        <f>A371+1</f>
        <v>87</v>
      </c>
      <c r="B373" s="42" t="s">
        <v>64</v>
      </c>
      <c r="C373" s="43" t="s">
        <v>344</v>
      </c>
      <c r="D373" s="44" t="s">
        <v>345</v>
      </c>
      <c r="E373" s="45" t="s">
        <v>75</v>
      </c>
      <c r="F373" s="133">
        <f>J362</f>
        <v>6.6198080199999989</v>
      </c>
      <c r="G373" s="46"/>
      <c r="H373" s="47">
        <f t="shared" si="158"/>
        <v>0</v>
      </c>
      <c r="I373" s="48"/>
      <c r="J373" s="49">
        <v>0</v>
      </c>
      <c r="K373" s="48"/>
      <c r="L373" s="49">
        <f t="shared" si="160"/>
        <v>0</v>
      </c>
      <c r="M373" s="298" t="s">
        <v>803</v>
      </c>
    </row>
    <row r="374" spans="1:23" ht="13.15" customHeight="1">
      <c r="A374" s="378">
        <f t="shared" si="161"/>
        <v>88</v>
      </c>
      <c r="B374" s="42" t="s">
        <v>64</v>
      </c>
      <c r="C374" s="43" t="s">
        <v>346</v>
      </c>
      <c r="D374" s="44" t="s">
        <v>347</v>
      </c>
      <c r="E374" s="45" t="s">
        <v>78</v>
      </c>
      <c r="F374" s="133">
        <v>325</v>
      </c>
      <c r="G374" s="46"/>
      <c r="H374" s="47">
        <f t="shared" si="158"/>
        <v>0</v>
      </c>
      <c r="I374" s="48"/>
      <c r="J374" s="49">
        <f t="shared" si="159"/>
        <v>0</v>
      </c>
      <c r="K374" s="48">
        <v>1.7780000000000001E-2</v>
      </c>
      <c r="L374" s="49">
        <f t="shared" si="160"/>
        <v>5.7785000000000002</v>
      </c>
      <c r="M374" s="298" t="s">
        <v>803</v>
      </c>
    </row>
    <row r="375" spans="1:23" ht="24">
      <c r="A375" s="378">
        <f t="shared" si="161"/>
        <v>89</v>
      </c>
      <c r="B375" s="42" t="s">
        <v>64</v>
      </c>
      <c r="C375" s="43" t="s">
        <v>348</v>
      </c>
      <c r="D375" s="44" t="s">
        <v>349</v>
      </c>
      <c r="E375" s="45" t="s">
        <v>83</v>
      </c>
      <c r="F375" s="133">
        <f>F369</f>
        <v>52.47</v>
      </c>
      <c r="G375" s="46"/>
      <c r="H375" s="47">
        <f t="shared" si="158"/>
        <v>0</v>
      </c>
      <c r="I375" s="48"/>
      <c r="J375" s="49">
        <f t="shared" si="159"/>
        <v>0</v>
      </c>
      <c r="K375" s="48">
        <v>4.6299999999999996E-3</v>
      </c>
      <c r="L375" s="49">
        <f t="shared" si="160"/>
        <v>0.24293609999999996</v>
      </c>
      <c r="M375" s="298" t="s">
        <v>803</v>
      </c>
    </row>
    <row r="376" spans="1:23">
      <c r="A376" s="378">
        <f t="shared" si="161"/>
        <v>90</v>
      </c>
      <c r="B376" s="42" t="s">
        <v>64</v>
      </c>
      <c r="C376" s="43" t="s">
        <v>350</v>
      </c>
      <c r="D376" s="44" t="s">
        <v>351</v>
      </c>
      <c r="E376" s="45" t="s">
        <v>78</v>
      </c>
      <c r="F376" s="133">
        <f>325+69-15</f>
        <v>379</v>
      </c>
      <c r="G376" s="46"/>
      <c r="H376" s="47">
        <f t="shared" si="158"/>
        <v>0</v>
      </c>
      <c r="I376" s="48"/>
      <c r="J376" s="49">
        <f t="shared" si="159"/>
        <v>0</v>
      </c>
      <c r="K376" s="48">
        <v>1.536E-2</v>
      </c>
      <c r="L376" s="49">
        <f t="shared" si="160"/>
        <v>5.8214399999999999</v>
      </c>
      <c r="M376" s="298" t="s">
        <v>803</v>
      </c>
    </row>
    <row r="377" spans="1:23">
      <c r="A377" s="378">
        <f t="shared" si="161"/>
        <v>91</v>
      </c>
      <c r="B377" s="42" t="s">
        <v>64</v>
      </c>
      <c r="C377" s="43" t="s">
        <v>353</v>
      </c>
      <c r="D377" s="44" t="s">
        <v>354</v>
      </c>
      <c r="E377" s="45" t="s">
        <v>78</v>
      </c>
      <c r="F377" s="133">
        <v>69</v>
      </c>
      <c r="G377" s="46"/>
      <c r="H377" s="47">
        <f t="shared" ref="H377" si="162">F377*G377</f>
        <v>0</v>
      </c>
      <c r="I377" s="48"/>
      <c r="J377" s="49">
        <f t="shared" ref="J377" si="163">F377*I377</f>
        <v>0</v>
      </c>
      <c r="K377" s="48">
        <v>9.4999999999999998E-3</v>
      </c>
      <c r="L377" s="49">
        <f t="shared" ref="L377" si="164">F377*K377</f>
        <v>0.65549999999999997</v>
      </c>
      <c r="M377" s="298" t="s">
        <v>803</v>
      </c>
      <c r="W377" s="328"/>
    </row>
    <row r="378" spans="1:23" ht="16.5">
      <c r="A378" s="385"/>
      <c r="M378" s="326"/>
      <c r="W378" s="328"/>
    </row>
    <row r="379" spans="1:23" ht="16.5">
      <c r="A379" s="385"/>
      <c r="M379" s="326"/>
      <c r="W379" s="328"/>
    </row>
    <row r="380" spans="1:23" ht="15.6" customHeight="1">
      <c r="A380" s="385"/>
      <c r="B380" s="33"/>
      <c r="C380" s="34"/>
      <c r="D380" s="35" t="s">
        <v>434</v>
      </c>
      <c r="E380" s="36"/>
      <c r="F380" s="132"/>
      <c r="G380" s="37"/>
      <c r="H380" s="38">
        <f>SUBTOTAL(9,H383:H457)</f>
        <v>0</v>
      </c>
      <c r="I380" s="39"/>
      <c r="J380" s="40">
        <f>SUBTOTAL(9,J383:J392)</f>
        <v>0</v>
      </c>
      <c r="K380" s="41"/>
      <c r="L380" s="40">
        <f>SUBTOTAL(9,L383:L392)</f>
        <v>0</v>
      </c>
      <c r="M380" s="326"/>
      <c r="W380" s="328"/>
    </row>
    <row r="381" spans="1:23" ht="16.5">
      <c r="A381" s="385"/>
      <c r="B381" s="33"/>
      <c r="C381" s="34"/>
      <c r="D381" s="86" t="s">
        <v>432</v>
      </c>
      <c r="E381" s="36"/>
      <c r="F381" s="132"/>
      <c r="G381" s="37"/>
      <c r="H381" s="38"/>
      <c r="I381" s="39"/>
      <c r="J381" s="40"/>
      <c r="K381" s="41"/>
      <c r="L381" s="40"/>
      <c r="M381" s="326"/>
      <c r="W381" s="328"/>
    </row>
    <row r="382" spans="1:23" ht="16.5">
      <c r="A382" s="385"/>
      <c r="B382" s="33"/>
      <c r="C382" s="34"/>
      <c r="D382" s="87" t="s">
        <v>433</v>
      </c>
      <c r="E382" s="36"/>
      <c r="F382" s="132"/>
      <c r="G382" s="37"/>
      <c r="H382" s="38"/>
      <c r="I382" s="39"/>
      <c r="J382" s="40"/>
      <c r="K382" s="41"/>
      <c r="L382" s="40"/>
      <c r="M382" s="326"/>
      <c r="W382" s="328"/>
    </row>
    <row r="383" spans="1:23" ht="24">
      <c r="A383" s="387">
        <f>A377+1</f>
        <v>92</v>
      </c>
      <c r="B383" s="42" t="s">
        <v>64</v>
      </c>
      <c r="C383" s="91" t="s">
        <v>469</v>
      </c>
      <c r="D383" s="327" t="s">
        <v>372</v>
      </c>
      <c r="E383" s="304" t="s">
        <v>378</v>
      </c>
      <c r="F383" s="133">
        <v>1</v>
      </c>
      <c r="G383" s="46"/>
      <c r="H383" s="47">
        <f t="shared" ref="H383" si="165">F383*G383</f>
        <v>0</v>
      </c>
      <c r="I383" s="48">
        <v>0</v>
      </c>
      <c r="J383" s="49">
        <f t="shared" ref="J383" si="166">F383*I383</f>
        <v>0</v>
      </c>
      <c r="K383" s="48"/>
      <c r="L383" s="49">
        <f t="shared" ref="L383" si="167">F383*K383</f>
        <v>0</v>
      </c>
      <c r="M383" s="298"/>
      <c r="W383" s="328"/>
    </row>
    <row r="384" spans="1:23" ht="24">
      <c r="A384" s="387">
        <f>A383+1</f>
        <v>93</v>
      </c>
      <c r="B384" s="42" t="s">
        <v>64</v>
      </c>
      <c r="C384" s="329">
        <f>C383+1</f>
        <v>76660002</v>
      </c>
      <c r="D384" s="327" t="s">
        <v>373</v>
      </c>
      <c r="E384" s="304" t="s">
        <v>378</v>
      </c>
      <c r="F384" s="133">
        <v>1</v>
      </c>
      <c r="G384" s="46"/>
      <c r="H384" s="47">
        <f t="shared" ref="H384" si="168">F384*G384</f>
        <v>0</v>
      </c>
      <c r="I384" s="48">
        <v>0</v>
      </c>
      <c r="J384" s="49">
        <f t="shared" ref="J384" si="169">F384*I384</f>
        <v>0</v>
      </c>
      <c r="K384" s="48"/>
      <c r="L384" s="49">
        <f t="shared" ref="L384" si="170">F384*K384</f>
        <v>0</v>
      </c>
      <c r="M384" s="298"/>
      <c r="W384" s="328"/>
    </row>
    <row r="385" spans="1:23">
      <c r="A385" s="387">
        <f t="shared" ref="A385:A390" si="171">A384+1</f>
        <v>94</v>
      </c>
      <c r="B385" s="42" t="s">
        <v>64</v>
      </c>
      <c r="C385" s="329">
        <f t="shared" ref="C385:C390" si="172">C384+1</f>
        <v>76660003</v>
      </c>
      <c r="D385" s="327" t="s">
        <v>374</v>
      </c>
      <c r="E385" s="304" t="s">
        <v>378</v>
      </c>
      <c r="F385" s="133">
        <v>1</v>
      </c>
      <c r="G385" s="46"/>
      <c r="H385" s="47">
        <f t="shared" ref="H385:H391" si="173">F385*G385</f>
        <v>0</v>
      </c>
      <c r="I385" s="48">
        <v>0</v>
      </c>
      <c r="J385" s="49">
        <f t="shared" ref="J385:J391" si="174">F385*I385</f>
        <v>0</v>
      </c>
      <c r="K385" s="48"/>
      <c r="L385" s="49">
        <f t="shared" ref="L385:L391" si="175">F385*K385</f>
        <v>0</v>
      </c>
      <c r="M385" s="298"/>
      <c r="W385" s="328"/>
    </row>
    <row r="386" spans="1:23">
      <c r="A386" s="387">
        <f t="shared" si="171"/>
        <v>95</v>
      </c>
      <c r="B386" s="42" t="s">
        <v>64</v>
      </c>
      <c r="C386" s="329">
        <f t="shared" si="172"/>
        <v>76660004</v>
      </c>
      <c r="D386" s="327" t="s">
        <v>375</v>
      </c>
      <c r="E386" s="304" t="s">
        <v>378</v>
      </c>
      <c r="F386" s="133">
        <v>1</v>
      </c>
      <c r="G386" s="46"/>
      <c r="H386" s="47">
        <f t="shared" si="173"/>
        <v>0</v>
      </c>
      <c r="I386" s="48">
        <v>0</v>
      </c>
      <c r="J386" s="49">
        <f t="shared" si="174"/>
        <v>0</v>
      </c>
      <c r="K386" s="48"/>
      <c r="L386" s="49">
        <f t="shared" si="175"/>
        <v>0</v>
      </c>
      <c r="M386" s="298"/>
      <c r="W386" s="328"/>
    </row>
    <row r="387" spans="1:23" ht="24">
      <c r="A387" s="387">
        <f t="shared" si="171"/>
        <v>96</v>
      </c>
      <c r="B387" s="42" t="s">
        <v>64</v>
      </c>
      <c r="C387" s="329">
        <f t="shared" si="172"/>
        <v>76660005</v>
      </c>
      <c r="D387" s="327" t="s">
        <v>394</v>
      </c>
      <c r="E387" s="304" t="s">
        <v>378</v>
      </c>
      <c r="F387" s="133">
        <v>1</v>
      </c>
      <c r="G387" s="46"/>
      <c r="H387" s="47">
        <f t="shared" si="173"/>
        <v>0</v>
      </c>
      <c r="I387" s="48">
        <v>0</v>
      </c>
      <c r="J387" s="49">
        <f t="shared" si="174"/>
        <v>0</v>
      </c>
      <c r="K387" s="48"/>
      <c r="L387" s="49">
        <f t="shared" si="175"/>
        <v>0</v>
      </c>
      <c r="M387" s="298"/>
      <c r="W387" s="328"/>
    </row>
    <row r="388" spans="1:23" ht="24">
      <c r="A388" s="387">
        <f t="shared" si="171"/>
        <v>97</v>
      </c>
      <c r="B388" s="42" t="s">
        <v>64</v>
      </c>
      <c r="C388" s="329">
        <f t="shared" si="172"/>
        <v>76660006</v>
      </c>
      <c r="D388" s="327" t="s">
        <v>376</v>
      </c>
      <c r="E388" s="304" t="s">
        <v>378</v>
      </c>
      <c r="F388" s="133">
        <v>1</v>
      </c>
      <c r="G388" s="46"/>
      <c r="H388" s="47">
        <f t="shared" si="173"/>
        <v>0</v>
      </c>
      <c r="I388" s="48">
        <v>0</v>
      </c>
      <c r="J388" s="49">
        <f t="shared" si="174"/>
        <v>0</v>
      </c>
      <c r="K388" s="48"/>
      <c r="L388" s="49">
        <f t="shared" si="175"/>
        <v>0</v>
      </c>
      <c r="M388" s="298"/>
      <c r="W388" s="328"/>
    </row>
    <row r="389" spans="1:23">
      <c r="A389" s="387">
        <f t="shared" si="171"/>
        <v>98</v>
      </c>
      <c r="B389" s="42" t="s">
        <v>64</v>
      </c>
      <c r="C389" s="329">
        <f t="shared" si="172"/>
        <v>76660007</v>
      </c>
      <c r="D389" s="327" t="s">
        <v>377</v>
      </c>
      <c r="E389" s="304" t="s">
        <v>378</v>
      </c>
      <c r="F389" s="133">
        <v>1</v>
      </c>
      <c r="G389" s="46"/>
      <c r="H389" s="47">
        <f t="shared" si="173"/>
        <v>0</v>
      </c>
      <c r="I389" s="48">
        <v>0</v>
      </c>
      <c r="J389" s="49">
        <f t="shared" si="174"/>
        <v>0</v>
      </c>
      <c r="K389" s="48"/>
      <c r="L389" s="49">
        <f t="shared" si="175"/>
        <v>0</v>
      </c>
      <c r="M389" s="298"/>
      <c r="W389" s="328"/>
    </row>
    <row r="390" spans="1:23" ht="24">
      <c r="A390" s="387">
        <f t="shared" si="171"/>
        <v>99</v>
      </c>
      <c r="B390" s="42" t="s">
        <v>64</v>
      </c>
      <c r="C390" s="329">
        <f t="shared" si="172"/>
        <v>76660008</v>
      </c>
      <c r="D390" s="327" t="s">
        <v>379</v>
      </c>
      <c r="E390" s="304" t="s">
        <v>378</v>
      </c>
      <c r="F390" s="133">
        <v>3</v>
      </c>
      <c r="G390" s="46"/>
      <c r="H390" s="47">
        <f t="shared" si="173"/>
        <v>0</v>
      </c>
      <c r="I390" s="48">
        <v>0</v>
      </c>
      <c r="J390" s="49">
        <f t="shared" si="174"/>
        <v>0</v>
      </c>
      <c r="K390" s="48"/>
      <c r="L390" s="49">
        <f t="shared" si="175"/>
        <v>0</v>
      </c>
      <c r="M390" s="298"/>
      <c r="W390" s="328"/>
    </row>
    <row r="391" spans="1:23" ht="24">
      <c r="A391" s="387">
        <f t="shared" ref="A391:A396" si="176">A390+1</f>
        <v>100</v>
      </c>
      <c r="B391" s="42" t="s">
        <v>64</v>
      </c>
      <c r="C391" s="329">
        <f t="shared" ref="C391:C396" si="177">C390+1</f>
        <v>76660009</v>
      </c>
      <c r="D391" s="327" t="s">
        <v>380</v>
      </c>
      <c r="E391" s="304" t="s">
        <v>378</v>
      </c>
      <c r="F391" s="133">
        <v>5</v>
      </c>
      <c r="G391" s="46"/>
      <c r="H391" s="47">
        <f t="shared" si="173"/>
        <v>0</v>
      </c>
      <c r="I391" s="48">
        <v>0</v>
      </c>
      <c r="J391" s="49">
        <f t="shared" si="174"/>
        <v>0</v>
      </c>
      <c r="K391" s="48"/>
      <c r="L391" s="49">
        <f t="shared" si="175"/>
        <v>0</v>
      </c>
      <c r="M391" s="298"/>
      <c r="W391" s="328"/>
    </row>
    <row r="392" spans="1:23" ht="24">
      <c r="A392" s="387">
        <f t="shared" si="176"/>
        <v>101</v>
      </c>
      <c r="B392" s="42" t="s">
        <v>64</v>
      </c>
      <c r="C392" s="329">
        <f t="shared" si="177"/>
        <v>76660010</v>
      </c>
      <c r="D392" s="327" t="s">
        <v>381</v>
      </c>
      <c r="E392" s="304" t="s">
        <v>378</v>
      </c>
      <c r="F392" s="133">
        <v>1</v>
      </c>
      <c r="G392" s="46"/>
      <c r="H392" s="47">
        <f t="shared" ref="H392:H405" si="178">F392*G392</f>
        <v>0</v>
      </c>
      <c r="I392" s="48">
        <v>0</v>
      </c>
      <c r="J392" s="49">
        <f t="shared" ref="J392:J405" si="179">F392*I392</f>
        <v>0</v>
      </c>
      <c r="K392" s="48"/>
      <c r="L392" s="49">
        <f t="shared" ref="L392:L405" si="180">F392*K392</f>
        <v>0</v>
      </c>
      <c r="M392" s="298"/>
      <c r="W392" s="328"/>
    </row>
    <row r="393" spans="1:23" ht="24">
      <c r="A393" s="387">
        <f t="shared" si="176"/>
        <v>102</v>
      </c>
      <c r="B393" s="42" t="s">
        <v>64</v>
      </c>
      <c r="C393" s="329">
        <f t="shared" si="177"/>
        <v>76660011</v>
      </c>
      <c r="D393" s="327" t="s">
        <v>382</v>
      </c>
      <c r="E393" s="304" t="s">
        <v>378</v>
      </c>
      <c r="F393" s="133">
        <v>1</v>
      </c>
      <c r="G393" s="46"/>
      <c r="H393" s="47">
        <f t="shared" si="178"/>
        <v>0</v>
      </c>
      <c r="I393" s="48">
        <v>0</v>
      </c>
      <c r="J393" s="49">
        <f t="shared" si="179"/>
        <v>0</v>
      </c>
      <c r="K393" s="48"/>
      <c r="L393" s="49">
        <f t="shared" si="180"/>
        <v>0</v>
      </c>
      <c r="M393" s="298"/>
      <c r="W393" s="328"/>
    </row>
    <row r="394" spans="1:23" ht="24">
      <c r="A394" s="387">
        <f t="shared" si="176"/>
        <v>103</v>
      </c>
      <c r="B394" s="42" t="s">
        <v>64</v>
      </c>
      <c r="C394" s="329">
        <f t="shared" si="177"/>
        <v>76660012</v>
      </c>
      <c r="D394" s="327" t="s">
        <v>383</v>
      </c>
      <c r="E394" s="304" t="s">
        <v>378</v>
      </c>
      <c r="F394" s="133">
        <v>1</v>
      </c>
      <c r="G394" s="46"/>
      <c r="H394" s="47">
        <f t="shared" si="178"/>
        <v>0</v>
      </c>
      <c r="I394" s="48">
        <v>0</v>
      </c>
      <c r="J394" s="49">
        <f t="shared" si="179"/>
        <v>0</v>
      </c>
      <c r="K394" s="48"/>
      <c r="L394" s="49">
        <f t="shared" si="180"/>
        <v>0</v>
      </c>
      <c r="M394" s="298"/>
      <c r="W394" s="328"/>
    </row>
    <row r="395" spans="1:23">
      <c r="A395" s="387">
        <f t="shared" si="176"/>
        <v>104</v>
      </c>
      <c r="B395" s="42" t="s">
        <v>64</v>
      </c>
      <c r="C395" s="329">
        <f t="shared" si="177"/>
        <v>76660013</v>
      </c>
      <c r="D395" s="327" t="s">
        <v>391</v>
      </c>
      <c r="E395" s="304" t="s">
        <v>378</v>
      </c>
      <c r="F395" s="133">
        <v>5</v>
      </c>
      <c r="G395" s="46"/>
      <c r="H395" s="47">
        <f t="shared" si="178"/>
        <v>0</v>
      </c>
      <c r="I395" s="48">
        <v>0</v>
      </c>
      <c r="J395" s="49">
        <f t="shared" si="179"/>
        <v>0</v>
      </c>
      <c r="K395" s="48"/>
      <c r="L395" s="49">
        <f t="shared" si="180"/>
        <v>0</v>
      </c>
      <c r="M395" s="298"/>
      <c r="W395" s="328"/>
    </row>
    <row r="396" spans="1:23">
      <c r="A396" s="387">
        <f t="shared" si="176"/>
        <v>105</v>
      </c>
      <c r="B396" s="42" t="s">
        <v>64</v>
      </c>
      <c r="C396" s="329">
        <f t="shared" si="177"/>
        <v>76660014</v>
      </c>
      <c r="D396" s="327" t="s">
        <v>392</v>
      </c>
      <c r="E396" s="304" t="s">
        <v>378</v>
      </c>
      <c r="F396" s="133">
        <v>2</v>
      </c>
      <c r="G396" s="46"/>
      <c r="H396" s="47">
        <f t="shared" si="178"/>
        <v>0</v>
      </c>
      <c r="I396" s="48">
        <v>0</v>
      </c>
      <c r="J396" s="49">
        <f t="shared" si="179"/>
        <v>0</v>
      </c>
      <c r="K396" s="48"/>
      <c r="L396" s="49">
        <f t="shared" si="180"/>
        <v>0</v>
      </c>
      <c r="M396" s="298"/>
      <c r="W396" s="328"/>
    </row>
    <row r="397" spans="1:23" ht="24">
      <c r="A397" s="387">
        <f t="shared" ref="A397:A405" si="181">A396+1</f>
        <v>106</v>
      </c>
      <c r="B397" s="42" t="s">
        <v>64</v>
      </c>
      <c r="C397" s="329">
        <f t="shared" ref="C397:C405" si="182">C396+1</f>
        <v>76660015</v>
      </c>
      <c r="D397" s="327" t="s">
        <v>393</v>
      </c>
      <c r="E397" s="304" t="s">
        <v>378</v>
      </c>
      <c r="F397" s="133">
        <v>2</v>
      </c>
      <c r="G397" s="46"/>
      <c r="H397" s="47">
        <f t="shared" si="178"/>
        <v>0</v>
      </c>
      <c r="I397" s="48">
        <v>0</v>
      </c>
      <c r="J397" s="49">
        <f t="shared" si="179"/>
        <v>0</v>
      </c>
      <c r="K397" s="48"/>
      <c r="L397" s="49">
        <f t="shared" si="180"/>
        <v>0</v>
      </c>
      <c r="M397" s="298"/>
      <c r="W397" s="328"/>
    </row>
    <row r="398" spans="1:23" ht="24">
      <c r="A398" s="387">
        <f t="shared" si="181"/>
        <v>107</v>
      </c>
      <c r="B398" s="42" t="s">
        <v>64</v>
      </c>
      <c r="C398" s="329">
        <f t="shared" si="182"/>
        <v>76660016</v>
      </c>
      <c r="D398" s="327" t="s">
        <v>390</v>
      </c>
      <c r="E398" s="304" t="s">
        <v>378</v>
      </c>
      <c r="F398" s="133">
        <v>3</v>
      </c>
      <c r="G398" s="46"/>
      <c r="H398" s="47">
        <f t="shared" si="178"/>
        <v>0</v>
      </c>
      <c r="I398" s="48">
        <v>0</v>
      </c>
      <c r="J398" s="49">
        <f t="shared" si="179"/>
        <v>0</v>
      </c>
      <c r="K398" s="48"/>
      <c r="L398" s="49">
        <f t="shared" si="180"/>
        <v>0</v>
      </c>
      <c r="M398" s="298"/>
      <c r="W398" s="328"/>
    </row>
    <row r="399" spans="1:23" ht="24">
      <c r="A399" s="387">
        <f t="shared" si="181"/>
        <v>108</v>
      </c>
      <c r="B399" s="42" t="s">
        <v>64</v>
      </c>
      <c r="C399" s="329">
        <f t="shared" si="182"/>
        <v>76660017</v>
      </c>
      <c r="D399" s="327" t="s">
        <v>389</v>
      </c>
      <c r="E399" s="304" t="s">
        <v>378</v>
      </c>
      <c r="F399" s="133">
        <v>3</v>
      </c>
      <c r="G399" s="46"/>
      <c r="H399" s="47">
        <f t="shared" si="178"/>
        <v>0</v>
      </c>
      <c r="I399" s="48">
        <v>0</v>
      </c>
      <c r="J399" s="49">
        <f t="shared" si="179"/>
        <v>0</v>
      </c>
      <c r="K399" s="48"/>
      <c r="L399" s="49">
        <f t="shared" si="180"/>
        <v>0</v>
      </c>
      <c r="M399" s="298"/>
      <c r="W399" s="328"/>
    </row>
    <row r="400" spans="1:23" ht="24">
      <c r="A400" s="387">
        <f t="shared" si="181"/>
        <v>109</v>
      </c>
      <c r="B400" s="42" t="s">
        <v>64</v>
      </c>
      <c r="C400" s="329">
        <f t="shared" si="182"/>
        <v>76660018</v>
      </c>
      <c r="D400" s="327" t="s">
        <v>388</v>
      </c>
      <c r="E400" s="304" t="s">
        <v>378</v>
      </c>
      <c r="F400" s="133">
        <v>2</v>
      </c>
      <c r="G400" s="46"/>
      <c r="H400" s="47">
        <f t="shared" si="178"/>
        <v>0</v>
      </c>
      <c r="I400" s="48">
        <v>0</v>
      </c>
      <c r="J400" s="49">
        <f t="shared" si="179"/>
        <v>0</v>
      </c>
      <c r="K400" s="48"/>
      <c r="L400" s="49">
        <f t="shared" si="180"/>
        <v>0</v>
      </c>
      <c r="M400" s="298"/>
      <c r="W400" s="328"/>
    </row>
    <row r="401" spans="1:22" ht="24">
      <c r="A401" s="387">
        <f t="shared" si="181"/>
        <v>110</v>
      </c>
      <c r="B401" s="42" t="s">
        <v>64</v>
      </c>
      <c r="C401" s="329">
        <f t="shared" si="182"/>
        <v>76660019</v>
      </c>
      <c r="D401" s="327" t="s">
        <v>384</v>
      </c>
      <c r="E401" s="304" t="s">
        <v>378</v>
      </c>
      <c r="F401" s="133">
        <v>1</v>
      </c>
      <c r="G401" s="46"/>
      <c r="H401" s="47">
        <f t="shared" si="178"/>
        <v>0</v>
      </c>
      <c r="I401" s="48">
        <v>0</v>
      </c>
      <c r="J401" s="49">
        <f t="shared" si="179"/>
        <v>0</v>
      </c>
      <c r="K401" s="48"/>
      <c r="L401" s="49">
        <f t="shared" si="180"/>
        <v>0</v>
      </c>
      <c r="M401" s="298"/>
    </row>
    <row r="402" spans="1:22" ht="24">
      <c r="A402" s="387">
        <f t="shared" si="181"/>
        <v>111</v>
      </c>
      <c r="B402" s="42" t="s">
        <v>64</v>
      </c>
      <c r="C402" s="329">
        <f t="shared" si="182"/>
        <v>76660020</v>
      </c>
      <c r="D402" s="327" t="s">
        <v>385</v>
      </c>
      <c r="E402" s="304" t="s">
        <v>378</v>
      </c>
      <c r="F402" s="133">
        <v>1</v>
      </c>
      <c r="G402" s="46"/>
      <c r="H402" s="47">
        <f t="shared" si="178"/>
        <v>0</v>
      </c>
      <c r="I402" s="48">
        <v>0</v>
      </c>
      <c r="J402" s="49">
        <f t="shared" si="179"/>
        <v>0</v>
      </c>
      <c r="K402" s="48"/>
      <c r="L402" s="49">
        <f t="shared" si="180"/>
        <v>0</v>
      </c>
      <c r="M402" s="298"/>
      <c r="V402" s="46"/>
    </row>
    <row r="403" spans="1:22">
      <c r="A403" s="387">
        <f t="shared" si="181"/>
        <v>112</v>
      </c>
      <c r="B403" s="42" t="s">
        <v>64</v>
      </c>
      <c r="C403" s="329">
        <f t="shared" si="182"/>
        <v>76660021</v>
      </c>
      <c r="D403" s="327" t="s">
        <v>395</v>
      </c>
      <c r="E403" s="304" t="s">
        <v>378</v>
      </c>
      <c r="F403" s="133">
        <v>1</v>
      </c>
      <c r="G403" s="46"/>
      <c r="H403" s="47">
        <f t="shared" si="178"/>
        <v>0</v>
      </c>
      <c r="I403" s="48">
        <v>0</v>
      </c>
      <c r="J403" s="49">
        <f t="shared" si="179"/>
        <v>0</v>
      </c>
      <c r="K403" s="48"/>
      <c r="L403" s="49">
        <f t="shared" si="180"/>
        <v>0</v>
      </c>
      <c r="M403" s="298"/>
    </row>
    <row r="404" spans="1:22" ht="15.6" customHeight="1">
      <c r="A404" s="387">
        <f t="shared" si="181"/>
        <v>113</v>
      </c>
      <c r="B404" s="42" t="s">
        <v>64</v>
      </c>
      <c r="C404" s="329">
        <f t="shared" si="182"/>
        <v>76660022</v>
      </c>
      <c r="D404" s="327" t="s">
        <v>386</v>
      </c>
      <c r="E404" s="304" t="s">
        <v>378</v>
      </c>
      <c r="F404" s="133">
        <v>1</v>
      </c>
      <c r="G404" s="46"/>
      <c r="H404" s="47">
        <f t="shared" si="178"/>
        <v>0</v>
      </c>
      <c r="I404" s="48">
        <v>0</v>
      </c>
      <c r="J404" s="49">
        <f t="shared" si="179"/>
        <v>0</v>
      </c>
      <c r="K404" s="48"/>
      <c r="L404" s="49">
        <f t="shared" si="180"/>
        <v>0</v>
      </c>
      <c r="M404" s="298"/>
    </row>
    <row r="405" spans="1:22">
      <c r="A405" s="387">
        <f t="shared" si="181"/>
        <v>114</v>
      </c>
      <c r="B405" s="42" t="s">
        <v>64</v>
      </c>
      <c r="C405" s="329">
        <f t="shared" si="182"/>
        <v>76660023</v>
      </c>
      <c r="D405" s="327" t="s">
        <v>387</v>
      </c>
      <c r="E405" s="304" t="s">
        <v>378</v>
      </c>
      <c r="F405" s="133">
        <v>2</v>
      </c>
      <c r="G405" s="46"/>
      <c r="H405" s="47">
        <f t="shared" si="178"/>
        <v>0</v>
      </c>
      <c r="I405" s="48">
        <v>0</v>
      </c>
      <c r="J405" s="49">
        <f t="shared" si="179"/>
        <v>0</v>
      </c>
      <c r="K405" s="48"/>
      <c r="L405" s="49">
        <f t="shared" si="180"/>
        <v>0</v>
      </c>
      <c r="M405" s="298"/>
    </row>
    <row r="406" spans="1:22">
      <c r="A406" s="387">
        <f t="shared" ref="A406" si="183">A405+1</f>
        <v>115</v>
      </c>
      <c r="B406" s="42" t="s">
        <v>64</v>
      </c>
      <c r="C406" s="329">
        <f t="shared" ref="C406" si="184">C405+1</f>
        <v>76660024</v>
      </c>
      <c r="D406" s="327" t="s">
        <v>431</v>
      </c>
      <c r="E406" s="304" t="s">
        <v>378</v>
      </c>
      <c r="F406" s="133">
        <v>4</v>
      </c>
      <c r="G406" s="46"/>
      <c r="H406" s="47">
        <f t="shared" ref="H406" si="185">F406*G406</f>
        <v>0</v>
      </c>
      <c r="I406" s="48">
        <v>0</v>
      </c>
      <c r="J406" s="49">
        <f t="shared" ref="J406" si="186">F406*I406</f>
        <v>0</v>
      </c>
      <c r="K406" s="48"/>
      <c r="L406" s="49">
        <f t="shared" ref="L406" si="187">F406*K406</f>
        <v>0</v>
      </c>
      <c r="M406" s="298"/>
    </row>
    <row r="407" spans="1:22">
      <c r="A407" s="387">
        <f t="shared" ref="A407:A410" si="188">A406+1</f>
        <v>116</v>
      </c>
      <c r="B407" s="42" t="s">
        <v>64</v>
      </c>
      <c r="C407" s="329">
        <f t="shared" ref="C407:C410" si="189">C406+1</f>
        <v>76660025</v>
      </c>
      <c r="D407" s="327" t="s">
        <v>416</v>
      </c>
      <c r="E407" s="304" t="s">
        <v>378</v>
      </c>
      <c r="F407" s="133">
        <v>1</v>
      </c>
      <c r="G407" s="46"/>
      <c r="H407" s="47">
        <f t="shared" ref="H407" si="190">F407*G407</f>
        <v>0</v>
      </c>
      <c r="I407" s="48">
        <v>0</v>
      </c>
      <c r="J407" s="49">
        <f t="shared" ref="J407" si="191">F407*I407</f>
        <v>0</v>
      </c>
      <c r="K407" s="48"/>
      <c r="L407" s="49">
        <f t="shared" ref="L407" si="192">F407*K407</f>
        <v>0</v>
      </c>
      <c r="M407" s="298"/>
    </row>
    <row r="408" spans="1:22" ht="24">
      <c r="A408" s="387">
        <f t="shared" si="188"/>
        <v>117</v>
      </c>
      <c r="B408" s="330" t="s">
        <v>64</v>
      </c>
      <c r="C408" s="331">
        <f t="shared" si="189"/>
        <v>76660026</v>
      </c>
      <c r="D408" s="332" t="s">
        <v>417</v>
      </c>
      <c r="E408" s="45" t="s">
        <v>378</v>
      </c>
      <c r="F408" s="133">
        <v>1</v>
      </c>
      <c r="G408" s="46"/>
      <c r="H408" s="47">
        <f t="shared" ref="H408:H423" si="193">F408*G408</f>
        <v>0</v>
      </c>
      <c r="I408" s="48">
        <v>0</v>
      </c>
      <c r="J408" s="49">
        <f t="shared" ref="J408:J423" si="194">F408*I408</f>
        <v>0</v>
      </c>
      <c r="K408" s="48"/>
      <c r="L408" s="49">
        <f t="shared" ref="L408:L423" si="195">F408*K408</f>
        <v>0</v>
      </c>
      <c r="M408" s="298"/>
    </row>
    <row r="409" spans="1:22">
      <c r="A409" s="387">
        <f t="shared" si="188"/>
        <v>118</v>
      </c>
      <c r="B409" s="330" t="s">
        <v>64</v>
      </c>
      <c r="C409" s="331">
        <f t="shared" si="189"/>
        <v>76660027</v>
      </c>
      <c r="D409" s="316" t="s">
        <v>418</v>
      </c>
      <c r="E409" s="45" t="s">
        <v>378</v>
      </c>
      <c r="F409" s="133">
        <v>3</v>
      </c>
      <c r="G409" s="46"/>
      <c r="H409" s="47">
        <f t="shared" si="193"/>
        <v>0</v>
      </c>
      <c r="I409" s="48">
        <v>0</v>
      </c>
      <c r="J409" s="49">
        <f t="shared" si="194"/>
        <v>0</v>
      </c>
      <c r="K409" s="48"/>
      <c r="L409" s="49">
        <f t="shared" si="195"/>
        <v>0</v>
      </c>
      <c r="M409" s="298"/>
    </row>
    <row r="410" spans="1:22">
      <c r="A410" s="387">
        <f t="shared" si="188"/>
        <v>119</v>
      </c>
      <c r="B410" s="330" t="s">
        <v>64</v>
      </c>
      <c r="C410" s="331">
        <f t="shared" si="189"/>
        <v>76660028</v>
      </c>
      <c r="D410" s="316" t="s">
        <v>419</v>
      </c>
      <c r="E410" s="45" t="s">
        <v>378</v>
      </c>
      <c r="F410" s="133">
        <v>5</v>
      </c>
      <c r="G410" s="46"/>
      <c r="H410" s="47">
        <f t="shared" si="193"/>
        <v>0</v>
      </c>
      <c r="I410" s="48">
        <v>0</v>
      </c>
      <c r="J410" s="49">
        <f t="shared" si="194"/>
        <v>0</v>
      </c>
      <c r="K410" s="48"/>
      <c r="L410" s="49">
        <f t="shared" si="195"/>
        <v>0</v>
      </c>
      <c r="M410" s="298"/>
    </row>
    <row r="411" spans="1:22">
      <c r="A411" s="387">
        <f t="shared" ref="A411:A419" si="196">A410+1</f>
        <v>120</v>
      </c>
      <c r="B411" s="330" t="s">
        <v>64</v>
      </c>
      <c r="C411" s="331">
        <f t="shared" ref="C411:C419" si="197">C410+1</f>
        <v>76660029</v>
      </c>
      <c r="D411" s="316" t="s">
        <v>420</v>
      </c>
      <c r="E411" s="45" t="s">
        <v>378</v>
      </c>
      <c r="F411" s="133">
        <v>1</v>
      </c>
      <c r="G411" s="46"/>
      <c r="H411" s="47">
        <f t="shared" si="193"/>
        <v>0</v>
      </c>
      <c r="I411" s="48">
        <v>0</v>
      </c>
      <c r="J411" s="49">
        <f t="shared" si="194"/>
        <v>0</v>
      </c>
      <c r="K411" s="48"/>
      <c r="L411" s="49">
        <f t="shared" si="195"/>
        <v>0</v>
      </c>
      <c r="M411" s="298"/>
    </row>
    <row r="412" spans="1:22">
      <c r="A412" s="387">
        <f t="shared" si="196"/>
        <v>121</v>
      </c>
      <c r="B412" s="330" t="s">
        <v>64</v>
      </c>
      <c r="C412" s="331">
        <f t="shared" si="197"/>
        <v>76660030</v>
      </c>
      <c r="D412" s="316" t="s">
        <v>421</v>
      </c>
      <c r="E412" s="45" t="s">
        <v>378</v>
      </c>
      <c r="F412" s="133">
        <v>1</v>
      </c>
      <c r="G412" s="46"/>
      <c r="H412" s="47">
        <f t="shared" si="193"/>
        <v>0</v>
      </c>
      <c r="I412" s="48">
        <v>0</v>
      </c>
      <c r="J412" s="49">
        <f t="shared" si="194"/>
        <v>0</v>
      </c>
      <c r="K412" s="48"/>
      <c r="L412" s="49">
        <f t="shared" si="195"/>
        <v>0</v>
      </c>
      <c r="M412" s="298"/>
    </row>
    <row r="413" spans="1:22">
      <c r="A413" s="387">
        <f t="shared" si="196"/>
        <v>122</v>
      </c>
      <c r="B413" s="330" t="s">
        <v>64</v>
      </c>
      <c r="C413" s="331">
        <f t="shared" si="197"/>
        <v>76660031</v>
      </c>
      <c r="D413" s="316" t="s">
        <v>422</v>
      </c>
      <c r="E413" s="45" t="s">
        <v>378</v>
      </c>
      <c r="F413" s="133">
        <v>5</v>
      </c>
      <c r="G413" s="46"/>
      <c r="H413" s="47">
        <f t="shared" si="193"/>
        <v>0</v>
      </c>
      <c r="I413" s="48">
        <v>0</v>
      </c>
      <c r="J413" s="49">
        <f t="shared" si="194"/>
        <v>0</v>
      </c>
      <c r="K413" s="48"/>
      <c r="L413" s="49">
        <f t="shared" si="195"/>
        <v>0</v>
      </c>
      <c r="M413" s="298"/>
    </row>
    <row r="414" spans="1:22">
      <c r="A414" s="387">
        <f t="shared" si="196"/>
        <v>123</v>
      </c>
      <c r="B414" s="330" t="s">
        <v>64</v>
      </c>
      <c r="C414" s="331">
        <f t="shared" si="197"/>
        <v>76660032</v>
      </c>
      <c r="D414" s="316" t="s">
        <v>423</v>
      </c>
      <c r="E414" s="45" t="s">
        <v>378</v>
      </c>
      <c r="F414" s="133">
        <v>2</v>
      </c>
      <c r="G414" s="46"/>
      <c r="H414" s="47">
        <f t="shared" si="193"/>
        <v>0</v>
      </c>
      <c r="I414" s="48">
        <v>0</v>
      </c>
      <c r="J414" s="49">
        <f t="shared" si="194"/>
        <v>0</v>
      </c>
      <c r="K414" s="48"/>
      <c r="L414" s="49">
        <f t="shared" si="195"/>
        <v>0</v>
      </c>
      <c r="M414" s="298"/>
    </row>
    <row r="415" spans="1:22">
      <c r="A415" s="387">
        <f t="shared" si="196"/>
        <v>124</v>
      </c>
      <c r="B415" s="330" t="s">
        <v>64</v>
      </c>
      <c r="C415" s="331">
        <f t="shared" si="197"/>
        <v>76660033</v>
      </c>
      <c r="D415" s="316" t="s">
        <v>424</v>
      </c>
      <c r="E415" s="45" t="s">
        <v>378</v>
      </c>
      <c r="F415" s="133">
        <v>2</v>
      </c>
      <c r="G415" s="46"/>
      <c r="H415" s="47">
        <f t="shared" si="193"/>
        <v>0</v>
      </c>
      <c r="I415" s="48">
        <v>0</v>
      </c>
      <c r="J415" s="49">
        <f t="shared" si="194"/>
        <v>0</v>
      </c>
      <c r="K415" s="48"/>
      <c r="L415" s="49">
        <f t="shared" si="195"/>
        <v>0</v>
      </c>
      <c r="M415" s="298"/>
    </row>
    <row r="416" spans="1:22">
      <c r="A416" s="387">
        <f t="shared" si="196"/>
        <v>125</v>
      </c>
      <c r="B416" s="330" t="s">
        <v>64</v>
      </c>
      <c r="C416" s="331">
        <f t="shared" si="197"/>
        <v>76660034</v>
      </c>
      <c r="D416" s="316" t="s">
        <v>425</v>
      </c>
      <c r="E416" s="45" t="s">
        <v>378</v>
      </c>
      <c r="F416" s="133">
        <v>3</v>
      </c>
      <c r="G416" s="46"/>
      <c r="H416" s="47">
        <f t="shared" si="193"/>
        <v>0</v>
      </c>
      <c r="I416" s="48">
        <v>0</v>
      </c>
      <c r="J416" s="49">
        <f t="shared" si="194"/>
        <v>0</v>
      </c>
      <c r="K416" s="48"/>
      <c r="L416" s="49">
        <f t="shared" si="195"/>
        <v>0</v>
      </c>
      <c r="M416" s="298"/>
    </row>
    <row r="417" spans="1:13">
      <c r="A417" s="387">
        <f t="shared" si="196"/>
        <v>126</v>
      </c>
      <c r="B417" s="330" t="s">
        <v>64</v>
      </c>
      <c r="C417" s="331">
        <f t="shared" si="197"/>
        <v>76660035</v>
      </c>
      <c r="D417" s="316" t="s">
        <v>426</v>
      </c>
      <c r="E417" s="45" t="s">
        <v>378</v>
      </c>
      <c r="F417" s="133">
        <v>3</v>
      </c>
      <c r="G417" s="46"/>
      <c r="H417" s="47">
        <f t="shared" si="193"/>
        <v>0</v>
      </c>
      <c r="I417" s="48">
        <v>0</v>
      </c>
      <c r="J417" s="49">
        <f t="shared" si="194"/>
        <v>0</v>
      </c>
      <c r="K417" s="48"/>
      <c r="L417" s="49">
        <f t="shared" si="195"/>
        <v>0</v>
      </c>
      <c r="M417" s="298"/>
    </row>
    <row r="418" spans="1:13">
      <c r="A418" s="387">
        <f t="shared" si="196"/>
        <v>127</v>
      </c>
      <c r="B418" s="330" t="s">
        <v>64</v>
      </c>
      <c r="C418" s="331">
        <f t="shared" si="197"/>
        <v>76660036</v>
      </c>
      <c r="D418" s="316" t="s">
        <v>427</v>
      </c>
      <c r="E418" s="45" t="s">
        <v>378</v>
      </c>
      <c r="F418" s="133">
        <v>2</v>
      </c>
      <c r="G418" s="46"/>
      <c r="H418" s="47">
        <f t="shared" si="193"/>
        <v>0</v>
      </c>
      <c r="I418" s="48">
        <v>0</v>
      </c>
      <c r="J418" s="49">
        <f t="shared" si="194"/>
        <v>0</v>
      </c>
      <c r="K418" s="48"/>
      <c r="L418" s="49">
        <f t="shared" si="195"/>
        <v>0</v>
      </c>
      <c r="M418" s="298"/>
    </row>
    <row r="419" spans="1:13">
      <c r="A419" s="387">
        <f t="shared" si="196"/>
        <v>128</v>
      </c>
      <c r="B419" s="330" t="s">
        <v>64</v>
      </c>
      <c r="C419" s="331">
        <f t="shared" si="197"/>
        <v>76660037</v>
      </c>
      <c r="D419" s="316" t="s">
        <v>428</v>
      </c>
      <c r="E419" s="45" t="s">
        <v>378</v>
      </c>
      <c r="F419" s="133">
        <v>1</v>
      </c>
      <c r="G419" s="46"/>
      <c r="H419" s="47">
        <f t="shared" si="193"/>
        <v>0</v>
      </c>
      <c r="I419" s="48">
        <v>0</v>
      </c>
      <c r="J419" s="49">
        <f t="shared" si="194"/>
        <v>0</v>
      </c>
      <c r="K419" s="48"/>
      <c r="L419" s="49">
        <f t="shared" si="195"/>
        <v>0</v>
      </c>
      <c r="M419" s="298"/>
    </row>
    <row r="420" spans="1:13">
      <c r="A420" s="387">
        <f t="shared" ref="A420:A456" si="198">A419+1</f>
        <v>129</v>
      </c>
      <c r="B420" s="330" t="s">
        <v>64</v>
      </c>
      <c r="C420" s="331">
        <f t="shared" ref="C420:C421" si="199">C419+1</f>
        <v>76660038</v>
      </c>
      <c r="D420" s="316" t="s">
        <v>429</v>
      </c>
      <c r="E420" s="45" t="s">
        <v>378</v>
      </c>
      <c r="F420" s="133">
        <v>1</v>
      </c>
      <c r="G420" s="46"/>
      <c r="H420" s="47">
        <f t="shared" si="193"/>
        <v>0</v>
      </c>
      <c r="I420" s="48">
        <v>0</v>
      </c>
      <c r="J420" s="49">
        <f t="shared" si="194"/>
        <v>0</v>
      </c>
      <c r="K420" s="48"/>
      <c r="L420" s="49">
        <f t="shared" si="195"/>
        <v>0</v>
      </c>
      <c r="M420" s="298"/>
    </row>
    <row r="421" spans="1:13">
      <c r="A421" s="387">
        <f t="shared" si="198"/>
        <v>130</v>
      </c>
      <c r="B421" s="330" t="s">
        <v>64</v>
      </c>
      <c r="C421" s="331">
        <f t="shared" si="199"/>
        <v>76660039</v>
      </c>
      <c r="D421" s="316" t="s">
        <v>430</v>
      </c>
      <c r="E421" s="45" t="s">
        <v>378</v>
      </c>
      <c r="F421" s="133">
        <v>2</v>
      </c>
      <c r="G421" s="46"/>
      <c r="H421" s="47">
        <f t="shared" si="193"/>
        <v>0</v>
      </c>
      <c r="I421" s="48">
        <v>0</v>
      </c>
      <c r="J421" s="49">
        <f t="shared" si="194"/>
        <v>0</v>
      </c>
      <c r="K421" s="48"/>
      <c r="L421" s="49">
        <f t="shared" si="195"/>
        <v>0</v>
      </c>
      <c r="M421" s="298"/>
    </row>
    <row r="422" spans="1:13" ht="24">
      <c r="A422" s="387">
        <f t="shared" si="198"/>
        <v>131</v>
      </c>
      <c r="B422" s="42" t="s">
        <v>64</v>
      </c>
      <c r="C422" s="43" t="s">
        <v>467</v>
      </c>
      <c r="D422" s="44" t="s">
        <v>468</v>
      </c>
      <c r="E422" s="45" t="s">
        <v>78</v>
      </c>
      <c r="F422" s="133">
        <v>126</v>
      </c>
      <c r="G422" s="46"/>
      <c r="H422" s="47">
        <f t="shared" si="193"/>
        <v>0</v>
      </c>
      <c r="I422" s="48"/>
      <c r="J422" s="49">
        <f t="shared" si="194"/>
        <v>0</v>
      </c>
      <c r="K422" s="48"/>
      <c r="L422" s="49">
        <f t="shared" si="195"/>
        <v>0</v>
      </c>
      <c r="M422" s="298"/>
    </row>
    <row r="423" spans="1:13">
      <c r="A423" s="387">
        <f t="shared" si="198"/>
        <v>132</v>
      </c>
      <c r="B423" s="42" t="s">
        <v>64</v>
      </c>
      <c r="C423" s="43" t="s">
        <v>465</v>
      </c>
      <c r="D423" s="44" t="s">
        <v>466</v>
      </c>
      <c r="E423" s="45" t="s">
        <v>83</v>
      </c>
      <c r="F423" s="133">
        <f>126*2</f>
        <v>252</v>
      </c>
      <c r="G423" s="46"/>
      <c r="H423" s="47">
        <f t="shared" si="193"/>
        <v>0</v>
      </c>
      <c r="I423" s="48"/>
      <c r="J423" s="49">
        <f t="shared" si="194"/>
        <v>0</v>
      </c>
      <c r="K423" s="48"/>
      <c r="L423" s="49">
        <f t="shared" si="195"/>
        <v>0</v>
      </c>
      <c r="M423" s="298" t="s">
        <v>803</v>
      </c>
    </row>
    <row r="424" spans="1:13" ht="15.6" customHeight="1">
      <c r="A424" s="387">
        <f t="shared" si="198"/>
        <v>133</v>
      </c>
      <c r="B424" s="42" t="s">
        <v>219</v>
      </c>
      <c r="C424" s="331">
        <f>C421+1</f>
        <v>76660040</v>
      </c>
      <c r="D424" s="44" t="s">
        <v>470</v>
      </c>
      <c r="E424" s="45" t="s">
        <v>78</v>
      </c>
      <c r="F424" s="133">
        <f>F422*1.05</f>
        <v>132.30000000000001</v>
      </c>
      <c r="G424" s="46"/>
      <c r="H424" s="47">
        <f t="shared" ref="H424:H425" si="200">F424*G424</f>
        <v>0</v>
      </c>
      <c r="I424" s="48"/>
      <c r="J424" s="49">
        <f t="shared" ref="J424:J425" si="201">F424*I424</f>
        <v>0</v>
      </c>
      <c r="K424" s="48"/>
      <c r="L424" s="49">
        <f t="shared" ref="L424:L425" si="202">F424*K424</f>
        <v>0</v>
      </c>
      <c r="M424" s="298"/>
    </row>
    <row r="425" spans="1:13">
      <c r="A425" s="387">
        <f t="shared" si="198"/>
        <v>134</v>
      </c>
      <c r="B425" s="42" t="s">
        <v>219</v>
      </c>
      <c r="C425" s="331">
        <f>C424+1</f>
        <v>76660041</v>
      </c>
      <c r="D425" s="44" t="s">
        <v>471</v>
      </c>
      <c r="E425" s="45" t="s">
        <v>67</v>
      </c>
      <c r="F425" s="126">
        <f>F422*2.4*0.025*0.1*1.1</f>
        <v>0.83160000000000012</v>
      </c>
      <c r="G425" s="46"/>
      <c r="H425" s="47">
        <f t="shared" si="200"/>
        <v>0</v>
      </c>
      <c r="I425" s="48"/>
      <c r="J425" s="49">
        <f t="shared" si="201"/>
        <v>0</v>
      </c>
      <c r="K425" s="48"/>
      <c r="L425" s="49">
        <f t="shared" si="202"/>
        <v>0</v>
      </c>
      <c r="M425" s="298"/>
    </row>
    <row r="426" spans="1:13">
      <c r="A426" s="387">
        <f t="shared" si="198"/>
        <v>135</v>
      </c>
      <c r="B426" s="42" t="s">
        <v>219</v>
      </c>
      <c r="C426" s="331">
        <f>C425+1</f>
        <v>76660042</v>
      </c>
      <c r="D426" s="44" t="s">
        <v>472</v>
      </c>
      <c r="E426" s="45" t="s">
        <v>67</v>
      </c>
      <c r="F426" s="126">
        <f>F422*2.4*0.04*0.06*1.1</f>
        <v>0.79833600000000005</v>
      </c>
      <c r="G426" s="46"/>
      <c r="H426" s="47">
        <f t="shared" ref="H426:H427" si="203">F426*G426</f>
        <v>0</v>
      </c>
      <c r="I426" s="48"/>
      <c r="J426" s="49">
        <f t="shared" ref="J426:J427" si="204">F426*I426</f>
        <v>0</v>
      </c>
      <c r="K426" s="48"/>
      <c r="L426" s="49">
        <f t="shared" ref="L426:L427" si="205">F426*K426</f>
        <v>0</v>
      </c>
      <c r="M426" s="298"/>
    </row>
    <row r="427" spans="1:13">
      <c r="A427" s="387">
        <f t="shared" si="198"/>
        <v>136</v>
      </c>
      <c r="B427" s="42" t="s">
        <v>219</v>
      </c>
      <c r="C427" s="331">
        <f t="shared" ref="C427:C456" si="206">C426+1</f>
        <v>76660043</v>
      </c>
      <c r="D427" s="333" t="s">
        <v>532</v>
      </c>
      <c r="E427" s="45" t="s">
        <v>378</v>
      </c>
      <c r="F427" s="133">
        <v>2</v>
      </c>
      <c r="G427" s="318"/>
      <c r="H427" s="47">
        <f t="shared" si="203"/>
        <v>0</v>
      </c>
      <c r="I427" s="48">
        <v>0</v>
      </c>
      <c r="J427" s="49">
        <f t="shared" si="204"/>
        <v>0</v>
      </c>
      <c r="K427" s="48"/>
      <c r="L427" s="49">
        <f t="shared" si="205"/>
        <v>0</v>
      </c>
      <c r="M427" s="298"/>
    </row>
    <row r="428" spans="1:13">
      <c r="A428" s="387">
        <f t="shared" si="198"/>
        <v>137</v>
      </c>
      <c r="B428" s="42" t="s">
        <v>219</v>
      </c>
      <c r="C428" s="331">
        <f t="shared" si="206"/>
        <v>76660044</v>
      </c>
      <c r="D428" s="333" t="s">
        <v>533</v>
      </c>
      <c r="E428" s="45" t="s">
        <v>378</v>
      </c>
      <c r="F428" s="133">
        <v>2</v>
      </c>
      <c r="G428" s="318"/>
      <c r="H428" s="47">
        <f t="shared" ref="H428:H441" si="207">F428*G428</f>
        <v>0</v>
      </c>
      <c r="I428" s="48">
        <v>0</v>
      </c>
      <c r="J428" s="49">
        <f t="shared" ref="J428:J441" si="208">F428*I428</f>
        <v>0</v>
      </c>
      <c r="K428" s="48"/>
      <c r="L428" s="49">
        <f t="shared" ref="L428:L441" si="209">F428*K428</f>
        <v>0</v>
      </c>
      <c r="M428" s="298"/>
    </row>
    <row r="429" spans="1:13">
      <c r="A429" s="387">
        <f t="shared" si="198"/>
        <v>138</v>
      </c>
      <c r="B429" s="42" t="s">
        <v>219</v>
      </c>
      <c r="C429" s="331">
        <f t="shared" si="206"/>
        <v>76660045</v>
      </c>
      <c r="D429" s="333" t="s">
        <v>534</v>
      </c>
      <c r="E429" s="45" t="s">
        <v>378</v>
      </c>
      <c r="F429" s="133">
        <v>2</v>
      </c>
      <c r="G429" s="318"/>
      <c r="H429" s="47">
        <f t="shared" si="207"/>
        <v>0</v>
      </c>
      <c r="I429" s="48">
        <v>0</v>
      </c>
      <c r="J429" s="49">
        <f t="shared" si="208"/>
        <v>0</v>
      </c>
      <c r="K429" s="48"/>
      <c r="L429" s="49">
        <f t="shared" si="209"/>
        <v>0</v>
      </c>
      <c r="M429" s="298"/>
    </row>
    <row r="430" spans="1:13" ht="24">
      <c r="A430" s="387">
        <f t="shared" si="198"/>
        <v>139</v>
      </c>
      <c r="B430" s="42" t="s">
        <v>219</v>
      </c>
      <c r="C430" s="331">
        <f t="shared" si="206"/>
        <v>76660046</v>
      </c>
      <c r="D430" s="333" t="s">
        <v>525</v>
      </c>
      <c r="E430" s="45" t="s">
        <v>378</v>
      </c>
      <c r="F430" s="133">
        <v>1</v>
      </c>
      <c r="G430" s="318"/>
      <c r="H430" s="47">
        <f t="shared" si="207"/>
        <v>0</v>
      </c>
      <c r="I430" s="48">
        <v>0</v>
      </c>
      <c r="J430" s="49">
        <f t="shared" si="208"/>
        <v>0</v>
      </c>
      <c r="K430" s="48"/>
      <c r="L430" s="49">
        <f t="shared" si="209"/>
        <v>0</v>
      </c>
      <c r="M430" s="298"/>
    </row>
    <row r="431" spans="1:13">
      <c r="A431" s="387">
        <f t="shared" si="198"/>
        <v>140</v>
      </c>
      <c r="B431" s="42" t="s">
        <v>219</v>
      </c>
      <c r="C431" s="331">
        <f t="shared" si="206"/>
        <v>76660047</v>
      </c>
      <c r="D431" s="333" t="s">
        <v>526</v>
      </c>
      <c r="E431" s="45" t="s">
        <v>378</v>
      </c>
      <c r="F431" s="133">
        <v>1</v>
      </c>
      <c r="G431" s="318"/>
      <c r="H431" s="47">
        <f t="shared" si="207"/>
        <v>0</v>
      </c>
      <c r="I431" s="48">
        <v>0</v>
      </c>
      <c r="J431" s="49">
        <f t="shared" si="208"/>
        <v>0</v>
      </c>
      <c r="K431" s="48"/>
      <c r="L431" s="49">
        <f t="shared" si="209"/>
        <v>0</v>
      </c>
      <c r="M431" s="298"/>
    </row>
    <row r="432" spans="1:13" ht="24">
      <c r="A432" s="387">
        <f t="shared" si="198"/>
        <v>141</v>
      </c>
      <c r="B432" s="42" t="s">
        <v>219</v>
      </c>
      <c r="C432" s="331">
        <f t="shared" si="206"/>
        <v>76660048</v>
      </c>
      <c r="D432" s="333" t="s">
        <v>527</v>
      </c>
      <c r="E432" s="45" t="s">
        <v>378</v>
      </c>
      <c r="F432" s="133">
        <v>1</v>
      </c>
      <c r="G432" s="318"/>
      <c r="H432" s="47">
        <f t="shared" si="207"/>
        <v>0</v>
      </c>
      <c r="I432" s="48">
        <v>0</v>
      </c>
      <c r="J432" s="49">
        <f t="shared" si="208"/>
        <v>0</v>
      </c>
      <c r="K432" s="48"/>
      <c r="L432" s="49">
        <f t="shared" si="209"/>
        <v>0</v>
      </c>
      <c r="M432" s="298"/>
    </row>
    <row r="433" spans="1:26" ht="16.149999999999999" customHeight="1">
      <c r="A433" s="387">
        <f t="shared" si="198"/>
        <v>142</v>
      </c>
      <c r="B433" s="42" t="s">
        <v>219</v>
      </c>
      <c r="C433" s="331">
        <f t="shared" si="206"/>
        <v>76660049</v>
      </c>
      <c r="D433" s="333" t="s">
        <v>535</v>
      </c>
      <c r="E433" s="45" t="s">
        <v>378</v>
      </c>
      <c r="F433" s="133">
        <v>1</v>
      </c>
      <c r="G433" s="318"/>
      <c r="H433" s="47">
        <f t="shared" si="207"/>
        <v>0</v>
      </c>
      <c r="I433" s="48">
        <v>0</v>
      </c>
      <c r="J433" s="49">
        <f t="shared" si="208"/>
        <v>0</v>
      </c>
      <c r="K433" s="48"/>
      <c r="L433" s="49">
        <f t="shared" si="209"/>
        <v>0</v>
      </c>
      <c r="M433" s="298"/>
    </row>
    <row r="434" spans="1:26" ht="16.149999999999999" customHeight="1">
      <c r="A434" s="387">
        <f t="shared" si="198"/>
        <v>143</v>
      </c>
      <c r="B434" s="42" t="s">
        <v>219</v>
      </c>
      <c r="C434" s="331">
        <f t="shared" si="206"/>
        <v>76660050</v>
      </c>
      <c r="D434" s="333" t="s">
        <v>536</v>
      </c>
      <c r="E434" s="45" t="s">
        <v>378</v>
      </c>
      <c r="F434" s="133">
        <v>1</v>
      </c>
      <c r="G434" s="318"/>
      <c r="H434" s="47">
        <f t="shared" si="207"/>
        <v>0</v>
      </c>
      <c r="I434" s="48">
        <v>0</v>
      </c>
      <c r="J434" s="49">
        <f t="shared" si="208"/>
        <v>0</v>
      </c>
      <c r="K434" s="48"/>
      <c r="L434" s="49">
        <f t="shared" si="209"/>
        <v>0</v>
      </c>
      <c r="M434" s="298"/>
    </row>
    <row r="435" spans="1:26">
      <c r="A435" s="387">
        <f t="shared" si="198"/>
        <v>144</v>
      </c>
      <c r="B435" s="42" t="s">
        <v>219</v>
      </c>
      <c r="C435" s="331">
        <f t="shared" si="206"/>
        <v>76660051</v>
      </c>
      <c r="D435" s="333" t="s">
        <v>537</v>
      </c>
      <c r="E435" s="45" t="s">
        <v>378</v>
      </c>
      <c r="F435" s="133">
        <v>1</v>
      </c>
      <c r="G435" s="318"/>
      <c r="H435" s="47">
        <f t="shared" si="207"/>
        <v>0</v>
      </c>
      <c r="I435" s="48">
        <v>0</v>
      </c>
      <c r="J435" s="49">
        <f t="shared" si="208"/>
        <v>0</v>
      </c>
      <c r="K435" s="48"/>
      <c r="L435" s="49">
        <f t="shared" si="209"/>
        <v>0</v>
      </c>
      <c r="M435" s="298"/>
      <c r="Z435" s="328"/>
    </row>
    <row r="436" spans="1:26">
      <c r="A436" s="387">
        <f t="shared" si="198"/>
        <v>145</v>
      </c>
      <c r="B436" s="42" t="s">
        <v>219</v>
      </c>
      <c r="C436" s="331">
        <f t="shared" si="206"/>
        <v>76660052</v>
      </c>
      <c r="D436" s="333" t="s">
        <v>538</v>
      </c>
      <c r="E436" s="45" t="s">
        <v>378</v>
      </c>
      <c r="F436" s="133">
        <v>1</v>
      </c>
      <c r="G436" s="318"/>
      <c r="H436" s="47">
        <f t="shared" si="207"/>
        <v>0</v>
      </c>
      <c r="I436" s="48">
        <v>0</v>
      </c>
      <c r="J436" s="49">
        <f t="shared" si="208"/>
        <v>0</v>
      </c>
      <c r="K436" s="48"/>
      <c r="L436" s="49">
        <f t="shared" si="209"/>
        <v>0</v>
      </c>
      <c r="M436" s="298"/>
    </row>
    <row r="437" spans="1:26" ht="24">
      <c r="A437" s="387">
        <f t="shared" si="198"/>
        <v>146</v>
      </c>
      <c r="B437" s="42" t="s">
        <v>219</v>
      </c>
      <c r="C437" s="331">
        <f t="shared" si="206"/>
        <v>76660053</v>
      </c>
      <c r="D437" s="333" t="s">
        <v>804</v>
      </c>
      <c r="E437" s="45" t="s">
        <v>378</v>
      </c>
      <c r="F437" s="133">
        <v>2</v>
      </c>
      <c r="G437" s="318"/>
      <c r="H437" s="47">
        <f t="shared" si="207"/>
        <v>0</v>
      </c>
      <c r="I437" s="48">
        <v>0</v>
      </c>
      <c r="J437" s="49">
        <f t="shared" si="208"/>
        <v>0</v>
      </c>
      <c r="K437" s="48"/>
      <c r="L437" s="49">
        <f t="shared" si="209"/>
        <v>0</v>
      </c>
      <c r="M437" s="298"/>
    </row>
    <row r="438" spans="1:26">
      <c r="A438" s="387">
        <f t="shared" si="198"/>
        <v>147</v>
      </c>
      <c r="B438" s="42" t="s">
        <v>219</v>
      </c>
      <c r="C438" s="331">
        <f t="shared" si="206"/>
        <v>76660054</v>
      </c>
      <c r="D438" s="333" t="s">
        <v>528</v>
      </c>
      <c r="E438" s="45" t="s">
        <v>378</v>
      </c>
      <c r="F438" s="133">
        <v>1</v>
      </c>
      <c r="G438" s="318"/>
      <c r="H438" s="47">
        <f t="shared" si="207"/>
        <v>0</v>
      </c>
      <c r="I438" s="48">
        <v>0</v>
      </c>
      <c r="J438" s="49">
        <f t="shared" si="208"/>
        <v>0</v>
      </c>
      <c r="K438" s="48"/>
      <c r="L438" s="49">
        <f t="shared" si="209"/>
        <v>0</v>
      </c>
      <c r="M438" s="298"/>
    </row>
    <row r="439" spans="1:26">
      <c r="A439" s="387">
        <f t="shared" si="198"/>
        <v>148</v>
      </c>
      <c r="B439" s="42" t="s">
        <v>219</v>
      </c>
      <c r="C439" s="331">
        <f t="shared" si="206"/>
        <v>76660055</v>
      </c>
      <c r="D439" s="333" t="s">
        <v>529</v>
      </c>
      <c r="E439" s="45" t="s">
        <v>378</v>
      </c>
      <c r="F439" s="133">
        <v>1</v>
      </c>
      <c r="G439" s="318"/>
      <c r="H439" s="47">
        <f t="shared" si="207"/>
        <v>0</v>
      </c>
      <c r="I439" s="48">
        <v>0</v>
      </c>
      <c r="J439" s="49">
        <f t="shared" si="208"/>
        <v>0</v>
      </c>
      <c r="K439" s="48"/>
      <c r="L439" s="49">
        <f t="shared" si="209"/>
        <v>0</v>
      </c>
      <c r="M439" s="298"/>
    </row>
    <row r="440" spans="1:26">
      <c r="A440" s="387">
        <f t="shared" si="198"/>
        <v>149</v>
      </c>
      <c r="B440" s="42" t="s">
        <v>219</v>
      </c>
      <c r="C440" s="331">
        <f t="shared" si="206"/>
        <v>76660056</v>
      </c>
      <c r="D440" s="333" t="s">
        <v>530</v>
      </c>
      <c r="E440" s="45" t="s">
        <v>378</v>
      </c>
      <c r="F440" s="133">
        <v>1</v>
      </c>
      <c r="G440" s="318"/>
      <c r="H440" s="47">
        <f t="shared" si="207"/>
        <v>0</v>
      </c>
      <c r="I440" s="48">
        <v>0</v>
      </c>
      <c r="J440" s="49">
        <f t="shared" si="208"/>
        <v>0</v>
      </c>
      <c r="K440" s="48"/>
      <c r="L440" s="49">
        <f t="shared" si="209"/>
        <v>0</v>
      </c>
      <c r="M440" s="298"/>
    </row>
    <row r="441" spans="1:26">
      <c r="A441" s="387">
        <f t="shared" si="198"/>
        <v>150</v>
      </c>
      <c r="B441" s="42" t="s">
        <v>219</v>
      </c>
      <c r="C441" s="331">
        <f t="shared" si="206"/>
        <v>76660057</v>
      </c>
      <c r="D441" s="333" t="s">
        <v>531</v>
      </c>
      <c r="E441" s="45" t="s">
        <v>378</v>
      </c>
      <c r="F441" s="133">
        <v>1</v>
      </c>
      <c r="G441" s="318"/>
      <c r="H441" s="47">
        <f t="shared" si="207"/>
        <v>0</v>
      </c>
      <c r="I441" s="48">
        <v>0</v>
      </c>
      <c r="J441" s="49">
        <f t="shared" si="208"/>
        <v>0</v>
      </c>
      <c r="K441" s="48"/>
      <c r="L441" s="49">
        <f t="shared" si="209"/>
        <v>0</v>
      </c>
      <c r="M441" s="298"/>
    </row>
    <row r="442" spans="1:26">
      <c r="A442" s="387">
        <f t="shared" si="198"/>
        <v>151</v>
      </c>
      <c r="B442" s="42" t="s">
        <v>219</v>
      </c>
      <c r="C442" s="331">
        <f t="shared" si="206"/>
        <v>76660058</v>
      </c>
      <c r="D442" s="333" t="s">
        <v>695</v>
      </c>
      <c r="E442" s="45" t="s">
        <v>378</v>
      </c>
      <c r="F442" s="133">
        <v>1</v>
      </c>
      <c r="G442" s="318"/>
      <c r="H442" s="47">
        <f t="shared" ref="H442:H456" si="210">F442*G442</f>
        <v>0</v>
      </c>
      <c r="I442" s="48">
        <v>0</v>
      </c>
      <c r="J442" s="49">
        <f t="shared" ref="J442:J456" si="211">F442*I442</f>
        <v>0</v>
      </c>
      <c r="K442" s="48"/>
      <c r="L442" s="49">
        <f t="shared" ref="L442:L456" si="212">F442*K442</f>
        <v>0</v>
      </c>
      <c r="M442" s="298"/>
    </row>
    <row r="443" spans="1:26">
      <c r="A443" s="387">
        <f t="shared" si="198"/>
        <v>152</v>
      </c>
      <c r="B443" s="42" t="s">
        <v>219</v>
      </c>
      <c r="C443" s="331">
        <f t="shared" si="206"/>
        <v>76660059</v>
      </c>
      <c r="D443" s="333" t="s">
        <v>694</v>
      </c>
      <c r="E443" s="45" t="s">
        <v>378</v>
      </c>
      <c r="F443" s="133">
        <v>1</v>
      </c>
      <c r="G443" s="318"/>
      <c r="H443" s="47">
        <f t="shared" si="210"/>
        <v>0</v>
      </c>
      <c r="I443" s="48">
        <v>0</v>
      </c>
      <c r="J443" s="49">
        <f t="shared" si="211"/>
        <v>0</v>
      </c>
      <c r="K443" s="48"/>
      <c r="L443" s="49">
        <f t="shared" si="212"/>
        <v>0</v>
      </c>
      <c r="M443" s="298"/>
    </row>
    <row r="444" spans="1:26">
      <c r="A444" s="387">
        <f t="shared" si="198"/>
        <v>153</v>
      </c>
      <c r="B444" s="42" t="s">
        <v>219</v>
      </c>
      <c r="C444" s="331">
        <f t="shared" si="206"/>
        <v>76660060</v>
      </c>
      <c r="D444" s="333" t="s">
        <v>696</v>
      </c>
      <c r="E444" s="45" t="s">
        <v>378</v>
      </c>
      <c r="F444" s="133">
        <v>1</v>
      </c>
      <c r="G444" s="318"/>
      <c r="H444" s="47">
        <f t="shared" si="210"/>
        <v>0</v>
      </c>
      <c r="I444" s="48">
        <v>0</v>
      </c>
      <c r="J444" s="49">
        <f t="shared" si="211"/>
        <v>0</v>
      </c>
      <c r="K444" s="48"/>
      <c r="L444" s="49">
        <f t="shared" si="212"/>
        <v>0</v>
      </c>
      <c r="M444" s="298"/>
    </row>
    <row r="445" spans="1:26">
      <c r="A445" s="387">
        <f t="shared" si="198"/>
        <v>154</v>
      </c>
      <c r="B445" s="42" t="s">
        <v>219</v>
      </c>
      <c r="C445" s="331">
        <f t="shared" si="206"/>
        <v>76660061</v>
      </c>
      <c r="D445" s="333" t="s">
        <v>697</v>
      </c>
      <c r="E445" s="45" t="s">
        <v>378</v>
      </c>
      <c r="F445" s="133">
        <v>5</v>
      </c>
      <c r="G445" s="318"/>
      <c r="H445" s="47">
        <f t="shared" si="210"/>
        <v>0</v>
      </c>
      <c r="I445" s="48">
        <v>0</v>
      </c>
      <c r="J445" s="49">
        <f t="shared" si="211"/>
        <v>0</v>
      </c>
      <c r="K445" s="48"/>
      <c r="L445" s="49">
        <f t="shared" si="212"/>
        <v>0</v>
      </c>
      <c r="M445" s="298"/>
    </row>
    <row r="446" spans="1:26">
      <c r="A446" s="387">
        <f t="shared" si="198"/>
        <v>155</v>
      </c>
      <c r="B446" s="42" t="s">
        <v>219</v>
      </c>
      <c r="C446" s="331">
        <f t="shared" si="206"/>
        <v>76660062</v>
      </c>
      <c r="D446" s="333" t="s">
        <v>698</v>
      </c>
      <c r="E446" s="45" t="s">
        <v>378</v>
      </c>
      <c r="F446" s="133">
        <v>1</v>
      </c>
      <c r="G446" s="318"/>
      <c r="H446" s="47">
        <f t="shared" si="210"/>
        <v>0</v>
      </c>
      <c r="I446" s="48">
        <v>0</v>
      </c>
      <c r="J446" s="49">
        <f t="shared" si="211"/>
        <v>0</v>
      </c>
      <c r="K446" s="48"/>
      <c r="L446" s="49">
        <f t="shared" si="212"/>
        <v>0</v>
      </c>
      <c r="M446" s="298"/>
    </row>
    <row r="447" spans="1:26">
      <c r="A447" s="387">
        <f t="shared" si="198"/>
        <v>156</v>
      </c>
      <c r="B447" s="42" t="s">
        <v>219</v>
      </c>
      <c r="C447" s="331">
        <f t="shared" si="206"/>
        <v>76660063</v>
      </c>
      <c r="D447" s="333" t="s">
        <v>688</v>
      </c>
      <c r="E447" s="45" t="s">
        <v>578</v>
      </c>
      <c r="F447" s="133">
        <v>12</v>
      </c>
      <c r="G447" s="318"/>
      <c r="H447" s="47">
        <f t="shared" si="210"/>
        <v>0</v>
      </c>
      <c r="I447" s="48">
        <v>0</v>
      </c>
      <c r="J447" s="49">
        <f t="shared" si="211"/>
        <v>0</v>
      </c>
      <c r="K447" s="48"/>
      <c r="L447" s="49">
        <f t="shared" si="212"/>
        <v>0</v>
      </c>
      <c r="M447" s="298"/>
    </row>
    <row r="448" spans="1:26" ht="24">
      <c r="A448" s="387">
        <f t="shared" si="198"/>
        <v>157</v>
      </c>
      <c r="B448" s="42" t="s">
        <v>219</v>
      </c>
      <c r="C448" s="331">
        <f t="shared" si="206"/>
        <v>76660064</v>
      </c>
      <c r="D448" s="333" t="s">
        <v>689</v>
      </c>
      <c r="E448" s="45" t="s">
        <v>378</v>
      </c>
      <c r="F448" s="133">
        <v>1</v>
      </c>
      <c r="G448" s="318"/>
      <c r="H448" s="47">
        <f t="shared" si="210"/>
        <v>0</v>
      </c>
      <c r="I448" s="48">
        <v>0</v>
      </c>
      <c r="J448" s="49">
        <f t="shared" si="211"/>
        <v>0</v>
      </c>
      <c r="K448" s="48"/>
      <c r="L448" s="49">
        <f t="shared" si="212"/>
        <v>0</v>
      </c>
      <c r="M448" s="298"/>
    </row>
    <row r="449" spans="1:13" ht="24">
      <c r="A449" s="387">
        <f t="shared" si="198"/>
        <v>158</v>
      </c>
      <c r="B449" s="42" t="s">
        <v>219</v>
      </c>
      <c r="C449" s="331">
        <f t="shared" si="206"/>
        <v>76660065</v>
      </c>
      <c r="D449" s="333" t="s">
        <v>690</v>
      </c>
      <c r="E449" s="45" t="s">
        <v>378</v>
      </c>
      <c r="F449" s="133">
        <v>1</v>
      </c>
      <c r="G449" s="318"/>
      <c r="H449" s="47">
        <f t="shared" si="210"/>
        <v>0</v>
      </c>
      <c r="I449" s="48">
        <v>0</v>
      </c>
      <c r="J449" s="49">
        <f t="shared" si="211"/>
        <v>0</v>
      </c>
      <c r="K449" s="48"/>
      <c r="L449" s="49">
        <f t="shared" si="212"/>
        <v>0</v>
      </c>
      <c r="M449" s="298"/>
    </row>
    <row r="450" spans="1:13" ht="24">
      <c r="A450" s="387">
        <f t="shared" si="198"/>
        <v>159</v>
      </c>
      <c r="B450" s="42" t="s">
        <v>219</v>
      </c>
      <c r="C450" s="331">
        <f t="shared" si="206"/>
        <v>76660066</v>
      </c>
      <c r="D450" s="333" t="s">
        <v>691</v>
      </c>
      <c r="E450" s="45" t="s">
        <v>378</v>
      </c>
      <c r="F450" s="133">
        <v>1</v>
      </c>
      <c r="G450" s="318"/>
      <c r="H450" s="47">
        <f t="shared" si="210"/>
        <v>0</v>
      </c>
      <c r="I450" s="48">
        <v>0</v>
      </c>
      <c r="J450" s="49">
        <f t="shared" si="211"/>
        <v>0</v>
      </c>
      <c r="K450" s="48"/>
      <c r="L450" s="49">
        <f t="shared" si="212"/>
        <v>0</v>
      </c>
      <c r="M450" s="298"/>
    </row>
    <row r="451" spans="1:13" ht="24">
      <c r="A451" s="387">
        <f t="shared" si="198"/>
        <v>160</v>
      </c>
      <c r="B451" s="42" t="s">
        <v>219</v>
      </c>
      <c r="C451" s="331">
        <f t="shared" si="206"/>
        <v>76660067</v>
      </c>
      <c r="D451" s="333" t="s">
        <v>692</v>
      </c>
      <c r="E451" s="45" t="s">
        <v>378</v>
      </c>
      <c r="F451" s="133">
        <v>1</v>
      </c>
      <c r="G451" s="318"/>
      <c r="H451" s="47">
        <f t="shared" si="210"/>
        <v>0</v>
      </c>
      <c r="I451" s="48">
        <v>0</v>
      </c>
      <c r="J451" s="49">
        <f t="shared" si="211"/>
        <v>0</v>
      </c>
      <c r="K451" s="48"/>
      <c r="L451" s="49">
        <f t="shared" si="212"/>
        <v>0</v>
      </c>
      <c r="M451" s="298"/>
    </row>
    <row r="452" spans="1:13">
      <c r="A452" s="387">
        <f t="shared" si="198"/>
        <v>161</v>
      </c>
      <c r="B452" s="42" t="s">
        <v>219</v>
      </c>
      <c r="C452" s="331">
        <f t="shared" si="206"/>
        <v>76660068</v>
      </c>
      <c r="D452" s="333" t="s">
        <v>699</v>
      </c>
      <c r="E452" s="45" t="s">
        <v>378</v>
      </c>
      <c r="F452" s="133">
        <v>1</v>
      </c>
      <c r="G452" s="318"/>
      <c r="H452" s="47">
        <f t="shared" si="210"/>
        <v>0</v>
      </c>
      <c r="I452" s="48">
        <v>0</v>
      </c>
      <c r="J452" s="49">
        <f t="shared" si="211"/>
        <v>0</v>
      </c>
      <c r="K452" s="48"/>
      <c r="L452" s="49">
        <f t="shared" si="212"/>
        <v>0</v>
      </c>
      <c r="M452" s="298"/>
    </row>
    <row r="453" spans="1:13" ht="24">
      <c r="A453" s="387">
        <f t="shared" si="198"/>
        <v>162</v>
      </c>
      <c r="B453" s="42" t="s">
        <v>219</v>
      </c>
      <c r="C453" s="331">
        <f t="shared" si="206"/>
        <v>76660069</v>
      </c>
      <c r="D453" s="333" t="s">
        <v>693</v>
      </c>
      <c r="E453" s="45" t="s">
        <v>378</v>
      </c>
      <c r="F453" s="133">
        <v>1</v>
      </c>
      <c r="G453" s="334"/>
      <c r="H453" s="47">
        <f t="shared" si="210"/>
        <v>0</v>
      </c>
      <c r="I453" s="48">
        <v>0</v>
      </c>
      <c r="J453" s="49">
        <f t="shared" si="211"/>
        <v>0</v>
      </c>
      <c r="K453" s="48"/>
      <c r="L453" s="49">
        <f t="shared" si="212"/>
        <v>0</v>
      </c>
      <c r="M453" s="298"/>
    </row>
    <row r="454" spans="1:13">
      <c r="A454" s="387">
        <f t="shared" si="198"/>
        <v>163</v>
      </c>
      <c r="B454" s="42" t="s">
        <v>219</v>
      </c>
      <c r="C454" s="331">
        <f t="shared" si="206"/>
        <v>76660070</v>
      </c>
      <c r="D454" s="333" t="s">
        <v>794</v>
      </c>
      <c r="E454" s="45" t="s">
        <v>378</v>
      </c>
      <c r="F454" s="133">
        <v>1</v>
      </c>
      <c r="G454" s="334"/>
      <c r="H454" s="47"/>
      <c r="I454" s="48"/>
      <c r="J454" s="49"/>
      <c r="K454" s="48"/>
      <c r="L454" s="49"/>
      <c r="M454" s="298"/>
    </row>
    <row r="455" spans="1:13">
      <c r="A455" s="387">
        <f t="shared" si="198"/>
        <v>164</v>
      </c>
      <c r="B455" s="42" t="s">
        <v>219</v>
      </c>
      <c r="C455" s="331">
        <f t="shared" si="206"/>
        <v>76660071</v>
      </c>
      <c r="D455" s="333" t="s">
        <v>795</v>
      </c>
      <c r="E455" s="45" t="s">
        <v>378</v>
      </c>
      <c r="F455" s="133">
        <v>1</v>
      </c>
      <c r="G455" s="318"/>
      <c r="H455" s="47">
        <f t="shared" ref="H455" si="213">F455*G455</f>
        <v>0</v>
      </c>
      <c r="I455" s="48"/>
      <c r="J455" s="49"/>
      <c r="K455" s="48"/>
      <c r="L455" s="49"/>
      <c r="M455" s="298"/>
    </row>
    <row r="456" spans="1:13">
      <c r="A456" s="387">
        <f t="shared" si="198"/>
        <v>165</v>
      </c>
      <c r="B456" s="42" t="s">
        <v>219</v>
      </c>
      <c r="C456" s="331">
        <f t="shared" si="206"/>
        <v>76660072</v>
      </c>
      <c r="D456" s="333" t="s">
        <v>700</v>
      </c>
      <c r="E456" s="45" t="s">
        <v>378</v>
      </c>
      <c r="F456" s="133">
        <v>1</v>
      </c>
      <c r="G456" s="318"/>
      <c r="H456" s="47">
        <f t="shared" si="210"/>
        <v>0</v>
      </c>
      <c r="I456" s="48">
        <v>0</v>
      </c>
      <c r="J456" s="49">
        <f t="shared" si="211"/>
        <v>0</v>
      </c>
      <c r="K456" s="48"/>
      <c r="L456" s="49">
        <f t="shared" si="212"/>
        <v>0</v>
      </c>
      <c r="M456" s="298"/>
    </row>
    <row r="457" spans="1:13" ht="16.5">
      <c r="A457" s="394"/>
      <c r="B457" s="81"/>
      <c r="C457" s="335"/>
      <c r="D457" s="336"/>
      <c r="E457" s="121"/>
      <c r="F457" s="134"/>
      <c r="G457" s="337"/>
      <c r="H457" s="123"/>
      <c r="I457" s="124"/>
      <c r="J457" s="125"/>
      <c r="K457" s="124"/>
      <c r="L457" s="125"/>
      <c r="M457" s="326"/>
    </row>
    <row r="458" spans="1:13" ht="16.5">
      <c r="A458" s="388"/>
      <c r="B458" s="33"/>
      <c r="C458" s="34"/>
      <c r="D458" s="35" t="s">
        <v>539</v>
      </c>
      <c r="E458" s="36"/>
      <c r="F458" s="132"/>
      <c r="G458" s="37"/>
      <c r="H458" s="38">
        <f>SUBTOTAL(9,H461:H476)</f>
        <v>0</v>
      </c>
      <c r="I458" s="39"/>
      <c r="J458" s="40">
        <f>SUBTOTAL(9,J461:J463)</f>
        <v>0</v>
      </c>
      <c r="K458" s="41"/>
      <c r="L458" s="40">
        <f>SUBTOTAL(9,L461:L482)</f>
        <v>0</v>
      </c>
      <c r="M458" s="326"/>
    </row>
    <row r="459" spans="1:13" ht="16.5">
      <c r="A459" s="388"/>
      <c r="B459" s="33"/>
      <c r="C459" s="34"/>
      <c r="D459" s="86" t="s">
        <v>432</v>
      </c>
      <c r="E459" s="36"/>
      <c r="F459" s="132"/>
      <c r="G459" s="37"/>
      <c r="H459" s="38"/>
      <c r="I459" s="39"/>
      <c r="J459" s="40"/>
      <c r="K459" s="41"/>
      <c r="L459" s="40"/>
      <c r="M459" s="326"/>
    </row>
    <row r="460" spans="1:13" ht="16.5">
      <c r="A460" s="388"/>
      <c r="B460" s="33"/>
      <c r="C460" s="34"/>
      <c r="D460" s="87" t="s">
        <v>433</v>
      </c>
      <c r="E460" s="36"/>
      <c r="F460" s="132"/>
      <c r="G460" s="37"/>
      <c r="H460" s="38"/>
      <c r="I460" s="39"/>
      <c r="J460" s="40"/>
      <c r="K460" s="41"/>
      <c r="L460" s="40"/>
      <c r="M460" s="326"/>
    </row>
    <row r="461" spans="1:13">
      <c r="A461" s="387">
        <f>A456+1</f>
        <v>166</v>
      </c>
      <c r="B461" s="42" t="s">
        <v>64</v>
      </c>
      <c r="C461" s="91" t="s">
        <v>540</v>
      </c>
      <c r="D461" s="327" t="s">
        <v>674</v>
      </c>
      <c r="E461" s="304" t="s">
        <v>378</v>
      </c>
      <c r="F461" s="133">
        <v>1</v>
      </c>
      <c r="G461" s="46"/>
      <c r="H461" s="47">
        <f t="shared" ref="H461:H463" si="214">F461*G461</f>
        <v>0</v>
      </c>
      <c r="I461" s="48">
        <v>0</v>
      </c>
      <c r="J461" s="49">
        <f t="shared" ref="J461:J463" si="215">F461*I461</f>
        <v>0</v>
      </c>
      <c r="K461" s="48"/>
      <c r="L461" s="49">
        <f t="shared" ref="L461:L463" si="216">F461*K461</f>
        <v>0</v>
      </c>
      <c r="M461" s="298"/>
    </row>
    <row r="462" spans="1:13">
      <c r="A462" s="387">
        <f t="shared" ref="A462:A475" si="217">A461+1</f>
        <v>167</v>
      </c>
      <c r="B462" s="42" t="s">
        <v>219</v>
      </c>
      <c r="C462" s="331">
        <f t="shared" ref="C462:C475" si="218">C461+1</f>
        <v>7670002</v>
      </c>
      <c r="D462" s="333" t="s">
        <v>675</v>
      </c>
      <c r="E462" s="45" t="s">
        <v>378</v>
      </c>
      <c r="F462" s="133">
        <v>1</v>
      </c>
      <c r="G462" s="318"/>
      <c r="H462" s="47">
        <f t="shared" si="214"/>
        <v>0</v>
      </c>
      <c r="I462" s="48">
        <v>0</v>
      </c>
      <c r="J462" s="49">
        <f t="shared" si="215"/>
        <v>0</v>
      </c>
      <c r="K462" s="48"/>
      <c r="L462" s="49">
        <f t="shared" si="216"/>
        <v>0</v>
      </c>
      <c r="M462" s="298"/>
    </row>
    <row r="463" spans="1:13">
      <c r="A463" s="387">
        <f t="shared" si="217"/>
        <v>168</v>
      </c>
      <c r="B463" s="42" t="s">
        <v>219</v>
      </c>
      <c r="C463" s="331">
        <f t="shared" si="218"/>
        <v>7670003</v>
      </c>
      <c r="D463" s="333" t="s">
        <v>796</v>
      </c>
      <c r="E463" s="45" t="s">
        <v>378</v>
      </c>
      <c r="F463" s="133">
        <v>1</v>
      </c>
      <c r="G463" s="318"/>
      <c r="H463" s="47">
        <f t="shared" si="214"/>
        <v>0</v>
      </c>
      <c r="I463" s="48">
        <v>0</v>
      </c>
      <c r="J463" s="49">
        <f t="shared" si="215"/>
        <v>0</v>
      </c>
      <c r="K463" s="48"/>
      <c r="L463" s="49">
        <f t="shared" si="216"/>
        <v>0</v>
      </c>
      <c r="M463" s="298"/>
    </row>
    <row r="464" spans="1:13">
      <c r="A464" s="387">
        <f t="shared" si="217"/>
        <v>169</v>
      </c>
      <c r="B464" s="42" t="s">
        <v>219</v>
      </c>
      <c r="C464" s="331">
        <f t="shared" si="218"/>
        <v>7670004</v>
      </c>
      <c r="D464" s="333" t="s">
        <v>676</v>
      </c>
      <c r="E464" s="45" t="s">
        <v>378</v>
      </c>
      <c r="F464" s="133">
        <v>1</v>
      </c>
      <c r="G464" s="318"/>
      <c r="H464" s="47">
        <f t="shared" ref="H464:H471" si="219">F464*G464</f>
        <v>0</v>
      </c>
      <c r="I464" s="48">
        <v>0</v>
      </c>
      <c r="J464" s="49">
        <f t="shared" ref="J464:J471" si="220">F464*I464</f>
        <v>0</v>
      </c>
      <c r="K464" s="48"/>
      <c r="L464" s="49">
        <f t="shared" ref="L464:L471" si="221">F464*K464</f>
        <v>0</v>
      </c>
      <c r="M464" s="298"/>
    </row>
    <row r="465" spans="1:13">
      <c r="A465" s="387">
        <f t="shared" si="217"/>
        <v>170</v>
      </c>
      <c r="B465" s="42" t="s">
        <v>219</v>
      </c>
      <c r="C465" s="331">
        <f t="shared" si="218"/>
        <v>7670005</v>
      </c>
      <c r="D465" s="333" t="s">
        <v>678</v>
      </c>
      <c r="E465" s="45" t="s">
        <v>378</v>
      </c>
      <c r="F465" s="133">
        <v>5</v>
      </c>
      <c r="G465" s="318"/>
      <c r="H465" s="47">
        <f t="shared" si="219"/>
        <v>0</v>
      </c>
      <c r="I465" s="48">
        <v>0</v>
      </c>
      <c r="J465" s="49">
        <f t="shared" si="220"/>
        <v>0</v>
      </c>
      <c r="K465" s="48"/>
      <c r="L465" s="49">
        <f t="shared" si="221"/>
        <v>0</v>
      </c>
      <c r="M465" s="298"/>
    </row>
    <row r="466" spans="1:13">
      <c r="A466" s="387">
        <f t="shared" si="217"/>
        <v>171</v>
      </c>
      <c r="B466" s="42" t="s">
        <v>219</v>
      </c>
      <c r="C466" s="331">
        <f t="shared" si="218"/>
        <v>7670006</v>
      </c>
      <c r="D466" s="333" t="s">
        <v>677</v>
      </c>
      <c r="E466" s="45" t="s">
        <v>378</v>
      </c>
      <c r="F466" s="133">
        <v>1</v>
      </c>
      <c r="G466" s="318"/>
      <c r="H466" s="47">
        <f t="shared" si="219"/>
        <v>0</v>
      </c>
      <c r="I466" s="48">
        <v>0</v>
      </c>
      <c r="J466" s="49">
        <f t="shared" si="220"/>
        <v>0</v>
      </c>
      <c r="K466" s="48"/>
      <c r="L466" s="49">
        <f t="shared" si="221"/>
        <v>0</v>
      </c>
      <c r="M466" s="298"/>
    </row>
    <row r="467" spans="1:13">
      <c r="A467" s="387">
        <f t="shared" si="217"/>
        <v>172</v>
      </c>
      <c r="B467" s="42" t="s">
        <v>219</v>
      </c>
      <c r="C467" s="331">
        <f t="shared" si="218"/>
        <v>7670007</v>
      </c>
      <c r="D467" s="333" t="s">
        <v>680</v>
      </c>
      <c r="E467" s="45" t="s">
        <v>378</v>
      </c>
      <c r="F467" s="133">
        <v>1</v>
      </c>
      <c r="G467" s="318"/>
      <c r="H467" s="47">
        <f t="shared" si="219"/>
        <v>0</v>
      </c>
      <c r="I467" s="48">
        <v>0</v>
      </c>
      <c r="J467" s="49">
        <f t="shared" si="220"/>
        <v>0</v>
      </c>
      <c r="K467" s="48"/>
      <c r="L467" s="49">
        <f t="shared" si="221"/>
        <v>0</v>
      </c>
      <c r="M467" s="298"/>
    </row>
    <row r="468" spans="1:13">
      <c r="A468" s="387">
        <f t="shared" si="217"/>
        <v>173</v>
      </c>
      <c r="B468" s="42" t="s">
        <v>219</v>
      </c>
      <c r="C468" s="331">
        <f t="shared" si="218"/>
        <v>7670008</v>
      </c>
      <c r="D468" s="333" t="s">
        <v>679</v>
      </c>
      <c r="E468" s="45" t="s">
        <v>378</v>
      </c>
      <c r="F468" s="133">
        <v>6</v>
      </c>
      <c r="G468" s="318"/>
      <c r="H468" s="47">
        <f t="shared" si="219"/>
        <v>0</v>
      </c>
      <c r="I468" s="48">
        <v>0</v>
      </c>
      <c r="J468" s="49">
        <f t="shared" si="220"/>
        <v>0</v>
      </c>
      <c r="K468" s="48"/>
      <c r="L468" s="49">
        <f t="shared" si="221"/>
        <v>0</v>
      </c>
      <c r="M468" s="298"/>
    </row>
    <row r="469" spans="1:13">
      <c r="A469" s="387">
        <f t="shared" si="217"/>
        <v>174</v>
      </c>
      <c r="B469" s="42" t="s">
        <v>219</v>
      </c>
      <c r="C469" s="331">
        <f t="shared" si="218"/>
        <v>7670009</v>
      </c>
      <c r="D469" s="333" t="s">
        <v>681</v>
      </c>
      <c r="E469" s="45" t="s">
        <v>378</v>
      </c>
      <c r="F469" s="133">
        <v>2</v>
      </c>
      <c r="G469" s="318"/>
      <c r="H469" s="47">
        <f t="shared" si="219"/>
        <v>0</v>
      </c>
      <c r="I469" s="48">
        <v>0</v>
      </c>
      <c r="J469" s="49">
        <f t="shared" si="220"/>
        <v>0</v>
      </c>
      <c r="K469" s="48"/>
      <c r="L469" s="49">
        <f t="shared" si="221"/>
        <v>0</v>
      </c>
      <c r="M469" s="298"/>
    </row>
    <row r="470" spans="1:13">
      <c r="A470" s="387">
        <f t="shared" si="217"/>
        <v>175</v>
      </c>
      <c r="B470" s="42" t="s">
        <v>219</v>
      </c>
      <c r="C470" s="331">
        <f t="shared" si="218"/>
        <v>7670010</v>
      </c>
      <c r="D470" s="333" t="s">
        <v>682</v>
      </c>
      <c r="E470" s="45" t="s">
        <v>83</v>
      </c>
      <c r="F470" s="133">
        <v>47</v>
      </c>
      <c r="G470" s="318"/>
      <c r="H470" s="47">
        <f t="shared" si="219"/>
        <v>0</v>
      </c>
      <c r="I470" s="48">
        <v>0</v>
      </c>
      <c r="J470" s="49">
        <f t="shared" si="220"/>
        <v>0</v>
      </c>
      <c r="K470" s="48"/>
      <c r="L470" s="49">
        <f t="shared" si="221"/>
        <v>0</v>
      </c>
      <c r="M470" s="298"/>
    </row>
    <row r="471" spans="1:13">
      <c r="A471" s="387">
        <f t="shared" si="217"/>
        <v>176</v>
      </c>
      <c r="B471" s="42" t="s">
        <v>219</v>
      </c>
      <c r="C471" s="331">
        <f t="shared" si="218"/>
        <v>7670011</v>
      </c>
      <c r="D471" s="333" t="s">
        <v>683</v>
      </c>
      <c r="E471" s="45" t="s">
        <v>378</v>
      </c>
      <c r="F471" s="133">
        <v>1</v>
      </c>
      <c r="G471" s="318"/>
      <c r="H471" s="47">
        <f t="shared" si="219"/>
        <v>0</v>
      </c>
      <c r="I471" s="48">
        <v>0</v>
      </c>
      <c r="J471" s="49">
        <f t="shared" si="220"/>
        <v>0</v>
      </c>
      <c r="K471" s="48"/>
      <c r="L471" s="49">
        <f t="shared" si="221"/>
        <v>0</v>
      </c>
      <c r="M471" s="298"/>
    </row>
    <row r="472" spans="1:13">
      <c r="A472" s="387">
        <f t="shared" si="217"/>
        <v>177</v>
      </c>
      <c r="B472" s="42" t="s">
        <v>219</v>
      </c>
      <c r="C472" s="331">
        <f t="shared" si="218"/>
        <v>7670012</v>
      </c>
      <c r="D472" s="333" t="s">
        <v>684</v>
      </c>
      <c r="E472" s="45" t="s">
        <v>378</v>
      </c>
      <c r="F472" s="133">
        <v>1</v>
      </c>
      <c r="G472" s="318"/>
      <c r="H472" s="47">
        <f t="shared" ref="H472:H473" si="222">F472*G472</f>
        <v>0</v>
      </c>
      <c r="I472" s="48">
        <v>0</v>
      </c>
      <c r="J472" s="49">
        <f t="shared" ref="J472:J473" si="223">F472*I472</f>
        <v>0</v>
      </c>
      <c r="K472" s="48"/>
      <c r="L472" s="49">
        <f t="shared" ref="L472:L473" si="224">F472*K472</f>
        <v>0</v>
      </c>
      <c r="M472" s="298"/>
    </row>
    <row r="473" spans="1:13">
      <c r="A473" s="387">
        <f t="shared" si="217"/>
        <v>178</v>
      </c>
      <c r="B473" s="42" t="s">
        <v>219</v>
      </c>
      <c r="C473" s="331">
        <f t="shared" si="218"/>
        <v>7670013</v>
      </c>
      <c r="D473" s="333" t="s">
        <v>685</v>
      </c>
      <c r="E473" s="45" t="s">
        <v>378</v>
      </c>
      <c r="F473" s="133">
        <v>1</v>
      </c>
      <c r="G473" s="334"/>
      <c r="H473" s="47">
        <f t="shared" si="222"/>
        <v>0</v>
      </c>
      <c r="I473" s="48">
        <v>0</v>
      </c>
      <c r="J473" s="49">
        <f t="shared" si="223"/>
        <v>0</v>
      </c>
      <c r="K473" s="48"/>
      <c r="L473" s="49">
        <f t="shared" si="224"/>
        <v>0</v>
      </c>
      <c r="M473" s="298"/>
    </row>
    <row r="474" spans="1:13">
      <c r="A474" s="387">
        <f t="shared" si="217"/>
        <v>179</v>
      </c>
      <c r="B474" s="42" t="s">
        <v>219</v>
      </c>
      <c r="C474" s="331">
        <f t="shared" si="218"/>
        <v>7670014</v>
      </c>
      <c r="D474" s="333" t="s">
        <v>686</v>
      </c>
      <c r="E474" s="45" t="s">
        <v>378</v>
      </c>
      <c r="F474" s="133">
        <v>1</v>
      </c>
      <c r="G474" s="318"/>
      <c r="H474" s="47">
        <f t="shared" ref="H474:H475" si="225">F474*G474</f>
        <v>0</v>
      </c>
      <c r="I474" s="48">
        <v>0</v>
      </c>
      <c r="J474" s="49">
        <f t="shared" ref="J474:J475" si="226">F474*I474</f>
        <v>0</v>
      </c>
      <c r="K474" s="48"/>
      <c r="L474" s="49">
        <f t="shared" ref="L474:L475" si="227">F474*K474</f>
        <v>0</v>
      </c>
      <c r="M474" s="298"/>
    </row>
    <row r="475" spans="1:13">
      <c r="A475" s="387">
        <f t="shared" si="217"/>
        <v>180</v>
      </c>
      <c r="B475" s="42" t="s">
        <v>219</v>
      </c>
      <c r="C475" s="331">
        <f t="shared" si="218"/>
        <v>7670015</v>
      </c>
      <c r="D475" s="333" t="s">
        <v>687</v>
      </c>
      <c r="E475" s="45" t="s">
        <v>378</v>
      </c>
      <c r="F475" s="133">
        <v>1</v>
      </c>
      <c r="G475" s="334"/>
      <c r="H475" s="47">
        <f t="shared" si="225"/>
        <v>0</v>
      </c>
      <c r="I475" s="48">
        <v>0</v>
      </c>
      <c r="J475" s="49">
        <f t="shared" si="226"/>
        <v>0</v>
      </c>
      <c r="K475" s="48"/>
      <c r="L475" s="49">
        <f t="shared" si="227"/>
        <v>0</v>
      </c>
      <c r="M475" s="298"/>
    </row>
    <row r="476" spans="1:13" ht="16.5">
      <c r="A476" s="388"/>
    </row>
    <row r="477" spans="1:13" ht="16.5">
      <c r="A477" s="388"/>
      <c r="B477" s="33"/>
      <c r="C477" s="34"/>
      <c r="D477" s="35" t="s">
        <v>359</v>
      </c>
      <c r="E477" s="36"/>
      <c r="F477" s="132"/>
      <c r="G477" s="37"/>
      <c r="H477" s="38">
        <f>SUBTOTAL(9,H478:H485)</f>
        <v>0</v>
      </c>
      <c r="I477" s="39"/>
      <c r="J477" s="40">
        <f>SUBTOTAL(9,J478:J485)</f>
        <v>5.9283070000000002</v>
      </c>
      <c r="K477" s="41"/>
      <c r="L477" s="40">
        <f>SUBTOTAL(9,L478:L485)</f>
        <v>0</v>
      </c>
    </row>
    <row r="478" spans="1:13" ht="24">
      <c r="A478" s="387">
        <f>A475+1</f>
        <v>181</v>
      </c>
      <c r="B478" s="42" t="s">
        <v>64</v>
      </c>
      <c r="C478" s="43" t="s">
        <v>360</v>
      </c>
      <c r="D478" s="44" t="s">
        <v>361</v>
      </c>
      <c r="E478" s="45" t="s">
        <v>78</v>
      </c>
      <c r="F478" s="133">
        <v>65.900000000000006</v>
      </c>
      <c r="G478" s="46"/>
      <c r="H478" s="47">
        <f t="shared" ref="H478:H484" si="228">F478*G478</f>
        <v>0</v>
      </c>
      <c r="I478" s="48">
        <v>7.3699999999999998E-3</v>
      </c>
      <c r="J478" s="49">
        <f t="shared" ref="J478:J484" si="229">F478*I478</f>
        <v>0.48568300000000003</v>
      </c>
      <c r="K478" s="48"/>
      <c r="L478" s="49">
        <f t="shared" ref="L478:L484" si="230">F478*K478</f>
        <v>0</v>
      </c>
      <c r="M478" s="298" t="s">
        <v>803</v>
      </c>
    </row>
    <row r="479" spans="1:13" ht="24">
      <c r="A479" s="387">
        <f>A478+1</f>
        <v>182</v>
      </c>
      <c r="B479" s="42" t="s">
        <v>64</v>
      </c>
      <c r="C479" s="43" t="s">
        <v>362</v>
      </c>
      <c r="D479" s="44" t="s">
        <v>363</v>
      </c>
      <c r="E479" s="45" t="s">
        <v>78</v>
      </c>
      <c r="F479" s="133">
        <v>65.900000000000006</v>
      </c>
      <c r="G479" s="46"/>
      <c r="H479" s="47">
        <f t="shared" si="228"/>
        <v>0</v>
      </c>
      <c r="I479" s="48">
        <v>2.0000000000000001E-4</v>
      </c>
      <c r="J479" s="49">
        <f t="shared" si="229"/>
        <v>1.3180000000000002E-2</v>
      </c>
      <c r="K479" s="48"/>
      <c r="L479" s="49">
        <f t="shared" si="230"/>
        <v>0</v>
      </c>
      <c r="M479" s="298" t="s">
        <v>803</v>
      </c>
    </row>
    <row r="480" spans="1:13">
      <c r="A480" s="387">
        <f t="shared" ref="A480:A485" si="231">A479+1</f>
        <v>183</v>
      </c>
      <c r="B480" s="42" t="s">
        <v>219</v>
      </c>
      <c r="C480" s="43" t="s">
        <v>517</v>
      </c>
      <c r="D480" s="44" t="s">
        <v>518</v>
      </c>
      <c r="E480" s="45" t="s">
        <v>78</v>
      </c>
      <c r="F480" s="126">
        <f>F478*1.05</f>
        <v>69.195000000000007</v>
      </c>
      <c r="G480" s="46"/>
      <c r="H480" s="47">
        <f t="shared" si="228"/>
        <v>0</v>
      </c>
      <c r="I480" s="48">
        <f>0.03*1.8</f>
        <v>5.3999999999999999E-2</v>
      </c>
      <c r="J480" s="49">
        <f t="shared" si="229"/>
        <v>3.7365300000000006</v>
      </c>
      <c r="K480" s="48"/>
      <c r="L480" s="49"/>
      <c r="M480" s="49"/>
    </row>
    <row r="481" spans="1:13" ht="24">
      <c r="A481" s="387">
        <f t="shared" si="231"/>
        <v>184</v>
      </c>
      <c r="B481" s="42" t="s">
        <v>64</v>
      </c>
      <c r="C481" s="43" t="s">
        <v>368</v>
      </c>
      <c r="D481" s="44" t="s">
        <v>369</v>
      </c>
      <c r="E481" s="45" t="s">
        <v>78</v>
      </c>
      <c r="F481" s="133">
        <f>podlahy!B4</f>
        <v>24.2</v>
      </c>
      <c r="G481" s="46"/>
      <c r="H481" s="47">
        <f>F481*G481</f>
        <v>0</v>
      </c>
      <c r="I481" s="48">
        <v>3.6600000000000001E-3</v>
      </c>
      <c r="J481" s="49">
        <f>F481*I481</f>
        <v>8.8571999999999998E-2</v>
      </c>
      <c r="K481" s="48"/>
      <c r="L481" s="49">
        <f>F481*K481</f>
        <v>0</v>
      </c>
      <c r="M481" s="298" t="s">
        <v>803</v>
      </c>
    </row>
    <row r="482" spans="1:13">
      <c r="A482" s="387">
        <f t="shared" si="231"/>
        <v>185</v>
      </c>
      <c r="B482" s="42" t="s">
        <v>219</v>
      </c>
      <c r="C482" s="43" t="s">
        <v>519</v>
      </c>
      <c r="D482" s="44" t="s">
        <v>520</v>
      </c>
      <c r="E482" s="45" t="s">
        <v>78</v>
      </c>
      <c r="F482" s="133">
        <f>F481*1.08+F484*0.2</f>
        <v>29.515999999999998</v>
      </c>
      <c r="G482" s="46"/>
      <c r="H482" s="47">
        <f t="shared" ref="H482" si="232">F482*G482</f>
        <v>0</v>
      </c>
      <c r="I482" s="48">
        <f>0.03*1.8</f>
        <v>5.3999999999999999E-2</v>
      </c>
      <c r="J482" s="49">
        <f t="shared" ref="J482" si="233">F482*I482</f>
        <v>1.5938639999999999</v>
      </c>
      <c r="K482" s="48"/>
      <c r="L482" s="49"/>
      <c r="M482" s="49"/>
    </row>
    <row r="483" spans="1:13">
      <c r="A483" s="387">
        <f t="shared" si="231"/>
        <v>186</v>
      </c>
      <c r="B483" s="42" t="s">
        <v>64</v>
      </c>
      <c r="C483" s="43" t="s">
        <v>364</v>
      </c>
      <c r="D483" s="44" t="s">
        <v>365</v>
      </c>
      <c r="E483" s="45" t="s">
        <v>82</v>
      </c>
      <c r="F483" s="133">
        <v>25</v>
      </c>
      <c r="G483" s="46"/>
      <c r="H483" s="47">
        <f t="shared" si="228"/>
        <v>0</v>
      </c>
      <c r="I483" s="48"/>
      <c r="J483" s="49">
        <f t="shared" si="229"/>
        <v>0</v>
      </c>
      <c r="K483" s="48"/>
      <c r="L483" s="49">
        <f t="shared" si="230"/>
        <v>0</v>
      </c>
      <c r="M483" s="298" t="s">
        <v>803</v>
      </c>
    </row>
    <row r="484" spans="1:13" ht="24">
      <c r="A484" s="387">
        <f t="shared" si="231"/>
        <v>187</v>
      </c>
      <c r="B484" s="42" t="s">
        <v>64</v>
      </c>
      <c r="C484" s="43" t="s">
        <v>370</v>
      </c>
      <c r="D484" s="44" t="s">
        <v>371</v>
      </c>
      <c r="E484" s="45" t="s">
        <v>83</v>
      </c>
      <c r="F484" s="133">
        <f>(2.4+1.5+3.4+1.9)*2-1.5</f>
        <v>16.899999999999999</v>
      </c>
      <c r="G484" s="46"/>
      <c r="H484" s="47">
        <f t="shared" si="228"/>
        <v>0</v>
      </c>
      <c r="I484" s="48">
        <v>6.2E-4</v>
      </c>
      <c r="J484" s="49">
        <f t="shared" si="229"/>
        <v>1.0477999999999999E-2</v>
      </c>
      <c r="K484" s="48"/>
      <c r="L484" s="49">
        <f t="shared" si="230"/>
        <v>0</v>
      </c>
      <c r="M484" s="298" t="s">
        <v>803</v>
      </c>
    </row>
    <row r="485" spans="1:13" ht="14.45" customHeight="1">
      <c r="A485" s="387">
        <f t="shared" si="231"/>
        <v>188</v>
      </c>
      <c r="B485" s="42" t="s">
        <v>64</v>
      </c>
      <c r="C485" s="43" t="s">
        <v>366</v>
      </c>
      <c r="D485" s="44" t="s">
        <v>367</v>
      </c>
      <c r="E485" s="45" t="s">
        <v>75</v>
      </c>
      <c r="F485" s="133">
        <f>J477</f>
        <v>5.9283070000000002</v>
      </c>
      <c r="G485" s="46"/>
      <c r="H485" s="47">
        <f>F485*G485</f>
        <v>0</v>
      </c>
      <c r="I485" s="48"/>
      <c r="J485" s="49">
        <v>0</v>
      </c>
      <c r="K485" s="48"/>
      <c r="L485" s="49">
        <f>F485*K485</f>
        <v>0</v>
      </c>
      <c r="M485" s="298" t="s">
        <v>803</v>
      </c>
    </row>
    <row r="486" spans="1:13" ht="16.5">
      <c r="A486" s="388"/>
      <c r="M486" s="326"/>
    </row>
    <row r="487" spans="1:13" ht="16.5">
      <c r="A487" s="388"/>
      <c r="B487" s="33"/>
      <c r="C487" s="34"/>
      <c r="D487" s="35" t="s">
        <v>473</v>
      </c>
      <c r="E487" s="36"/>
      <c r="F487" s="132"/>
      <c r="G487" s="37"/>
      <c r="H487" s="38">
        <f>SUBTOTAL(9,H488:H493)</f>
        <v>0</v>
      </c>
      <c r="I487" s="39"/>
      <c r="J487" s="40">
        <f>SUBTOTAL(9,J488:J493)</f>
        <v>4.5184660000000001</v>
      </c>
      <c r="K487" s="41"/>
      <c r="L487" s="40">
        <f>SUBTOTAL(9,L488:L493)</f>
        <v>0</v>
      </c>
      <c r="M487" s="326"/>
    </row>
    <row r="488" spans="1:13" ht="24">
      <c r="A488" s="387">
        <f>A485+1</f>
        <v>189</v>
      </c>
      <c r="B488" s="42" t="s">
        <v>64</v>
      </c>
      <c r="C488" s="43" t="s">
        <v>474</v>
      </c>
      <c r="D488" s="44" t="s">
        <v>492</v>
      </c>
      <c r="E488" s="45" t="s">
        <v>78</v>
      </c>
      <c r="F488" s="133">
        <f>podlahy!B5</f>
        <v>231</v>
      </c>
      <c r="G488" s="46"/>
      <c r="H488" s="47">
        <f>F488*G488</f>
        <v>0</v>
      </c>
      <c r="I488" s="48">
        <v>1.1089999999999999E-2</v>
      </c>
      <c r="J488" s="49">
        <f>F488*I488</f>
        <v>2.5617899999999998</v>
      </c>
      <c r="K488" s="48"/>
      <c r="L488" s="49">
        <f>F488*K488</f>
        <v>0</v>
      </c>
      <c r="M488" s="298" t="s">
        <v>803</v>
      </c>
    </row>
    <row r="489" spans="1:13">
      <c r="A489" s="387">
        <f t="shared" ref="A489:A492" si="234">A488+1</f>
        <v>190</v>
      </c>
      <c r="B489" s="42" t="s">
        <v>64</v>
      </c>
      <c r="C489" s="43" t="s">
        <v>475</v>
      </c>
      <c r="D489" s="44" t="s">
        <v>476</v>
      </c>
      <c r="E489" s="45" t="s">
        <v>78</v>
      </c>
      <c r="F489" s="133">
        <f>130</f>
        <v>130</v>
      </c>
      <c r="G489" s="46"/>
      <c r="H489" s="47">
        <f>F489*G489</f>
        <v>0</v>
      </c>
      <c r="I489" s="48">
        <v>1E-4</v>
      </c>
      <c r="J489" s="49">
        <f>F489*I489</f>
        <v>1.3000000000000001E-2</v>
      </c>
      <c r="K489" s="48"/>
      <c r="L489" s="49">
        <f>F489*K489</f>
        <v>0</v>
      </c>
      <c r="M489" s="298" t="s">
        <v>803</v>
      </c>
    </row>
    <row r="490" spans="1:13">
      <c r="A490" s="387">
        <f t="shared" si="234"/>
        <v>191</v>
      </c>
      <c r="B490" s="42" t="s">
        <v>219</v>
      </c>
      <c r="C490" s="43" t="s">
        <v>493</v>
      </c>
      <c r="D490" s="44" t="s">
        <v>799</v>
      </c>
      <c r="E490" s="45" t="s">
        <v>78</v>
      </c>
      <c r="F490" s="133">
        <f>130*1.08</f>
        <v>140.4</v>
      </c>
      <c r="G490" s="46"/>
      <c r="H490" s="47">
        <f>F490*G490</f>
        <v>0</v>
      </c>
      <c r="I490" s="48">
        <f>0.015*0.55</f>
        <v>8.2500000000000004E-3</v>
      </c>
      <c r="J490" s="49">
        <f>F490*I490</f>
        <v>1.1583000000000001</v>
      </c>
      <c r="K490" s="48"/>
      <c r="L490" s="49"/>
      <c r="M490" s="49"/>
    </row>
    <row r="491" spans="1:13">
      <c r="A491" s="387">
        <f t="shared" si="234"/>
        <v>192</v>
      </c>
      <c r="B491" s="42" t="s">
        <v>219</v>
      </c>
      <c r="C491" s="43" t="s">
        <v>797</v>
      </c>
      <c r="D491" s="44" t="s">
        <v>798</v>
      </c>
      <c r="E491" s="45" t="s">
        <v>78</v>
      </c>
      <c r="F491" s="133">
        <f>101*1.08</f>
        <v>109.08000000000001</v>
      </c>
      <c r="G491" s="46"/>
      <c r="H491" s="47">
        <f>F491*G491</f>
        <v>0</v>
      </c>
      <c r="I491" s="48">
        <v>7.1999999999999998E-3</v>
      </c>
      <c r="J491" s="49">
        <f>F491*I491</f>
        <v>0.78537600000000007</v>
      </c>
      <c r="K491" s="48"/>
      <c r="L491" s="49"/>
      <c r="M491" s="49"/>
    </row>
    <row r="492" spans="1:13" ht="24">
      <c r="A492" s="387">
        <f t="shared" si="234"/>
        <v>193</v>
      </c>
      <c r="B492" s="42" t="s">
        <v>64</v>
      </c>
      <c r="C492" s="43" t="s">
        <v>477</v>
      </c>
      <c r="D492" s="44" t="s">
        <v>478</v>
      </c>
      <c r="E492" s="45" t="s">
        <v>75</v>
      </c>
      <c r="F492" s="133">
        <f>J487</f>
        <v>4.5184660000000001</v>
      </c>
      <c r="G492" s="46"/>
      <c r="H492" s="47">
        <f>F492*G492</f>
        <v>0</v>
      </c>
      <c r="I492" s="48"/>
      <c r="J492" s="49">
        <v>0</v>
      </c>
      <c r="K492" s="48"/>
      <c r="L492" s="49">
        <f>F492*K492</f>
        <v>0</v>
      </c>
      <c r="M492" s="298" t="s">
        <v>803</v>
      </c>
    </row>
    <row r="493" spans="1:13" ht="16.5">
      <c r="A493" s="388"/>
      <c r="B493" s="50"/>
      <c r="C493" s="50"/>
      <c r="D493" s="51"/>
      <c r="E493" s="52"/>
      <c r="F493" s="53"/>
      <c r="G493" s="54"/>
      <c r="H493" s="55"/>
      <c r="I493" s="56"/>
      <c r="J493" s="57"/>
      <c r="K493" s="57"/>
      <c r="L493" s="57"/>
      <c r="M493" s="326"/>
    </row>
    <row r="494" spans="1:13" ht="16.149999999999999" customHeight="1">
      <c r="A494" s="388"/>
      <c r="B494" s="33"/>
      <c r="C494" s="34"/>
      <c r="D494" s="35" t="s">
        <v>479</v>
      </c>
      <c r="E494" s="36"/>
      <c r="F494" s="132"/>
      <c r="G494" s="37"/>
      <c r="H494" s="38">
        <f>SUBTOTAL(9,H495:H502)</f>
        <v>0</v>
      </c>
      <c r="I494" s="39"/>
      <c r="J494" s="40">
        <f>SUBTOTAL(9,J495:J502)</f>
        <v>1.3722179600000002</v>
      </c>
      <c r="K494" s="41"/>
      <c r="L494" s="40">
        <f>SUBTOTAL(9,L495:L502)</f>
        <v>0</v>
      </c>
      <c r="M494" s="326"/>
    </row>
    <row r="495" spans="1:13" ht="24">
      <c r="A495" s="387">
        <f>A492+1</f>
        <v>194</v>
      </c>
      <c r="B495" s="42" t="s">
        <v>64</v>
      </c>
      <c r="C495" s="43" t="s">
        <v>480</v>
      </c>
      <c r="D495" s="44" t="s">
        <v>481</v>
      </c>
      <c r="E495" s="45" t="s">
        <v>78</v>
      </c>
      <c r="F495" s="133">
        <v>75</v>
      </c>
      <c r="G495" s="46"/>
      <c r="H495" s="47">
        <f t="shared" ref="H495:H501" si="235">F495*G495</f>
        <v>0</v>
      </c>
      <c r="I495" s="48">
        <v>2.9499999999999999E-3</v>
      </c>
      <c r="J495" s="49">
        <f t="shared" ref="J495:J500" si="236">F495*I495</f>
        <v>0.22125</v>
      </c>
      <c r="K495" s="48"/>
      <c r="L495" s="49">
        <f t="shared" ref="L495:L501" si="237">F495*K495</f>
        <v>0</v>
      </c>
      <c r="M495" s="298" t="s">
        <v>803</v>
      </c>
    </row>
    <row r="496" spans="1:13">
      <c r="A496" s="387">
        <f t="shared" ref="A496:A501" si="238">A495+1</f>
        <v>195</v>
      </c>
      <c r="B496" s="42" t="s">
        <v>64</v>
      </c>
      <c r="C496" s="43" t="s">
        <v>482</v>
      </c>
      <c r="D496" s="44" t="s">
        <v>483</v>
      </c>
      <c r="E496" s="45" t="s">
        <v>83</v>
      </c>
      <c r="F496" s="133">
        <f>F495*0.6</f>
        <v>45</v>
      </c>
      <c r="G496" s="46"/>
      <c r="H496" s="47">
        <f t="shared" si="235"/>
        <v>0</v>
      </c>
      <c r="I496" s="48">
        <v>2.5999999999999998E-4</v>
      </c>
      <c r="J496" s="49">
        <f t="shared" si="236"/>
        <v>1.1699999999999999E-2</v>
      </c>
      <c r="K496" s="48"/>
      <c r="L496" s="49">
        <f t="shared" si="237"/>
        <v>0</v>
      </c>
      <c r="M496" s="298" t="s">
        <v>803</v>
      </c>
    </row>
    <row r="497" spans="1:13">
      <c r="A497" s="387">
        <f t="shared" si="238"/>
        <v>196</v>
      </c>
      <c r="B497" s="42" t="s">
        <v>64</v>
      </c>
      <c r="C497" s="43" t="s">
        <v>484</v>
      </c>
      <c r="D497" s="44" t="s">
        <v>485</v>
      </c>
      <c r="E497" s="45" t="s">
        <v>82</v>
      </c>
      <c r="F497" s="133">
        <v>6</v>
      </c>
      <c r="G497" s="46"/>
      <c r="H497" s="47">
        <f t="shared" si="235"/>
        <v>0</v>
      </c>
      <c r="I497" s="48"/>
      <c r="J497" s="49">
        <f t="shared" si="236"/>
        <v>0</v>
      </c>
      <c r="K497" s="48"/>
      <c r="L497" s="49">
        <f t="shared" si="237"/>
        <v>0</v>
      </c>
      <c r="M497" s="298" t="s">
        <v>803</v>
      </c>
    </row>
    <row r="498" spans="1:13">
      <c r="A498" s="387">
        <f t="shared" si="238"/>
        <v>197</v>
      </c>
      <c r="B498" s="42" t="s">
        <v>64</v>
      </c>
      <c r="C498" s="43" t="s">
        <v>486</v>
      </c>
      <c r="D498" s="44" t="s">
        <v>487</v>
      </c>
      <c r="E498" s="45" t="s">
        <v>82</v>
      </c>
      <c r="F498" s="133">
        <v>30</v>
      </c>
      <c r="G498" s="46"/>
      <c r="H498" s="47">
        <f t="shared" si="235"/>
        <v>0</v>
      </c>
      <c r="I498" s="48"/>
      <c r="J498" s="49">
        <f t="shared" si="236"/>
        <v>0</v>
      </c>
      <c r="K498" s="48"/>
      <c r="L498" s="49">
        <f t="shared" si="237"/>
        <v>0</v>
      </c>
      <c r="M498" s="298" t="s">
        <v>803</v>
      </c>
    </row>
    <row r="499" spans="1:13" ht="24">
      <c r="A499" s="387">
        <f t="shared" si="238"/>
        <v>198</v>
      </c>
      <c r="B499" s="42" t="s">
        <v>64</v>
      </c>
      <c r="C499" s="43" t="s">
        <v>488</v>
      </c>
      <c r="D499" s="44" t="s">
        <v>489</v>
      </c>
      <c r="E499" s="45" t="s">
        <v>83</v>
      </c>
      <c r="F499" s="126">
        <f>(0.74+0.53)*0.25</f>
        <v>0.3175</v>
      </c>
      <c r="G499" s="46"/>
      <c r="H499" s="47">
        <f t="shared" si="235"/>
        <v>0</v>
      </c>
      <c r="I499" s="48">
        <v>1.0399999999999999E-3</v>
      </c>
      <c r="J499" s="49">
        <f t="shared" si="236"/>
        <v>3.3019999999999995E-4</v>
      </c>
      <c r="K499" s="48"/>
      <c r="L499" s="49">
        <f t="shared" si="237"/>
        <v>0</v>
      </c>
      <c r="M499" s="298" t="s">
        <v>803</v>
      </c>
    </row>
    <row r="500" spans="1:13">
      <c r="A500" s="387">
        <f t="shared" si="238"/>
        <v>199</v>
      </c>
      <c r="B500" s="42" t="s">
        <v>219</v>
      </c>
      <c r="C500" s="43" t="s">
        <v>494</v>
      </c>
      <c r="D500" s="44" t="s">
        <v>495</v>
      </c>
      <c r="E500" s="45" t="s">
        <v>78</v>
      </c>
      <c r="F500" s="126">
        <f>F495*1.05+F499*1.08</f>
        <v>79.0929</v>
      </c>
      <c r="G500" s="46"/>
      <c r="H500" s="47">
        <f t="shared" si="235"/>
        <v>0</v>
      </c>
      <c r="I500" s="48">
        <f>0.008*1.8</f>
        <v>1.4400000000000001E-2</v>
      </c>
      <c r="J500" s="49">
        <f t="shared" si="236"/>
        <v>1.1389377600000001</v>
      </c>
      <c r="K500" s="48"/>
      <c r="L500" s="49">
        <f t="shared" si="237"/>
        <v>0</v>
      </c>
      <c r="M500" s="49"/>
    </row>
    <row r="501" spans="1:13" ht="24">
      <c r="A501" s="387">
        <f t="shared" si="238"/>
        <v>200</v>
      </c>
      <c r="B501" s="42" t="s">
        <v>64</v>
      </c>
      <c r="C501" s="43" t="s">
        <v>490</v>
      </c>
      <c r="D501" s="44" t="s">
        <v>491</v>
      </c>
      <c r="E501" s="45" t="s">
        <v>75</v>
      </c>
      <c r="F501" s="133">
        <f>J494</f>
        <v>1.3722179600000002</v>
      </c>
      <c r="G501" s="46"/>
      <c r="H501" s="47">
        <f t="shared" si="235"/>
        <v>0</v>
      </c>
      <c r="I501" s="48"/>
      <c r="J501" s="49">
        <v>0</v>
      </c>
      <c r="K501" s="48"/>
      <c r="L501" s="49">
        <f t="shared" si="237"/>
        <v>0</v>
      </c>
      <c r="M501" s="298" t="s">
        <v>803</v>
      </c>
    </row>
    <row r="502" spans="1:13" ht="16.5">
      <c r="A502" s="388"/>
      <c r="M502" s="326"/>
    </row>
    <row r="503" spans="1:13" ht="16.5">
      <c r="A503" s="395"/>
      <c r="B503" s="33"/>
      <c r="C503" s="34"/>
      <c r="D503" s="35" t="s">
        <v>503</v>
      </c>
      <c r="E503" s="36"/>
      <c r="F503" s="138"/>
      <c r="G503" s="37"/>
      <c r="H503" s="38">
        <f>SUBTOTAL(9,H504:H512)</f>
        <v>0</v>
      </c>
      <c r="I503" s="39"/>
      <c r="J503" s="40">
        <f>SUBTOTAL(9,J504:J512)</f>
        <v>0.15326000000000001</v>
      </c>
      <c r="K503" s="41"/>
      <c r="L503" s="40">
        <f>SUBTOTAL(9,L504:L512)</f>
        <v>0</v>
      </c>
      <c r="M503" s="326"/>
    </row>
    <row r="504" spans="1:13">
      <c r="A504" s="387">
        <f>A501+1</f>
        <v>201</v>
      </c>
      <c r="B504" s="45" t="s">
        <v>64</v>
      </c>
      <c r="C504" s="43" t="s">
        <v>607</v>
      </c>
      <c r="D504" s="44" t="s">
        <v>608</v>
      </c>
      <c r="E504" s="45" t="s">
        <v>78</v>
      </c>
      <c r="F504" s="133">
        <v>128</v>
      </c>
      <c r="G504" s="46"/>
      <c r="H504" s="47">
        <f t="shared" ref="H504:H511" si="239">F504*G504</f>
        <v>0</v>
      </c>
      <c r="I504" s="48">
        <v>3.3E-4</v>
      </c>
      <c r="J504" s="128">
        <f t="shared" ref="J504:J510" si="240">F504*I504</f>
        <v>4.224E-2</v>
      </c>
      <c r="K504" s="302"/>
      <c r="L504" s="128">
        <f t="shared" ref="L504:L510" si="241">K504*F504</f>
        <v>0</v>
      </c>
      <c r="M504" s="298" t="s">
        <v>803</v>
      </c>
    </row>
    <row r="505" spans="1:13">
      <c r="A505" s="387">
        <f t="shared" ref="A505:A511" si="242">A504+1</f>
        <v>202</v>
      </c>
      <c r="B505" s="45" t="s">
        <v>64</v>
      </c>
      <c r="C505" s="43" t="s">
        <v>609</v>
      </c>
      <c r="D505" s="44" t="s">
        <v>610</v>
      </c>
      <c r="E505" s="45" t="s">
        <v>78</v>
      </c>
      <c r="F505" s="133">
        <v>136</v>
      </c>
      <c r="G505" s="46"/>
      <c r="H505" s="47">
        <f t="shared" si="239"/>
        <v>0</v>
      </c>
      <c r="I505" s="48">
        <v>1.2999999999999999E-4</v>
      </c>
      <c r="J505" s="128">
        <f t="shared" si="240"/>
        <v>1.7679999999999998E-2</v>
      </c>
      <c r="K505" s="302"/>
      <c r="L505" s="128">
        <f t="shared" si="241"/>
        <v>0</v>
      </c>
      <c r="M505" s="298" t="s">
        <v>803</v>
      </c>
    </row>
    <row r="506" spans="1:13" ht="24">
      <c r="A506" s="387">
        <f t="shared" si="242"/>
        <v>203</v>
      </c>
      <c r="B506" s="45" t="s">
        <v>64</v>
      </c>
      <c r="C506" s="43" t="s">
        <v>611</v>
      </c>
      <c r="D506" s="44" t="s">
        <v>612</v>
      </c>
      <c r="E506" s="45" t="s">
        <v>78</v>
      </c>
      <c r="F506" s="133">
        <f>F505</f>
        <v>136</v>
      </c>
      <c r="G506" s="46"/>
      <c r="H506" s="47">
        <f t="shared" si="239"/>
        <v>0</v>
      </c>
      <c r="I506" s="48">
        <v>1.6000000000000001E-4</v>
      </c>
      <c r="J506" s="128">
        <f t="shared" si="240"/>
        <v>2.1760000000000002E-2</v>
      </c>
      <c r="K506" s="302"/>
      <c r="L506" s="128">
        <f t="shared" si="241"/>
        <v>0</v>
      </c>
      <c r="M506" s="298" t="s">
        <v>803</v>
      </c>
    </row>
    <row r="507" spans="1:13" ht="24">
      <c r="A507" s="387">
        <f t="shared" si="242"/>
        <v>204</v>
      </c>
      <c r="B507" s="45" t="s">
        <v>64</v>
      </c>
      <c r="C507" s="43" t="s">
        <v>613</v>
      </c>
      <c r="D507" s="44" t="s">
        <v>614</v>
      </c>
      <c r="E507" s="45" t="s">
        <v>78</v>
      </c>
      <c r="F507" s="133">
        <f>195</f>
        <v>195</v>
      </c>
      <c r="G507" s="46"/>
      <c r="H507" s="47">
        <f t="shared" si="239"/>
        <v>0</v>
      </c>
      <c r="I507" s="48">
        <v>1.7000000000000001E-4</v>
      </c>
      <c r="J507" s="128">
        <f t="shared" si="240"/>
        <v>3.3149999999999999E-2</v>
      </c>
      <c r="K507" s="302"/>
      <c r="L507" s="128">
        <f t="shared" si="241"/>
        <v>0</v>
      </c>
      <c r="M507" s="298" t="s">
        <v>803</v>
      </c>
    </row>
    <row r="508" spans="1:13">
      <c r="A508" s="387">
        <f t="shared" si="242"/>
        <v>205</v>
      </c>
      <c r="B508" s="45" t="s">
        <v>64</v>
      </c>
      <c r="C508" s="43" t="s">
        <v>615</v>
      </c>
      <c r="D508" s="44" t="s">
        <v>616</v>
      </c>
      <c r="E508" s="45" t="s">
        <v>78</v>
      </c>
      <c r="F508" s="133">
        <f>F507</f>
        <v>195</v>
      </c>
      <c r="G508" s="46"/>
      <c r="H508" s="47">
        <f t="shared" si="239"/>
        <v>0</v>
      </c>
      <c r="I508" s="48">
        <v>1.7000000000000001E-4</v>
      </c>
      <c r="J508" s="128">
        <f t="shared" si="240"/>
        <v>3.3149999999999999E-2</v>
      </c>
      <c r="K508" s="302"/>
      <c r="L508" s="128">
        <f t="shared" si="241"/>
        <v>0</v>
      </c>
      <c r="M508" s="298" t="s">
        <v>803</v>
      </c>
    </row>
    <row r="509" spans="1:13">
      <c r="A509" s="387">
        <f t="shared" si="242"/>
        <v>206</v>
      </c>
      <c r="B509" s="45" t="s">
        <v>64</v>
      </c>
      <c r="C509" s="43" t="s">
        <v>617</v>
      </c>
      <c r="D509" s="44" t="s">
        <v>618</v>
      </c>
      <c r="E509" s="45" t="s">
        <v>78</v>
      </c>
      <c r="F509" s="133">
        <f>F504+F505</f>
        <v>264</v>
      </c>
      <c r="G509" s="46"/>
      <c r="H509" s="47">
        <f t="shared" si="239"/>
        <v>0</v>
      </c>
      <c r="I509" s="48">
        <v>2.0000000000000002E-5</v>
      </c>
      <c r="J509" s="128">
        <f t="shared" si="240"/>
        <v>5.2800000000000008E-3</v>
      </c>
      <c r="K509" s="302"/>
      <c r="L509" s="128">
        <f t="shared" si="241"/>
        <v>0</v>
      </c>
      <c r="M509" s="298" t="s">
        <v>803</v>
      </c>
    </row>
    <row r="510" spans="1:13">
      <c r="A510" s="387">
        <f t="shared" si="242"/>
        <v>207</v>
      </c>
      <c r="B510" s="45" t="s">
        <v>64</v>
      </c>
      <c r="C510" s="43" t="s">
        <v>619</v>
      </c>
      <c r="D510" s="44" t="s">
        <v>620</v>
      </c>
      <c r="E510" s="45" t="s">
        <v>78</v>
      </c>
      <c r="F510" s="133">
        <f>F509</f>
        <v>264</v>
      </c>
      <c r="G510" s="46"/>
      <c r="H510" s="47">
        <f t="shared" si="239"/>
        <v>0</v>
      </c>
      <c r="I510" s="302"/>
      <c r="J510" s="128">
        <f t="shared" si="240"/>
        <v>0</v>
      </c>
      <c r="K510" s="302"/>
      <c r="L510" s="128">
        <f t="shared" si="241"/>
        <v>0</v>
      </c>
      <c r="M510" s="298" t="s">
        <v>803</v>
      </c>
    </row>
    <row r="511" spans="1:13" ht="24">
      <c r="A511" s="387">
        <f t="shared" si="242"/>
        <v>208</v>
      </c>
      <c r="B511" s="42" t="s">
        <v>64</v>
      </c>
      <c r="C511" s="43" t="s">
        <v>563</v>
      </c>
      <c r="D511" s="44" t="s">
        <v>564</v>
      </c>
      <c r="E511" s="45" t="s">
        <v>78</v>
      </c>
      <c r="F511" s="136">
        <f>182.5+61.5</f>
        <v>244</v>
      </c>
      <c r="G511" s="46"/>
      <c r="H511" s="47">
        <f t="shared" si="239"/>
        <v>0</v>
      </c>
      <c r="I511" s="48"/>
      <c r="J511" s="49"/>
      <c r="K511" s="48"/>
      <c r="L511" s="49"/>
      <c r="M511" s="298" t="s">
        <v>803</v>
      </c>
    </row>
    <row r="512" spans="1:13" ht="16.5">
      <c r="A512" s="396"/>
      <c r="D512" s="338"/>
      <c r="E512" s="338"/>
      <c r="F512" s="339"/>
      <c r="G512" s="340"/>
      <c r="I512" s="326"/>
      <c r="J512" s="326"/>
      <c r="K512" s="326"/>
      <c r="L512" s="326"/>
      <c r="M512" s="326"/>
    </row>
    <row r="513" spans="1:13" ht="16.5">
      <c r="A513" s="396"/>
      <c r="B513" s="341"/>
      <c r="C513" s="342"/>
      <c r="D513" s="343" t="s">
        <v>504</v>
      </c>
      <c r="E513" s="344"/>
      <c r="F513" s="138"/>
      <c r="G513" s="345"/>
      <c r="H513" s="346">
        <f>SUBTOTAL(9,H514:H517)</f>
        <v>0</v>
      </c>
      <c r="I513" s="347"/>
      <c r="J513" s="348">
        <f>SUBTOTAL(9,J514:J517)</f>
        <v>0.26386799999999999</v>
      </c>
      <c r="K513" s="349"/>
      <c r="L513" s="350">
        <f>SUBTOTAL(9,L514:L517)</f>
        <v>0</v>
      </c>
      <c r="M513" s="326"/>
    </row>
    <row r="514" spans="1:13" ht="24">
      <c r="A514" s="393">
        <f>A511+1</f>
        <v>209</v>
      </c>
      <c r="B514" s="351" t="s">
        <v>64</v>
      </c>
      <c r="C514" s="43" t="s">
        <v>561</v>
      </c>
      <c r="D514" s="44" t="s">
        <v>562</v>
      </c>
      <c r="E514" s="45" t="s">
        <v>78</v>
      </c>
      <c r="F514" s="136">
        <f>F92+F94+F95+F98+F350*2+F351*2+F352*2+F353/2+F354*2+F355*2+F356+F357+F358+F359+2.8</f>
        <v>799.6</v>
      </c>
      <c r="G514" s="46"/>
      <c r="H514" s="352">
        <f>F514*G514</f>
        <v>0</v>
      </c>
      <c r="I514" s="353">
        <v>3.3E-4</v>
      </c>
      <c r="J514" s="354">
        <f>F514*I514</f>
        <v>0.26386799999999999</v>
      </c>
      <c r="K514" s="355"/>
      <c r="L514" s="356">
        <f>F514*K514</f>
        <v>0</v>
      </c>
      <c r="M514" s="298" t="s">
        <v>803</v>
      </c>
    </row>
    <row r="515" spans="1:13" ht="16.5">
      <c r="A515" s="388"/>
    </row>
    <row r="516" spans="1:13" ht="16.5">
      <c r="A516" s="388"/>
    </row>
    <row r="517" spans="1:13" ht="16.5">
      <c r="A517" s="388"/>
    </row>
    <row r="518" spans="1:13" ht="16.5">
      <c r="A518" s="388"/>
    </row>
    <row r="519" spans="1:13" ht="16.5">
      <c r="A519" s="388"/>
    </row>
    <row r="520" spans="1:13" ht="16.5">
      <c r="A520" s="388"/>
    </row>
    <row r="521" spans="1:13" ht="16.5">
      <c r="A521" s="388"/>
    </row>
    <row r="522" spans="1:13" ht="16.5">
      <c r="A522" s="388"/>
    </row>
    <row r="523" spans="1:13">
      <c r="A523" s="385"/>
    </row>
    <row r="524" spans="1:13">
      <c r="A524" s="385"/>
    </row>
    <row r="525" spans="1:13">
      <c r="A525" s="385"/>
    </row>
    <row r="526" spans="1:13">
      <c r="A526" s="385"/>
    </row>
    <row r="527" spans="1:13">
      <c r="A527" s="385"/>
    </row>
    <row r="528" spans="1:13">
      <c r="A528" s="385"/>
    </row>
    <row r="529" spans="1:1">
      <c r="A529" s="385"/>
    </row>
    <row r="530" spans="1:1">
      <c r="A530" s="385"/>
    </row>
    <row r="531" spans="1:1">
      <c r="A531" s="385"/>
    </row>
  </sheetData>
  <pageMargins left="0.39370078740157483" right="0.27559055118110237" top="0.27559055118110237" bottom="0.6692913385826772" header="0.23622047244094491" footer="0.31496062992125984"/>
  <pageSetup paperSize="9" orientation="landscape" r:id="rId1"/>
  <headerFooter>
    <oddFooter>&amp;C&amp;"-,Tučná kurzíva"&amp;9&amp;P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K70"/>
  <sheetViews>
    <sheetView showGridLines="0" topLeftCell="A175" zoomScaleNormal="100" workbookViewId="0">
      <selection activeCell="J201" sqref="J201"/>
    </sheetView>
  </sheetViews>
  <sheetFormatPr defaultColWidth="8.140625" defaultRowHeight="12" customHeight="1"/>
  <cols>
    <col min="1" max="1" width="5" style="177" customWidth="1"/>
    <col min="2" max="2" width="6" style="178" customWidth="1"/>
    <col min="3" max="3" width="12" style="179" customWidth="1"/>
    <col min="4" max="4" width="46.28515625" style="179" customWidth="1"/>
    <col min="5" max="5" width="4" style="178" customWidth="1"/>
    <col min="6" max="6" width="8.7109375" style="180" customWidth="1"/>
    <col min="7" max="7" width="10.28515625" style="181" customWidth="1"/>
    <col min="8" max="8" width="13.28515625" style="182" customWidth="1"/>
    <col min="9" max="9" width="12.42578125" style="182" customWidth="1"/>
    <col min="10" max="10" width="14" style="182" customWidth="1"/>
    <col min="11" max="11" width="10.7109375" style="183" customWidth="1"/>
    <col min="12" max="256" width="8.140625" style="184"/>
    <col min="257" max="257" width="5" style="184" customWidth="1"/>
    <col min="258" max="258" width="6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3.28515625" style="184" customWidth="1"/>
    <col min="265" max="265" width="12.42578125" style="184" customWidth="1"/>
    <col min="266" max="266" width="14" style="184" customWidth="1"/>
    <col min="267" max="267" width="10.7109375" style="184" customWidth="1"/>
    <col min="268" max="512" width="8.140625" style="184"/>
    <col min="513" max="513" width="5" style="184" customWidth="1"/>
    <col min="514" max="514" width="6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3.28515625" style="184" customWidth="1"/>
    <col min="521" max="521" width="12.42578125" style="184" customWidth="1"/>
    <col min="522" max="522" width="14" style="184" customWidth="1"/>
    <col min="523" max="523" width="10.7109375" style="184" customWidth="1"/>
    <col min="524" max="768" width="8.140625" style="184"/>
    <col min="769" max="769" width="5" style="184" customWidth="1"/>
    <col min="770" max="770" width="6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3.28515625" style="184" customWidth="1"/>
    <col min="777" max="777" width="12.42578125" style="184" customWidth="1"/>
    <col min="778" max="778" width="14" style="184" customWidth="1"/>
    <col min="779" max="779" width="10.7109375" style="184" customWidth="1"/>
    <col min="780" max="1024" width="8.140625" style="184"/>
    <col min="1025" max="1025" width="5" style="184" customWidth="1"/>
    <col min="1026" max="1026" width="6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3.28515625" style="184" customWidth="1"/>
    <col min="1033" max="1033" width="12.42578125" style="184" customWidth="1"/>
    <col min="1034" max="1034" width="14" style="184" customWidth="1"/>
    <col min="1035" max="1035" width="10.7109375" style="184" customWidth="1"/>
    <col min="1036" max="1280" width="8.140625" style="184"/>
    <col min="1281" max="1281" width="5" style="184" customWidth="1"/>
    <col min="1282" max="1282" width="6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3.28515625" style="184" customWidth="1"/>
    <col min="1289" max="1289" width="12.42578125" style="184" customWidth="1"/>
    <col min="1290" max="1290" width="14" style="184" customWidth="1"/>
    <col min="1291" max="1291" width="10.7109375" style="184" customWidth="1"/>
    <col min="1292" max="1536" width="8.140625" style="184"/>
    <col min="1537" max="1537" width="5" style="184" customWidth="1"/>
    <col min="1538" max="1538" width="6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3.28515625" style="184" customWidth="1"/>
    <col min="1545" max="1545" width="12.42578125" style="184" customWidth="1"/>
    <col min="1546" max="1546" width="14" style="184" customWidth="1"/>
    <col min="1547" max="1547" width="10.7109375" style="184" customWidth="1"/>
    <col min="1548" max="1792" width="8.140625" style="184"/>
    <col min="1793" max="1793" width="5" style="184" customWidth="1"/>
    <col min="1794" max="1794" width="6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3.28515625" style="184" customWidth="1"/>
    <col min="1801" max="1801" width="12.42578125" style="184" customWidth="1"/>
    <col min="1802" max="1802" width="14" style="184" customWidth="1"/>
    <col min="1803" max="1803" width="10.7109375" style="184" customWidth="1"/>
    <col min="1804" max="2048" width="8.140625" style="184"/>
    <col min="2049" max="2049" width="5" style="184" customWidth="1"/>
    <col min="2050" max="2050" width="6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3.28515625" style="184" customWidth="1"/>
    <col min="2057" max="2057" width="12.42578125" style="184" customWidth="1"/>
    <col min="2058" max="2058" width="14" style="184" customWidth="1"/>
    <col min="2059" max="2059" width="10.7109375" style="184" customWidth="1"/>
    <col min="2060" max="2304" width="8.140625" style="184"/>
    <col min="2305" max="2305" width="5" style="184" customWidth="1"/>
    <col min="2306" max="2306" width="6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3.28515625" style="184" customWidth="1"/>
    <col min="2313" max="2313" width="12.42578125" style="184" customWidth="1"/>
    <col min="2314" max="2314" width="14" style="184" customWidth="1"/>
    <col min="2315" max="2315" width="10.7109375" style="184" customWidth="1"/>
    <col min="2316" max="2560" width="8.140625" style="184"/>
    <col min="2561" max="2561" width="5" style="184" customWidth="1"/>
    <col min="2562" max="2562" width="6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3.28515625" style="184" customWidth="1"/>
    <col min="2569" max="2569" width="12.42578125" style="184" customWidth="1"/>
    <col min="2570" max="2570" width="14" style="184" customWidth="1"/>
    <col min="2571" max="2571" width="10.7109375" style="184" customWidth="1"/>
    <col min="2572" max="2816" width="8.140625" style="184"/>
    <col min="2817" max="2817" width="5" style="184" customWidth="1"/>
    <col min="2818" max="2818" width="6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3.28515625" style="184" customWidth="1"/>
    <col min="2825" max="2825" width="12.42578125" style="184" customWidth="1"/>
    <col min="2826" max="2826" width="14" style="184" customWidth="1"/>
    <col min="2827" max="2827" width="10.7109375" style="184" customWidth="1"/>
    <col min="2828" max="3072" width="8.140625" style="184"/>
    <col min="3073" max="3073" width="5" style="184" customWidth="1"/>
    <col min="3074" max="3074" width="6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3.28515625" style="184" customWidth="1"/>
    <col min="3081" max="3081" width="12.42578125" style="184" customWidth="1"/>
    <col min="3082" max="3082" width="14" style="184" customWidth="1"/>
    <col min="3083" max="3083" width="10.7109375" style="184" customWidth="1"/>
    <col min="3084" max="3328" width="8.140625" style="184"/>
    <col min="3329" max="3329" width="5" style="184" customWidth="1"/>
    <col min="3330" max="3330" width="6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3.28515625" style="184" customWidth="1"/>
    <col min="3337" max="3337" width="12.42578125" style="184" customWidth="1"/>
    <col min="3338" max="3338" width="14" style="184" customWidth="1"/>
    <col min="3339" max="3339" width="10.7109375" style="184" customWidth="1"/>
    <col min="3340" max="3584" width="8.140625" style="184"/>
    <col min="3585" max="3585" width="5" style="184" customWidth="1"/>
    <col min="3586" max="3586" width="6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3.28515625" style="184" customWidth="1"/>
    <col min="3593" max="3593" width="12.42578125" style="184" customWidth="1"/>
    <col min="3594" max="3594" width="14" style="184" customWidth="1"/>
    <col min="3595" max="3595" width="10.7109375" style="184" customWidth="1"/>
    <col min="3596" max="3840" width="8.140625" style="184"/>
    <col min="3841" max="3841" width="5" style="184" customWidth="1"/>
    <col min="3842" max="3842" width="6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3.28515625" style="184" customWidth="1"/>
    <col min="3849" max="3849" width="12.42578125" style="184" customWidth="1"/>
    <col min="3850" max="3850" width="14" style="184" customWidth="1"/>
    <col min="3851" max="3851" width="10.7109375" style="184" customWidth="1"/>
    <col min="3852" max="4096" width="8.140625" style="184"/>
    <col min="4097" max="4097" width="5" style="184" customWidth="1"/>
    <col min="4098" max="4098" width="6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3.28515625" style="184" customWidth="1"/>
    <col min="4105" max="4105" width="12.42578125" style="184" customWidth="1"/>
    <col min="4106" max="4106" width="14" style="184" customWidth="1"/>
    <col min="4107" max="4107" width="10.7109375" style="184" customWidth="1"/>
    <col min="4108" max="4352" width="8.140625" style="184"/>
    <col min="4353" max="4353" width="5" style="184" customWidth="1"/>
    <col min="4354" max="4354" width="6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3.28515625" style="184" customWidth="1"/>
    <col min="4361" max="4361" width="12.42578125" style="184" customWidth="1"/>
    <col min="4362" max="4362" width="14" style="184" customWidth="1"/>
    <col min="4363" max="4363" width="10.7109375" style="184" customWidth="1"/>
    <col min="4364" max="4608" width="8.140625" style="184"/>
    <col min="4609" max="4609" width="5" style="184" customWidth="1"/>
    <col min="4610" max="4610" width="6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3.28515625" style="184" customWidth="1"/>
    <col min="4617" max="4617" width="12.42578125" style="184" customWidth="1"/>
    <col min="4618" max="4618" width="14" style="184" customWidth="1"/>
    <col min="4619" max="4619" width="10.7109375" style="184" customWidth="1"/>
    <col min="4620" max="4864" width="8.140625" style="184"/>
    <col min="4865" max="4865" width="5" style="184" customWidth="1"/>
    <col min="4866" max="4866" width="6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3.28515625" style="184" customWidth="1"/>
    <col min="4873" max="4873" width="12.42578125" style="184" customWidth="1"/>
    <col min="4874" max="4874" width="14" style="184" customWidth="1"/>
    <col min="4875" max="4875" width="10.7109375" style="184" customWidth="1"/>
    <col min="4876" max="5120" width="8.140625" style="184"/>
    <col min="5121" max="5121" width="5" style="184" customWidth="1"/>
    <col min="5122" max="5122" width="6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3.28515625" style="184" customWidth="1"/>
    <col min="5129" max="5129" width="12.42578125" style="184" customWidth="1"/>
    <col min="5130" max="5130" width="14" style="184" customWidth="1"/>
    <col min="5131" max="5131" width="10.7109375" style="184" customWidth="1"/>
    <col min="5132" max="5376" width="8.140625" style="184"/>
    <col min="5377" max="5377" width="5" style="184" customWidth="1"/>
    <col min="5378" max="5378" width="6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3.28515625" style="184" customWidth="1"/>
    <col min="5385" max="5385" width="12.42578125" style="184" customWidth="1"/>
    <col min="5386" max="5386" width="14" style="184" customWidth="1"/>
    <col min="5387" max="5387" width="10.7109375" style="184" customWidth="1"/>
    <col min="5388" max="5632" width="8.140625" style="184"/>
    <col min="5633" max="5633" width="5" style="184" customWidth="1"/>
    <col min="5634" max="5634" width="6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3.28515625" style="184" customWidth="1"/>
    <col min="5641" max="5641" width="12.42578125" style="184" customWidth="1"/>
    <col min="5642" max="5642" width="14" style="184" customWidth="1"/>
    <col min="5643" max="5643" width="10.7109375" style="184" customWidth="1"/>
    <col min="5644" max="5888" width="8.140625" style="184"/>
    <col min="5889" max="5889" width="5" style="184" customWidth="1"/>
    <col min="5890" max="5890" width="6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3.28515625" style="184" customWidth="1"/>
    <col min="5897" max="5897" width="12.42578125" style="184" customWidth="1"/>
    <col min="5898" max="5898" width="14" style="184" customWidth="1"/>
    <col min="5899" max="5899" width="10.7109375" style="184" customWidth="1"/>
    <col min="5900" max="6144" width="8.140625" style="184"/>
    <col min="6145" max="6145" width="5" style="184" customWidth="1"/>
    <col min="6146" max="6146" width="6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3.28515625" style="184" customWidth="1"/>
    <col min="6153" max="6153" width="12.42578125" style="184" customWidth="1"/>
    <col min="6154" max="6154" width="14" style="184" customWidth="1"/>
    <col min="6155" max="6155" width="10.7109375" style="184" customWidth="1"/>
    <col min="6156" max="6400" width="8.140625" style="184"/>
    <col min="6401" max="6401" width="5" style="184" customWidth="1"/>
    <col min="6402" max="6402" width="6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3.28515625" style="184" customWidth="1"/>
    <col min="6409" max="6409" width="12.42578125" style="184" customWidth="1"/>
    <col min="6410" max="6410" width="14" style="184" customWidth="1"/>
    <col min="6411" max="6411" width="10.7109375" style="184" customWidth="1"/>
    <col min="6412" max="6656" width="8.140625" style="184"/>
    <col min="6657" max="6657" width="5" style="184" customWidth="1"/>
    <col min="6658" max="6658" width="6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3.28515625" style="184" customWidth="1"/>
    <col min="6665" max="6665" width="12.42578125" style="184" customWidth="1"/>
    <col min="6666" max="6666" width="14" style="184" customWidth="1"/>
    <col min="6667" max="6667" width="10.7109375" style="184" customWidth="1"/>
    <col min="6668" max="6912" width="8.140625" style="184"/>
    <col min="6913" max="6913" width="5" style="184" customWidth="1"/>
    <col min="6914" max="6914" width="6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3.28515625" style="184" customWidth="1"/>
    <col min="6921" max="6921" width="12.42578125" style="184" customWidth="1"/>
    <col min="6922" max="6922" width="14" style="184" customWidth="1"/>
    <col min="6923" max="6923" width="10.7109375" style="184" customWidth="1"/>
    <col min="6924" max="7168" width="8.140625" style="184"/>
    <col min="7169" max="7169" width="5" style="184" customWidth="1"/>
    <col min="7170" max="7170" width="6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3.28515625" style="184" customWidth="1"/>
    <col min="7177" max="7177" width="12.42578125" style="184" customWidth="1"/>
    <col min="7178" max="7178" width="14" style="184" customWidth="1"/>
    <col min="7179" max="7179" width="10.7109375" style="184" customWidth="1"/>
    <col min="7180" max="7424" width="8.140625" style="184"/>
    <col min="7425" max="7425" width="5" style="184" customWidth="1"/>
    <col min="7426" max="7426" width="6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3.28515625" style="184" customWidth="1"/>
    <col min="7433" max="7433" width="12.42578125" style="184" customWidth="1"/>
    <col min="7434" max="7434" width="14" style="184" customWidth="1"/>
    <col min="7435" max="7435" width="10.7109375" style="184" customWidth="1"/>
    <col min="7436" max="7680" width="8.140625" style="184"/>
    <col min="7681" max="7681" width="5" style="184" customWidth="1"/>
    <col min="7682" max="7682" width="6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3.28515625" style="184" customWidth="1"/>
    <col min="7689" max="7689" width="12.42578125" style="184" customWidth="1"/>
    <col min="7690" max="7690" width="14" style="184" customWidth="1"/>
    <col min="7691" max="7691" width="10.7109375" style="184" customWidth="1"/>
    <col min="7692" max="7936" width="8.140625" style="184"/>
    <col min="7937" max="7937" width="5" style="184" customWidth="1"/>
    <col min="7938" max="7938" width="6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3.28515625" style="184" customWidth="1"/>
    <col min="7945" max="7945" width="12.42578125" style="184" customWidth="1"/>
    <col min="7946" max="7946" width="14" style="184" customWidth="1"/>
    <col min="7947" max="7947" width="10.7109375" style="184" customWidth="1"/>
    <col min="7948" max="8192" width="8.140625" style="184"/>
    <col min="8193" max="8193" width="5" style="184" customWidth="1"/>
    <col min="8194" max="8194" width="6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3.28515625" style="184" customWidth="1"/>
    <col min="8201" max="8201" width="12.42578125" style="184" customWidth="1"/>
    <col min="8202" max="8202" width="14" style="184" customWidth="1"/>
    <col min="8203" max="8203" width="10.7109375" style="184" customWidth="1"/>
    <col min="8204" max="8448" width="8.140625" style="184"/>
    <col min="8449" max="8449" width="5" style="184" customWidth="1"/>
    <col min="8450" max="8450" width="6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3.28515625" style="184" customWidth="1"/>
    <col min="8457" max="8457" width="12.42578125" style="184" customWidth="1"/>
    <col min="8458" max="8458" width="14" style="184" customWidth="1"/>
    <col min="8459" max="8459" width="10.7109375" style="184" customWidth="1"/>
    <col min="8460" max="8704" width="8.140625" style="184"/>
    <col min="8705" max="8705" width="5" style="184" customWidth="1"/>
    <col min="8706" max="8706" width="6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3.28515625" style="184" customWidth="1"/>
    <col min="8713" max="8713" width="12.42578125" style="184" customWidth="1"/>
    <col min="8714" max="8714" width="14" style="184" customWidth="1"/>
    <col min="8715" max="8715" width="10.7109375" style="184" customWidth="1"/>
    <col min="8716" max="8960" width="8.140625" style="184"/>
    <col min="8961" max="8961" width="5" style="184" customWidth="1"/>
    <col min="8962" max="8962" width="6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3.28515625" style="184" customWidth="1"/>
    <col min="8969" max="8969" width="12.42578125" style="184" customWidth="1"/>
    <col min="8970" max="8970" width="14" style="184" customWidth="1"/>
    <col min="8971" max="8971" width="10.7109375" style="184" customWidth="1"/>
    <col min="8972" max="9216" width="8.140625" style="184"/>
    <col min="9217" max="9217" width="5" style="184" customWidth="1"/>
    <col min="9218" max="9218" width="6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3.28515625" style="184" customWidth="1"/>
    <col min="9225" max="9225" width="12.42578125" style="184" customWidth="1"/>
    <col min="9226" max="9226" width="14" style="184" customWidth="1"/>
    <col min="9227" max="9227" width="10.7109375" style="184" customWidth="1"/>
    <col min="9228" max="9472" width="8.140625" style="184"/>
    <col min="9473" max="9473" width="5" style="184" customWidth="1"/>
    <col min="9474" max="9474" width="6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3.28515625" style="184" customWidth="1"/>
    <col min="9481" max="9481" width="12.42578125" style="184" customWidth="1"/>
    <col min="9482" max="9482" width="14" style="184" customWidth="1"/>
    <col min="9483" max="9483" width="10.7109375" style="184" customWidth="1"/>
    <col min="9484" max="9728" width="8.140625" style="184"/>
    <col min="9729" max="9729" width="5" style="184" customWidth="1"/>
    <col min="9730" max="9730" width="6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3.28515625" style="184" customWidth="1"/>
    <col min="9737" max="9737" width="12.42578125" style="184" customWidth="1"/>
    <col min="9738" max="9738" width="14" style="184" customWidth="1"/>
    <col min="9739" max="9739" width="10.7109375" style="184" customWidth="1"/>
    <col min="9740" max="9984" width="8.140625" style="184"/>
    <col min="9985" max="9985" width="5" style="184" customWidth="1"/>
    <col min="9986" max="9986" width="6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3.28515625" style="184" customWidth="1"/>
    <col min="9993" max="9993" width="12.42578125" style="184" customWidth="1"/>
    <col min="9994" max="9994" width="14" style="184" customWidth="1"/>
    <col min="9995" max="9995" width="10.7109375" style="184" customWidth="1"/>
    <col min="9996" max="10240" width="8.140625" style="184"/>
    <col min="10241" max="10241" width="5" style="184" customWidth="1"/>
    <col min="10242" max="10242" width="6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3.28515625" style="184" customWidth="1"/>
    <col min="10249" max="10249" width="12.42578125" style="184" customWidth="1"/>
    <col min="10250" max="10250" width="14" style="184" customWidth="1"/>
    <col min="10251" max="10251" width="10.7109375" style="184" customWidth="1"/>
    <col min="10252" max="10496" width="8.140625" style="184"/>
    <col min="10497" max="10497" width="5" style="184" customWidth="1"/>
    <col min="10498" max="10498" width="6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3.28515625" style="184" customWidth="1"/>
    <col min="10505" max="10505" width="12.42578125" style="184" customWidth="1"/>
    <col min="10506" max="10506" width="14" style="184" customWidth="1"/>
    <col min="10507" max="10507" width="10.7109375" style="184" customWidth="1"/>
    <col min="10508" max="10752" width="8.140625" style="184"/>
    <col min="10753" max="10753" width="5" style="184" customWidth="1"/>
    <col min="10754" max="10754" width="6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3.28515625" style="184" customWidth="1"/>
    <col min="10761" max="10761" width="12.42578125" style="184" customWidth="1"/>
    <col min="10762" max="10762" width="14" style="184" customWidth="1"/>
    <col min="10763" max="10763" width="10.7109375" style="184" customWidth="1"/>
    <col min="10764" max="11008" width="8.140625" style="184"/>
    <col min="11009" max="11009" width="5" style="184" customWidth="1"/>
    <col min="11010" max="11010" width="6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3.28515625" style="184" customWidth="1"/>
    <col min="11017" max="11017" width="12.42578125" style="184" customWidth="1"/>
    <col min="11018" max="11018" width="14" style="184" customWidth="1"/>
    <col min="11019" max="11019" width="10.7109375" style="184" customWidth="1"/>
    <col min="11020" max="11264" width="8.140625" style="184"/>
    <col min="11265" max="11265" width="5" style="184" customWidth="1"/>
    <col min="11266" max="11266" width="6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3.28515625" style="184" customWidth="1"/>
    <col min="11273" max="11273" width="12.42578125" style="184" customWidth="1"/>
    <col min="11274" max="11274" width="14" style="184" customWidth="1"/>
    <col min="11275" max="11275" width="10.7109375" style="184" customWidth="1"/>
    <col min="11276" max="11520" width="8.140625" style="184"/>
    <col min="11521" max="11521" width="5" style="184" customWidth="1"/>
    <col min="11522" max="11522" width="6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3.28515625" style="184" customWidth="1"/>
    <col min="11529" max="11529" width="12.42578125" style="184" customWidth="1"/>
    <col min="11530" max="11530" width="14" style="184" customWidth="1"/>
    <col min="11531" max="11531" width="10.7109375" style="184" customWidth="1"/>
    <col min="11532" max="11776" width="8.140625" style="184"/>
    <col min="11777" max="11777" width="5" style="184" customWidth="1"/>
    <col min="11778" max="11778" width="6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3.28515625" style="184" customWidth="1"/>
    <col min="11785" max="11785" width="12.42578125" style="184" customWidth="1"/>
    <col min="11786" max="11786" width="14" style="184" customWidth="1"/>
    <col min="11787" max="11787" width="10.7109375" style="184" customWidth="1"/>
    <col min="11788" max="12032" width="8.140625" style="184"/>
    <col min="12033" max="12033" width="5" style="184" customWidth="1"/>
    <col min="12034" max="12034" width="6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3.28515625" style="184" customWidth="1"/>
    <col min="12041" max="12041" width="12.42578125" style="184" customWidth="1"/>
    <col min="12042" max="12042" width="14" style="184" customWidth="1"/>
    <col min="12043" max="12043" width="10.7109375" style="184" customWidth="1"/>
    <col min="12044" max="12288" width="8.140625" style="184"/>
    <col min="12289" max="12289" width="5" style="184" customWidth="1"/>
    <col min="12290" max="12290" width="6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3.28515625" style="184" customWidth="1"/>
    <col min="12297" max="12297" width="12.42578125" style="184" customWidth="1"/>
    <col min="12298" max="12298" width="14" style="184" customWidth="1"/>
    <col min="12299" max="12299" width="10.7109375" style="184" customWidth="1"/>
    <col min="12300" max="12544" width="8.140625" style="184"/>
    <col min="12545" max="12545" width="5" style="184" customWidth="1"/>
    <col min="12546" max="12546" width="6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3.28515625" style="184" customWidth="1"/>
    <col min="12553" max="12553" width="12.42578125" style="184" customWidth="1"/>
    <col min="12554" max="12554" width="14" style="184" customWidth="1"/>
    <col min="12555" max="12555" width="10.7109375" style="184" customWidth="1"/>
    <col min="12556" max="12800" width="8.140625" style="184"/>
    <col min="12801" max="12801" width="5" style="184" customWidth="1"/>
    <col min="12802" max="12802" width="6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3.28515625" style="184" customWidth="1"/>
    <col min="12809" max="12809" width="12.42578125" style="184" customWidth="1"/>
    <col min="12810" max="12810" width="14" style="184" customWidth="1"/>
    <col min="12811" max="12811" width="10.7109375" style="184" customWidth="1"/>
    <col min="12812" max="13056" width="8.140625" style="184"/>
    <col min="13057" max="13057" width="5" style="184" customWidth="1"/>
    <col min="13058" max="13058" width="6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3.28515625" style="184" customWidth="1"/>
    <col min="13065" max="13065" width="12.42578125" style="184" customWidth="1"/>
    <col min="13066" max="13066" width="14" style="184" customWidth="1"/>
    <col min="13067" max="13067" width="10.7109375" style="184" customWidth="1"/>
    <col min="13068" max="13312" width="8.140625" style="184"/>
    <col min="13313" max="13313" width="5" style="184" customWidth="1"/>
    <col min="13314" max="13314" width="6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3.28515625" style="184" customWidth="1"/>
    <col min="13321" max="13321" width="12.42578125" style="184" customWidth="1"/>
    <col min="13322" max="13322" width="14" style="184" customWidth="1"/>
    <col min="13323" max="13323" width="10.7109375" style="184" customWidth="1"/>
    <col min="13324" max="13568" width="8.140625" style="184"/>
    <col min="13569" max="13569" width="5" style="184" customWidth="1"/>
    <col min="13570" max="13570" width="6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3.28515625" style="184" customWidth="1"/>
    <col min="13577" max="13577" width="12.42578125" style="184" customWidth="1"/>
    <col min="13578" max="13578" width="14" style="184" customWidth="1"/>
    <col min="13579" max="13579" width="10.7109375" style="184" customWidth="1"/>
    <col min="13580" max="13824" width="8.140625" style="184"/>
    <col min="13825" max="13825" width="5" style="184" customWidth="1"/>
    <col min="13826" max="13826" width="6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3.28515625" style="184" customWidth="1"/>
    <col min="13833" max="13833" width="12.42578125" style="184" customWidth="1"/>
    <col min="13834" max="13834" width="14" style="184" customWidth="1"/>
    <col min="13835" max="13835" width="10.7109375" style="184" customWidth="1"/>
    <col min="13836" max="14080" width="8.140625" style="184"/>
    <col min="14081" max="14081" width="5" style="184" customWidth="1"/>
    <col min="14082" max="14082" width="6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3.28515625" style="184" customWidth="1"/>
    <col min="14089" max="14089" width="12.42578125" style="184" customWidth="1"/>
    <col min="14090" max="14090" width="14" style="184" customWidth="1"/>
    <col min="14091" max="14091" width="10.7109375" style="184" customWidth="1"/>
    <col min="14092" max="14336" width="8.140625" style="184"/>
    <col min="14337" max="14337" width="5" style="184" customWidth="1"/>
    <col min="14338" max="14338" width="6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3.28515625" style="184" customWidth="1"/>
    <col min="14345" max="14345" width="12.42578125" style="184" customWidth="1"/>
    <col min="14346" max="14346" width="14" style="184" customWidth="1"/>
    <col min="14347" max="14347" width="10.7109375" style="184" customWidth="1"/>
    <col min="14348" max="14592" width="8.140625" style="184"/>
    <col min="14593" max="14593" width="5" style="184" customWidth="1"/>
    <col min="14594" max="14594" width="6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3.28515625" style="184" customWidth="1"/>
    <col min="14601" max="14601" width="12.42578125" style="184" customWidth="1"/>
    <col min="14602" max="14602" width="14" style="184" customWidth="1"/>
    <col min="14603" max="14603" width="10.7109375" style="184" customWidth="1"/>
    <col min="14604" max="14848" width="8.140625" style="184"/>
    <col min="14849" max="14849" width="5" style="184" customWidth="1"/>
    <col min="14850" max="14850" width="6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3.28515625" style="184" customWidth="1"/>
    <col min="14857" max="14857" width="12.42578125" style="184" customWidth="1"/>
    <col min="14858" max="14858" width="14" style="184" customWidth="1"/>
    <col min="14859" max="14859" width="10.7109375" style="184" customWidth="1"/>
    <col min="14860" max="15104" width="8.140625" style="184"/>
    <col min="15105" max="15105" width="5" style="184" customWidth="1"/>
    <col min="15106" max="15106" width="6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3.28515625" style="184" customWidth="1"/>
    <col min="15113" max="15113" width="12.42578125" style="184" customWidth="1"/>
    <col min="15114" max="15114" width="14" style="184" customWidth="1"/>
    <col min="15115" max="15115" width="10.7109375" style="184" customWidth="1"/>
    <col min="15116" max="15360" width="8.140625" style="184"/>
    <col min="15361" max="15361" width="5" style="184" customWidth="1"/>
    <col min="15362" max="15362" width="6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3.28515625" style="184" customWidth="1"/>
    <col min="15369" max="15369" width="12.42578125" style="184" customWidth="1"/>
    <col min="15370" max="15370" width="14" style="184" customWidth="1"/>
    <col min="15371" max="15371" width="10.7109375" style="184" customWidth="1"/>
    <col min="15372" max="15616" width="8.140625" style="184"/>
    <col min="15617" max="15617" width="5" style="184" customWidth="1"/>
    <col min="15618" max="15618" width="6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3.28515625" style="184" customWidth="1"/>
    <col min="15625" max="15625" width="12.42578125" style="184" customWidth="1"/>
    <col min="15626" max="15626" width="14" style="184" customWidth="1"/>
    <col min="15627" max="15627" width="10.7109375" style="184" customWidth="1"/>
    <col min="15628" max="15872" width="8.140625" style="184"/>
    <col min="15873" max="15873" width="5" style="184" customWidth="1"/>
    <col min="15874" max="15874" width="6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3.28515625" style="184" customWidth="1"/>
    <col min="15881" max="15881" width="12.42578125" style="184" customWidth="1"/>
    <col min="15882" max="15882" width="14" style="184" customWidth="1"/>
    <col min="15883" max="15883" width="10.7109375" style="184" customWidth="1"/>
    <col min="15884" max="16128" width="8.140625" style="184"/>
    <col min="16129" max="16129" width="5" style="184" customWidth="1"/>
    <col min="16130" max="16130" width="6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3.28515625" style="184" customWidth="1"/>
    <col min="16137" max="16137" width="12.42578125" style="184" customWidth="1"/>
    <col min="16138" max="16138" width="14" style="184" customWidth="1"/>
    <col min="16139" max="16139" width="10.7109375" style="184" customWidth="1"/>
    <col min="16140" max="16384" width="8.140625" style="184"/>
  </cols>
  <sheetData>
    <row r="1" spans="1:11" s="195" customFormat="1" ht="12.75">
      <c r="A1" s="186"/>
      <c r="B1" s="187"/>
      <c r="C1" s="188" t="s">
        <v>49</v>
      </c>
      <c r="D1" s="189" t="s">
        <v>151</v>
      </c>
      <c r="E1" s="190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9" customHeight="1">
      <c r="A2" s="196"/>
      <c r="B2" s="197"/>
      <c r="C2" s="198" t="s">
        <v>51</v>
      </c>
      <c r="D2" s="199" t="s">
        <v>152</v>
      </c>
      <c r="E2" s="197" t="s">
        <v>958</v>
      </c>
      <c r="F2" s="200"/>
      <c r="G2" s="201"/>
      <c r="H2" s="202"/>
      <c r="I2" s="197"/>
      <c r="J2" s="203"/>
      <c r="K2" s="204"/>
    </row>
    <row r="3" spans="1:11" s="185" customFormat="1" ht="10.9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0.9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3.6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6.899999999999999" customHeight="1">
      <c r="A6" s="150"/>
      <c r="B6" s="151"/>
      <c r="C6" s="152" t="s">
        <v>276</v>
      </c>
      <c r="D6" s="152" t="s">
        <v>826</v>
      </c>
      <c r="E6" s="151"/>
      <c r="F6" s="153"/>
      <c r="G6" s="154"/>
      <c r="H6" s="155"/>
      <c r="I6" s="155"/>
      <c r="J6" s="155">
        <f>J7+J12+J14</f>
        <v>0</v>
      </c>
      <c r="K6" s="156"/>
    </row>
    <row r="7" spans="1:11" s="140" customFormat="1" ht="20.45" customHeight="1">
      <c r="A7" s="150"/>
      <c r="B7" s="151"/>
      <c r="C7" s="152" t="s">
        <v>815</v>
      </c>
      <c r="D7" s="152" t="s">
        <v>827</v>
      </c>
      <c r="E7" s="151"/>
      <c r="F7" s="153"/>
      <c r="G7" s="154"/>
      <c r="H7" s="155"/>
      <c r="I7" s="155"/>
      <c r="J7" s="155">
        <f>SUM(J8:J10)</f>
        <v>0</v>
      </c>
      <c r="K7" s="156">
        <v>0</v>
      </c>
    </row>
    <row r="8" spans="1:11" s="140" customFormat="1" ht="24" customHeight="1">
      <c r="A8" s="157">
        <v>33</v>
      </c>
      <c r="B8" s="158" t="s">
        <v>828</v>
      </c>
      <c r="C8" s="159" t="s">
        <v>829</v>
      </c>
      <c r="D8" s="159" t="s">
        <v>830</v>
      </c>
      <c r="E8" s="158" t="s">
        <v>67</v>
      </c>
      <c r="F8" s="160">
        <v>54.204000000000001</v>
      </c>
      <c r="G8" s="161"/>
      <c r="H8" s="162">
        <v>0</v>
      </c>
      <c r="I8" s="162"/>
      <c r="J8" s="162"/>
      <c r="K8" s="163">
        <v>0</v>
      </c>
    </row>
    <row r="9" spans="1:11" s="140" customFormat="1" ht="13.5" customHeight="1">
      <c r="A9" s="157">
        <v>34</v>
      </c>
      <c r="B9" s="158" t="s">
        <v>828</v>
      </c>
      <c r="C9" s="159" t="s">
        <v>831</v>
      </c>
      <c r="D9" s="159" t="s">
        <v>832</v>
      </c>
      <c r="E9" s="158" t="s">
        <v>67</v>
      </c>
      <c r="F9" s="160">
        <v>54.204000000000001</v>
      </c>
      <c r="G9" s="161"/>
      <c r="H9" s="162">
        <v>0</v>
      </c>
      <c r="I9" s="162"/>
      <c r="J9" s="162"/>
      <c r="K9" s="163">
        <v>0</v>
      </c>
    </row>
    <row r="10" spans="1:11" s="140" customFormat="1" ht="13.5" customHeight="1">
      <c r="A10" s="157">
        <v>35</v>
      </c>
      <c r="B10" s="158" t="s">
        <v>828</v>
      </c>
      <c r="C10" s="159" t="s">
        <v>833</v>
      </c>
      <c r="D10" s="159" t="s">
        <v>834</v>
      </c>
      <c r="E10" s="158" t="s">
        <v>67</v>
      </c>
      <c r="F10" s="160">
        <v>46.610999999999997</v>
      </c>
      <c r="G10" s="161"/>
      <c r="H10" s="162">
        <v>0</v>
      </c>
      <c r="I10" s="162"/>
      <c r="J10" s="162"/>
      <c r="K10" s="163">
        <v>0</v>
      </c>
    </row>
    <row r="11" spans="1:11" s="140" customFormat="1" ht="13.5" customHeight="1">
      <c r="A11" s="157">
        <v>37</v>
      </c>
      <c r="B11" s="158" t="s">
        <v>828</v>
      </c>
      <c r="C11" s="159" t="s">
        <v>835</v>
      </c>
      <c r="D11" s="159" t="s">
        <v>836</v>
      </c>
      <c r="E11" s="158" t="s">
        <v>78</v>
      </c>
      <c r="F11" s="160">
        <v>120.3</v>
      </c>
      <c r="G11" s="161"/>
      <c r="H11" s="162">
        <v>0</v>
      </c>
      <c r="I11" s="162"/>
      <c r="J11" s="162"/>
      <c r="K11" s="163">
        <v>0</v>
      </c>
    </row>
    <row r="12" spans="1:11" s="140" customFormat="1" ht="18" customHeight="1">
      <c r="A12" s="150"/>
      <c r="B12" s="151"/>
      <c r="C12" s="152" t="s">
        <v>816</v>
      </c>
      <c r="D12" s="152" t="s">
        <v>837</v>
      </c>
      <c r="E12" s="151"/>
      <c r="F12" s="153"/>
      <c r="G12" s="154"/>
      <c r="H12" s="155"/>
      <c r="I12" s="155"/>
      <c r="J12" s="155">
        <f>SUM(J13)</f>
        <v>0</v>
      </c>
      <c r="K12" s="156"/>
    </row>
    <row r="13" spans="1:11" s="140" customFormat="1" ht="13.5" customHeight="1">
      <c r="A13" s="157">
        <v>36</v>
      </c>
      <c r="B13" s="158" t="s">
        <v>838</v>
      </c>
      <c r="C13" s="159" t="s">
        <v>839</v>
      </c>
      <c r="D13" s="159" t="s">
        <v>840</v>
      </c>
      <c r="E13" s="158" t="s">
        <v>67</v>
      </c>
      <c r="F13" s="160">
        <v>5.6879999999999997</v>
      </c>
      <c r="G13" s="161"/>
      <c r="H13" s="162"/>
      <c r="I13" s="162"/>
      <c r="J13" s="162"/>
      <c r="K13" s="163">
        <v>12.28608</v>
      </c>
    </row>
    <row r="14" spans="1:11" s="140" customFormat="1" ht="17.45" customHeight="1">
      <c r="A14" s="150"/>
      <c r="B14" s="151"/>
      <c r="C14" s="152" t="s">
        <v>822</v>
      </c>
      <c r="D14" s="152" t="s">
        <v>841</v>
      </c>
      <c r="E14" s="151"/>
      <c r="F14" s="153"/>
      <c r="G14" s="154"/>
      <c r="H14" s="155"/>
      <c r="I14" s="155"/>
      <c r="J14" s="155">
        <f>SUM(J15:J60)</f>
        <v>0</v>
      </c>
      <c r="K14" s="156"/>
    </row>
    <row r="15" spans="1:11" s="140" customFormat="1" ht="24" customHeight="1">
      <c r="A15" s="157">
        <v>41</v>
      </c>
      <c r="B15" s="158" t="s">
        <v>842</v>
      </c>
      <c r="C15" s="159" t="s">
        <v>843</v>
      </c>
      <c r="D15" s="159" t="s">
        <v>844</v>
      </c>
      <c r="E15" s="158" t="s">
        <v>83</v>
      </c>
      <c r="F15" s="160">
        <v>33.4</v>
      </c>
      <c r="G15" s="161"/>
      <c r="H15" s="162"/>
      <c r="I15" s="162"/>
      <c r="J15" s="162"/>
      <c r="K15" s="163">
        <v>3.3399999999999999E-4</v>
      </c>
    </row>
    <row r="16" spans="1:11" s="140" customFormat="1" ht="24" customHeight="1">
      <c r="A16" s="157">
        <v>38</v>
      </c>
      <c r="B16" s="158" t="s">
        <v>842</v>
      </c>
      <c r="C16" s="159" t="s">
        <v>845</v>
      </c>
      <c r="D16" s="159" t="s">
        <v>846</v>
      </c>
      <c r="E16" s="158" t="s">
        <v>83</v>
      </c>
      <c r="F16" s="160">
        <v>74.400000000000006</v>
      </c>
      <c r="G16" s="161"/>
      <c r="H16" s="162"/>
      <c r="I16" s="162"/>
      <c r="J16" s="162"/>
      <c r="K16" s="163">
        <v>7.4399999999999998E-4</v>
      </c>
    </row>
    <row r="17" spans="1:11" s="140" customFormat="1" ht="13.5" customHeight="1">
      <c r="A17" s="164">
        <v>39</v>
      </c>
      <c r="B17" s="165" t="s">
        <v>847</v>
      </c>
      <c r="C17" s="166" t="s">
        <v>848</v>
      </c>
      <c r="D17" s="166" t="s">
        <v>849</v>
      </c>
      <c r="E17" s="165" t="s">
        <v>83</v>
      </c>
      <c r="F17" s="167">
        <v>74.400000000000006</v>
      </c>
      <c r="G17" s="168"/>
      <c r="H17" s="169"/>
      <c r="I17" s="169"/>
      <c r="J17" s="169"/>
      <c r="K17" s="170">
        <v>0.23808000000000001</v>
      </c>
    </row>
    <row r="18" spans="1:11" s="140" customFormat="1" ht="13.5" customHeight="1">
      <c r="A18" s="164">
        <v>40</v>
      </c>
      <c r="B18" s="165" t="s">
        <v>847</v>
      </c>
      <c r="C18" s="166" t="s">
        <v>850</v>
      </c>
      <c r="D18" s="166" t="s">
        <v>851</v>
      </c>
      <c r="E18" s="165" t="s">
        <v>83</v>
      </c>
      <c r="F18" s="167">
        <v>33.4</v>
      </c>
      <c r="G18" s="168"/>
      <c r="H18" s="169"/>
      <c r="I18" s="169"/>
      <c r="J18" s="169"/>
      <c r="K18" s="170">
        <v>8.9177999999999993E-2</v>
      </c>
    </row>
    <row r="19" spans="1:11" s="140" customFormat="1" ht="24" customHeight="1">
      <c r="A19" s="157">
        <v>48</v>
      </c>
      <c r="B19" s="158" t="s">
        <v>842</v>
      </c>
      <c r="C19" s="159" t="s">
        <v>852</v>
      </c>
      <c r="D19" s="159" t="s">
        <v>853</v>
      </c>
      <c r="E19" s="158" t="s">
        <v>83</v>
      </c>
      <c r="F19" s="160">
        <v>12.5</v>
      </c>
      <c r="G19" s="161"/>
      <c r="H19" s="162"/>
      <c r="I19" s="162"/>
      <c r="J19" s="162"/>
      <c r="K19" s="163">
        <v>1.25E-4</v>
      </c>
    </row>
    <row r="20" spans="1:11" s="140" customFormat="1" ht="13.5" customHeight="1">
      <c r="A20" s="164">
        <v>49</v>
      </c>
      <c r="B20" s="165" t="s">
        <v>847</v>
      </c>
      <c r="C20" s="166" t="s">
        <v>854</v>
      </c>
      <c r="D20" s="166" t="s">
        <v>855</v>
      </c>
      <c r="E20" s="165" t="s">
        <v>83</v>
      </c>
      <c r="F20" s="167">
        <v>12.5</v>
      </c>
      <c r="G20" s="168"/>
      <c r="H20" s="169"/>
      <c r="I20" s="169"/>
      <c r="J20" s="169"/>
      <c r="K20" s="170">
        <v>5.7500000000000002E-2</v>
      </c>
    </row>
    <row r="21" spans="1:11" s="140" customFormat="1" ht="13.5" customHeight="1">
      <c r="A21" s="157">
        <v>27</v>
      </c>
      <c r="B21" s="158" t="s">
        <v>842</v>
      </c>
      <c r="C21" s="159" t="s">
        <v>856</v>
      </c>
      <c r="D21" s="159" t="s">
        <v>857</v>
      </c>
      <c r="E21" s="158" t="s">
        <v>82</v>
      </c>
      <c r="F21" s="160">
        <v>7</v>
      </c>
      <c r="G21" s="161"/>
      <c r="H21" s="162"/>
      <c r="I21" s="162"/>
      <c r="J21" s="162"/>
      <c r="K21" s="163">
        <v>0</v>
      </c>
    </row>
    <row r="22" spans="1:11" s="140" customFormat="1" ht="13.5" customHeight="1">
      <c r="A22" s="157">
        <v>28</v>
      </c>
      <c r="B22" s="158" t="s">
        <v>842</v>
      </c>
      <c r="C22" s="159" t="s">
        <v>858</v>
      </c>
      <c r="D22" s="159" t="s">
        <v>859</v>
      </c>
      <c r="E22" s="158" t="s">
        <v>82</v>
      </c>
      <c r="F22" s="160">
        <v>1</v>
      </c>
      <c r="G22" s="161"/>
      <c r="H22" s="162"/>
      <c r="I22" s="162"/>
      <c r="J22" s="162"/>
      <c r="K22" s="163">
        <v>0</v>
      </c>
    </row>
    <row r="23" spans="1:11" s="140" customFormat="1" ht="13.5" customHeight="1">
      <c r="A23" s="164">
        <v>31</v>
      </c>
      <c r="B23" s="165" t="s">
        <v>860</v>
      </c>
      <c r="C23" s="166" t="s">
        <v>861</v>
      </c>
      <c r="D23" s="166" t="s">
        <v>862</v>
      </c>
      <c r="E23" s="165" t="s">
        <v>82</v>
      </c>
      <c r="F23" s="167">
        <v>1</v>
      </c>
      <c r="G23" s="168"/>
      <c r="H23" s="169"/>
      <c r="I23" s="169"/>
      <c r="J23" s="169"/>
      <c r="K23" s="170">
        <v>1.4E-2</v>
      </c>
    </row>
    <row r="24" spans="1:11" s="140" customFormat="1" ht="13.5" customHeight="1">
      <c r="A24" s="164">
        <v>32</v>
      </c>
      <c r="B24" s="165" t="s">
        <v>863</v>
      </c>
      <c r="C24" s="166" t="s">
        <v>864</v>
      </c>
      <c r="D24" s="166" t="s">
        <v>865</v>
      </c>
      <c r="E24" s="165" t="s">
        <v>82</v>
      </c>
      <c r="F24" s="167">
        <v>1</v>
      </c>
      <c r="G24" s="168"/>
      <c r="H24" s="169"/>
      <c r="I24" s="169"/>
      <c r="J24" s="169"/>
      <c r="K24" s="170">
        <v>2.5999999999999999E-3</v>
      </c>
    </row>
    <row r="25" spans="1:11" s="140" customFormat="1" ht="13.5" customHeight="1">
      <c r="A25" s="164">
        <v>29</v>
      </c>
      <c r="B25" s="165" t="s">
        <v>847</v>
      </c>
      <c r="C25" s="166" t="s">
        <v>866</v>
      </c>
      <c r="D25" s="166" t="s">
        <v>867</v>
      </c>
      <c r="E25" s="165" t="s">
        <v>82</v>
      </c>
      <c r="F25" s="167">
        <v>1</v>
      </c>
      <c r="G25" s="168"/>
      <c r="H25" s="169"/>
      <c r="I25" s="169"/>
      <c r="J25" s="169"/>
      <c r="K25" s="170">
        <v>1.2E-4</v>
      </c>
    </row>
    <row r="26" spans="1:11" s="140" customFormat="1" ht="13.5" customHeight="1">
      <c r="A26" s="164">
        <v>30</v>
      </c>
      <c r="B26" s="165" t="s">
        <v>847</v>
      </c>
      <c r="C26" s="166" t="s">
        <v>868</v>
      </c>
      <c r="D26" s="166" t="s">
        <v>869</v>
      </c>
      <c r="E26" s="165" t="s">
        <v>82</v>
      </c>
      <c r="F26" s="167">
        <v>1</v>
      </c>
      <c r="G26" s="168"/>
      <c r="H26" s="169"/>
      <c r="I26" s="169"/>
      <c r="J26" s="169"/>
      <c r="K26" s="170">
        <v>1.9000000000000001E-4</v>
      </c>
    </row>
    <row r="27" spans="1:11" s="140" customFormat="1" ht="13.5" customHeight="1">
      <c r="A27" s="157">
        <v>24</v>
      </c>
      <c r="B27" s="158" t="s">
        <v>842</v>
      </c>
      <c r="C27" s="159" t="s">
        <v>870</v>
      </c>
      <c r="D27" s="159" t="s">
        <v>871</v>
      </c>
      <c r="E27" s="158" t="s">
        <v>82</v>
      </c>
      <c r="F27" s="160">
        <v>9</v>
      </c>
      <c r="G27" s="161"/>
      <c r="H27" s="162"/>
      <c r="I27" s="162"/>
      <c r="J27" s="162"/>
      <c r="K27" s="163">
        <v>0</v>
      </c>
    </row>
    <row r="28" spans="1:11" s="140" customFormat="1" ht="13.5" customHeight="1">
      <c r="A28" s="164">
        <v>25</v>
      </c>
      <c r="B28" s="165" t="s">
        <v>847</v>
      </c>
      <c r="C28" s="166" t="s">
        <v>872</v>
      </c>
      <c r="D28" s="166" t="s">
        <v>873</v>
      </c>
      <c r="E28" s="165" t="s">
        <v>82</v>
      </c>
      <c r="F28" s="167">
        <v>9</v>
      </c>
      <c r="G28" s="168"/>
      <c r="H28" s="169"/>
      <c r="I28" s="169"/>
      <c r="J28" s="169"/>
      <c r="K28" s="170">
        <v>2.16E-3</v>
      </c>
    </row>
    <row r="29" spans="1:11" s="140" customFormat="1" ht="13.5" customHeight="1">
      <c r="A29" s="164">
        <v>26</v>
      </c>
      <c r="B29" s="165" t="s">
        <v>847</v>
      </c>
      <c r="C29" s="166" t="s">
        <v>874</v>
      </c>
      <c r="D29" s="166" t="s">
        <v>875</v>
      </c>
      <c r="E29" s="165" t="s">
        <v>82</v>
      </c>
      <c r="F29" s="167">
        <v>7</v>
      </c>
      <c r="G29" s="168"/>
      <c r="H29" s="169"/>
      <c r="I29" s="169"/>
      <c r="J29" s="169"/>
      <c r="K29" s="170">
        <v>3.5E-4</v>
      </c>
    </row>
    <row r="30" spans="1:11" s="140" customFormat="1" ht="13.5" customHeight="1">
      <c r="A30" s="157">
        <v>18</v>
      </c>
      <c r="B30" s="158" t="s">
        <v>842</v>
      </c>
      <c r="C30" s="159" t="s">
        <v>876</v>
      </c>
      <c r="D30" s="159" t="s">
        <v>877</v>
      </c>
      <c r="E30" s="158" t="s">
        <v>82</v>
      </c>
      <c r="F30" s="160">
        <v>1</v>
      </c>
      <c r="G30" s="161"/>
      <c r="H30" s="162"/>
      <c r="I30" s="162"/>
      <c r="J30" s="162"/>
      <c r="K30" s="163">
        <v>0</v>
      </c>
    </row>
    <row r="31" spans="1:11" s="140" customFormat="1" ht="13.5" customHeight="1">
      <c r="A31" s="164">
        <v>19</v>
      </c>
      <c r="B31" s="165" t="s">
        <v>847</v>
      </c>
      <c r="C31" s="166" t="s">
        <v>878</v>
      </c>
      <c r="D31" s="166" t="s">
        <v>879</v>
      </c>
      <c r="E31" s="165" t="s">
        <v>82</v>
      </c>
      <c r="F31" s="167">
        <v>1</v>
      </c>
      <c r="G31" s="168"/>
      <c r="H31" s="169"/>
      <c r="I31" s="169"/>
      <c r="J31" s="169"/>
      <c r="K31" s="170">
        <v>5.6999999999999998E-4</v>
      </c>
    </row>
    <row r="32" spans="1:11" s="140" customFormat="1" ht="13.5" customHeight="1">
      <c r="A32" s="157">
        <v>20</v>
      </c>
      <c r="B32" s="158" t="s">
        <v>842</v>
      </c>
      <c r="C32" s="159" t="s">
        <v>880</v>
      </c>
      <c r="D32" s="159" t="s">
        <v>881</v>
      </c>
      <c r="E32" s="158" t="s">
        <v>82</v>
      </c>
      <c r="F32" s="160">
        <v>12</v>
      </c>
      <c r="G32" s="161"/>
      <c r="H32" s="162"/>
      <c r="I32" s="162"/>
      <c r="J32" s="162"/>
      <c r="K32" s="163">
        <v>0</v>
      </c>
    </row>
    <row r="33" spans="1:11" s="140" customFormat="1" ht="13.5" customHeight="1">
      <c r="A33" s="164">
        <v>23</v>
      </c>
      <c r="B33" s="165" t="s">
        <v>847</v>
      </c>
      <c r="C33" s="166" t="s">
        <v>882</v>
      </c>
      <c r="D33" s="166" t="s">
        <v>883</v>
      </c>
      <c r="E33" s="165" t="s">
        <v>82</v>
      </c>
      <c r="F33" s="167">
        <v>2</v>
      </c>
      <c r="G33" s="168"/>
      <c r="H33" s="169"/>
      <c r="I33" s="169"/>
      <c r="J33" s="169"/>
      <c r="K33" s="170">
        <v>4.6000000000000001E-4</v>
      </c>
    </row>
    <row r="34" spans="1:11" s="140" customFormat="1" ht="13.5" customHeight="1">
      <c r="A34" s="164">
        <v>21</v>
      </c>
      <c r="B34" s="165" t="s">
        <v>847</v>
      </c>
      <c r="C34" s="166" t="s">
        <v>884</v>
      </c>
      <c r="D34" s="166" t="s">
        <v>885</v>
      </c>
      <c r="E34" s="165" t="s">
        <v>82</v>
      </c>
      <c r="F34" s="167">
        <v>2</v>
      </c>
      <c r="G34" s="168"/>
      <c r="H34" s="169"/>
      <c r="I34" s="169"/>
      <c r="J34" s="169"/>
      <c r="K34" s="170">
        <v>5.4000000000000001E-4</v>
      </c>
    </row>
    <row r="35" spans="1:11" s="140" customFormat="1" ht="13.5" customHeight="1">
      <c r="A35" s="164">
        <v>22</v>
      </c>
      <c r="B35" s="165" t="s">
        <v>847</v>
      </c>
      <c r="C35" s="166" t="s">
        <v>886</v>
      </c>
      <c r="D35" s="166" t="s">
        <v>887</v>
      </c>
      <c r="E35" s="165" t="s">
        <v>82</v>
      </c>
      <c r="F35" s="167">
        <v>8</v>
      </c>
      <c r="G35" s="168"/>
      <c r="H35" s="169"/>
      <c r="I35" s="169"/>
      <c r="J35" s="169"/>
      <c r="K35" s="170">
        <v>3.2799999999999999E-3</v>
      </c>
    </row>
    <row r="36" spans="1:11" s="140" customFormat="1" ht="13.5" customHeight="1">
      <c r="A36" s="157">
        <v>46</v>
      </c>
      <c r="B36" s="158" t="s">
        <v>842</v>
      </c>
      <c r="C36" s="159" t="s">
        <v>888</v>
      </c>
      <c r="D36" s="159" t="s">
        <v>889</v>
      </c>
      <c r="E36" s="158" t="s">
        <v>82</v>
      </c>
      <c r="F36" s="160">
        <v>5</v>
      </c>
      <c r="G36" s="161"/>
      <c r="H36" s="162"/>
      <c r="I36" s="162"/>
      <c r="J36" s="162"/>
      <c r="K36" s="163">
        <v>0</v>
      </c>
    </row>
    <row r="37" spans="1:11" s="140" customFormat="1" ht="13.5" customHeight="1">
      <c r="A37" s="164">
        <v>47</v>
      </c>
      <c r="B37" s="165" t="s">
        <v>890</v>
      </c>
      <c r="C37" s="166" t="s">
        <v>891</v>
      </c>
      <c r="D37" s="166" t="s">
        <v>892</v>
      </c>
      <c r="E37" s="165" t="s">
        <v>82</v>
      </c>
      <c r="F37" s="167">
        <v>5</v>
      </c>
      <c r="G37" s="168"/>
      <c r="H37" s="169"/>
      <c r="I37" s="169"/>
      <c r="J37" s="169"/>
      <c r="K37" s="170">
        <v>0.1275</v>
      </c>
    </row>
    <row r="38" spans="1:11" s="140" customFormat="1" ht="13.5" customHeight="1">
      <c r="A38" s="157">
        <v>6</v>
      </c>
      <c r="B38" s="158" t="s">
        <v>842</v>
      </c>
      <c r="C38" s="159" t="s">
        <v>893</v>
      </c>
      <c r="D38" s="159" t="s">
        <v>894</v>
      </c>
      <c r="E38" s="158" t="s">
        <v>82</v>
      </c>
      <c r="F38" s="160">
        <v>13</v>
      </c>
      <c r="G38" s="161"/>
      <c r="H38" s="162"/>
      <c r="I38" s="162"/>
      <c r="J38" s="162"/>
      <c r="K38" s="163">
        <v>0</v>
      </c>
    </row>
    <row r="39" spans="1:11" s="140" customFormat="1" ht="13.5" customHeight="1">
      <c r="A39" s="164">
        <v>7</v>
      </c>
      <c r="B39" s="165" t="s">
        <v>847</v>
      </c>
      <c r="C39" s="166" t="s">
        <v>895</v>
      </c>
      <c r="D39" s="166" t="s">
        <v>896</v>
      </c>
      <c r="E39" s="165" t="s">
        <v>82</v>
      </c>
      <c r="F39" s="167">
        <v>13</v>
      </c>
      <c r="G39" s="168"/>
      <c r="H39" s="169"/>
      <c r="I39" s="169"/>
      <c r="J39" s="169"/>
      <c r="K39" s="170">
        <v>1.677E-2</v>
      </c>
    </row>
    <row r="40" spans="1:11" s="140" customFormat="1" ht="13.5" customHeight="1">
      <c r="A40" s="164">
        <v>8</v>
      </c>
      <c r="B40" s="165" t="s">
        <v>847</v>
      </c>
      <c r="C40" s="166" t="s">
        <v>897</v>
      </c>
      <c r="D40" s="166" t="s">
        <v>898</v>
      </c>
      <c r="E40" s="165" t="s">
        <v>82</v>
      </c>
      <c r="F40" s="167">
        <v>8</v>
      </c>
      <c r="G40" s="168"/>
      <c r="H40" s="169"/>
      <c r="I40" s="169"/>
      <c r="J40" s="169"/>
      <c r="K40" s="170">
        <v>4.3200000000000001E-3</v>
      </c>
    </row>
    <row r="41" spans="1:11" s="140" customFormat="1" ht="13.5" customHeight="1">
      <c r="A41" s="157">
        <v>9</v>
      </c>
      <c r="B41" s="158" t="s">
        <v>842</v>
      </c>
      <c r="C41" s="159" t="s">
        <v>899</v>
      </c>
      <c r="D41" s="159" t="s">
        <v>900</v>
      </c>
      <c r="E41" s="158" t="s">
        <v>82</v>
      </c>
      <c r="F41" s="160">
        <v>8</v>
      </c>
      <c r="G41" s="161"/>
      <c r="H41" s="162"/>
      <c r="I41" s="162"/>
      <c r="J41" s="162"/>
      <c r="K41" s="163">
        <v>0</v>
      </c>
    </row>
    <row r="42" spans="1:11" s="140" customFormat="1" ht="24" customHeight="1">
      <c r="A42" s="157">
        <v>42</v>
      </c>
      <c r="B42" s="158" t="s">
        <v>842</v>
      </c>
      <c r="C42" s="159" t="s">
        <v>901</v>
      </c>
      <c r="D42" s="159" t="s">
        <v>902</v>
      </c>
      <c r="E42" s="158" t="s">
        <v>82</v>
      </c>
      <c r="F42" s="160">
        <v>12</v>
      </c>
      <c r="G42" s="161"/>
      <c r="H42" s="162"/>
      <c r="I42" s="162"/>
      <c r="J42" s="162"/>
      <c r="K42" s="163">
        <v>0</v>
      </c>
    </row>
    <row r="43" spans="1:11" s="140" customFormat="1" ht="13.5" customHeight="1">
      <c r="A43" s="164">
        <v>43</v>
      </c>
      <c r="B43" s="165" t="s">
        <v>847</v>
      </c>
      <c r="C43" s="166" t="s">
        <v>903</v>
      </c>
      <c r="D43" s="166" t="s">
        <v>904</v>
      </c>
      <c r="E43" s="165" t="s">
        <v>82</v>
      </c>
      <c r="F43" s="167">
        <v>12</v>
      </c>
      <c r="G43" s="168"/>
      <c r="H43" s="169"/>
      <c r="I43" s="169"/>
      <c r="J43" s="169"/>
      <c r="K43" s="170">
        <v>7.7999999999999996E-3</v>
      </c>
    </row>
    <row r="44" spans="1:11" s="140" customFormat="1" ht="24" customHeight="1">
      <c r="A44" s="157">
        <v>3</v>
      </c>
      <c r="B44" s="158" t="s">
        <v>842</v>
      </c>
      <c r="C44" s="159" t="s">
        <v>905</v>
      </c>
      <c r="D44" s="159" t="s">
        <v>906</v>
      </c>
      <c r="E44" s="158" t="s">
        <v>82</v>
      </c>
      <c r="F44" s="160">
        <v>8</v>
      </c>
      <c r="G44" s="161"/>
      <c r="H44" s="162"/>
      <c r="I44" s="162"/>
      <c r="J44" s="162"/>
      <c r="K44" s="163">
        <v>0</v>
      </c>
    </row>
    <row r="45" spans="1:11" s="140" customFormat="1" ht="13.5" customHeight="1">
      <c r="A45" s="164">
        <v>4</v>
      </c>
      <c r="B45" s="165" t="s">
        <v>847</v>
      </c>
      <c r="C45" s="166" t="s">
        <v>907</v>
      </c>
      <c r="D45" s="166" t="s">
        <v>908</v>
      </c>
      <c r="E45" s="165" t="s">
        <v>82</v>
      </c>
      <c r="F45" s="167">
        <v>7</v>
      </c>
      <c r="G45" s="168"/>
      <c r="H45" s="169"/>
      <c r="I45" s="169"/>
      <c r="J45" s="169"/>
      <c r="K45" s="170">
        <v>1.001E-2</v>
      </c>
    </row>
    <row r="46" spans="1:11" s="140" customFormat="1" ht="13.5" customHeight="1">
      <c r="A46" s="164">
        <v>5</v>
      </c>
      <c r="B46" s="165" t="s">
        <v>847</v>
      </c>
      <c r="C46" s="166" t="s">
        <v>909</v>
      </c>
      <c r="D46" s="166" t="s">
        <v>910</v>
      </c>
      <c r="E46" s="165" t="s">
        <v>82</v>
      </c>
      <c r="F46" s="167">
        <v>1</v>
      </c>
      <c r="G46" s="168"/>
      <c r="H46" s="169"/>
      <c r="I46" s="169"/>
      <c r="J46" s="169"/>
      <c r="K46" s="170">
        <v>9.7000000000000005E-4</v>
      </c>
    </row>
    <row r="47" spans="1:11" s="140" customFormat="1" ht="24" customHeight="1">
      <c r="A47" s="157">
        <v>44</v>
      </c>
      <c r="B47" s="158" t="s">
        <v>842</v>
      </c>
      <c r="C47" s="159" t="s">
        <v>905</v>
      </c>
      <c r="D47" s="159" t="s">
        <v>906</v>
      </c>
      <c r="E47" s="158" t="s">
        <v>82</v>
      </c>
      <c r="F47" s="160">
        <v>9</v>
      </c>
      <c r="G47" s="161"/>
      <c r="H47" s="162"/>
      <c r="I47" s="162"/>
      <c r="J47" s="162"/>
      <c r="K47" s="163">
        <v>0</v>
      </c>
    </row>
    <row r="48" spans="1:11" s="140" customFormat="1" ht="13.5" customHeight="1">
      <c r="A48" s="164">
        <v>45</v>
      </c>
      <c r="B48" s="165" t="s">
        <v>847</v>
      </c>
      <c r="C48" s="166" t="s">
        <v>911</v>
      </c>
      <c r="D48" s="166" t="s">
        <v>912</v>
      </c>
      <c r="E48" s="165" t="s">
        <v>82</v>
      </c>
      <c r="F48" s="167">
        <v>9</v>
      </c>
      <c r="G48" s="168"/>
      <c r="H48" s="169"/>
      <c r="I48" s="169"/>
      <c r="J48" s="169"/>
      <c r="K48" s="170">
        <v>1.9800000000000002E-2</v>
      </c>
    </row>
    <row r="49" spans="1:11" s="140" customFormat="1" ht="13.5" customHeight="1">
      <c r="A49" s="157">
        <v>10</v>
      </c>
      <c r="B49" s="158" t="s">
        <v>842</v>
      </c>
      <c r="C49" s="159" t="s">
        <v>913</v>
      </c>
      <c r="D49" s="159" t="s">
        <v>914</v>
      </c>
      <c r="E49" s="158" t="s">
        <v>82</v>
      </c>
      <c r="F49" s="160">
        <v>8</v>
      </c>
      <c r="G49" s="161"/>
      <c r="H49" s="162"/>
      <c r="I49" s="162"/>
      <c r="J49" s="162"/>
      <c r="K49" s="163">
        <v>0</v>
      </c>
    </row>
    <row r="50" spans="1:11" s="140" customFormat="1" ht="13.5" customHeight="1">
      <c r="A50" s="164">
        <v>11</v>
      </c>
      <c r="B50" s="165" t="s">
        <v>847</v>
      </c>
      <c r="C50" s="166" t="s">
        <v>915</v>
      </c>
      <c r="D50" s="166" t="s">
        <v>916</v>
      </c>
      <c r="E50" s="165" t="s">
        <v>82</v>
      </c>
      <c r="F50" s="167">
        <v>8</v>
      </c>
      <c r="G50" s="168"/>
      <c r="H50" s="169"/>
      <c r="I50" s="169"/>
      <c r="J50" s="169"/>
      <c r="K50" s="170">
        <v>2.8800000000000002E-3</v>
      </c>
    </row>
    <row r="51" spans="1:11" s="140" customFormat="1" ht="13.5" customHeight="1">
      <c r="A51" s="157">
        <v>13</v>
      </c>
      <c r="B51" s="158" t="s">
        <v>842</v>
      </c>
      <c r="C51" s="159" t="s">
        <v>917</v>
      </c>
      <c r="D51" s="159" t="s">
        <v>918</v>
      </c>
      <c r="E51" s="158" t="s">
        <v>82</v>
      </c>
      <c r="F51" s="160">
        <v>3</v>
      </c>
      <c r="G51" s="161"/>
      <c r="H51" s="162"/>
      <c r="I51" s="162"/>
      <c r="J51" s="162"/>
      <c r="K51" s="163">
        <v>0.11718000000000001</v>
      </c>
    </row>
    <row r="52" spans="1:11" s="140" customFormat="1" ht="13.5" customHeight="1">
      <c r="A52" s="157">
        <v>50</v>
      </c>
      <c r="B52" s="158" t="s">
        <v>842</v>
      </c>
      <c r="C52" s="159" t="s">
        <v>919</v>
      </c>
      <c r="D52" s="159" t="s">
        <v>920</v>
      </c>
      <c r="E52" s="158" t="s">
        <v>82</v>
      </c>
      <c r="F52" s="160">
        <v>1</v>
      </c>
      <c r="G52" s="161"/>
      <c r="H52" s="162"/>
      <c r="I52" s="162"/>
      <c r="J52" s="162"/>
      <c r="K52" s="163">
        <v>0.16173999999999999</v>
      </c>
    </row>
    <row r="53" spans="1:11" s="140" customFormat="1" ht="13.5" customHeight="1">
      <c r="A53" s="157">
        <v>51</v>
      </c>
      <c r="B53" s="158" t="s">
        <v>842</v>
      </c>
      <c r="C53" s="159" t="s">
        <v>921</v>
      </c>
      <c r="D53" s="159" t="s">
        <v>922</v>
      </c>
      <c r="E53" s="158" t="s">
        <v>82</v>
      </c>
      <c r="F53" s="160">
        <v>1</v>
      </c>
      <c r="G53" s="161"/>
      <c r="H53" s="162"/>
      <c r="I53" s="162"/>
      <c r="J53" s="162"/>
      <c r="K53" s="163">
        <v>4.7660000000000001E-2</v>
      </c>
    </row>
    <row r="54" spans="1:11" s="140" customFormat="1" ht="13.5" customHeight="1">
      <c r="A54" s="157">
        <v>52</v>
      </c>
      <c r="B54" s="158" t="s">
        <v>842</v>
      </c>
      <c r="C54" s="159" t="s">
        <v>923</v>
      </c>
      <c r="D54" s="159" t="s">
        <v>924</v>
      </c>
      <c r="E54" s="158" t="s">
        <v>82</v>
      </c>
      <c r="F54" s="160">
        <v>1</v>
      </c>
      <c r="G54" s="161"/>
      <c r="H54" s="162"/>
      <c r="I54" s="162"/>
      <c r="J54" s="162"/>
      <c r="K54" s="163">
        <v>0.29721999999999998</v>
      </c>
    </row>
    <row r="55" spans="1:11" s="140" customFormat="1" ht="13.5" customHeight="1">
      <c r="A55" s="157">
        <v>53</v>
      </c>
      <c r="B55" s="158" t="s">
        <v>842</v>
      </c>
      <c r="C55" s="159" t="s">
        <v>925</v>
      </c>
      <c r="D55" s="159" t="s">
        <v>926</v>
      </c>
      <c r="E55" s="158" t="s">
        <v>82</v>
      </c>
      <c r="F55" s="160">
        <v>1</v>
      </c>
      <c r="G55" s="161"/>
      <c r="H55" s="162"/>
      <c r="I55" s="162"/>
      <c r="J55" s="162"/>
      <c r="K55" s="163">
        <v>0.29721999999999998</v>
      </c>
    </row>
    <row r="56" spans="1:11" s="140" customFormat="1" ht="13.5" customHeight="1">
      <c r="A56" s="157">
        <v>54</v>
      </c>
      <c r="B56" s="158" t="s">
        <v>842</v>
      </c>
      <c r="C56" s="159" t="s">
        <v>927</v>
      </c>
      <c r="D56" s="159" t="s">
        <v>928</v>
      </c>
      <c r="E56" s="158" t="s">
        <v>82</v>
      </c>
      <c r="F56" s="160">
        <v>1</v>
      </c>
      <c r="G56" s="161"/>
      <c r="H56" s="162"/>
      <c r="I56" s="162"/>
      <c r="J56" s="162"/>
      <c r="K56" s="163">
        <v>0.29721999999999998</v>
      </c>
    </row>
    <row r="57" spans="1:11" s="140" customFormat="1" ht="13.5" customHeight="1">
      <c r="A57" s="157">
        <v>55</v>
      </c>
      <c r="B57" s="158" t="s">
        <v>842</v>
      </c>
      <c r="C57" s="159" t="s">
        <v>929</v>
      </c>
      <c r="D57" s="159" t="s">
        <v>930</v>
      </c>
      <c r="E57" s="158" t="s">
        <v>931</v>
      </c>
      <c r="F57" s="160">
        <v>1</v>
      </c>
      <c r="G57" s="161"/>
      <c r="H57" s="162"/>
      <c r="I57" s="162"/>
      <c r="J57" s="162"/>
      <c r="K57" s="163">
        <v>0.29721999999999998</v>
      </c>
    </row>
    <row r="58" spans="1:11" s="140" customFormat="1" ht="13.5" customHeight="1">
      <c r="A58" s="164">
        <v>56</v>
      </c>
      <c r="B58" s="165" t="s">
        <v>860</v>
      </c>
      <c r="C58" s="166" t="s">
        <v>932</v>
      </c>
      <c r="D58" s="166" t="s">
        <v>933</v>
      </c>
      <c r="E58" s="165" t="s">
        <v>82</v>
      </c>
      <c r="F58" s="167">
        <v>1</v>
      </c>
      <c r="G58" s="168"/>
      <c r="H58" s="169"/>
      <c r="I58" s="169"/>
      <c r="J58" s="169"/>
      <c r="K58" s="170">
        <v>3.2000000000000001E-2</v>
      </c>
    </row>
    <row r="59" spans="1:11" s="140" customFormat="1" ht="24" customHeight="1">
      <c r="A59" s="164">
        <v>57</v>
      </c>
      <c r="B59" s="165" t="s">
        <v>934</v>
      </c>
      <c r="C59" s="166" t="s">
        <v>935</v>
      </c>
      <c r="D59" s="166" t="s">
        <v>936</v>
      </c>
      <c r="E59" s="165" t="s">
        <v>82</v>
      </c>
      <c r="F59" s="167">
        <v>1</v>
      </c>
      <c r="G59" s="168"/>
      <c r="H59" s="169"/>
      <c r="I59" s="169"/>
      <c r="J59" s="169"/>
      <c r="K59" s="170">
        <v>0.185</v>
      </c>
    </row>
    <row r="60" spans="1:11" s="140" customFormat="1" ht="13.5" customHeight="1">
      <c r="A60" s="164">
        <v>58</v>
      </c>
      <c r="B60" s="165" t="s">
        <v>934</v>
      </c>
      <c r="C60" s="166" t="s">
        <v>937</v>
      </c>
      <c r="D60" s="166" t="s">
        <v>938</v>
      </c>
      <c r="E60" s="165" t="s">
        <v>82</v>
      </c>
      <c r="F60" s="167">
        <v>1</v>
      </c>
      <c r="G60" s="168"/>
      <c r="H60" s="169"/>
      <c r="I60" s="169"/>
      <c r="J60" s="169"/>
      <c r="K60" s="170">
        <v>0.185</v>
      </c>
    </row>
    <row r="61" spans="1:11" s="140" customFormat="1" ht="22.9" customHeight="1">
      <c r="A61" s="143"/>
      <c r="B61" s="144"/>
      <c r="C61" s="145" t="s">
        <v>939</v>
      </c>
      <c r="D61" s="145" t="s">
        <v>940</v>
      </c>
      <c r="E61" s="144"/>
      <c r="F61" s="146"/>
      <c r="G61" s="147"/>
      <c r="H61" s="148"/>
      <c r="I61" s="148"/>
      <c r="J61" s="148">
        <f>J62</f>
        <v>0</v>
      </c>
      <c r="K61" s="149"/>
    </row>
    <row r="62" spans="1:11" s="140" customFormat="1" ht="15" customHeight="1">
      <c r="A62" s="150"/>
      <c r="B62" s="151"/>
      <c r="C62" s="152" t="s">
        <v>941</v>
      </c>
      <c r="D62" s="152" t="s">
        <v>942</v>
      </c>
      <c r="E62" s="151"/>
      <c r="F62" s="153"/>
      <c r="G62" s="154"/>
      <c r="H62" s="155"/>
      <c r="I62" s="155"/>
      <c r="J62" s="155">
        <f>SUM(J63:J69)</f>
        <v>0</v>
      </c>
      <c r="K62" s="156"/>
    </row>
    <row r="63" spans="1:11" s="140" customFormat="1" ht="13.5" customHeight="1">
      <c r="A63" s="157">
        <v>2</v>
      </c>
      <c r="B63" s="158" t="s">
        <v>941</v>
      </c>
      <c r="C63" s="159" t="s">
        <v>943</v>
      </c>
      <c r="D63" s="159" t="s">
        <v>944</v>
      </c>
      <c r="E63" s="158" t="s">
        <v>83</v>
      </c>
      <c r="F63" s="160">
        <v>24</v>
      </c>
      <c r="G63" s="161"/>
      <c r="H63" s="162"/>
      <c r="I63" s="162"/>
      <c r="J63" s="162"/>
      <c r="K63" s="163">
        <v>4.224E-2</v>
      </c>
    </row>
    <row r="64" spans="1:11" s="140" customFormat="1" ht="13.5" customHeight="1">
      <c r="A64" s="157">
        <v>1</v>
      </c>
      <c r="B64" s="158" t="s">
        <v>941</v>
      </c>
      <c r="C64" s="159" t="s">
        <v>945</v>
      </c>
      <c r="D64" s="159" t="s">
        <v>946</v>
      </c>
      <c r="E64" s="158" t="s">
        <v>83</v>
      </c>
      <c r="F64" s="160">
        <v>24</v>
      </c>
      <c r="G64" s="161"/>
      <c r="H64" s="162"/>
      <c r="I64" s="162"/>
      <c r="J64" s="162"/>
      <c r="K64" s="163">
        <v>6.6479999999999997E-2</v>
      </c>
    </row>
    <row r="65" spans="1:11" s="140" customFormat="1" ht="13.5" customHeight="1">
      <c r="A65" s="157">
        <v>16</v>
      </c>
      <c r="B65" s="158" t="s">
        <v>941</v>
      </c>
      <c r="C65" s="159" t="s">
        <v>947</v>
      </c>
      <c r="D65" s="159" t="s">
        <v>948</v>
      </c>
      <c r="E65" s="158" t="s">
        <v>83</v>
      </c>
      <c r="F65" s="160">
        <v>1</v>
      </c>
      <c r="G65" s="161"/>
      <c r="H65" s="162"/>
      <c r="I65" s="162"/>
      <c r="J65" s="162"/>
      <c r="K65" s="163">
        <v>5.9000000000000003E-4</v>
      </c>
    </row>
    <row r="66" spans="1:11" s="140" customFormat="1" ht="13.5" customHeight="1">
      <c r="A66" s="157">
        <v>15</v>
      </c>
      <c r="B66" s="158" t="s">
        <v>941</v>
      </c>
      <c r="C66" s="159" t="s">
        <v>949</v>
      </c>
      <c r="D66" s="159" t="s">
        <v>950</v>
      </c>
      <c r="E66" s="158" t="s">
        <v>83</v>
      </c>
      <c r="F66" s="160">
        <v>33</v>
      </c>
      <c r="G66" s="161"/>
      <c r="H66" s="162"/>
      <c r="I66" s="162"/>
      <c r="J66" s="162"/>
      <c r="K66" s="163">
        <v>3.993E-2</v>
      </c>
    </row>
    <row r="67" spans="1:11" s="140" customFormat="1" ht="13.5" customHeight="1">
      <c r="A67" s="157">
        <v>17</v>
      </c>
      <c r="B67" s="158" t="s">
        <v>941</v>
      </c>
      <c r="C67" s="159" t="s">
        <v>951</v>
      </c>
      <c r="D67" s="159" t="s">
        <v>952</v>
      </c>
      <c r="E67" s="158" t="s">
        <v>83</v>
      </c>
      <c r="F67" s="160">
        <v>10</v>
      </c>
      <c r="G67" s="161"/>
      <c r="H67" s="162"/>
      <c r="I67" s="162"/>
      <c r="J67" s="162"/>
      <c r="K67" s="163">
        <v>3.5000000000000001E-3</v>
      </c>
    </row>
    <row r="68" spans="1:11" s="140" customFormat="1" ht="13.5" customHeight="1">
      <c r="A68" s="157">
        <v>14</v>
      </c>
      <c r="B68" s="158" t="s">
        <v>941</v>
      </c>
      <c r="C68" s="159" t="s">
        <v>953</v>
      </c>
      <c r="D68" s="159" t="s">
        <v>954</v>
      </c>
      <c r="E68" s="158" t="s">
        <v>82</v>
      </c>
      <c r="F68" s="160">
        <v>1</v>
      </c>
      <c r="G68" s="161"/>
      <c r="H68" s="162"/>
      <c r="I68" s="162"/>
      <c r="J68" s="162"/>
      <c r="K68" s="163">
        <v>1.6000000000000001E-4</v>
      </c>
    </row>
    <row r="69" spans="1:11" s="140" customFormat="1" ht="13.5" customHeight="1" thickBot="1">
      <c r="A69" s="157">
        <v>12</v>
      </c>
      <c r="B69" s="158" t="s">
        <v>941</v>
      </c>
      <c r="C69" s="159" t="s">
        <v>955</v>
      </c>
      <c r="D69" s="159" t="s">
        <v>956</v>
      </c>
      <c r="E69" s="158" t="s">
        <v>82</v>
      </c>
      <c r="F69" s="160">
        <v>2</v>
      </c>
      <c r="G69" s="161"/>
      <c r="H69" s="162"/>
      <c r="I69" s="162"/>
      <c r="J69" s="206"/>
      <c r="K69" s="163">
        <v>5.8E-4</v>
      </c>
    </row>
    <row r="70" spans="1:11" s="140" customFormat="1" ht="18.600000000000001" customHeight="1" thickBot="1">
      <c r="A70" s="171"/>
      <c r="B70" s="172"/>
      <c r="C70" s="173"/>
      <c r="D70" s="173" t="s">
        <v>957</v>
      </c>
      <c r="E70" s="172"/>
      <c r="F70" s="174"/>
      <c r="G70" s="175"/>
      <c r="H70" s="207"/>
      <c r="I70" s="207"/>
      <c r="J70" s="208">
        <f>J61+J6</f>
        <v>0</v>
      </c>
      <c r="K70" s="176"/>
    </row>
  </sheetData>
  <pageMargins left="0.39370078740157483" right="0.39370078740157483" top="0.13" bottom="0.56000000000000005" header="0" footer="0"/>
  <pageSetup paperSize="9" scale="97" fitToHeight="100" orientation="landscape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K54"/>
  <sheetViews>
    <sheetView showGridLines="0" zoomScale="85" zoomScaleNormal="85" workbookViewId="0">
      <selection activeCell="H12" sqref="H12"/>
    </sheetView>
  </sheetViews>
  <sheetFormatPr defaultColWidth="8.140625" defaultRowHeight="12" customHeight="1"/>
  <cols>
    <col min="1" max="1" width="5" style="177" customWidth="1"/>
    <col min="2" max="2" width="5.5703125" style="178" customWidth="1"/>
    <col min="3" max="3" width="12" style="179" customWidth="1"/>
    <col min="4" max="4" width="51.140625" style="179" customWidth="1"/>
    <col min="5" max="5" width="6" style="178" customWidth="1"/>
    <col min="6" max="6" width="8.7109375" style="181" customWidth="1"/>
    <col min="7" max="7" width="10.28515625" style="181" customWidth="1"/>
    <col min="8" max="8" width="14.28515625" style="182" customWidth="1"/>
    <col min="9" max="9" width="13.5703125" style="182" customWidth="1"/>
    <col min="10" max="10" width="14" style="182" customWidth="1"/>
    <col min="11" max="11" width="10.28515625" style="183" customWidth="1"/>
    <col min="12" max="256" width="8.140625" style="184"/>
    <col min="257" max="257" width="5" style="184" customWidth="1"/>
    <col min="258" max="258" width="5.5703125" style="184" customWidth="1"/>
    <col min="259" max="259" width="12" style="184" customWidth="1"/>
    <col min="260" max="260" width="46.28515625" style="184" customWidth="1"/>
    <col min="261" max="261" width="6" style="184" customWidth="1"/>
    <col min="262" max="262" width="8.7109375" style="184" customWidth="1"/>
    <col min="263" max="263" width="10.28515625" style="184" customWidth="1"/>
    <col min="264" max="265" width="14.28515625" style="184" customWidth="1"/>
    <col min="266" max="266" width="14" style="184" customWidth="1"/>
    <col min="267" max="267" width="10.28515625" style="184" customWidth="1"/>
    <col min="268" max="512" width="8.140625" style="184"/>
    <col min="513" max="513" width="5" style="184" customWidth="1"/>
    <col min="514" max="514" width="5.5703125" style="184" customWidth="1"/>
    <col min="515" max="515" width="12" style="184" customWidth="1"/>
    <col min="516" max="516" width="46.28515625" style="184" customWidth="1"/>
    <col min="517" max="517" width="6" style="184" customWidth="1"/>
    <col min="518" max="518" width="8.7109375" style="184" customWidth="1"/>
    <col min="519" max="519" width="10.28515625" style="184" customWidth="1"/>
    <col min="520" max="521" width="14.28515625" style="184" customWidth="1"/>
    <col min="522" max="522" width="14" style="184" customWidth="1"/>
    <col min="523" max="523" width="10.28515625" style="184" customWidth="1"/>
    <col min="524" max="768" width="8.140625" style="184"/>
    <col min="769" max="769" width="5" style="184" customWidth="1"/>
    <col min="770" max="770" width="5.5703125" style="184" customWidth="1"/>
    <col min="771" max="771" width="12" style="184" customWidth="1"/>
    <col min="772" max="772" width="46.28515625" style="184" customWidth="1"/>
    <col min="773" max="773" width="6" style="184" customWidth="1"/>
    <col min="774" max="774" width="8.7109375" style="184" customWidth="1"/>
    <col min="775" max="775" width="10.28515625" style="184" customWidth="1"/>
    <col min="776" max="777" width="14.28515625" style="184" customWidth="1"/>
    <col min="778" max="778" width="14" style="184" customWidth="1"/>
    <col min="779" max="779" width="10.28515625" style="184" customWidth="1"/>
    <col min="780" max="1024" width="8.140625" style="184"/>
    <col min="1025" max="1025" width="5" style="184" customWidth="1"/>
    <col min="1026" max="1026" width="5.5703125" style="184" customWidth="1"/>
    <col min="1027" max="1027" width="12" style="184" customWidth="1"/>
    <col min="1028" max="1028" width="46.28515625" style="184" customWidth="1"/>
    <col min="1029" max="1029" width="6" style="184" customWidth="1"/>
    <col min="1030" max="1030" width="8.7109375" style="184" customWidth="1"/>
    <col min="1031" max="1031" width="10.28515625" style="184" customWidth="1"/>
    <col min="1032" max="1033" width="14.28515625" style="184" customWidth="1"/>
    <col min="1034" max="1034" width="14" style="184" customWidth="1"/>
    <col min="1035" max="1035" width="10.28515625" style="184" customWidth="1"/>
    <col min="1036" max="1280" width="8.140625" style="184"/>
    <col min="1281" max="1281" width="5" style="184" customWidth="1"/>
    <col min="1282" max="1282" width="5.5703125" style="184" customWidth="1"/>
    <col min="1283" max="1283" width="12" style="184" customWidth="1"/>
    <col min="1284" max="1284" width="46.28515625" style="184" customWidth="1"/>
    <col min="1285" max="1285" width="6" style="184" customWidth="1"/>
    <col min="1286" max="1286" width="8.7109375" style="184" customWidth="1"/>
    <col min="1287" max="1287" width="10.28515625" style="184" customWidth="1"/>
    <col min="1288" max="1289" width="14.28515625" style="184" customWidth="1"/>
    <col min="1290" max="1290" width="14" style="184" customWidth="1"/>
    <col min="1291" max="1291" width="10.28515625" style="184" customWidth="1"/>
    <col min="1292" max="1536" width="8.140625" style="184"/>
    <col min="1537" max="1537" width="5" style="184" customWidth="1"/>
    <col min="1538" max="1538" width="5.5703125" style="184" customWidth="1"/>
    <col min="1539" max="1539" width="12" style="184" customWidth="1"/>
    <col min="1540" max="1540" width="46.28515625" style="184" customWidth="1"/>
    <col min="1541" max="1541" width="6" style="184" customWidth="1"/>
    <col min="1542" max="1542" width="8.7109375" style="184" customWidth="1"/>
    <col min="1543" max="1543" width="10.28515625" style="184" customWidth="1"/>
    <col min="1544" max="1545" width="14.28515625" style="184" customWidth="1"/>
    <col min="1546" max="1546" width="14" style="184" customWidth="1"/>
    <col min="1547" max="1547" width="10.28515625" style="184" customWidth="1"/>
    <col min="1548" max="1792" width="8.140625" style="184"/>
    <col min="1793" max="1793" width="5" style="184" customWidth="1"/>
    <col min="1794" max="1794" width="5.5703125" style="184" customWidth="1"/>
    <col min="1795" max="1795" width="12" style="184" customWidth="1"/>
    <col min="1796" max="1796" width="46.28515625" style="184" customWidth="1"/>
    <col min="1797" max="1797" width="6" style="184" customWidth="1"/>
    <col min="1798" max="1798" width="8.7109375" style="184" customWidth="1"/>
    <col min="1799" max="1799" width="10.28515625" style="184" customWidth="1"/>
    <col min="1800" max="1801" width="14.28515625" style="184" customWidth="1"/>
    <col min="1802" max="1802" width="14" style="184" customWidth="1"/>
    <col min="1803" max="1803" width="10.28515625" style="184" customWidth="1"/>
    <col min="1804" max="2048" width="8.140625" style="184"/>
    <col min="2049" max="2049" width="5" style="184" customWidth="1"/>
    <col min="2050" max="2050" width="5.5703125" style="184" customWidth="1"/>
    <col min="2051" max="2051" width="12" style="184" customWidth="1"/>
    <col min="2052" max="2052" width="46.28515625" style="184" customWidth="1"/>
    <col min="2053" max="2053" width="6" style="184" customWidth="1"/>
    <col min="2054" max="2054" width="8.7109375" style="184" customWidth="1"/>
    <col min="2055" max="2055" width="10.28515625" style="184" customWidth="1"/>
    <col min="2056" max="2057" width="14.28515625" style="184" customWidth="1"/>
    <col min="2058" max="2058" width="14" style="184" customWidth="1"/>
    <col min="2059" max="2059" width="10.28515625" style="184" customWidth="1"/>
    <col min="2060" max="2304" width="8.140625" style="184"/>
    <col min="2305" max="2305" width="5" style="184" customWidth="1"/>
    <col min="2306" max="2306" width="5.5703125" style="184" customWidth="1"/>
    <col min="2307" max="2307" width="12" style="184" customWidth="1"/>
    <col min="2308" max="2308" width="46.28515625" style="184" customWidth="1"/>
    <col min="2309" max="2309" width="6" style="184" customWidth="1"/>
    <col min="2310" max="2310" width="8.7109375" style="184" customWidth="1"/>
    <col min="2311" max="2311" width="10.28515625" style="184" customWidth="1"/>
    <col min="2312" max="2313" width="14.28515625" style="184" customWidth="1"/>
    <col min="2314" max="2314" width="14" style="184" customWidth="1"/>
    <col min="2315" max="2315" width="10.28515625" style="184" customWidth="1"/>
    <col min="2316" max="2560" width="8.140625" style="184"/>
    <col min="2561" max="2561" width="5" style="184" customWidth="1"/>
    <col min="2562" max="2562" width="5.5703125" style="184" customWidth="1"/>
    <col min="2563" max="2563" width="12" style="184" customWidth="1"/>
    <col min="2564" max="2564" width="46.28515625" style="184" customWidth="1"/>
    <col min="2565" max="2565" width="6" style="184" customWidth="1"/>
    <col min="2566" max="2566" width="8.7109375" style="184" customWidth="1"/>
    <col min="2567" max="2567" width="10.28515625" style="184" customWidth="1"/>
    <col min="2568" max="2569" width="14.28515625" style="184" customWidth="1"/>
    <col min="2570" max="2570" width="14" style="184" customWidth="1"/>
    <col min="2571" max="2571" width="10.28515625" style="184" customWidth="1"/>
    <col min="2572" max="2816" width="8.140625" style="184"/>
    <col min="2817" max="2817" width="5" style="184" customWidth="1"/>
    <col min="2818" max="2818" width="5.5703125" style="184" customWidth="1"/>
    <col min="2819" max="2819" width="12" style="184" customWidth="1"/>
    <col min="2820" max="2820" width="46.28515625" style="184" customWidth="1"/>
    <col min="2821" max="2821" width="6" style="184" customWidth="1"/>
    <col min="2822" max="2822" width="8.7109375" style="184" customWidth="1"/>
    <col min="2823" max="2823" width="10.28515625" style="184" customWidth="1"/>
    <col min="2824" max="2825" width="14.28515625" style="184" customWidth="1"/>
    <col min="2826" max="2826" width="14" style="184" customWidth="1"/>
    <col min="2827" max="2827" width="10.28515625" style="184" customWidth="1"/>
    <col min="2828" max="3072" width="8.140625" style="184"/>
    <col min="3073" max="3073" width="5" style="184" customWidth="1"/>
    <col min="3074" max="3074" width="5.5703125" style="184" customWidth="1"/>
    <col min="3075" max="3075" width="12" style="184" customWidth="1"/>
    <col min="3076" max="3076" width="46.28515625" style="184" customWidth="1"/>
    <col min="3077" max="3077" width="6" style="184" customWidth="1"/>
    <col min="3078" max="3078" width="8.7109375" style="184" customWidth="1"/>
    <col min="3079" max="3079" width="10.28515625" style="184" customWidth="1"/>
    <col min="3080" max="3081" width="14.28515625" style="184" customWidth="1"/>
    <col min="3082" max="3082" width="14" style="184" customWidth="1"/>
    <col min="3083" max="3083" width="10.28515625" style="184" customWidth="1"/>
    <col min="3084" max="3328" width="8.140625" style="184"/>
    <col min="3329" max="3329" width="5" style="184" customWidth="1"/>
    <col min="3330" max="3330" width="5.5703125" style="184" customWidth="1"/>
    <col min="3331" max="3331" width="12" style="184" customWidth="1"/>
    <col min="3332" max="3332" width="46.28515625" style="184" customWidth="1"/>
    <col min="3333" max="3333" width="6" style="184" customWidth="1"/>
    <col min="3334" max="3334" width="8.7109375" style="184" customWidth="1"/>
    <col min="3335" max="3335" width="10.28515625" style="184" customWidth="1"/>
    <col min="3336" max="3337" width="14.28515625" style="184" customWidth="1"/>
    <col min="3338" max="3338" width="14" style="184" customWidth="1"/>
    <col min="3339" max="3339" width="10.28515625" style="184" customWidth="1"/>
    <col min="3340" max="3584" width="8.140625" style="184"/>
    <col min="3585" max="3585" width="5" style="184" customWidth="1"/>
    <col min="3586" max="3586" width="5.5703125" style="184" customWidth="1"/>
    <col min="3587" max="3587" width="12" style="184" customWidth="1"/>
    <col min="3588" max="3588" width="46.28515625" style="184" customWidth="1"/>
    <col min="3589" max="3589" width="6" style="184" customWidth="1"/>
    <col min="3590" max="3590" width="8.7109375" style="184" customWidth="1"/>
    <col min="3591" max="3591" width="10.28515625" style="184" customWidth="1"/>
    <col min="3592" max="3593" width="14.28515625" style="184" customWidth="1"/>
    <col min="3594" max="3594" width="14" style="184" customWidth="1"/>
    <col min="3595" max="3595" width="10.28515625" style="184" customWidth="1"/>
    <col min="3596" max="3840" width="8.140625" style="184"/>
    <col min="3841" max="3841" width="5" style="184" customWidth="1"/>
    <col min="3842" max="3842" width="5.5703125" style="184" customWidth="1"/>
    <col min="3843" max="3843" width="12" style="184" customWidth="1"/>
    <col min="3844" max="3844" width="46.28515625" style="184" customWidth="1"/>
    <col min="3845" max="3845" width="6" style="184" customWidth="1"/>
    <col min="3846" max="3846" width="8.7109375" style="184" customWidth="1"/>
    <col min="3847" max="3847" width="10.28515625" style="184" customWidth="1"/>
    <col min="3848" max="3849" width="14.28515625" style="184" customWidth="1"/>
    <col min="3850" max="3850" width="14" style="184" customWidth="1"/>
    <col min="3851" max="3851" width="10.28515625" style="184" customWidth="1"/>
    <col min="3852" max="4096" width="8.140625" style="184"/>
    <col min="4097" max="4097" width="5" style="184" customWidth="1"/>
    <col min="4098" max="4098" width="5.5703125" style="184" customWidth="1"/>
    <col min="4099" max="4099" width="12" style="184" customWidth="1"/>
    <col min="4100" max="4100" width="46.28515625" style="184" customWidth="1"/>
    <col min="4101" max="4101" width="6" style="184" customWidth="1"/>
    <col min="4102" max="4102" width="8.7109375" style="184" customWidth="1"/>
    <col min="4103" max="4103" width="10.28515625" style="184" customWidth="1"/>
    <col min="4104" max="4105" width="14.28515625" style="184" customWidth="1"/>
    <col min="4106" max="4106" width="14" style="184" customWidth="1"/>
    <col min="4107" max="4107" width="10.28515625" style="184" customWidth="1"/>
    <col min="4108" max="4352" width="8.140625" style="184"/>
    <col min="4353" max="4353" width="5" style="184" customWidth="1"/>
    <col min="4354" max="4354" width="5.5703125" style="184" customWidth="1"/>
    <col min="4355" max="4355" width="12" style="184" customWidth="1"/>
    <col min="4356" max="4356" width="46.28515625" style="184" customWidth="1"/>
    <col min="4357" max="4357" width="6" style="184" customWidth="1"/>
    <col min="4358" max="4358" width="8.7109375" style="184" customWidth="1"/>
    <col min="4359" max="4359" width="10.28515625" style="184" customWidth="1"/>
    <col min="4360" max="4361" width="14.28515625" style="184" customWidth="1"/>
    <col min="4362" max="4362" width="14" style="184" customWidth="1"/>
    <col min="4363" max="4363" width="10.28515625" style="184" customWidth="1"/>
    <col min="4364" max="4608" width="8.140625" style="184"/>
    <col min="4609" max="4609" width="5" style="184" customWidth="1"/>
    <col min="4610" max="4610" width="5.5703125" style="184" customWidth="1"/>
    <col min="4611" max="4611" width="12" style="184" customWidth="1"/>
    <col min="4612" max="4612" width="46.28515625" style="184" customWidth="1"/>
    <col min="4613" max="4613" width="6" style="184" customWidth="1"/>
    <col min="4614" max="4614" width="8.7109375" style="184" customWidth="1"/>
    <col min="4615" max="4615" width="10.28515625" style="184" customWidth="1"/>
    <col min="4616" max="4617" width="14.28515625" style="184" customWidth="1"/>
    <col min="4618" max="4618" width="14" style="184" customWidth="1"/>
    <col min="4619" max="4619" width="10.28515625" style="184" customWidth="1"/>
    <col min="4620" max="4864" width="8.140625" style="184"/>
    <col min="4865" max="4865" width="5" style="184" customWidth="1"/>
    <col min="4866" max="4866" width="5.5703125" style="184" customWidth="1"/>
    <col min="4867" max="4867" width="12" style="184" customWidth="1"/>
    <col min="4868" max="4868" width="46.28515625" style="184" customWidth="1"/>
    <col min="4869" max="4869" width="6" style="184" customWidth="1"/>
    <col min="4870" max="4870" width="8.7109375" style="184" customWidth="1"/>
    <col min="4871" max="4871" width="10.28515625" style="184" customWidth="1"/>
    <col min="4872" max="4873" width="14.28515625" style="184" customWidth="1"/>
    <col min="4874" max="4874" width="14" style="184" customWidth="1"/>
    <col min="4875" max="4875" width="10.28515625" style="184" customWidth="1"/>
    <col min="4876" max="5120" width="8.140625" style="184"/>
    <col min="5121" max="5121" width="5" style="184" customWidth="1"/>
    <col min="5122" max="5122" width="5.5703125" style="184" customWidth="1"/>
    <col min="5123" max="5123" width="12" style="184" customWidth="1"/>
    <col min="5124" max="5124" width="46.28515625" style="184" customWidth="1"/>
    <col min="5125" max="5125" width="6" style="184" customWidth="1"/>
    <col min="5126" max="5126" width="8.7109375" style="184" customWidth="1"/>
    <col min="5127" max="5127" width="10.28515625" style="184" customWidth="1"/>
    <col min="5128" max="5129" width="14.28515625" style="184" customWidth="1"/>
    <col min="5130" max="5130" width="14" style="184" customWidth="1"/>
    <col min="5131" max="5131" width="10.28515625" style="184" customWidth="1"/>
    <col min="5132" max="5376" width="8.140625" style="184"/>
    <col min="5377" max="5377" width="5" style="184" customWidth="1"/>
    <col min="5378" max="5378" width="5.5703125" style="184" customWidth="1"/>
    <col min="5379" max="5379" width="12" style="184" customWidth="1"/>
    <col min="5380" max="5380" width="46.28515625" style="184" customWidth="1"/>
    <col min="5381" max="5381" width="6" style="184" customWidth="1"/>
    <col min="5382" max="5382" width="8.7109375" style="184" customWidth="1"/>
    <col min="5383" max="5383" width="10.28515625" style="184" customWidth="1"/>
    <col min="5384" max="5385" width="14.28515625" style="184" customWidth="1"/>
    <col min="5386" max="5386" width="14" style="184" customWidth="1"/>
    <col min="5387" max="5387" width="10.28515625" style="184" customWidth="1"/>
    <col min="5388" max="5632" width="8.140625" style="184"/>
    <col min="5633" max="5633" width="5" style="184" customWidth="1"/>
    <col min="5634" max="5634" width="5.5703125" style="184" customWidth="1"/>
    <col min="5635" max="5635" width="12" style="184" customWidth="1"/>
    <col min="5636" max="5636" width="46.28515625" style="184" customWidth="1"/>
    <col min="5637" max="5637" width="6" style="184" customWidth="1"/>
    <col min="5638" max="5638" width="8.7109375" style="184" customWidth="1"/>
    <col min="5639" max="5639" width="10.28515625" style="184" customWidth="1"/>
    <col min="5640" max="5641" width="14.28515625" style="184" customWidth="1"/>
    <col min="5642" max="5642" width="14" style="184" customWidth="1"/>
    <col min="5643" max="5643" width="10.28515625" style="184" customWidth="1"/>
    <col min="5644" max="5888" width="8.140625" style="184"/>
    <col min="5889" max="5889" width="5" style="184" customWidth="1"/>
    <col min="5890" max="5890" width="5.5703125" style="184" customWidth="1"/>
    <col min="5891" max="5891" width="12" style="184" customWidth="1"/>
    <col min="5892" max="5892" width="46.28515625" style="184" customWidth="1"/>
    <col min="5893" max="5893" width="6" style="184" customWidth="1"/>
    <col min="5894" max="5894" width="8.7109375" style="184" customWidth="1"/>
    <col min="5895" max="5895" width="10.28515625" style="184" customWidth="1"/>
    <col min="5896" max="5897" width="14.28515625" style="184" customWidth="1"/>
    <col min="5898" max="5898" width="14" style="184" customWidth="1"/>
    <col min="5899" max="5899" width="10.28515625" style="184" customWidth="1"/>
    <col min="5900" max="6144" width="8.140625" style="184"/>
    <col min="6145" max="6145" width="5" style="184" customWidth="1"/>
    <col min="6146" max="6146" width="5.5703125" style="184" customWidth="1"/>
    <col min="6147" max="6147" width="12" style="184" customWidth="1"/>
    <col min="6148" max="6148" width="46.28515625" style="184" customWidth="1"/>
    <col min="6149" max="6149" width="6" style="184" customWidth="1"/>
    <col min="6150" max="6150" width="8.7109375" style="184" customWidth="1"/>
    <col min="6151" max="6151" width="10.28515625" style="184" customWidth="1"/>
    <col min="6152" max="6153" width="14.28515625" style="184" customWidth="1"/>
    <col min="6154" max="6154" width="14" style="184" customWidth="1"/>
    <col min="6155" max="6155" width="10.28515625" style="184" customWidth="1"/>
    <col min="6156" max="6400" width="8.140625" style="184"/>
    <col min="6401" max="6401" width="5" style="184" customWidth="1"/>
    <col min="6402" max="6402" width="5.5703125" style="184" customWidth="1"/>
    <col min="6403" max="6403" width="12" style="184" customWidth="1"/>
    <col min="6404" max="6404" width="46.28515625" style="184" customWidth="1"/>
    <col min="6405" max="6405" width="6" style="184" customWidth="1"/>
    <col min="6406" max="6406" width="8.7109375" style="184" customWidth="1"/>
    <col min="6407" max="6407" width="10.28515625" style="184" customWidth="1"/>
    <col min="6408" max="6409" width="14.28515625" style="184" customWidth="1"/>
    <col min="6410" max="6410" width="14" style="184" customWidth="1"/>
    <col min="6411" max="6411" width="10.28515625" style="184" customWidth="1"/>
    <col min="6412" max="6656" width="8.140625" style="184"/>
    <col min="6657" max="6657" width="5" style="184" customWidth="1"/>
    <col min="6658" max="6658" width="5.5703125" style="184" customWidth="1"/>
    <col min="6659" max="6659" width="12" style="184" customWidth="1"/>
    <col min="6660" max="6660" width="46.28515625" style="184" customWidth="1"/>
    <col min="6661" max="6661" width="6" style="184" customWidth="1"/>
    <col min="6662" max="6662" width="8.7109375" style="184" customWidth="1"/>
    <col min="6663" max="6663" width="10.28515625" style="184" customWidth="1"/>
    <col min="6664" max="6665" width="14.28515625" style="184" customWidth="1"/>
    <col min="6666" max="6666" width="14" style="184" customWidth="1"/>
    <col min="6667" max="6667" width="10.28515625" style="184" customWidth="1"/>
    <col min="6668" max="6912" width="8.140625" style="184"/>
    <col min="6913" max="6913" width="5" style="184" customWidth="1"/>
    <col min="6914" max="6914" width="5.5703125" style="184" customWidth="1"/>
    <col min="6915" max="6915" width="12" style="184" customWidth="1"/>
    <col min="6916" max="6916" width="46.28515625" style="184" customWidth="1"/>
    <col min="6917" max="6917" width="6" style="184" customWidth="1"/>
    <col min="6918" max="6918" width="8.7109375" style="184" customWidth="1"/>
    <col min="6919" max="6919" width="10.28515625" style="184" customWidth="1"/>
    <col min="6920" max="6921" width="14.28515625" style="184" customWidth="1"/>
    <col min="6922" max="6922" width="14" style="184" customWidth="1"/>
    <col min="6923" max="6923" width="10.28515625" style="184" customWidth="1"/>
    <col min="6924" max="7168" width="8.140625" style="184"/>
    <col min="7169" max="7169" width="5" style="184" customWidth="1"/>
    <col min="7170" max="7170" width="5.5703125" style="184" customWidth="1"/>
    <col min="7171" max="7171" width="12" style="184" customWidth="1"/>
    <col min="7172" max="7172" width="46.28515625" style="184" customWidth="1"/>
    <col min="7173" max="7173" width="6" style="184" customWidth="1"/>
    <col min="7174" max="7174" width="8.7109375" style="184" customWidth="1"/>
    <col min="7175" max="7175" width="10.28515625" style="184" customWidth="1"/>
    <col min="7176" max="7177" width="14.28515625" style="184" customWidth="1"/>
    <col min="7178" max="7178" width="14" style="184" customWidth="1"/>
    <col min="7179" max="7179" width="10.28515625" style="184" customWidth="1"/>
    <col min="7180" max="7424" width="8.140625" style="184"/>
    <col min="7425" max="7425" width="5" style="184" customWidth="1"/>
    <col min="7426" max="7426" width="5.5703125" style="184" customWidth="1"/>
    <col min="7427" max="7427" width="12" style="184" customWidth="1"/>
    <col min="7428" max="7428" width="46.28515625" style="184" customWidth="1"/>
    <col min="7429" max="7429" width="6" style="184" customWidth="1"/>
    <col min="7430" max="7430" width="8.7109375" style="184" customWidth="1"/>
    <col min="7431" max="7431" width="10.28515625" style="184" customWidth="1"/>
    <col min="7432" max="7433" width="14.28515625" style="184" customWidth="1"/>
    <col min="7434" max="7434" width="14" style="184" customWidth="1"/>
    <col min="7435" max="7435" width="10.28515625" style="184" customWidth="1"/>
    <col min="7436" max="7680" width="8.140625" style="184"/>
    <col min="7681" max="7681" width="5" style="184" customWidth="1"/>
    <col min="7682" max="7682" width="5.5703125" style="184" customWidth="1"/>
    <col min="7683" max="7683" width="12" style="184" customWidth="1"/>
    <col min="7684" max="7684" width="46.28515625" style="184" customWidth="1"/>
    <col min="7685" max="7685" width="6" style="184" customWidth="1"/>
    <col min="7686" max="7686" width="8.7109375" style="184" customWidth="1"/>
    <col min="7687" max="7687" width="10.28515625" style="184" customWidth="1"/>
    <col min="7688" max="7689" width="14.28515625" style="184" customWidth="1"/>
    <col min="7690" max="7690" width="14" style="184" customWidth="1"/>
    <col min="7691" max="7691" width="10.28515625" style="184" customWidth="1"/>
    <col min="7692" max="7936" width="8.140625" style="184"/>
    <col min="7937" max="7937" width="5" style="184" customWidth="1"/>
    <col min="7938" max="7938" width="5.5703125" style="184" customWidth="1"/>
    <col min="7939" max="7939" width="12" style="184" customWidth="1"/>
    <col min="7940" max="7940" width="46.28515625" style="184" customWidth="1"/>
    <col min="7941" max="7941" width="6" style="184" customWidth="1"/>
    <col min="7942" max="7942" width="8.7109375" style="184" customWidth="1"/>
    <col min="7943" max="7943" width="10.28515625" style="184" customWidth="1"/>
    <col min="7944" max="7945" width="14.28515625" style="184" customWidth="1"/>
    <col min="7946" max="7946" width="14" style="184" customWidth="1"/>
    <col min="7947" max="7947" width="10.28515625" style="184" customWidth="1"/>
    <col min="7948" max="8192" width="8.140625" style="184"/>
    <col min="8193" max="8193" width="5" style="184" customWidth="1"/>
    <col min="8194" max="8194" width="5.5703125" style="184" customWidth="1"/>
    <col min="8195" max="8195" width="12" style="184" customWidth="1"/>
    <col min="8196" max="8196" width="46.28515625" style="184" customWidth="1"/>
    <col min="8197" max="8197" width="6" style="184" customWidth="1"/>
    <col min="8198" max="8198" width="8.7109375" style="184" customWidth="1"/>
    <col min="8199" max="8199" width="10.28515625" style="184" customWidth="1"/>
    <col min="8200" max="8201" width="14.28515625" style="184" customWidth="1"/>
    <col min="8202" max="8202" width="14" style="184" customWidth="1"/>
    <col min="8203" max="8203" width="10.28515625" style="184" customWidth="1"/>
    <col min="8204" max="8448" width="8.140625" style="184"/>
    <col min="8449" max="8449" width="5" style="184" customWidth="1"/>
    <col min="8450" max="8450" width="5.5703125" style="184" customWidth="1"/>
    <col min="8451" max="8451" width="12" style="184" customWidth="1"/>
    <col min="8452" max="8452" width="46.28515625" style="184" customWidth="1"/>
    <col min="8453" max="8453" width="6" style="184" customWidth="1"/>
    <col min="8454" max="8454" width="8.7109375" style="184" customWidth="1"/>
    <col min="8455" max="8455" width="10.28515625" style="184" customWidth="1"/>
    <col min="8456" max="8457" width="14.28515625" style="184" customWidth="1"/>
    <col min="8458" max="8458" width="14" style="184" customWidth="1"/>
    <col min="8459" max="8459" width="10.28515625" style="184" customWidth="1"/>
    <col min="8460" max="8704" width="8.140625" style="184"/>
    <col min="8705" max="8705" width="5" style="184" customWidth="1"/>
    <col min="8706" max="8706" width="5.5703125" style="184" customWidth="1"/>
    <col min="8707" max="8707" width="12" style="184" customWidth="1"/>
    <col min="8708" max="8708" width="46.28515625" style="184" customWidth="1"/>
    <col min="8709" max="8709" width="6" style="184" customWidth="1"/>
    <col min="8710" max="8710" width="8.7109375" style="184" customWidth="1"/>
    <col min="8711" max="8711" width="10.28515625" style="184" customWidth="1"/>
    <col min="8712" max="8713" width="14.28515625" style="184" customWidth="1"/>
    <col min="8714" max="8714" width="14" style="184" customWidth="1"/>
    <col min="8715" max="8715" width="10.28515625" style="184" customWidth="1"/>
    <col min="8716" max="8960" width="8.140625" style="184"/>
    <col min="8961" max="8961" width="5" style="184" customWidth="1"/>
    <col min="8962" max="8962" width="5.5703125" style="184" customWidth="1"/>
    <col min="8963" max="8963" width="12" style="184" customWidth="1"/>
    <col min="8964" max="8964" width="46.28515625" style="184" customWidth="1"/>
    <col min="8965" max="8965" width="6" style="184" customWidth="1"/>
    <col min="8966" max="8966" width="8.7109375" style="184" customWidth="1"/>
    <col min="8967" max="8967" width="10.28515625" style="184" customWidth="1"/>
    <col min="8968" max="8969" width="14.28515625" style="184" customWidth="1"/>
    <col min="8970" max="8970" width="14" style="184" customWidth="1"/>
    <col min="8971" max="8971" width="10.28515625" style="184" customWidth="1"/>
    <col min="8972" max="9216" width="8.140625" style="184"/>
    <col min="9217" max="9217" width="5" style="184" customWidth="1"/>
    <col min="9218" max="9218" width="5.5703125" style="184" customWidth="1"/>
    <col min="9219" max="9219" width="12" style="184" customWidth="1"/>
    <col min="9220" max="9220" width="46.28515625" style="184" customWidth="1"/>
    <col min="9221" max="9221" width="6" style="184" customWidth="1"/>
    <col min="9222" max="9222" width="8.7109375" style="184" customWidth="1"/>
    <col min="9223" max="9223" width="10.28515625" style="184" customWidth="1"/>
    <col min="9224" max="9225" width="14.28515625" style="184" customWidth="1"/>
    <col min="9226" max="9226" width="14" style="184" customWidth="1"/>
    <col min="9227" max="9227" width="10.28515625" style="184" customWidth="1"/>
    <col min="9228" max="9472" width="8.140625" style="184"/>
    <col min="9473" max="9473" width="5" style="184" customWidth="1"/>
    <col min="9474" max="9474" width="5.5703125" style="184" customWidth="1"/>
    <col min="9475" max="9475" width="12" style="184" customWidth="1"/>
    <col min="9476" max="9476" width="46.28515625" style="184" customWidth="1"/>
    <col min="9477" max="9477" width="6" style="184" customWidth="1"/>
    <col min="9478" max="9478" width="8.7109375" style="184" customWidth="1"/>
    <col min="9479" max="9479" width="10.28515625" style="184" customWidth="1"/>
    <col min="9480" max="9481" width="14.28515625" style="184" customWidth="1"/>
    <col min="9482" max="9482" width="14" style="184" customWidth="1"/>
    <col min="9483" max="9483" width="10.28515625" style="184" customWidth="1"/>
    <col min="9484" max="9728" width="8.140625" style="184"/>
    <col min="9729" max="9729" width="5" style="184" customWidth="1"/>
    <col min="9730" max="9730" width="5.5703125" style="184" customWidth="1"/>
    <col min="9731" max="9731" width="12" style="184" customWidth="1"/>
    <col min="9732" max="9732" width="46.28515625" style="184" customWidth="1"/>
    <col min="9733" max="9733" width="6" style="184" customWidth="1"/>
    <col min="9734" max="9734" width="8.7109375" style="184" customWidth="1"/>
    <col min="9735" max="9735" width="10.28515625" style="184" customWidth="1"/>
    <col min="9736" max="9737" width="14.28515625" style="184" customWidth="1"/>
    <col min="9738" max="9738" width="14" style="184" customWidth="1"/>
    <col min="9739" max="9739" width="10.28515625" style="184" customWidth="1"/>
    <col min="9740" max="9984" width="8.140625" style="184"/>
    <col min="9985" max="9985" width="5" style="184" customWidth="1"/>
    <col min="9986" max="9986" width="5.5703125" style="184" customWidth="1"/>
    <col min="9987" max="9987" width="12" style="184" customWidth="1"/>
    <col min="9988" max="9988" width="46.28515625" style="184" customWidth="1"/>
    <col min="9989" max="9989" width="6" style="184" customWidth="1"/>
    <col min="9990" max="9990" width="8.7109375" style="184" customWidth="1"/>
    <col min="9991" max="9991" width="10.28515625" style="184" customWidth="1"/>
    <col min="9992" max="9993" width="14.28515625" style="184" customWidth="1"/>
    <col min="9994" max="9994" width="14" style="184" customWidth="1"/>
    <col min="9995" max="9995" width="10.28515625" style="184" customWidth="1"/>
    <col min="9996" max="10240" width="8.140625" style="184"/>
    <col min="10241" max="10241" width="5" style="184" customWidth="1"/>
    <col min="10242" max="10242" width="5.5703125" style="184" customWidth="1"/>
    <col min="10243" max="10243" width="12" style="184" customWidth="1"/>
    <col min="10244" max="10244" width="46.28515625" style="184" customWidth="1"/>
    <col min="10245" max="10245" width="6" style="184" customWidth="1"/>
    <col min="10246" max="10246" width="8.7109375" style="184" customWidth="1"/>
    <col min="10247" max="10247" width="10.28515625" style="184" customWidth="1"/>
    <col min="10248" max="10249" width="14.28515625" style="184" customWidth="1"/>
    <col min="10250" max="10250" width="14" style="184" customWidth="1"/>
    <col min="10251" max="10251" width="10.28515625" style="184" customWidth="1"/>
    <col min="10252" max="10496" width="8.140625" style="184"/>
    <col min="10497" max="10497" width="5" style="184" customWidth="1"/>
    <col min="10498" max="10498" width="5.5703125" style="184" customWidth="1"/>
    <col min="10499" max="10499" width="12" style="184" customWidth="1"/>
    <col min="10500" max="10500" width="46.28515625" style="184" customWidth="1"/>
    <col min="10501" max="10501" width="6" style="184" customWidth="1"/>
    <col min="10502" max="10502" width="8.7109375" style="184" customWidth="1"/>
    <col min="10503" max="10503" width="10.28515625" style="184" customWidth="1"/>
    <col min="10504" max="10505" width="14.28515625" style="184" customWidth="1"/>
    <col min="10506" max="10506" width="14" style="184" customWidth="1"/>
    <col min="10507" max="10507" width="10.28515625" style="184" customWidth="1"/>
    <col min="10508" max="10752" width="8.140625" style="184"/>
    <col min="10753" max="10753" width="5" style="184" customWidth="1"/>
    <col min="10754" max="10754" width="5.5703125" style="184" customWidth="1"/>
    <col min="10755" max="10755" width="12" style="184" customWidth="1"/>
    <col min="10756" max="10756" width="46.28515625" style="184" customWidth="1"/>
    <col min="10757" max="10757" width="6" style="184" customWidth="1"/>
    <col min="10758" max="10758" width="8.7109375" style="184" customWidth="1"/>
    <col min="10759" max="10759" width="10.28515625" style="184" customWidth="1"/>
    <col min="10760" max="10761" width="14.28515625" style="184" customWidth="1"/>
    <col min="10762" max="10762" width="14" style="184" customWidth="1"/>
    <col min="10763" max="10763" width="10.28515625" style="184" customWidth="1"/>
    <col min="10764" max="11008" width="8.140625" style="184"/>
    <col min="11009" max="11009" width="5" style="184" customWidth="1"/>
    <col min="11010" max="11010" width="5.5703125" style="184" customWidth="1"/>
    <col min="11011" max="11011" width="12" style="184" customWidth="1"/>
    <col min="11012" max="11012" width="46.28515625" style="184" customWidth="1"/>
    <col min="11013" max="11013" width="6" style="184" customWidth="1"/>
    <col min="11014" max="11014" width="8.7109375" style="184" customWidth="1"/>
    <col min="11015" max="11015" width="10.28515625" style="184" customWidth="1"/>
    <col min="11016" max="11017" width="14.28515625" style="184" customWidth="1"/>
    <col min="11018" max="11018" width="14" style="184" customWidth="1"/>
    <col min="11019" max="11019" width="10.28515625" style="184" customWidth="1"/>
    <col min="11020" max="11264" width="8.140625" style="184"/>
    <col min="11265" max="11265" width="5" style="184" customWidth="1"/>
    <col min="11266" max="11266" width="5.5703125" style="184" customWidth="1"/>
    <col min="11267" max="11267" width="12" style="184" customWidth="1"/>
    <col min="11268" max="11268" width="46.28515625" style="184" customWidth="1"/>
    <col min="11269" max="11269" width="6" style="184" customWidth="1"/>
    <col min="11270" max="11270" width="8.7109375" style="184" customWidth="1"/>
    <col min="11271" max="11271" width="10.28515625" style="184" customWidth="1"/>
    <col min="11272" max="11273" width="14.28515625" style="184" customWidth="1"/>
    <col min="11274" max="11274" width="14" style="184" customWidth="1"/>
    <col min="11275" max="11275" width="10.28515625" style="184" customWidth="1"/>
    <col min="11276" max="11520" width="8.140625" style="184"/>
    <col min="11521" max="11521" width="5" style="184" customWidth="1"/>
    <col min="11522" max="11522" width="5.5703125" style="184" customWidth="1"/>
    <col min="11523" max="11523" width="12" style="184" customWidth="1"/>
    <col min="11524" max="11524" width="46.28515625" style="184" customWidth="1"/>
    <col min="11525" max="11525" width="6" style="184" customWidth="1"/>
    <col min="11526" max="11526" width="8.7109375" style="184" customWidth="1"/>
    <col min="11527" max="11527" width="10.28515625" style="184" customWidth="1"/>
    <col min="11528" max="11529" width="14.28515625" style="184" customWidth="1"/>
    <col min="11530" max="11530" width="14" style="184" customWidth="1"/>
    <col min="11531" max="11531" width="10.28515625" style="184" customWidth="1"/>
    <col min="11532" max="11776" width="8.140625" style="184"/>
    <col min="11777" max="11777" width="5" style="184" customWidth="1"/>
    <col min="11778" max="11778" width="5.5703125" style="184" customWidth="1"/>
    <col min="11779" max="11779" width="12" style="184" customWidth="1"/>
    <col min="11780" max="11780" width="46.28515625" style="184" customWidth="1"/>
    <col min="11781" max="11781" width="6" style="184" customWidth="1"/>
    <col min="11782" max="11782" width="8.7109375" style="184" customWidth="1"/>
    <col min="11783" max="11783" width="10.28515625" style="184" customWidth="1"/>
    <col min="11784" max="11785" width="14.28515625" style="184" customWidth="1"/>
    <col min="11786" max="11786" width="14" style="184" customWidth="1"/>
    <col min="11787" max="11787" width="10.28515625" style="184" customWidth="1"/>
    <col min="11788" max="12032" width="8.140625" style="184"/>
    <col min="12033" max="12033" width="5" style="184" customWidth="1"/>
    <col min="12034" max="12034" width="5.5703125" style="184" customWidth="1"/>
    <col min="12035" max="12035" width="12" style="184" customWidth="1"/>
    <col min="12036" max="12036" width="46.28515625" style="184" customWidth="1"/>
    <col min="12037" max="12037" width="6" style="184" customWidth="1"/>
    <col min="12038" max="12038" width="8.7109375" style="184" customWidth="1"/>
    <col min="12039" max="12039" width="10.28515625" style="184" customWidth="1"/>
    <col min="12040" max="12041" width="14.28515625" style="184" customWidth="1"/>
    <col min="12042" max="12042" width="14" style="184" customWidth="1"/>
    <col min="12043" max="12043" width="10.28515625" style="184" customWidth="1"/>
    <col min="12044" max="12288" width="8.140625" style="184"/>
    <col min="12289" max="12289" width="5" style="184" customWidth="1"/>
    <col min="12290" max="12290" width="5.5703125" style="184" customWidth="1"/>
    <col min="12291" max="12291" width="12" style="184" customWidth="1"/>
    <col min="12292" max="12292" width="46.28515625" style="184" customWidth="1"/>
    <col min="12293" max="12293" width="6" style="184" customWidth="1"/>
    <col min="12294" max="12294" width="8.7109375" style="184" customWidth="1"/>
    <col min="12295" max="12295" width="10.28515625" style="184" customWidth="1"/>
    <col min="12296" max="12297" width="14.28515625" style="184" customWidth="1"/>
    <col min="12298" max="12298" width="14" style="184" customWidth="1"/>
    <col min="12299" max="12299" width="10.28515625" style="184" customWidth="1"/>
    <col min="12300" max="12544" width="8.140625" style="184"/>
    <col min="12545" max="12545" width="5" style="184" customWidth="1"/>
    <col min="12546" max="12546" width="5.5703125" style="184" customWidth="1"/>
    <col min="12547" max="12547" width="12" style="184" customWidth="1"/>
    <col min="12548" max="12548" width="46.28515625" style="184" customWidth="1"/>
    <col min="12549" max="12549" width="6" style="184" customWidth="1"/>
    <col min="12550" max="12550" width="8.7109375" style="184" customWidth="1"/>
    <col min="12551" max="12551" width="10.28515625" style="184" customWidth="1"/>
    <col min="12552" max="12553" width="14.28515625" style="184" customWidth="1"/>
    <col min="12554" max="12554" width="14" style="184" customWidth="1"/>
    <col min="12555" max="12555" width="10.28515625" style="184" customWidth="1"/>
    <col min="12556" max="12800" width="8.140625" style="184"/>
    <col min="12801" max="12801" width="5" style="184" customWidth="1"/>
    <col min="12802" max="12802" width="5.5703125" style="184" customWidth="1"/>
    <col min="12803" max="12803" width="12" style="184" customWidth="1"/>
    <col min="12804" max="12804" width="46.28515625" style="184" customWidth="1"/>
    <col min="12805" max="12805" width="6" style="184" customWidth="1"/>
    <col min="12806" max="12806" width="8.7109375" style="184" customWidth="1"/>
    <col min="12807" max="12807" width="10.28515625" style="184" customWidth="1"/>
    <col min="12808" max="12809" width="14.28515625" style="184" customWidth="1"/>
    <col min="12810" max="12810" width="14" style="184" customWidth="1"/>
    <col min="12811" max="12811" width="10.28515625" style="184" customWidth="1"/>
    <col min="12812" max="13056" width="8.140625" style="184"/>
    <col min="13057" max="13057" width="5" style="184" customWidth="1"/>
    <col min="13058" max="13058" width="5.5703125" style="184" customWidth="1"/>
    <col min="13059" max="13059" width="12" style="184" customWidth="1"/>
    <col min="13060" max="13060" width="46.28515625" style="184" customWidth="1"/>
    <col min="13061" max="13061" width="6" style="184" customWidth="1"/>
    <col min="13062" max="13062" width="8.7109375" style="184" customWidth="1"/>
    <col min="13063" max="13063" width="10.28515625" style="184" customWidth="1"/>
    <col min="13064" max="13065" width="14.28515625" style="184" customWidth="1"/>
    <col min="13066" max="13066" width="14" style="184" customWidth="1"/>
    <col min="13067" max="13067" width="10.28515625" style="184" customWidth="1"/>
    <col min="13068" max="13312" width="8.140625" style="184"/>
    <col min="13313" max="13313" width="5" style="184" customWidth="1"/>
    <col min="13314" max="13314" width="5.5703125" style="184" customWidth="1"/>
    <col min="13315" max="13315" width="12" style="184" customWidth="1"/>
    <col min="13316" max="13316" width="46.28515625" style="184" customWidth="1"/>
    <col min="13317" max="13317" width="6" style="184" customWidth="1"/>
    <col min="13318" max="13318" width="8.7109375" style="184" customWidth="1"/>
    <col min="13319" max="13319" width="10.28515625" style="184" customWidth="1"/>
    <col min="13320" max="13321" width="14.28515625" style="184" customWidth="1"/>
    <col min="13322" max="13322" width="14" style="184" customWidth="1"/>
    <col min="13323" max="13323" width="10.28515625" style="184" customWidth="1"/>
    <col min="13324" max="13568" width="8.140625" style="184"/>
    <col min="13569" max="13569" width="5" style="184" customWidth="1"/>
    <col min="13570" max="13570" width="5.5703125" style="184" customWidth="1"/>
    <col min="13571" max="13571" width="12" style="184" customWidth="1"/>
    <col min="13572" max="13572" width="46.28515625" style="184" customWidth="1"/>
    <col min="13573" max="13573" width="6" style="184" customWidth="1"/>
    <col min="13574" max="13574" width="8.7109375" style="184" customWidth="1"/>
    <col min="13575" max="13575" width="10.28515625" style="184" customWidth="1"/>
    <col min="13576" max="13577" width="14.28515625" style="184" customWidth="1"/>
    <col min="13578" max="13578" width="14" style="184" customWidth="1"/>
    <col min="13579" max="13579" width="10.28515625" style="184" customWidth="1"/>
    <col min="13580" max="13824" width="8.140625" style="184"/>
    <col min="13825" max="13825" width="5" style="184" customWidth="1"/>
    <col min="13826" max="13826" width="5.5703125" style="184" customWidth="1"/>
    <col min="13827" max="13827" width="12" style="184" customWidth="1"/>
    <col min="13828" max="13828" width="46.28515625" style="184" customWidth="1"/>
    <col min="13829" max="13829" width="6" style="184" customWidth="1"/>
    <col min="13830" max="13830" width="8.7109375" style="184" customWidth="1"/>
    <col min="13831" max="13831" width="10.28515625" style="184" customWidth="1"/>
    <col min="13832" max="13833" width="14.28515625" style="184" customWidth="1"/>
    <col min="13834" max="13834" width="14" style="184" customWidth="1"/>
    <col min="13835" max="13835" width="10.28515625" style="184" customWidth="1"/>
    <col min="13836" max="14080" width="8.140625" style="184"/>
    <col min="14081" max="14081" width="5" style="184" customWidth="1"/>
    <col min="14082" max="14082" width="5.5703125" style="184" customWidth="1"/>
    <col min="14083" max="14083" width="12" style="184" customWidth="1"/>
    <col min="14084" max="14084" width="46.28515625" style="184" customWidth="1"/>
    <col min="14085" max="14085" width="6" style="184" customWidth="1"/>
    <col min="14086" max="14086" width="8.7109375" style="184" customWidth="1"/>
    <col min="14087" max="14087" width="10.28515625" style="184" customWidth="1"/>
    <col min="14088" max="14089" width="14.28515625" style="184" customWidth="1"/>
    <col min="14090" max="14090" width="14" style="184" customWidth="1"/>
    <col min="14091" max="14091" width="10.28515625" style="184" customWidth="1"/>
    <col min="14092" max="14336" width="8.140625" style="184"/>
    <col min="14337" max="14337" width="5" style="184" customWidth="1"/>
    <col min="14338" max="14338" width="5.5703125" style="184" customWidth="1"/>
    <col min="14339" max="14339" width="12" style="184" customWidth="1"/>
    <col min="14340" max="14340" width="46.28515625" style="184" customWidth="1"/>
    <col min="14341" max="14341" width="6" style="184" customWidth="1"/>
    <col min="14342" max="14342" width="8.7109375" style="184" customWidth="1"/>
    <col min="14343" max="14343" width="10.28515625" style="184" customWidth="1"/>
    <col min="14344" max="14345" width="14.28515625" style="184" customWidth="1"/>
    <col min="14346" max="14346" width="14" style="184" customWidth="1"/>
    <col min="14347" max="14347" width="10.28515625" style="184" customWidth="1"/>
    <col min="14348" max="14592" width="8.140625" style="184"/>
    <col min="14593" max="14593" width="5" style="184" customWidth="1"/>
    <col min="14594" max="14594" width="5.5703125" style="184" customWidth="1"/>
    <col min="14595" max="14595" width="12" style="184" customWidth="1"/>
    <col min="14596" max="14596" width="46.28515625" style="184" customWidth="1"/>
    <col min="14597" max="14597" width="6" style="184" customWidth="1"/>
    <col min="14598" max="14598" width="8.7109375" style="184" customWidth="1"/>
    <col min="14599" max="14599" width="10.28515625" style="184" customWidth="1"/>
    <col min="14600" max="14601" width="14.28515625" style="184" customWidth="1"/>
    <col min="14602" max="14602" width="14" style="184" customWidth="1"/>
    <col min="14603" max="14603" width="10.28515625" style="184" customWidth="1"/>
    <col min="14604" max="14848" width="8.140625" style="184"/>
    <col min="14849" max="14849" width="5" style="184" customWidth="1"/>
    <col min="14850" max="14850" width="5.5703125" style="184" customWidth="1"/>
    <col min="14851" max="14851" width="12" style="184" customWidth="1"/>
    <col min="14852" max="14852" width="46.28515625" style="184" customWidth="1"/>
    <col min="14853" max="14853" width="6" style="184" customWidth="1"/>
    <col min="14854" max="14854" width="8.7109375" style="184" customWidth="1"/>
    <col min="14855" max="14855" width="10.28515625" style="184" customWidth="1"/>
    <col min="14856" max="14857" width="14.28515625" style="184" customWidth="1"/>
    <col min="14858" max="14858" width="14" style="184" customWidth="1"/>
    <col min="14859" max="14859" width="10.28515625" style="184" customWidth="1"/>
    <col min="14860" max="15104" width="8.140625" style="184"/>
    <col min="15105" max="15105" width="5" style="184" customWidth="1"/>
    <col min="15106" max="15106" width="5.5703125" style="184" customWidth="1"/>
    <col min="15107" max="15107" width="12" style="184" customWidth="1"/>
    <col min="15108" max="15108" width="46.28515625" style="184" customWidth="1"/>
    <col min="15109" max="15109" width="6" style="184" customWidth="1"/>
    <col min="15110" max="15110" width="8.7109375" style="184" customWidth="1"/>
    <col min="15111" max="15111" width="10.28515625" style="184" customWidth="1"/>
    <col min="15112" max="15113" width="14.28515625" style="184" customWidth="1"/>
    <col min="15114" max="15114" width="14" style="184" customWidth="1"/>
    <col min="15115" max="15115" width="10.28515625" style="184" customWidth="1"/>
    <col min="15116" max="15360" width="8.140625" style="184"/>
    <col min="15361" max="15361" width="5" style="184" customWidth="1"/>
    <col min="15362" max="15362" width="5.5703125" style="184" customWidth="1"/>
    <col min="15363" max="15363" width="12" style="184" customWidth="1"/>
    <col min="15364" max="15364" width="46.28515625" style="184" customWidth="1"/>
    <col min="15365" max="15365" width="6" style="184" customWidth="1"/>
    <col min="15366" max="15366" width="8.7109375" style="184" customWidth="1"/>
    <col min="15367" max="15367" width="10.28515625" style="184" customWidth="1"/>
    <col min="15368" max="15369" width="14.28515625" style="184" customWidth="1"/>
    <col min="15370" max="15370" width="14" style="184" customWidth="1"/>
    <col min="15371" max="15371" width="10.28515625" style="184" customWidth="1"/>
    <col min="15372" max="15616" width="8.140625" style="184"/>
    <col min="15617" max="15617" width="5" style="184" customWidth="1"/>
    <col min="15618" max="15618" width="5.5703125" style="184" customWidth="1"/>
    <col min="15619" max="15619" width="12" style="184" customWidth="1"/>
    <col min="15620" max="15620" width="46.28515625" style="184" customWidth="1"/>
    <col min="15621" max="15621" width="6" style="184" customWidth="1"/>
    <col min="15622" max="15622" width="8.7109375" style="184" customWidth="1"/>
    <col min="15623" max="15623" width="10.28515625" style="184" customWidth="1"/>
    <col min="15624" max="15625" width="14.28515625" style="184" customWidth="1"/>
    <col min="15626" max="15626" width="14" style="184" customWidth="1"/>
    <col min="15627" max="15627" width="10.28515625" style="184" customWidth="1"/>
    <col min="15628" max="15872" width="8.140625" style="184"/>
    <col min="15873" max="15873" width="5" style="184" customWidth="1"/>
    <col min="15874" max="15874" width="5.5703125" style="184" customWidth="1"/>
    <col min="15875" max="15875" width="12" style="184" customWidth="1"/>
    <col min="15876" max="15876" width="46.28515625" style="184" customWidth="1"/>
    <col min="15877" max="15877" width="6" style="184" customWidth="1"/>
    <col min="15878" max="15878" width="8.7109375" style="184" customWidth="1"/>
    <col min="15879" max="15879" width="10.28515625" style="184" customWidth="1"/>
    <col min="15880" max="15881" width="14.28515625" style="184" customWidth="1"/>
    <col min="15882" max="15882" width="14" style="184" customWidth="1"/>
    <col min="15883" max="15883" width="10.28515625" style="184" customWidth="1"/>
    <col min="15884" max="16128" width="8.140625" style="184"/>
    <col min="16129" max="16129" width="5" style="184" customWidth="1"/>
    <col min="16130" max="16130" width="5.5703125" style="184" customWidth="1"/>
    <col min="16131" max="16131" width="12" style="184" customWidth="1"/>
    <col min="16132" max="16132" width="46.28515625" style="184" customWidth="1"/>
    <col min="16133" max="16133" width="6" style="184" customWidth="1"/>
    <col min="16134" max="16134" width="8.7109375" style="184" customWidth="1"/>
    <col min="16135" max="16135" width="10.28515625" style="184" customWidth="1"/>
    <col min="16136" max="16137" width="14.28515625" style="184" customWidth="1"/>
    <col min="16138" max="16138" width="14" style="184" customWidth="1"/>
    <col min="16139" max="16139" width="10.28515625" style="184" customWidth="1"/>
    <col min="16140" max="16384" width="8.140625" style="184"/>
  </cols>
  <sheetData>
    <row r="1" spans="1:11" s="195" customFormat="1" ht="11.45" customHeight="1">
      <c r="A1" s="186"/>
      <c r="B1" s="187"/>
      <c r="C1" s="188" t="s">
        <v>49</v>
      </c>
      <c r="D1" s="189" t="s">
        <v>151</v>
      </c>
      <c r="E1" s="190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1.45" customHeight="1">
      <c r="A2" s="196"/>
      <c r="B2" s="197"/>
      <c r="C2" s="198" t="s">
        <v>51</v>
      </c>
      <c r="D2" s="199" t="s">
        <v>152</v>
      </c>
      <c r="E2" s="197" t="s">
        <v>1052</v>
      </c>
      <c r="F2" s="200"/>
      <c r="G2" s="201"/>
      <c r="H2" s="202"/>
      <c r="I2" s="197"/>
      <c r="J2" s="203"/>
      <c r="K2" s="204"/>
    </row>
    <row r="3" spans="1:11" s="185" customFormat="1" ht="11.45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1.45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4.1500000000000004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9.149999999999999" customHeight="1">
      <c r="A6" s="150"/>
      <c r="B6" s="151"/>
      <c r="C6" s="152" t="s">
        <v>939</v>
      </c>
      <c r="D6" s="152" t="s">
        <v>940</v>
      </c>
      <c r="E6" s="151"/>
      <c r="F6" s="154"/>
      <c r="G6" s="154"/>
      <c r="H6" s="155"/>
      <c r="I6" s="155"/>
      <c r="J6" s="155">
        <f>SUM(J7,J17,J37,J39,J50,J52)</f>
        <v>0</v>
      </c>
      <c r="K6" s="156">
        <v>0.54666499999999996</v>
      </c>
    </row>
    <row r="7" spans="1:11" s="140" customFormat="1" ht="20.45" customHeight="1">
      <c r="A7" s="150"/>
      <c r="B7" s="151"/>
      <c r="C7" s="152" t="s">
        <v>960</v>
      </c>
      <c r="D7" s="152" t="s">
        <v>961</v>
      </c>
      <c r="E7" s="151"/>
      <c r="F7" s="154"/>
      <c r="G7" s="154"/>
      <c r="H7" s="155"/>
      <c r="I7" s="155"/>
      <c r="J7" s="155">
        <f>SUM(J8:J16)</f>
        <v>0</v>
      </c>
      <c r="K7" s="156">
        <v>3.3625000000000002E-2</v>
      </c>
    </row>
    <row r="8" spans="1:11" s="140" customFormat="1" ht="16.149999999999999" customHeight="1">
      <c r="A8" s="157">
        <v>7</v>
      </c>
      <c r="B8" s="158" t="s">
        <v>960</v>
      </c>
      <c r="C8" s="159" t="s">
        <v>962</v>
      </c>
      <c r="D8" s="159" t="s">
        <v>963</v>
      </c>
      <c r="E8" s="158" t="s">
        <v>83</v>
      </c>
      <c r="F8" s="161">
        <v>93.5</v>
      </c>
      <c r="G8" s="161"/>
      <c r="H8" s="162"/>
      <c r="I8" s="162"/>
      <c r="J8" s="162"/>
      <c r="K8" s="163">
        <v>0</v>
      </c>
    </row>
    <row r="9" spans="1:11" s="140" customFormat="1" ht="16.149999999999999" customHeight="1">
      <c r="A9" s="164">
        <v>10</v>
      </c>
      <c r="B9" s="165" t="s">
        <v>964</v>
      </c>
      <c r="C9" s="166" t="s">
        <v>965</v>
      </c>
      <c r="D9" s="166" t="s">
        <v>966</v>
      </c>
      <c r="E9" s="165" t="s">
        <v>83</v>
      </c>
      <c r="F9" s="168">
        <v>36</v>
      </c>
      <c r="G9" s="168"/>
      <c r="H9" s="169"/>
      <c r="I9" s="169"/>
      <c r="J9" s="169"/>
      <c r="K9" s="170">
        <v>1.4400000000000001E-3</v>
      </c>
    </row>
    <row r="10" spans="1:11" s="140" customFormat="1" ht="16.149999999999999" customHeight="1">
      <c r="A10" s="164">
        <v>11</v>
      </c>
      <c r="B10" s="165" t="s">
        <v>964</v>
      </c>
      <c r="C10" s="166" t="s">
        <v>967</v>
      </c>
      <c r="D10" s="166" t="s">
        <v>968</v>
      </c>
      <c r="E10" s="165" t="s">
        <v>83</v>
      </c>
      <c r="F10" s="168">
        <v>4</v>
      </c>
      <c r="G10" s="168"/>
      <c r="H10" s="169"/>
      <c r="I10" s="169"/>
      <c r="J10" s="169"/>
      <c r="K10" s="170">
        <v>1.2E-4</v>
      </c>
    </row>
    <row r="11" spans="1:11" s="140" customFormat="1" ht="16.149999999999999" customHeight="1">
      <c r="A11" s="164">
        <v>8</v>
      </c>
      <c r="B11" s="165" t="s">
        <v>964</v>
      </c>
      <c r="C11" s="166" t="s">
        <v>969</v>
      </c>
      <c r="D11" s="166" t="s">
        <v>970</v>
      </c>
      <c r="E11" s="165" t="s">
        <v>83</v>
      </c>
      <c r="F11" s="168">
        <v>36.5</v>
      </c>
      <c r="G11" s="168"/>
      <c r="H11" s="169"/>
      <c r="I11" s="169"/>
      <c r="J11" s="169"/>
      <c r="K11" s="170">
        <v>2.0074999999999999E-2</v>
      </c>
    </row>
    <row r="12" spans="1:11" s="140" customFormat="1" ht="16.149999999999999" customHeight="1">
      <c r="A12" s="164">
        <v>9</v>
      </c>
      <c r="B12" s="165" t="s">
        <v>964</v>
      </c>
      <c r="C12" s="166" t="s">
        <v>971</v>
      </c>
      <c r="D12" s="166" t="s">
        <v>972</v>
      </c>
      <c r="E12" s="165" t="s">
        <v>83</v>
      </c>
      <c r="F12" s="168">
        <v>17</v>
      </c>
      <c r="G12" s="168"/>
      <c r="H12" s="169"/>
      <c r="I12" s="169"/>
      <c r="J12" s="169"/>
      <c r="K12" s="170">
        <v>8.4999999999999995E-4</v>
      </c>
    </row>
    <row r="13" spans="1:11" s="140" customFormat="1" ht="16.149999999999999" customHeight="1">
      <c r="A13" s="157">
        <v>15</v>
      </c>
      <c r="B13" s="158" t="s">
        <v>960</v>
      </c>
      <c r="C13" s="159" t="s">
        <v>962</v>
      </c>
      <c r="D13" s="159" t="s">
        <v>963</v>
      </c>
      <c r="E13" s="158" t="s">
        <v>83</v>
      </c>
      <c r="F13" s="161">
        <v>113</v>
      </c>
      <c r="G13" s="161"/>
      <c r="H13" s="162"/>
      <c r="I13" s="162"/>
      <c r="J13" s="162"/>
      <c r="K13" s="163">
        <v>0</v>
      </c>
    </row>
    <row r="14" spans="1:11" s="140" customFormat="1" ht="16.149999999999999" customHeight="1">
      <c r="A14" s="164">
        <v>16</v>
      </c>
      <c r="B14" s="165" t="s">
        <v>964</v>
      </c>
      <c r="C14" s="166" t="s">
        <v>973</v>
      </c>
      <c r="D14" s="166" t="s">
        <v>974</v>
      </c>
      <c r="E14" s="165" t="s">
        <v>83</v>
      </c>
      <c r="F14" s="168">
        <v>43</v>
      </c>
      <c r="G14" s="168"/>
      <c r="H14" s="169"/>
      <c r="I14" s="169"/>
      <c r="J14" s="169"/>
      <c r="K14" s="170">
        <v>5.1599999999999997E-3</v>
      </c>
    </row>
    <row r="15" spans="1:11" s="140" customFormat="1" ht="16.149999999999999" customHeight="1">
      <c r="A15" s="164">
        <v>17</v>
      </c>
      <c r="B15" s="165" t="s">
        <v>964</v>
      </c>
      <c r="C15" s="166" t="s">
        <v>975</v>
      </c>
      <c r="D15" s="166" t="s">
        <v>976</v>
      </c>
      <c r="E15" s="165" t="s">
        <v>83</v>
      </c>
      <c r="F15" s="168">
        <v>27</v>
      </c>
      <c r="G15" s="168"/>
      <c r="H15" s="169"/>
      <c r="I15" s="169"/>
      <c r="J15" s="169"/>
      <c r="K15" s="170">
        <v>2.97E-3</v>
      </c>
    </row>
    <row r="16" spans="1:11" s="140" customFormat="1" ht="16.149999999999999" customHeight="1">
      <c r="A16" s="164">
        <v>18</v>
      </c>
      <c r="B16" s="165" t="s">
        <v>964</v>
      </c>
      <c r="C16" s="166" t="s">
        <v>977</v>
      </c>
      <c r="D16" s="166" t="s">
        <v>978</v>
      </c>
      <c r="E16" s="165" t="s">
        <v>83</v>
      </c>
      <c r="F16" s="168">
        <v>43</v>
      </c>
      <c r="G16" s="168"/>
      <c r="H16" s="169"/>
      <c r="I16" s="169"/>
      <c r="J16" s="169"/>
      <c r="K16" s="170">
        <v>3.0100000000000001E-3</v>
      </c>
    </row>
    <row r="17" spans="1:11" s="140" customFormat="1" ht="28.5" customHeight="1">
      <c r="A17" s="150"/>
      <c r="B17" s="151"/>
      <c r="C17" s="152" t="s">
        <v>979</v>
      </c>
      <c r="D17" s="152" t="s">
        <v>980</v>
      </c>
      <c r="E17" s="151"/>
      <c r="F17" s="154"/>
      <c r="G17" s="154"/>
      <c r="H17" s="155"/>
      <c r="I17" s="155"/>
      <c r="J17" s="155">
        <f>SUM(J18:J35)</f>
        <v>0</v>
      </c>
      <c r="K17" s="156">
        <v>0.29903999999999997</v>
      </c>
    </row>
    <row r="18" spans="1:11" s="140" customFormat="1" ht="13.5" customHeight="1">
      <c r="A18" s="157">
        <v>6</v>
      </c>
      <c r="B18" s="158" t="s">
        <v>941</v>
      </c>
      <c r="C18" s="159" t="s">
        <v>981</v>
      </c>
      <c r="D18" s="226" t="s">
        <v>982</v>
      </c>
      <c r="E18" s="158" t="s">
        <v>83</v>
      </c>
      <c r="F18" s="161">
        <v>4</v>
      </c>
      <c r="G18" s="161"/>
      <c r="H18" s="162"/>
      <c r="I18" s="162"/>
      <c r="J18" s="162"/>
      <c r="K18" s="163">
        <v>1.6000000000000001E-3</v>
      </c>
    </row>
    <row r="19" spans="1:11" s="140" customFormat="1" ht="13.5" customHeight="1">
      <c r="A19" s="157">
        <v>5</v>
      </c>
      <c r="B19" s="158" t="s">
        <v>941</v>
      </c>
      <c r="C19" s="159" t="s">
        <v>983</v>
      </c>
      <c r="D19" s="159" t="s">
        <v>984</v>
      </c>
      <c r="E19" s="158" t="s">
        <v>83</v>
      </c>
      <c r="F19" s="161">
        <v>36</v>
      </c>
      <c r="G19" s="161"/>
      <c r="H19" s="162"/>
      <c r="I19" s="162"/>
      <c r="J19" s="162"/>
      <c r="K19" s="163">
        <v>2.376E-2</v>
      </c>
    </row>
    <row r="20" spans="1:11" s="140" customFormat="1" ht="13.5" customHeight="1">
      <c r="A20" s="157">
        <v>4</v>
      </c>
      <c r="B20" s="158" t="s">
        <v>941</v>
      </c>
      <c r="C20" s="159" t="s">
        <v>985</v>
      </c>
      <c r="D20" s="159" t="s">
        <v>986</v>
      </c>
      <c r="E20" s="158" t="s">
        <v>83</v>
      </c>
      <c r="F20" s="161">
        <v>17</v>
      </c>
      <c r="G20" s="161"/>
      <c r="H20" s="162"/>
      <c r="I20" s="162"/>
      <c r="J20" s="162"/>
      <c r="K20" s="163">
        <v>1.5469999999999999E-2</v>
      </c>
    </row>
    <row r="21" spans="1:11" s="140" customFormat="1" ht="13.5" customHeight="1">
      <c r="A21" s="157">
        <v>3</v>
      </c>
      <c r="B21" s="158" t="s">
        <v>941</v>
      </c>
      <c r="C21" s="159" t="s">
        <v>987</v>
      </c>
      <c r="D21" s="159" t="s">
        <v>988</v>
      </c>
      <c r="E21" s="158" t="s">
        <v>83</v>
      </c>
      <c r="F21" s="161">
        <v>36.5</v>
      </c>
      <c r="G21" s="161"/>
      <c r="H21" s="162"/>
      <c r="I21" s="162"/>
      <c r="J21" s="162"/>
      <c r="K21" s="163">
        <v>4.3435000000000001E-2</v>
      </c>
    </row>
    <row r="22" spans="1:11" s="140" customFormat="1" ht="13.5" customHeight="1">
      <c r="A22" s="157">
        <v>14</v>
      </c>
      <c r="B22" s="158" t="s">
        <v>941</v>
      </c>
      <c r="C22" s="159" t="s">
        <v>989</v>
      </c>
      <c r="D22" s="159" t="s">
        <v>990</v>
      </c>
      <c r="E22" s="158" t="s">
        <v>83</v>
      </c>
      <c r="F22" s="161">
        <v>43</v>
      </c>
      <c r="G22" s="161"/>
      <c r="H22" s="162"/>
      <c r="I22" s="162"/>
      <c r="J22" s="162"/>
      <c r="K22" s="163">
        <v>3.0099999999999998E-2</v>
      </c>
    </row>
    <row r="23" spans="1:11" s="140" customFormat="1" ht="13.5" customHeight="1">
      <c r="A23" s="157">
        <v>13</v>
      </c>
      <c r="B23" s="158" t="s">
        <v>941</v>
      </c>
      <c r="C23" s="159" t="s">
        <v>991</v>
      </c>
      <c r="D23" s="159" t="s">
        <v>992</v>
      </c>
      <c r="E23" s="158" t="s">
        <v>83</v>
      </c>
      <c r="F23" s="161">
        <v>27</v>
      </c>
      <c r="G23" s="161"/>
      <c r="H23" s="162"/>
      <c r="I23" s="162"/>
      <c r="J23" s="162"/>
      <c r="K23" s="163">
        <v>2.1059999999999999E-2</v>
      </c>
    </row>
    <row r="24" spans="1:11" s="140" customFormat="1" ht="13.5" customHeight="1">
      <c r="A24" s="157">
        <v>12</v>
      </c>
      <c r="B24" s="158" t="s">
        <v>941</v>
      </c>
      <c r="C24" s="159" t="s">
        <v>993</v>
      </c>
      <c r="D24" s="159" t="s">
        <v>994</v>
      </c>
      <c r="E24" s="158" t="s">
        <v>83</v>
      </c>
      <c r="F24" s="161">
        <v>43</v>
      </c>
      <c r="G24" s="161"/>
      <c r="H24" s="162"/>
      <c r="I24" s="162"/>
      <c r="J24" s="162"/>
      <c r="K24" s="163">
        <v>4.1279999999999997E-2</v>
      </c>
    </row>
    <row r="25" spans="1:11" s="140" customFormat="1" ht="14.45" customHeight="1">
      <c r="A25" s="157">
        <v>23</v>
      </c>
      <c r="B25" s="158" t="s">
        <v>941</v>
      </c>
      <c r="C25" s="159" t="s">
        <v>995</v>
      </c>
      <c r="D25" s="159" t="s">
        <v>996</v>
      </c>
      <c r="E25" s="158" t="s">
        <v>997</v>
      </c>
      <c r="F25" s="161">
        <v>1</v>
      </c>
      <c r="G25" s="161"/>
      <c r="H25" s="162"/>
      <c r="I25" s="162"/>
      <c r="J25" s="162"/>
      <c r="K25" s="163">
        <v>5.6999999999999998E-4</v>
      </c>
    </row>
    <row r="26" spans="1:11" s="140" customFormat="1" ht="14.45" customHeight="1">
      <c r="A26" s="157">
        <v>24</v>
      </c>
      <c r="B26" s="158" t="s">
        <v>941</v>
      </c>
      <c r="C26" s="159" t="s">
        <v>998</v>
      </c>
      <c r="D26" s="159" t="s">
        <v>999</v>
      </c>
      <c r="E26" s="158" t="s">
        <v>997</v>
      </c>
      <c r="F26" s="161">
        <v>1</v>
      </c>
      <c r="G26" s="161"/>
      <c r="H26" s="162"/>
      <c r="I26" s="162"/>
      <c r="J26" s="162"/>
      <c r="K26" s="163">
        <v>8.9999999999999998E-4</v>
      </c>
    </row>
    <row r="27" spans="1:11" s="140" customFormat="1" ht="13.5" customHeight="1">
      <c r="A27" s="157">
        <v>20</v>
      </c>
      <c r="B27" s="158" t="s">
        <v>941</v>
      </c>
      <c r="C27" s="159" t="s">
        <v>1000</v>
      </c>
      <c r="D27" s="159" t="s">
        <v>1001</v>
      </c>
      <c r="E27" s="158" t="s">
        <v>82</v>
      </c>
      <c r="F27" s="161">
        <v>1</v>
      </c>
      <c r="G27" s="161"/>
      <c r="H27" s="162"/>
      <c r="I27" s="162"/>
      <c r="J27" s="162"/>
      <c r="K27" s="163">
        <v>3.5E-4</v>
      </c>
    </row>
    <row r="28" spans="1:11" s="140" customFormat="1" ht="13.5" customHeight="1">
      <c r="A28" s="157">
        <v>21</v>
      </c>
      <c r="B28" s="158" t="s">
        <v>941</v>
      </c>
      <c r="C28" s="159" t="s">
        <v>1002</v>
      </c>
      <c r="D28" s="159" t="s">
        <v>1003</v>
      </c>
      <c r="E28" s="158" t="s">
        <v>82</v>
      </c>
      <c r="F28" s="161">
        <v>1</v>
      </c>
      <c r="G28" s="161"/>
      <c r="H28" s="162"/>
      <c r="I28" s="162"/>
      <c r="J28" s="162"/>
      <c r="K28" s="163">
        <v>5.5999999999999995E-4</v>
      </c>
    </row>
    <row r="29" spans="1:11" s="140" customFormat="1" ht="24" customHeight="1">
      <c r="A29" s="157">
        <v>26</v>
      </c>
      <c r="B29" s="158" t="s">
        <v>941</v>
      </c>
      <c r="C29" s="159" t="s">
        <v>1004</v>
      </c>
      <c r="D29" s="159" t="s">
        <v>1005</v>
      </c>
      <c r="E29" s="158" t="s">
        <v>82</v>
      </c>
      <c r="F29" s="161">
        <v>2</v>
      </c>
      <c r="G29" s="161"/>
      <c r="H29" s="162"/>
      <c r="I29" s="162"/>
      <c r="J29" s="162"/>
      <c r="K29" s="163">
        <v>4.4600000000000004E-3</v>
      </c>
    </row>
    <row r="30" spans="1:11" s="140" customFormat="1" ht="13.5" customHeight="1">
      <c r="A30" s="157">
        <v>19</v>
      </c>
      <c r="B30" s="158" t="s">
        <v>941</v>
      </c>
      <c r="C30" s="159" t="s">
        <v>1006</v>
      </c>
      <c r="D30" s="159" t="s">
        <v>1007</v>
      </c>
      <c r="E30" s="158" t="s">
        <v>82</v>
      </c>
      <c r="F30" s="161">
        <v>1</v>
      </c>
      <c r="G30" s="161"/>
      <c r="H30" s="162"/>
      <c r="I30" s="162"/>
      <c r="J30" s="162"/>
      <c r="K30" s="163">
        <v>7.5000000000000002E-4</v>
      </c>
    </row>
    <row r="31" spans="1:11" s="140" customFormat="1" ht="13.5" customHeight="1">
      <c r="A31" s="157">
        <v>22</v>
      </c>
      <c r="B31" s="158" t="s">
        <v>941</v>
      </c>
      <c r="C31" s="159" t="s">
        <v>1008</v>
      </c>
      <c r="D31" s="159" t="s">
        <v>1009</v>
      </c>
      <c r="E31" s="158" t="s">
        <v>82</v>
      </c>
      <c r="F31" s="161">
        <v>2</v>
      </c>
      <c r="G31" s="161"/>
      <c r="H31" s="162"/>
      <c r="I31" s="162"/>
      <c r="J31" s="162"/>
      <c r="K31" s="163">
        <v>1.9400000000000001E-3</v>
      </c>
    </row>
    <row r="32" spans="1:11" s="140" customFormat="1" ht="16.149999999999999" customHeight="1">
      <c r="A32" s="157">
        <v>2</v>
      </c>
      <c r="B32" s="158" t="s">
        <v>941</v>
      </c>
      <c r="C32" s="159" t="s">
        <v>1010</v>
      </c>
      <c r="D32" s="159" t="s">
        <v>1011</v>
      </c>
      <c r="E32" s="158" t="s">
        <v>997</v>
      </c>
      <c r="F32" s="161">
        <v>1</v>
      </c>
      <c r="G32" s="161"/>
      <c r="H32" s="162"/>
      <c r="I32" s="162"/>
      <c r="J32" s="162"/>
      <c r="K32" s="163">
        <v>2.8139999999999998E-2</v>
      </c>
    </row>
    <row r="33" spans="1:11" s="140" customFormat="1" ht="24" customHeight="1">
      <c r="A33" s="157">
        <v>40</v>
      </c>
      <c r="B33" s="158" t="s">
        <v>941</v>
      </c>
      <c r="C33" s="159" t="s">
        <v>1012</v>
      </c>
      <c r="D33" s="159" t="s">
        <v>1013</v>
      </c>
      <c r="E33" s="158" t="s">
        <v>83</v>
      </c>
      <c r="F33" s="161">
        <v>206.5</v>
      </c>
      <c r="G33" s="161"/>
      <c r="H33" s="162"/>
      <c r="I33" s="162"/>
      <c r="J33" s="162"/>
      <c r="K33" s="163">
        <v>8.2600000000000007E-2</v>
      </c>
    </row>
    <row r="34" spans="1:11" s="140" customFormat="1" ht="13.5" customHeight="1">
      <c r="A34" s="157">
        <v>38</v>
      </c>
      <c r="B34" s="158" t="s">
        <v>941</v>
      </c>
      <c r="C34" s="159" t="s">
        <v>1014</v>
      </c>
      <c r="D34" s="159" t="s">
        <v>1015</v>
      </c>
      <c r="E34" s="158" t="s">
        <v>83</v>
      </c>
      <c r="F34" s="161">
        <v>206.5</v>
      </c>
      <c r="G34" s="161"/>
      <c r="H34" s="162"/>
      <c r="I34" s="162"/>
      <c r="J34" s="162"/>
      <c r="K34" s="163">
        <v>2.065E-3</v>
      </c>
    </row>
    <row r="35" spans="1:11" s="140" customFormat="1" ht="13.5" customHeight="1">
      <c r="A35" s="157">
        <v>39</v>
      </c>
      <c r="B35" s="158" t="s">
        <v>941</v>
      </c>
      <c r="C35" s="159" t="s">
        <v>1016</v>
      </c>
      <c r="D35" s="159" t="s">
        <v>1017</v>
      </c>
      <c r="E35" s="158" t="s">
        <v>75</v>
      </c>
      <c r="F35" s="161">
        <v>0.29899999999999999</v>
      </c>
      <c r="G35" s="161"/>
      <c r="H35" s="162"/>
      <c r="I35" s="162"/>
      <c r="J35" s="162"/>
      <c r="K35" s="163">
        <v>0</v>
      </c>
    </row>
    <row r="36" spans="1:11" s="218" customFormat="1" ht="29.45" customHeight="1">
      <c r="A36" s="254"/>
      <c r="B36" s="255"/>
      <c r="C36" s="256"/>
      <c r="D36" s="256"/>
      <c r="E36" s="255"/>
      <c r="F36" s="257"/>
      <c r="G36" s="257"/>
      <c r="H36" s="258"/>
      <c r="I36" s="258"/>
      <c r="J36" s="258"/>
      <c r="K36" s="259"/>
    </row>
    <row r="37" spans="1:11" s="140" customFormat="1" ht="23.45" customHeight="1">
      <c r="A37" s="150"/>
      <c r="B37" s="151"/>
      <c r="C37" s="152" t="s">
        <v>1018</v>
      </c>
      <c r="D37" s="152" t="s">
        <v>1019</v>
      </c>
      <c r="E37" s="151"/>
      <c r="F37" s="154"/>
      <c r="G37" s="154"/>
      <c r="H37" s="155"/>
      <c r="I37" s="155"/>
      <c r="J37" s="155">
        <f>SUM(J38)</f>
        <v>0</v>
      </c>
      <c r="K37" s="156">
        <v>3.5099999999999999E-2</v>
      </c>
    </row>
    <row r="38" spans="1:11" s="140" customFormat="1" ht="13.5" customHeight="1">
      <c r="A38" s="157">
        <v>1</v>
      </c>
      <c r="B38" s="158" t="s">
        <v>941</v>
      </c>
      <c r="C38" s="159" t="s">
        <v>1020</v>
      </c>
      <c r="D38" s="159" t="s">
        <v>1021</v>
      </c>
      <c r="E38" s="158" t="s">
        <v>83</v>
      </c>
      <c r="F38" s="161">
        <v>13</v>
      </c>
      <c r="G38" s="161"/>
      <c r="H38" s="162"/>
      <c r="I38" s="162"/>
      <c r="J38" s="162"/>
      <c r="K38" s="163">
        <v>3.5099999999999999E-2</v>
      </c>
    </row>
    <row r="39" spans="1:11" s="140" customFormat="1" ht="28.5" customHeight="1">
      <c r="A39" s="150"/>
      <c r="B39" s="151"/>
      <c r="C39" s="152" t="s">
        <v>1022</v>
      </c>
      <c r="D39" s="152" t="s">
        <v>1023</v>
      </c>
      <c r="E39" s="151"/>
      <c r="F39" s="154"/>
      <c r="G39" s="154"/>
      <c r="H39" s="155"/>
      <c r="I39" s="155"/>
      <c r="J39" s="155">
        <f>SUM(J40:J49)</f>
        <v>0</v>
      </c>
      <c r="K39" s="156">
        <v>0.16361999999999999</v>
      </c>
    </row>
    <row r="40" spans="1:11" s="140" customFormat="1" ht="13.5" customHeight="1">
      <c r="A40" s="157">
        <v>29</v>
      </c>
      <c r="B40" s="158" t="s">
        <v>941</v>
      </c>
      <c r="C40" s="159" t="s">
        <v>1024</v>
      </c>
      <c r="D40" s="159" t="s">
        <v>1025</v>
      </c>
      <c r="E40" s="158" t="s">
        <v>82</v>
      </c>
      <c r="F40" s="161">
        <v>4</v>
      </c>
      <c r="G40" s="161"/>
      <c r="H40" s="162"/>
      <c r="I40" s="162"/>
      <c r="J40" s="162"/>
      <c r="K40" s="163">
        <v>9.6799999999999994E-3</v>
      </c>
    </row>
    <row r="41" spans="1:11" s="140" customFormat="1" ht="24" customHeight="1">
      <c r="A41" s="164">
        <v>30</v>
      </c>
      <c r="B41" s="165" t="s">
        <v>890</v>
      </c>
      <c r="C41" s="166" t="s">
        <v>1026</v>
      </c>
      <c r="D41" s="166" t="s">
        <v>1510</v>
      </c>
      <c r="E41" s="165" t="s">
        <v>82</v>
      </c>
      <c r="F41" s="168">
        <v>4</v>
      </c>
      <c r="G41" s="168"/>
      <c r="H41" s="169"/>
      <c r="I41" s="169"/>
      <c r="J41" s="169"/>
      <c r="K41" s="170">
        <v>3.5999999999999997E-2</v>
      </c>
    </row>
    <row r="42" spans="1:11" s="140" customFormat="1" ht="14.45" customHeight="1">
      <c r="A42" s="157">
        <v>28</v>
      </c>
      <c r="B42" s="158" t="s">
        <v>941</v>
      </c>
      <c r="C42" s="159" t="s">
        <v>1027</v>
      </c>
      <c r="D42" s="159" t="s">
        <v>1028</v>
      </c>
      <c r="E42" s="158" t="s">
        <v>997</v>
      </c>
      <c r="F42" s="161">
        <v>1</v>
      </c>
      <c r="G42" s="161"/>
      <c r="H42" s="162"/>
      <c r="I42" s="162"/>
      <c r="J42" s="162"/>
      <c r="K42" s="163">
        <v>1.08E-3</v>
      </c>
    </row>
    <row r="43" spans="1:11" s="140" customFormat="1" ht="24" customHeight="1">
      <c r="A43" s="157">
        <v>31</v>
      </c>
      <c r="B43" s="158" t="s">
        <v>941</v>
      </c>
      <c r="C43" s="159" t="s">
        <v>1029</v>
      </c>
      <c r="D43" s="159" t="s">
        <v>1030</v>
      </c>
      <c r="E43" s="158" t="s">
        <v>997</v>
      </c>
      <c r="F43" s="161">
        <v>4</v>
      </c>
      <c r="G43" s="161"/>
      <c r="H43" s="162"/>
      <c r="I43" s="162"/>
      <c r="J43" s="162"/>
      <c r="K43" s="163">
        <v>6.0999999999999999E-2</v>
      </c>
    </row>
    <row r="44" spans="1:11" s="140" customFormat="1" ht="24" customHeight="1">
      <c r="A44" s="157">
        <v>32</v>
      </c>
      <c r="B44" s="158" t="s">
        <v>941</v>
      </c>
      <c r="C44" s="159" t="s">
        <v>1031</v>
      </c>
      <c r="D44" s="159" t="s">
        <v>1032</v>
      </c>
      <c r="E44" s="158" t="s">
        <v>997</v>
      </c>
      <c r="F44" s="161">
        <v>4</v>
      </c>
      <c r="G44" s="161"/>
      <c r="H44" s="162"/>
      <c r="I44" s="162"/>
      <c r="J44" s="162"/>
      <c r="K44" s="163">
        <v>1.9720000000000001E-2</v>
      </c>
    </row>
    <row r="45" spans="1:11" s="140" customFormat="1" ht="24" customHeight="1">
      <c r="A45" s="157">
        <v>27</v>
      </c>
      <c r="B45" s="158" t="s">
        <v>941</v>
      </c>
      <c r="C45" s="159" t="s">
        <v>1033</v>
      </c>
      <c r="D45" s="159" t="s">
        <v>1034</v>
      </c>
      <c r="E45" s="158" t="s">
        <v>997</v>
      </c>
      <c r="F45" s="161">
        <v>1</v>
      </c>
      <c r="G45" s="161"/>
      <c r="H45" s="162"/>
      <c r="I45" s="162"/>
      <c r="J45" s="162"/>
      <c r="K45" s="163">
        <v>1.47E-2</v>
      </c>
    </row>
    <row r="46" spans="1:11" s="140" customFormat="1" ht="14.45" customHeight="1">
      <c r="A46" s="157">
        <v>36</v>
      </c>
      <c r="B46" s="158" t="s">
        <v>941</v>
      </c>
      <c r="C46" s="159" t="s">
        <v>1035</v>
      </c>
      <c r="D46" s="159" t="s">
        <v>1036</v>
      </c>
      <c r="E46" s="158" t="s">
        <v>997</v>
      </c>
      <c r="F46" s="161">
        <v>16</v>
      </c>
      <c r="G46" s="161"/>
      <c r="H46" s="162"/>
      <c r="I46" s="162"/>
      <c r="J46" s="162"/>
      <c r="K46" s="163">
        <v>4.7999999999999996E-3</v>
      </c>
    </row>
    <row r="47" spans="1:11" s="140" customFormat="1" ht="24" customHeight="1">
      <c r="A47" s="157">
        <v>33</v>
      </c>
      <c r="B47" s="158" t="s">
        <v>941</v>
      </c>
      <c r="C47" s="159" t="s">
        <v>1037</v>
      </c>
      <c r="D47" s="159" t="s">
        <v>1038</v>
      </c>
      <c r="E47" s="158" t="s">
        <v>997</v>
      </c>
      <c r="F47" s="161">
        <v>1</v>
      </c>
      <c r="G47" s="161"/>
      <c r="H47" s="162"/>
      <c r="I47" s="162"/>
      <c r="J47" s="162"/>
      <c r="K47" s="163">
        <v>2.0799999999999998E-3</v>
      </c>
    </row>
    <row r="48" spans="1:11" s="140" customFormat="1" ht="24" customHeight="1">
      <c r="A48" s="157">
        <v>35</v>
      </c>
      <c r="B48" s="158" t="s">
        <v>941</v>
      </c>
      <c r="C48" s="159" t="s">
        <v>1039</v>
      </c>
      <c r="D48" s="159" t="s">
        <v>1040</v>
      </c>
      <c r="E48" s="158" t="s">
        <v>997</v>
      </c>
      <c r="F48" s="161">
        <v>4</v>
      </c>
      <c r="G48" s="161"/>
      <c r="H48" s="162"/>
      <c r="I48" s="162"/>
      <c r="J48" s="162"/>
      <c r="K48" s="163">
        <v>7.1999999999999998E-3</v>
      </c>
    </row>
    <row r="49" spans="1:11" s="140" customFormat="1" ht="12" customHeight="1">
      <c r="A49" s="157">
        <v>34</v>
      </c>
      <c r="B49" s="158" t="s">
        <v>941</v>
      </c>
      <c r="C49" s="159" t="s">
        <v>1041</v>
      </c>
      <c r="D49" s="159" t="s">
        <v>1042</v>
      </c>
      <c r="E49" s="158" t="s">
        <v>997</v>
      </c>
      <c r="F49" s="161">
        <v>4</v>
      </c>
      <c r="G49" s="161"/>
      <c r="H49" s="162"/>
      <c r="I49" s="162"/>
      <c r="J49" s="162"/>
      <c r="K49" s="163">
        <v>7.3600000000000002E-3</v>
      </c>
    </row>
    <row r="50" spans="1:11" s="140" customFormat="1" ht="28.5" customHeight="1">
      <c r="A50" s="150"/>
      <c r="B50" s="151"/>
      <c r="C50" s="152" t="s">
        <v>1043</v>
      </c>
      <c r="D50" s="152" t="s">
        <v>1044</v>
      </c>
      <c r="E50" s="151"/>
      <c r="F50" s="154"/>
      <c r="G50" s="154"/>
      <c r="H50" s="155"/>
      <c r="I50" s="155"/>
      <c r="J50" s="155"/>
      <c r="K50" s="156">
        <v>1.2E-2</v>
      </c>
    </row>
    <row r="51" spans="1:11" s="140" customFormat="1" ht="15.6" customHeight="1">
      <c r="A51" s="157">
        <v>37</v>
      </c>
      <c r="B51" s="158" t="s">
        <v>941</v>
      </c>
      <c r="C51" s="159" t="s">
        <v>1045</v>
      </c>
      <c r="D51" s="159" t="s">
        <v>1046</v>
      </c>
      <c r="E51" s="158" t="s">
        <v>997</v>
      </c>
      <c r="F51" s="161">
        <v>1</v>
      </c>
      <c r="G51" s="161"/>
      <c r="H51" s="162"/>
      <c r="I51" s="162"/>
      <c r="J51" s="162"/>
      <c r="K51" s="163">
        <v>1.2E-2</v>
      </c>
    </row>
    <row r="52" spans="1:11" s="140" customFormat="1" ht="28.5" customHeight="1">
      <c r="A52" s="150"/>
      <c r="B52" s="151"/>
      <c r="C52" s="152" t="s">
        <v>1047</v>
      </c>
      <c r="D52" s="152" t="s">
        <v>1048</v>
      </c>
      <c r="E52" s="151"/>
      <c r="F52" s="154"/>
      <c r="G52" s="154"/>
      <c r="H52" s="155"/>
      <c r="I52" s="155"/>
      <c r="J52" s="155"/>
      <c r="K52" s="156">
        <v>3.2799999999999999E-3</v>
      </c>
    </row>
    <row r="53" spans="1:11" s="140" customFormat="1" ht="18.600000000000001" customHeight="1" thickBot="1">
      <c r="A53" s="157">
        <v>25</v>
      </c>
      <c r="B53" s="158" t="s">
        <v>1049</v>
      </c>
      <c r="C53" s="159" t="s">
        <v>1050</v>
      </c>
      <c r="D53" s="159" t="s">
        <v>1051</v>
      </c>
      <c r="E53" s="158" t="s">
        <v>997</v>
      </c>
      <c r="F53" s="161">
        <v>1</v>
      </c>
      <c r="G53" s="161"/>
      <c r="H53" s="162"/>
      <c r="I53" s="162"/>
      <c r="J53" s="206"/>
      <c r="K53" s="163">
        <v>3.2799999999999999E-3</v>
      </c>
    </row>
    <row r="54" spans="1:11" s="140" customFormat="1" ht="23.45" customHeight="1" thickBot="1">
      <c r="A54" s="171"/>
      <c r="B54" s="172"/>
      <c r="C54" s="173"/>
      <c r="D54" s="173" t="s">
        <v>957</v>
      </c>
      <c r="E54" s="172"/>
      <c r="F54" s="175"/>
      <c r="G54" s="175"/>
      <c r="H54" s="207"/>
      <c r="I54" s="207"/>
      <c r="J54" s="208">
        <f>J6</f>
        <v>0</v>
      </c>
      <c r="K54" s="176">
        <v>0.54666499999999996</v>
      </c>
    </row>
  </sheetData>
  <pageMargins left="0.39370078740157483" right="0.31496062992125984" top="0.15748031496062992" bottom="0.43307086614173229" header="0" footer="0"/>
  <pageSetup paperSize="9" scale="95" fitToHeight="100" orientation="landscape" r:id="rId1"/>
  <headerFooter alignWithMargins="0">
    <oddFooter>&amp;C &amp;"MS Sans Serif,Tučná kurzíva"&amp;9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76"/>
  <sheetViews>
    <sheetView showGridLines="0" topLeftCell="A36" zoomScaleNormal="100" workbookViewId="0">
      <selection activeCell="J14" sqref="J14"/>
    </sheetView>
  </sheetViews>
  <sheetFormatPr defaultColWidth="8.140625" defaultRowHeight="12" customHeight="1"/>
  <cols>
    <col min="1" max="1" width="5" style="177" customWidth="1"/>
    <col min="2" max="2" width="5.5703125" style="178" customWidth="1"/>
    <col min="3" max="3" width="12" style="179" customWidth="1"/>
    <col min="4" max="4" width="48.28515625" style="179" customWidth="1"/>
    <col min="5" max="5" width="4.85546875" style="178" customWidth="1"/>
    <col min="6" max="6" width="8.7109375" style="180" customWidth="1"/>
    <col min="7" max="7" width="10.28515625" style="181" customWidth="1"/>
    <col min="8" max="8" width="14" style="182" customWidth="1"/>
    <col min="9" max="9" width="13.140625" style="182" customWidth="1"/>
    <col min="10" max="10" width="14" style="182" customWidth="1"/>
    <col min="11" max="11" width="11.140625" style="183" customWidth="1"/>
    <col min="12" max="256" width="8.140625" style="184"/>
    <col min="257" max="257" width="5" style="184" customWidth="1"/>
    <col min="258" max="258" width="6.7109375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4" style="184" customWidth="1"/>
    <col min="265" max="265" width="14.28515625" style="184" customWidth="1"/>
    <col min="266" max="266" width="14" style="184" customWidth="1"/>
    <col min="267" max="267" width="12" style="184" customWidth="1"/>
    <col min="268" max="512" width="8.140625" style="184"/>
    <col min="513" max="513" width="5" style="184" customWidth="1"/>
    <col min="514" max="514" width="6.7109375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4" style="184" customWidth="1"/>
    <col min="521" max="521" width="14.28515625" style="184" customWidth="1"/>
    <col min="522" max="522" width="14" style="184" customWidth="1"/>
    <col min="523" max="523" width="12" style="184" customWidth="1"/>
    <col min="524" max="768" width="8.140625" style="184"/>
    <col min="769" max="769" width="5" style="184" customWidth="1"/>
    <col min="770" max="770" width="6.7109375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4" style="184" customWidth="1"/>
    <col min="777" max="777" width="14.28515625" style="184" customWidth="1"/>
    <col min="778" max="778" width="14" style="184" customWidth="1"/>
    <col min="779" max="779" width="12" style="184" customWidth="1"/>
    <col min="780" max="1024" width="8.140625" style="184"/>
    <col min="1025" max="1025" width="5" style="184" customWidth="1"/>
    <col min="1026" max="1026" width="6.7109375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4" style="184" customWidth="1"/>
    <col min="1033" max="1033" width="14.28515625" style="184" customWidth="1"/>
    <col min="1034" max="1034" width="14" style="184" customWidth="1"/>
    <col min="1035" max="1035" width="12" style="184" customWidth="1"/>
    <col min="1036" max="1280" width="8.140625" style="184"/>
    <col min="1281" max="1281" width="5" style="184" customWidth="1"/>
    <col min="1282" max="1282" width="6.7109375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4" style="184" customWidth="1"/>
    <col min="1289" max="1289" width="14.28515625" style="184" customWidth="1"/>
    <col min="1290" max="1290" width="14" style="184" customWidth="1"/>
    <col min="1291" max="1291" width="12" style="184" customWidth="1"/>
    <col min="1292" max="1536" width="8.140625" style="184"/>
    <col min="1537" max="1537" width="5" style="184" customWidth="1"/>
    <col min="1538" max="1538" width="6.7109375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4" style="184" customWidth="1"/>
    <col min="1545" max="1545" width="14.28515625" style="184" customWidth="1"/>
    <col min="1546" max="1546" width="14" style="184" customWidth="1"/>
    <col min="1547" max="1547" width="12" style="184" customWidth="1"/>
    <col min="1548" max="1792" width="8.140625" style="184"/>
    <col min="1793" max="1793" width="5" style="184" customWidth="1"/>
    <col min="1794" max="1794" width="6.7109375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4" style="184" customWidth="1"/>
    <col min="1801" max="1801" width="14.28515625" style="184" customWidth="1"/>
    <col min="1802" max="1802" width="14" style="184" customWidth="1"/>
    <col min="1803" max="1803" width="12" style="184" customWidth="1"/>
    <col min="1804" max="2048" width="8.140625" style="184"/>
    <col min="2049" max="2049" width="5" style="184" customWidth="1"/>
    <col min="2050" max="2050" width="6.7109375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4" style="184" customWidth="1"/>
    <col min="2057" max="2057" width="14.28515625" style="184" customWidth="1"/>
    <col min="2058" max="2058" width="14" style="184" customWidth="1"/>
    <col min="2059" max="2059" width="12" style="184" customWidth="1"/>
    <col min="2060" max="2304" width="8.140625" style="184"/>
    <col min="2305" max="2305" width="5" style="184" customWidth="1"/>
    <col min="2306" max="2306" width="6.7109375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4" style="184" customWidth="1"/>
    <col min="2313" max="2313" width="14.28515625" style="184" customWidth="1"/>
    <col min="2314" max="2314" width="14" style="184" customWidth="1"/>
    <col min="2315" max="2315" width="12" style="184" customWidth="1"/>
    <col min="2316" max="2560" width="8.140625" style="184"/>
    <col min="2561" max="2561" width="5" style="184" customWidth="1"/>
    <col min="2562" max="2562" width="6.7109375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4" style="184" customWidth="1"/>
    <col min="2569" max="2569" width="14.28515625" style="184" customWidth="1"/>
    <col min="2570" max="2570" width="14" style="184" customWidth="1"/>
    <col min="2571" max="2571" width="12" style="184" customWidth="1"/>
    <col min="2572" max="2816" width="8.140625" style="184"/>
    <col min="2817" max="2817" width="5" style="184" customWidth="1"/>
    <col min="2818" max="2818" width="6.7109375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4" style="184" customWidth="1"/>
    <col min="2825" max="2825" width="14.28515625" style="184" customWidth="1"/>
    <col min="2826" max="2826" width="14" style="184" customWidth="1"/>
    <col min="2827" max="2827" width="12" style="184" customWidth="1"/>
    <col min="2828" max="3072" width="8.140625" style="184"/>
    <col min="3073" max="3073" width="5" style="184" customWidth="1"/>
    <col min="3074" max="3074" width="6.7109375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4" style="184" customWidth="1"/>
    <col min="3081" max="3081" width="14.28515625" style="184" customWidth="1"/>
    <col min="3082" max="3082" width="14" style="184" customWidth="1"/>
    <col min="3083" max="3083" width="12" style="184" customWidth="1"/>
    <col min="3084" max="3328" width="8.140625" style="184"/>
    <col min="3329" max="3329" width="5" style="184" customWidth="1"/>
    <col min="3330" max="3330" width="6.7109375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4" style="184" customWidth="1"/>
    <col min="3337" max="3337" width="14.28515625" style="184" customWidth="1"/>
    <col min="3338" max="3338" width="14" style="184" customWidth="1"/>
    <col min="3339" max="3339" width="12" style="184" customWidth="1"/>
    <col min="3340" max="3584" width="8.140625" style="184"/>
    <col min="3585" max="3585" width="5" style="184" customWidth="1"/>
    <col min="3586" max="3586" width="6.7109375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4" style="184" customWidth="1"/>
    <col min="3593" max="3593" width="14.28515625" style="184" customWidth="1"/>
    <col min="3594" max="3594" width="14" style="184" customWidth="1"/>
    <col min="3595" max="3595" width="12" style="184" customWidth="1"/>
    <col min="3596" max="3840" width="8.140625" style="184"/>
    <col min="3841" max="3841" width="5" style="184" customWidth="1"/>
    <col min="3842" max="3842" width="6.7109375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4" style="184" customWidth="1"/>
    <col min="3849" max="3849" width="14.28515625" style="184" customWidth="1"/>
    <col min="3850" max="3850" width="14" style="184" customWidth="1"/>
    <col min="3851" max="3851" width="12" style="184" customWidth="1"/>
    <col min="3852" max="4096" width="8.140625" style="184"/>
    <col min="4097" max="4097" width="5" style="184" customWidth="1"/>
    <col min="4098" max="4098" width="6.7109375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4" style="184" customWidth="1"/>
    <col min="4105" max="4105" width="14.28515625" style="184" customWidth="1"/>
    <col min="4106" max="4106" width="14" style="184" customWidth="1"/>
    <col min="4107" max="4107" width="12" style="184" customWidth="1"/>
    <col min="4108" max="4352" width="8.140625" style="184"/>
    <col min="4353" max="4353" width="5" style="184" customWidth="1"/>
    <col min="4354" max="4354" width="6.7109375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4" style="184" customWidth="1"/>
    <col min="4361" max="4361" width="14.28515625" style="184" customWidth="1"/>
    <col min="4362" max="4362" width="14" style="184" customWidth="1"/>
    <col min="4363" max="4363" width="12" style="184" customWidth="1"/>
    <col min="4364" max="4608" width="8.140625" style="184"/>
    <col min="4609" max="4609" width="5" style="184" customWidth="1"/>
    <col min="4610" max="4610" width="6.7109375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4" style="184" customWidth="1"/>
    <col min="4617" max="4617" width="14.28515625" style="184" customWidth="1"/>
    <col min="4618" max="4618" width="14" style="184" customWidth="1"/>
    <col min="4619" max="4619" width="12" style="184" customWidth="1"/>
    <col min="4620" max="4864" width="8.140625" style="184"/>
    <col min="4865" max="4865" width="5" style="184" customWidth="1"/>
    <col min="4866" max="4866" width="6.7109375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4" style="184" customWidth="1"/>
    <col min="4873" max="4873" width="14.28515625" style="184" customWidth="1"/>
    <col min="4874" max="4874" width="14" style="184" customWidth="1"/>
    <col min="4875" max="4875" width="12" style="184" customWidth="1"/>
    <col min="4876" max="5120" width="8.140625" style="184"/>
    <col min="5121" max="5121" width="5" style="184" customWidth="1"/>
    <col min="5122" max="5122" width="6.7109375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4" style="184" customWidth="1"/>
    <col min="5129" max="5129" width="14.28515625" style="184" customWidth="1"/>
    <col min="5130" max="5130" width="14" style="184" customWidth="1"/>
    <col min="5131" max="5131" width="12" style="184" customWidth="1"/>
    <col min="5132" max="5376" width="8.140625" style="184"/>
    <col min="5377" max="5377" width="5" style="184" customWidth="1"/>
    <col min="5378" max="5378" width="6.7109375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4" style="184" customWidth="1"/>
    <col min="5385" max="5385" width="14.28515625" style="184" customWidth="1"/>
    <col min="5386" max="5386" width="14" style="184" customWidth="1"/>
    <col min="5387" max="5387" width="12" style="184" customWidth="1"/>
    <col min="5388" max="5632" width="8.140625" style="184"/>
    <col min="5633" max="5633" width="5" style="184" customWidth="1"/>
    <col min="5634" max="5634" width="6.7109375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4" style="184" customWidth="1"/>
    <col min="5641" max="5641" width="14.28515625" style="184" customWidth="1"/>
    <col min="5642" max="5642" width="14" style="184" customWidth="1"/>
    <col min="5643" max="5643" width="12" style="184" customWidth="1"/>
    <col min="5644" max="5888" width="8.140625" style="184"/>
    <col min="5889" max="5889" width="5" style="184" customWidth="1"/>
    <col min="5890" max="5890" width="6.7109375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4" style="184" customWidth="1"/>
    <col min="5897" max="5897" width="14.28515625" style="184" customWidth="1"/>
    <col min="5898" max="5898" width="14" style="184" customWidth="1"/>
    <col min="5899" max="5899" width="12" style="184" customWidth="1"/>
    <col min="5900" max="6144" width="8.140625" style="184"/>
    <col min="6145" max="6145" width="5" style="184" customWidth="1"/>
    <col min="6146" max="6146" width="6.7109375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4" style="184" customWidth="1"/>
    <col min="6153" max="6153" width="14.28515625" style="184" customWidth="1"/>
    <col min="6154" max="6154" width="14" style="184" customWidth="1"/>
    <col min="6155" max="6155" width="12" style="184" customWidth="1"/>
    <col min="6156" max="6400" width="8.140625" style="184"/>
    <col min="6401" max="6401" width="5" style="184" customWidth="1"/>
    <col min="6402" max="6402" width="6.7109375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4" style="184" customWidth="1"/>
    <col min="6409" max="6409" width="14.28515625" style="184" customWidth="1"/>
    <col min="6410" max="6410" width="14" style="184" customWidth="1"/>
    <col min="6411" max="6411" width="12" style="184" customWidth="1"/>
    <col min="6412" max="6656" width="8.140625" style="184"/>
    <col min="6657" max="6657" width="5" style="184" customWidth="1"/>
    <col min="6658" max="6658" width="6.7109375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4" style="184" customWidth="1"/>
    <col min="6665" max="6665" width="14.28515625" style="184" customWidth="1"/>
    <col min="6666" max="6666" width="14" style="184" customWidth="1"/>
    <col min="6667" max="6667" width="12" style="184" customWidth="1"/>
    <col min="6668" max="6912" width="8.140625" style="184"/>
    <col min="6913" max="6913" width="5" style="184" customWidth="1"/>
    <col min="6914" max="6914" width="6.7109375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4" style="184" customWidth="1"/>
    <col min="6921" max="6921" width="14.28515625" style="184" customWidth="1"/>
    <col min="6922" max="6922" width="14" style="184" customWidth="1"/>
    <col min="6923" max="6923" width="12" style="184" customWidth="1"/>
    <col min="6924" max="7168" width="8.140625" style="184"/>
    <col min="7169" max="7169" width="5" style="184" customWidth="1"/>
    <col min="7170" max="7170" width="6.7109375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4" style="184" customWidth="1"/>
    <col min="7177" max="7177" width="14.28515625" style="184" customWidth="1"/>
    <col min="7178" max="7178" width="14" style="184" customWidth="1"/>
    <col min="7179" max="7179" width="12" style="184" customWidth="1"/>
    <col min="7180" max="7424" width="8.140625" style="184"/>
    <col min="7425" max="7425" width="5" style="184" customWidth="1"/>
    <col min="7426" max="7426" width="6.7109375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4" style="184" customWidth="1"/>
    <col min="7433" max="7433" width="14.28515625" style="184" customWidth="1"/>
    <col min="7434" max="7434" width="14" style="184" customWidth="1"/>
    <col min="7435" max="7435" width="12" style="184" customWidth="1"/>
    <col min="7436" max="7680" width="8.140625" style="184"/>
    <col min="7681" max="7681" width="5" style="184" customWidth="1"/>
    <col min="7682" max="7682" width="6.7109375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4" style="184" customWidth="1"/>
    <col min="7689" max="7689" width="14.28515625" style="184" customWidth="1"/>
    <col min="7690" max="7690" width="14" style="184" customWidth="1"/>
    <col min="7691" max="7691" width="12" style="184" customWidth="1"/>
    <col min="7692" max="7936" width="8.140625" style="184"/>
    <col min="7937" max="7937" width="5" style="184" customWidth="1"/>
    <col min="7938" max="7938" width="6.7109375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4" style="184" customWidth="1"/>
    <col min="7945" max="7945" width="14.28515625" style="184" customWidth="1"/>
    <col min="7946" max="7946" width="14" style="184" customWidth="1"/>
    <col min="7947" max="7947" width="12" style="184" customWidth="1"/>
    <col min="7948" max="8192" width="8.140625" style="184"/>
    <col min="8193" max="8193" width="5" style="184" customWidth="1"/>
    <col min="8194" max="8194" width="6.7109375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4" style="184" customWidth="1"/>
    <col min="8201" max="8201" width="14.28515625" style="184" customWidth="1"/>
    <col min="8202" max="8202" width="14" style="184" customWidth="1"/>
    <col min="8203" max="8203" width="12" style="184" customWidth="1"/>
    <col min="8204" max="8448" width="8.140625" style="184"/>
    <col min="8449" max="8449" width="5" style="184" customWidth="1"/>
    <col min="8450" max="8450" width="6.7109375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4" style="184" customWidth="1"/>
    <col min="8457" max="8457" width="14.28515625" style="184" customWidth="1"/>
    <col min="8458" max="8458" width="14" style="184" customWidth="1"/>
    <col min="8459" max="8459" width="12" style="184" customWidth="1"/>
    <col min="8460" max="8704" width="8.140625" style="184"/>
    <col min="8705" max="8705" width="5" style="184" customWidth="1"/>
    <col min="8706" max="8706" width="6.7109375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4" style="184" customWidth="1"/>
    <col min="8713" max="8713" width="14.28515625" style="184" customWidth="1"/>
    <col min="8714" max="8714" width="14" style="184" customWidth="1"/>
    <col min="8715" max="8715" width="12" style="184" customWidth="1"/>
    <col min="8716" max="8960" width="8.140625" style="184"/>
    <col min="8961" max="8961" width="5" style="184" customWidth="1"/>
    <col min="8962" max="8962" width="6.7109375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4" style="184" customWidth="1"/>
    <col min="8969" max="8969" width="14.28515625" style="184" customWidth="1"/>
    <col min="8970" max="8970" width="14" style="184" customWidth="1"/>
    <col min="8971" max="8971" width="12" style="184" customWidth="1"/>
    <col min="8972" max="9216" width="8.140625" style="184"/>
    <col min="9217" max="9217" width="5" style="184" customWidth="1"/>
    <col min="9218" max="9218" width="6.7109375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4" style="184" customWidth="1"/>
    <col min="9225" max="9225" width="14.28515625" style="184" customWidth="1"/>
    <col min="9226" max="9226" width="14" style="184" customWidth="1"/>
    <col min="9227" max="9227" width="12" style="184" customWidth="1"/>
    <col min="9228" max="9472" width="8.140625" style="184"/>
    <col min="9473" max="9473" width="5" style="184" customWidth="1"/>
    <col min="9474" max="9474" width="6.7109375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4" style="184" customWidth="1"/>
    <col min="9481" max="9481" width="14.28515625" style="184" customWidth="1"/>
    <col min="9482" max="9482" width="14" style="184" customWidth="1"/>
    <col min="9483" max="9483" width="12" style="184" customWidth="1"/>
    <col min="9484" max="9728" width="8.140625" style="184"/>
    <col min="9729" max="9729" width="5" style="184" customWidth="1"/>
    <col min="9730" max="9730" width="6.7109375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4" style="184" customWidth="1"/>
    <col min="9737" max="9737" width="14.28515625" style="184" customWidth="1"/>
    <col min="9738" max="9738" width="14" style="184" customWidth="1"/>
    <col min="9739" max="9739" width="12" style="184" customWidth="1"/>
    <col min="9740" max="9984" width="8.140625" style="184"/>
    <col min="9985" max="9985" width="5" style="184" customWidth="1"/>
    <col min="9986" max="9986" width="6.7109375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4" style="184" customWidth="1"/>
    <col min="9993" max="9993" width="14.28515625" style="184" customWidth="1"/>
    <col min="9994" max="9994" width="14" style="184" customWidth="1"/>
    <col min="9995" max="9995" width="12" style="184" customWidth="1"/>
    <col min="9996" max="10240" width="8.140625" style="184"/>
    <col min="10241" max="10241" width="5" style="184" customWidth="1"/>
    <col min="10242" max="10242" width="6.7109375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4" style="184" customWidth="1"/>
    <col min="10249" max="10249" width="14.28515625" style="184" customWidth="1"/>
    <col min="10250" max="10250" width="14" style="184" customWidth="1"/>
    <col min="10251" max="10251" width="12" style="184" customWidth="1"/>
    <col min="10252" max="10496" width="8.140625" style="184"/>
    <col min="10497" max="10497" width="5" style="184" customWidth="1"/>
    <col min="10498" max="10498" width="6.7109375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4" style="184" customWidth="1"/>
    <col min="10505" max="10505" width="14.28515625" style="184" customWidth="1"/>
    <col min="10506" max="10506" width="14" style="184" customWidth="1"/>
    <col min="10507" max="10507" width="12" style="184" customWidth="1"/>
    <col min="10508" max="10752" width="8.140625" style="184"/>
    <col min="10753" max="10753" width="5" style="184" customWidth="1"/>
    <col min="10754" max="10754" width="6.7109375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4" style="184" customWidth="1"/>
    <col min="10761" max="10761" width="14.28515625" style="184" customWidth="1"/>
    <col min="10762" max="10762" width="14" style="184" customWidth="1"/>
    <col min="10763" max="10763" width="12" style="184" customWidth="1"/>
    <col min="10764" max="11008" width="8.140625" style="184"/>
    <col min="11009" max="11009" width="5" style="184" customWidth="1"/>
    <col min="11010" max="11010" width="6.7109375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4" style="184" customWidth="1"/>
    <col min="11017" max="11017" width="14.28515625" style="184" customWidth="1"/>
    <col min="11018" max="11018" width="14" style="184" customWidth="1"/>
    <col min="11019" max="11019" width="12" style="184" customWidth="1"/>
    <col min="11020" max="11264" width="8.140625" style="184"/>
    <col min="11265" max="11265" width="5" style="184" customWidth="1"/>
    <col min="11266" max="11266" width="6.7109375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4" style="184" customWidth="1"/>
    <col min="11273" max="11273" width="14.28515625" style="184" customWidth="1"/>
    <col min="11274" max="11274" width="14" style="184" customWidth="1"/>
    <col min="11275" max="11275" width="12" style="184" customWidth="1"/>
    <col min="11276" max="11520" width="8.140625" style="184"/>
    <col min="11521" max="11521" width="5" style="184" customWidth="1"/>
    <col min="11522" max="11522" width="6.7109375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4" style="184" customWidth="1"/>
    <col min="11529" max="11529" width="14.28515625" style="184" customWidth="1"/>
    <col min="11530" max="11530" width="14" style="184" customWidth="1"/>
    <col min="11531" max="11531" width="12" style="184" customWidth="1"/>
    <col min="11532" max="11776" width="8.140625" style="184"/>
    <col min="11777" max="11777" width="5" style="184" customWidth="1"/>
    <col min="11778" max="11778" width="6.7109375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4" style="184" customWidth="1"/>
    <col min="11785" max="11785" width="14.28515625" style="184" customWidth="1"/>
    <col min="11786" max="11786" width="14" style="184" customWidth="1"/>
    <col min="11787" max="11787" width="12" style="184" customWidth="1"/>
    <col min="11788" max="12032" width="8.140625" style="184"/>
    <col min="12033" max="12033" width="5" style="184" customWidth="1"/>
    <col min="12034" max="12034" width="6.7109375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4" style="184" customWidth="1"/>
    <col min="12041" max="12041" width="14.28515625" style="184" customWidth="1"/>
    <col min="12042" max="12042" width="14" style="184" customWidth="1"/>
    <col min="12043" max="12043" width="12" style="184" customWidth="1"/>
    <col min="12044" max="12288" width="8.140625" style="184"/>
    <col min="12289" max="12289" width="5" style="184" customWidth="1"/>
    <col min="12290" max="12290" width="6.7109375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4" style="184" customWidth="1"/>
    <col min="12297" max="12297" width="14.28515625" style="184" customWidth="1"/>
    <col min="12298" max="12298" width="14" style="184" customWidth="1"/>
    <col min="12299" max="12299" width="12" style="184" customWidth="1"/>
    <col min="12300" max="12544" width="8.140625" style="184"/>
    <col min="12545" max="12545" width="5" style="184" customWidth="1"/>
    <col min="12546" max="12546" width="6.7109375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4" style="184" customWidth="1"/>
    <col min="12553" max="12553" width="14.28515625" style="184" customWidth="1"/>
    <col min="12554" max="12554" width="14" style="184" customWidth="1"/>
    <col min="12555" max="12555" width="12" style="184" customWidth="1"/>
    <col min="12556" max="12800" width="8.140625" style="184"/>
    <col min="12801" max="12801" width="5" style="184" customWidth="1"/>
    <col min="12802" max="12802" width="6.7109375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4" style="184" customWidth="1"/>
    <col min="12809" max="12809" width="14.28515625" style="184" customWidth="1"/>
    <col min="12810" max="12810" width="14" style="184" customWidth="1"/>
    <col min="12811" max="12811" width="12" style="184" customWidth="1"/>
    <col min="12812" max="13056" width="8.140625" style="184"/>
    <col min="13057" max="13057" width="5" style="184" customWidth="1"/>
    <col min="13058" max="13058" width="6.7109375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4" style="184" customWidth="1"/>
    <col min="13065" max="13065" width="14.28515625" style="184" customWidth="1"/>
    <col min="13066" max="13066" width="14" style="184" customWidth="1"/>
    <col min="13067" max="13067" width="12" style="184" customWidth="1"/>
    <col min="13068" max="13312" width="8.140625" style="184"/>
    <col min="13313" max="13313" width="5" style="184" customWidth="1"/>
    <col min="13314" max="13314" width="6.7109375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4" style="184" customWidth="1"/>
    <col min="13321" max="13321" width="14.28515625" style="184" customWidth="1"/>
    <col min="13322" max="13322" width="14" style="184" customWidth="1"/>
    <col min="13323" max="13323" width="12" style="184" customWidth="1"/>
    <col min="13324" max="13568" width="8.140625" style="184"/>
    <col min="13569" max="13569" width="5" style="184" customWidth="1"/>
    <col min="13570" max="13570" width="6.7109375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4" style="184" customWidth="1"/>
    <col min="13577" max="13577" width="14.28515625" style="184" customWidth="1"/>
    <col min="13578" max="13578" width="14" style="184" customWidth="1"/>
    <col min="13579" max="13579" width="12" style="184" customWidth="1"/>
    <col min="13580" max="13824" width="8.140625" style="184"/>
    <col min="13825" max="13825" width="5" style="184" customWidth="1"/>
    <col min="13826" max="13826" width="6.7109375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4" style="184" customWidth="1"/>
    <col min="13833" max="13833" width="14.28515625" style="184" customWidth="1"/>
    <col min="13834" max="13834" width="14" style="184" customWidth="1"/>
    <col min="13835" max="13835" width="12" style="184" customWidth="1"/>
    <col min="13836" max="14080" width="8.140625" style="184"/>
    <col min="14081" max="14081" width="5" style="184" customWidth="1"/>
    <col min="14082" max="14082" width="6.7109375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4" style="184" customWidth="1"/>
    <col min="14089" max="14089" width="14.28515625" style="184" customWidth="1"/>
    <col min="14090" max="14090" width="14" style="184" customWidth="1"/>
    <col min="14091" max="14091" width="12" style="184" customWidth="1"/>
    <col min="14092" max="14336" width="8.140625" style="184"/>
    <col min="14337" max="14337" width="5" style="184" customWidth="1"/>
    <col min="14338" max="14338" width="6.7109375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4" style="184" customWidth="1"/>
    <col min="14345" max="14345" width="14.28515625" style="184" customWidth="1"/>
    <col min="14346" max="14346" width="14" style="184" customWidth="1"/>
    <col min="14347" max="14347" width="12" style="184" customWidth="1"/>
    <col min="14348" max="14592" width="8.140625" style="184"/>
    <col min="14593" max="14593" width="5" style="184" customWidth="1"/>
    <col min="14594" max="14594" width="6.7109375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4" style="184" customWidth="1"/>
    <col min="14601" max="14601" width="14.28515625" style="184" customWidth="1"/>
    <col min="14602" max="14602" width="14" style="184" customWidth="1"/>
    <col min="14603" max="14603" width="12" style="184" customWidth="1"/>
    <col min="14604" max="14848" width="8.140625" style="184"/>
    <col min="14849" max="14849" width="5" style="184" customWidth="1"/>
    <col min="14850" max="14850" width="6.7109375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4" style="184" customWidth="1"/>
    <col min="14857" max="14857" width="14.28515625" style="184" customWidth="1"/>
    <col min="14858" max="14858" width="14" style="184" customWidth="1"/>
    <col min="14859" max="14859" width="12" style="184" customWidth="1"/>
    <col min="14860" max="15104" width="8.140625" style="184"/>
    <col min="15105" max="15105" width="5" style="184" customWidth="1"/>
    <col min="15106" max="15106" width="6.7109375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4" style="184" customWidth="1"/>
    <col min="15113" max="15113" width="14.28515625" style="184" customWidth="1"/>
    <col min="15114" max="15114" width="14" style="184" customWidth="1"/>
    <col min="15115" max="15115" width="12" style="184" customWidth="1"/>
    <col min="15116" max="15360" width="8.140625" style="184"/>
    <col min="15361" max="15361" width="5" style="184" customWidth="1"/>
    <col min="15362" max="15362" width="6.7109375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4" style="184" customWidth="1"/>
    <col min="15369" max="15369" width="14.28515625" style="184" customWidth="1"/>
    <col min="15370" max="15370" width="14" style="184" customWidth="1"/>
    <col min="15371" max="15371" width="12" style="184" customWidth="1"/>
    <col min="15372" max="15616" width="8.140625" style="184"/>
    <col min="15617" max="15617" width="5" style="184" customWidth="1"/>
    <col min="15618" max="15618" width="6.7109375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4" style="184" customWidth="1"/>
    <col min="15625" max="15625" width="14.28515625" style="184" customWidth="1"/>
    <col min="15626" max="15626" width="14" style="184" customWidth="1"/>
    <col min="15627" max="15627" width="12" style="184" customWidth="1"/>
    <col min="15628" max="15872" width="8.140625" style="184"/>
    <col min="15873" max="15873" width="5" style="184" customWidth="1"/>
    <col min="15874" max="15874" width="6.7109375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4" style="184" customWidth="1"/>
    <col min="15881" max="15881" width="14.28515625" style="184" customWidth="1"/>
    <col min="15882" max="15882" width="14" style="184" customWidth="1"/>
    <col min="15883" max="15883" width="12" style="184" customWidth="1"/>
    <col min="15884" max="16128" width="8.140625" style="184"/>
    <col min="16129" max="16129" width="5" style="184" customWidth="1"/>
    <col min="16130" max="16130" width="6.7109375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4" style="184" customWidth="1"/>
    <col min="16137" max="16137" width="14.28515625" style="184" customWidth="1"/>
    <col min="16138" max="16138" width="14" style="184" customWidth="1"/>
    <col min="16139" max="16139" width="12" style="184" customWidth="1"/>
    <col min="16140" max="16384" width="8.140625" style="184"/>
  </cols>
  <sheetData>
    <row r="1" spans="1:11" s="195" customFormat="1" ht="12.75">
      <c r="A1" s="186"/>
      <c r="B1" s="187"/>
      <c r="C1" s="188" t="s">
        <v>49</v>
      </c>
      <c r="D1" s="189" t="s">
        <v>151</v>
      </c>
      <c r="E1" s="215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9" customHeight="1">
      <c r="A2" s="196"/>
      <c r="B2" s="197"/>
      <c r="C2" s="198" t="s">
        <v>51</v>
      </c>
      <c r="D2" s="199" t="s">
        <v>152</v>
      </c>
      <c r="E2" s="216" t="s">
        <v>1187</v>
      </c>
      <c r="F2" s="200"/>
      <c r="G2" s="201"/>
      <c r="H2" s="202"/>
      <c r="I2" s="197"/>
      <c r="J2" s="203"/>
      <c r="K2" s="204"/>
    </row>
    <row r="3" spans="1:11" s="185" customFormat="1" ht="10.9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0.9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3.6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140" customFormat="1" ht="19.899999999999999" customHeight="1">
      <c r="A6" s="143"/>
      <c r="B6" s="144"/>
      <c r="C6" s="145" t="s">
        <v>276</v>
      </c>
      <c r="D6" s="145" t="s">
        <v>826</v>
      </c>
      <c r="E6" s="144"/>
      <c r="F6" s="146"/>
      <c r="G6" s="147"/>
      <c r="H6" s="148"/>
      <c r="I6" s="148"/>
      <c r="J6" s="148">
        <f>SUM(J7)</f>
        <v>0</v>
      </c>
      <c r="K6" s="149">
        <v>0</v>
      </c>
    </row>
    <row r="7" spans="1:11" s="140" customFormat="1" ht="19.899999999999999" customHeight="1">
      <c r="A7" s="150"/>
      <c r="B7" s="151"/>
      <c r="C7" s="152" t="s">
        <v>822</v>
      </c>
      <c r="D7" s="152" t="s">
        <v>841</v>
      </c>
      <c r="E7" s="151"/>
      <c r="F7" s="153"/>
      <c r="G7" s="154"/>
      <c r="H7" s="155"/>
      <c r="I7" s="155"/>
      <c r="J7" s="155">
        <f>SUM(J8)</f>
        <v>0</v>
      </c>
      <c r="K7" s="156">
        <v>0</v>
      </c>
    </row>
    <row r="8" spans="1:11" s="140" customFormat="1" ht="13.5" customHeight="1">
      <c r="A8" s="157">
        <v>43</v>
      </c>
      <c r="B8" s="158" t="s">
        <v>842</v>
      </c>
      <c r="C8" s="159" t="s">
        <v>1054</v>
      </c>
      <c r="D8" s="159" t="s">
        <v>1055</v>
      </c>
      <c r="E8" s="158" t="s">
        <v>83</v>
      </c>
      <c r="F8" s="160">
        <v>1156</v>
      </c>
      <c r="G8" s="161"/>
      <c r="H8" s="162"/>
      <c r="I8" s="162"/>
      <c r="J8" s="162"/>
      <c r="K8" s="163">
        <v>0</v>
      </c>
    </row>
    <row r="9" spans="1:11" s="140" customFormat="1" ht="19.149999999999999" customHeight="1">
      <c r="A9" s="143"/>
      <c r="B9" s="144"/>
      <c r="C9" s="145" t="s">
        <v>939</v>
      </c>
      <c r="D9" s="145" t="s">
        <v>940</v>
      </c>
      <c r="E9" s="144"/>
      <c r="F9" s="146"/>
      <c r="G9" s="147"/>
      <c r="H9" s="148"/>
      <c r="I9" s="148"/>
      <c r="J9" s="148">
        <f>SUM(J10,J13,J23,J32,J43)</f>
        <v>0</v>
      </c>
      <c r="K9" s="149"/>
    </row>
    <row r="10" spans="1:11" s="140" customFormat="1" ht="19.899999999999999" customHeight="1">
      <c r="A10" s="150"/>
      <c r="B10" s="151"/>
      <c r="C10" s="152" t="s">
        <v>1049</v>
      </c>
      <c r="D10" s="152" t="s">
        <v>1056</v>
      </c>
      <c r="E10" s="151"/>
      <c r="F10" s="153"/>
      <c r="G10" s="154"/>
      <c r="H10" s="155"/>
      <c r="I10" s="155"/>
      <c r="J10" s="155">
        <f>SUM(J11:J12)</f>
        <v>0</v>
      </c>
      <c r="K10" s="156">
        <v>7.1830000000000005E-2</v>
      </c>
    </row>
    <row r="11" spans="1:11" s="140" customFormat="1" ht="24" customHeight="1">
      <c r="A11" s="157">
        <v>14</v>
      </c>
      <c r="B11" s="158" t="s">
        <v>1049</v>
      </c>
      <c r="C11" s="159" t="s">
        <v>1057</v>
      </c>
      <c r="D11" s="159" t="s">
        <v>1058</v>
      </c>
      <c r="E11" s="158" t="s">
        <v>997</v>
      </c>
      <c r="F11" s="160">
        <v>1</v>
      </c>
      <c r="G11" s="161"/>
      <c r="H11" s="162"/>
      <c r="I11" s="162"/>
      <c r="J11" s="162"/>
      <c r="K11" s="163">
        <v>3.1829999999999997E-2</v>
      </c>
    </row>
    <row r="12" spans="1:11" s="140" customFormat="1" ht="13.5" customHeight="1">
      <c r="A12" s="164">
        <v>15</v>
      </c>
      <c r="B12" s="165" t="s">
        <v>1059</v>
      </c>
      <c r="C12" s="166" t="s">
        <v>1060</v>
      </c>
      <c r="D12" s="166" t="s">
        <v>1061</v>
      </c>
      <c r="E12" s="165" t="s">
        <v>82</v>
      </c>
      <c r="F12" s="167">
        <v>1</v>
      </c>
      <c r="G12" s="168"/>
      <c r="H12" s="169"/>
      <c r="I12" s="169"/>
      <c r="J12" s="169"/>
      <c r="K12" s="170">
        <v>0.04</v>
      </c>
    </row>
    <row r="13" spans="1:11" s="140" customFormat="1" ht="28.5" customHeight="1">
      <c r="A13" s="150"/>
      <c r="B13" s="151"/>
      <c r="C13" s="152" t="s">
        <v>1047</v>
      </c>
      <c r="D13" s="152" t="s">
        <v>1048</v>
      </c>
      <c r="E13" s="151"/>
      <c r="F13" s="153"/>
      <c r="G13" s="154"/>
      <c r="H13" s="155"/>
      <c r="I13" s="155"/>
      <c r="J13" s="155">
        <f>SUM(J14:J22)</f>
        <v>0</v>
      </c>
      <c r="K13" s="156">
        <v>0.84316000000000002</v>
      </c>
    </row>
    <row r="14" spans="1:11" s="140" customFormat="1" ht="13.5" customHeight="1">
      <c r="A14" s="157">
        <v>16</v>
      </c>
      <c r="B14" s="158" t="s">
        <v>1049</v>
      </c>
      <c r="C14" s="159" t="s">
        <v>1062</v>
      </c>
      <c r="D14" s="159" t="s">
        <v>1063</v>
      </c>
      <c r="E14" s="158" t="s">
        <v>82</v>
      </c>
      <c r="F14" s="160">
        <v>1</v>
      </c>
      <c r="G14" s="161"/>
      <c r="H14" s="162"/>
      <c r="I14" s="162"/>
      <c r="J14" s="162"/>
      <c r="K14" s="163">
        <v>8.2299999999999995E-3</v>
      </c>
    </row>
    <row r="15" spans="1:11" s="140" customFormat="1" ht="13.5" customHeight="1">
      <c r="A15" s="164">
        <v>17</v>
      </c>
      <c r="B15" s="165" t="s">
        <v>1059</v>
      </c>
      <c r="C15" s="166" t="s">
        <v>1064</v>
      </c>
      <c r="D15" s="166" t="s">
        <v>1065</v>
      </c>
      <c r="E15" s="165" t="s">
        <v>1066</v>
      </c>
      <c r="F15" s="167">
        <v>1</v>
      </c>
      <c r="G15" s="168"/>
      <c r="H15" s="169"/>
      <c r="I15" s="169"/>
      <c r="J15" s="169"/>
      <c r="K15" s="170">
        <v>1.076E-2</v>
      </c>
    </row>
    <row r="16" spans="1:11" s="140" customFormat="1" ht="13.5" customHeight="1">
      <c r="A16" s="164">
        <v>18</v>
      </c>
      <c r="B16" s="165" t="s">
        <v>1059</v>
      </c>
      <c r="C16" s="166" t="s">
        <v>1067</v>
      </c>
      <c r="D16" s="166" t="s">
        <v>1068</v>
      </c>
      <c r="E16" s="165" t="s">
        <v>1066</v>
      </c>
      <c r="F16" s="167">
        <v>2</v>
      </c>
      <c r="G16" s="168"/>
      <c r="H16" s="169"/>
      <c r="I16" s="169"/>
      <c r="J16" s="169"/>
      <c r="K16" s="170">
        <v>3.3640000000000003E-2</v>
      </c>
    </row>
    <row r="17" spans="1:11" s="140" customFormat="1" ht="12" customHeight="1">
      <c r="A17" s="157">
        <v>4</v>
      </c>
      <c r="B17" s="158" t="s">
        <v>1049</v>
      </c>
      <c r="C17" s="159" t="s">
        <v>1069</v>
      </c>
      <c r="D17" s="159" t="s">
        <v>1070</v>
      </c>
      <c r="E17" s="158" t="s">
        <v>997</v>
      </c>
      <c r="F17" s="160">
        <v>1</v>
      </c>
      <c r="G17" s="161"/>
      <c r="H17" s="162"/>
      <c r="I17" s="162"/>
      <c r="J17" s="162"/>
      <c r="K17" s="163">
        <v>0.27178999999999998</v>
      </c>
    </row>
    <row r="18" spans="1:11" s="140" customFormat="1" ht="12" customHeight="1">
      <c r="A18" s="157">
        <v>2</v>
      </c>
      <c r="B18" s="158" t="s">
        <v>1049</v>
      </c>
      <c r="C18" s="159" t="s">
        <v>1071</v>
      </c>
      <c r="D18" s="159" t="s">
        <v>1072</v>
      </c>
      <c r="E18" s="158" t="s">
        <v>997</v>
      </c>
      <c r="F18" s="160">
        <v>1</v>
      </c>
      <c r="G18" s="161"/>
      <c r="H18" s="162"/>
      <c r="I18" s="162"/>
      <c r="J18" s="162"/>
      <c r="K18" s="163">
        <v>0.16811999999999999</v>
      </c>
    </row>
    <row r="19" spans="1:11" s="140" customFormat="1" ht="24" customHeight="1">
      <c r="A19" s="157">
        <v>8</v>
      </c>
      <c r="B19" s="158" t="s">
        <v>1049</v>
      </c>
      <c r="C19" s="159" t="s">
        <v>1073</v>
      </c>
      <c r="D19" s="159" t="s">
        <v>1074</v>
      </c>
      <c r="E19" s="158" t="s">
        <v>997</v>
      </c>
      <c r="F19" s="160">
        <v>1</v>
      </c>
      <c r="G19" s="161"/>
      <c r="H19" s="162"/>
      <c r="I19" s="162"/>
      <c r="J19" s="162"/>
      <c r="K19" s="163">
        <v>1.2070000000000001E-2</v>
      </c>
    </row>
    <row r="20" spans="1:11" s="140" customFormat="1" ht="24" customHeight="1">
      <c r="A20" s="157">
        <v>9</v>
      </c>
      <c r="B20" s="158" t="s">
        <v>1049</v>
      </c>
      <c r="C20" s="159" t="s">
        <v>1075</v>
      </c>
      <c r="D20" s="159" t="s">
        <v>1076</v>
      </c>
      <c r="E20" s="158" t="s">
        <v>997</v>
      </c>
      <c r="F20" s="160">
        <v>1</v>
      </c>
      <c r="G20" s="161"/>
      <c r="H20" s="162"/>
      <c r="I20" s="162"/>
      <c r="J20" s="162"/>
      <c r="K20" s="163">
        <v>1.281E-2</v>
      </c>
    </row>
    <row r="21" spans="1:11" s="140" customFormat="1" ht="24" customHeight="1">
      <c r="A21" s="157">
        <v>1</v>
      </c>
      <c r="B21" s="158" t="s">
        <v>1049</v>
      </c>
      <c r="C21" s="159" t="s">
        <v>1077</v>
      </c>
      <c r="D21" s="159" t="s">
        <v>1078</v>
      </c>
      <c r="E21" s="158" t="s">
        <v>997</v>
      </c>
      <c r="F21" s="160">
        <v>1</v>
      </c>
      <c r="G21" s="161"/>
      <c r="H21" s="162"/>
      <c r="I21" s="162"/>
      <c r="J21" s="162"/>
      <c r="K21" s="163">
        <v>0.23960999999999999</v>
      </c>
    </row>
    <row r="22" spans="1:11" s="140" customFormat="1" ht="14.45" customHeight="1">
      <c r="A22" s="157">
        <v>3</v>
      </c>
      <c r="B22" s="158" t="s">
        <v>1049</v>
      </c>
      <c r="C22" s="159" t="s">
        <v>1079</v>
      </c>
      <c r="D22" s="159" t="s">
        <v>1080</v>
      </c>
      <c r="E22" s="158" t="s">
        <v>997</v>
      </c>
      <c r="F22" s="160">
        <v>1</v>
      </c>
      <c r="G22" s="161"/>
      <c r="H22" s="162"/>
      <c r="I22" s="162"/>
      <c r="J22" s="162"/>
      <c r="K22" s="163">
        <v>8.6129999999999998E-2</v>
      </c>
    </row>
    <row r="23" spans="1:11" s="140" customFormat="1" ht="19.899999999999999" customHeight="1">
      <c r="A23" s="150"/>
      <c r="B23" s="151"/>
      <c r="C23" s="152" t="s">
        <v>1081</v>
      </c>
      <c r="D23" s="152" t="s">
        <v>1082</v>
      </c>
      <c r="E23" s="151"/>
      <c r="F23" s="153"/>
      <c r="G23" s="154"/>
      <c r="H23" s="155"/>
      <c r="I23" s="155"/>
      <c r="J23" s="155">
        <f>SUM(J24:J31)</f>
        <v>0</v>
      </c>
      <c r="K23" s="156">
        <v>0.10095999999999999</v>
      </c>
    </row>
    <row r="24" spans="1:11" s="140" customFormat="1" ht="13.5" customHeight="1">
      <c r="A24" s="157">
        <v>37</v>
      </c>
      <c r="B24" s="158" t="s">
        <v>1049</v>
      </c>
      <c r="C24" s="159" t="s">
        <v>1083</v>
      </c>
      <c r="D24" s="159" t="s">
        <v>1084</v>
      </c>
      <c r="E24" s="158" t="s">
        <v>83</v>
      </c>
      <c r="F24" s="160">
        <v>2</v>
      </c>
      <c r="G24" s="161">
        <v>318</v>
      </c>
      <c r="H24" s="162"/>
      <c r="I24" s="162"/>
      <c r="J24" s="162"/>
      <c r="K24" s="163">
        <v>1.1199999999999999E-3</v>
      </c>
    </row>
    <row r="25" spans="1:11" s="140" customFormat="1" ht="13.5" customHeight="1">
      <c r="A25" s="157">
        <v>38</v>
      </c>
      <c r="B25" s="158" t="s">
        <v>1049</v>
      </c>
      <c r="C25" s="159" t="s">
        <v>1085</v>
      </c>
      <c r="D25" s="159" t="s">
        <v>1086</v>
      </c>
      <c r="E25" s="158" t="s">
        <v>83</v>
      </c>
      <c r="F25" s="160">
        <v>12</v>
      </c>
      <c r="G25" s="161">
        <v>365</v>
      </c>
      <c r="H25" s="162"/>
      <c r="I25" s="162"/>
      <c r="J25" s="162"/>
      <c r="K25" s="163">
        <v>8.2799999999999992E-3</v>
      </c>
    </row>
    <row r="26" spans="1:11" s="140" customFormat="1" ht="13.5" customHeight="1">
      <c r="A26" s="157">
        <v>39</v>
      </c>
      <c r="B26" s="158" t="s">
        <v>1049</v>
      </c>
      <c r="C26" s="159" t="s">
        <v>1087</v>
      </c>
      <c r="D26" s="159" t="s">
        <v>1088</v>
      </c>
      <c r="E26" s="158" t="s">
        <v>83</v>
      </c>
      <c r="F26" s="160">
        <v>14</v>
      </c>
      <c r="G26" s="161">
        <v>568</v>
      </c>
      <c r="H26" s="162"/>
      <c r="I26" s="162"/>
      <c r="J26" s="162"/>
      <c r="K26" s="163">
        <v>1.456E-2</v>
      </c>
    </row>
    <row r="27" spans="1:11" s="140" customFormat="1" ht="13.5" customHeight="1">
      <c r="A27" s="157">
        <v>40</v>
      </c>
      <c r="B27" s="158" t="s">
        <v>1049</v>
      </c>
      <c r="C27" s="159" t="s">
        <v>1089</v>
      </c>
      <c r="D27" s="159" t="s">
        <v>1090</v>
      </c>
      <c r="E27" s="158" t="s">
        <v>83</v>
      </c>
      <c r="F27" s="160">
        <v>10</v>
      </c>
      <c r="G27" s="161">
        <v>694</v>
      </c>
      <c r="H27" s="162"/>
      <c r="I27" s="162"/>
      <c r="J27" s="162"/>
      <c r="K27" s="163">
        <v>1.6E-2</v>
      </c>
    </row>
    <row r="28" spans="1:11" s="140" customFormat="1" ht="13.5" customHeight="1">
      <c r="A28" s="157">
        <v>41</v>
      </c>
      <c r="B28" s="158" t="s">
        <v>1049</v>
      </c>
      <c r="C28" s="159" t="s">
        <v>1091</v>
      </c>
      <c r="D28" s="159" t="s">
        <v>1092</v>
      </c>
      <c r="E28" s="158" t="s">
        <v>83</v>
      </c>
      <c r="F28" s="160">
        <v>22</v>
      </c>
      <c r="G28" s="161">
        <v>987</v>
      </c>
      <c r="H28" s="162"/>
      <c r="I28" s="162"/>
      <c r="J28" s="162"/>
      <c r="K28" s="163">
        <v>4.2680000000000003E-2</v>
      </c>
    </row>
    <row r="29" spans="1:11" s="140" customFormat="1" ht="13.5" customHeight="1">
      <c r="A29" s="157">
        <v>42</v>
      </c>
      <c r="B29" s="158" t="s">
        <v>1049</v>
      </c>
      <c r="C29" s="159" t="s">
        <v>1093</v>
      </c>
      <c r="D29" s="159" t="s">
        <v>1094</v>
      </c>
      <c r="E29" s="158" t="s">
        <v>83</v>
      </c>
      <c r="F29" s="160">
        <v>60</v>
      </c>
      <c r="G29" s="161">
        <v>16</v>
      </c>
      <c r="H29" s="162"/>
      <c r="I29" s="162"/>
      <c r="J29" s="162"/>
      <c r="K29" s="163">
        <v>0</v>
      </c>
    </row>
    <row r="30" spans="1:11" s="140" customFormat="1" ht="24" customHeight="1">
      <c r="A30" s="157">
        <v>64</v>
      </c>
      <c r="B30" s="158" t="s">
        <v>1049</v>
      </c>
      <c r="C30" s="159" t="s">
        <v>1095</v>
      </c>
      <c r="D30" s="159" t="s">
        <v>1096</v>
      </c>
      <c r="E30" s="158" t="s">
        <v>83</v>
      </c>
      <c r="F30" s="160">
        <v>448</v>
      </c>
      <c r="G30" s="161">
        <v>45.3</v>
      </c>
      <c r="H30" s="162"/>
      <c r="I30" s="162"/>
      <c r="J30" s="162"/>
      <c r="K30" s="163">
        <v>1.7919999999999998E-2</v>
      </c>
    </row>
    <row r="31" spans="1:11" s="140" customFormat="1" ht="13.5" customHeight="1">
      <c r="A31" s="157">
        <v>65</v>
      </c>
      <c r="B31" s="158" t="s">
        <v>1049</v>
      </c>
      <c r="C31" s="159" t="s">
        <v>1097</v>
      </c>
      <c r="D31" s="159" t="s">
        <v>1098</v>
      </c>
      <c r="E31" s="158" t="s">
        <v>83</v>
      </c>
      <c r="F31" s="160">
        <v>10</v>
      </c>
      <c r="G31" s="161">
        <v>176</v>
      </c>
      <c r="H31" s="162"/>
      <c r="I31" s="162"/>
      <c r="J31" s="162"/>
      <c r="K31" s="163">
        <v>4.0000000000000002E-4</v>
      </c>
    </row>
    <row r="32" spans="1:11" s="140" customFormat="1" ht="19.149999999999999" customHeight="1">
      <c r="A32" s="150"/>
      <c r="B32" s="151"/>
      <c r="C32" s="152" t="s">
        <v>1099</v>
      </c>
      <c r="D32" s="152" t="s">
        <v>1100</v>
      </c>
      <c r="E32" s="151"/>
      <c r="F32" s="153"/>
      <c r="G32" s="154"/>
      <c r="H32" s="155"/>
      <c r="I32" s="155"/>
      <c r="J32" s="155">
        <f>SUM(J33:J42)</f>
        <v>0</v>
      </c>
      <c r="K32" s="156">
        <v>2.5729999999999999E-2</v>
      </c>
    </row>
    <row r="33" spans="1:11" s="140" customFormat="1" ht="13.9" customHeight="1">
      <c r="A33" s="157">
        <v>36</v>
      </c>
      <c r="B33" s="158" t="s">
        <v>1049</v>
      </c>
      <c r="C33" s="159" t="s">
        <v>1101</v>
      </c>
      <c r="D33" s="159" t="s">
        <v>1102</v>
      </c>
      <c r="E33" s="158" t="s">
        <v>82</v>
      </c>
      <c r="F33" s="160">
        <v>8</v>
      </c>
      <c r="G33" s="161">
        <v>700</v>
      </c>
      <c r="H33" s="162"/>
      <c r="I33" s="162"/>
      <c r="J33" s="162"/>
      <c r="K33" s="163">
        <v>5.5999999999999999E-3</v>
      </c>
    </row>
    <row r="34" spans="1:11" s="140" customFormat="1" ht="13.9" customHeight="1">
      <c r="A34" s="157">
        <v>35</v>
      </c>
      <c r="B34" s="158" t="s">
        <v>1049</v>
      </c>
      <c r="C34" s="159" t="s">
        <v>1103</v>
      </c>
      <c r="D34" s="159" t="s">
        <v>1104</v>
      </c>
      <c r="E34" s="158" t="s">
        <v>82</v>
      </c>
      <c r="F34" s="160">
        <v>15</v>
      </c>
      <c r="G34" s="161">
        <v>727</v>
      </c>
      <c r="H34" s="162"/>
      <c r="I34" s="162"/>
      <c r="J34" s="162"/>
      <c r="K34" s="163">
        <v>1.29E-2</v>
      </c>
    </row>
    <row r="35" spans="1:11" s="140" customFormat="1" ht="24" customHeight="1">
      <c r="A35" s="164">
        <v>59</v>
      </c>
      <c r="B35" s="165" t="s">
        <v>847</v>
      </c>
      <c r="C35" s="166" t="s">
        <v>1105</v>
      </c>
      <c r="D35" s="166" t="s">
        <v>1106</v>
      </c>
      <c r="E35" s="165" t="s">
        <v>931</v>
      </c>
      <c r="F35" s="167">
        <v>1</v>
      </c>
      <c r="G35" s="168">
        <v>8175.3</v>
      </c>
      <c r="H35" s="169"/>
      <c r="I35" s="169"/>
      <c r="J35" s="169"/>
      <c r="K35" s="170">
        <v>1.8000000000000001E-4</v>
      </c>
    </row>
    <row r="36" spans="1:11" s="140" customFormat="1" ht="24" customHeight="1">
      <c r="A36" s="164">
        <v>60</v>
      </c>
      <c r="B36" s="165" t="s">
        <v>847</v>
      </c>
      <c r="C36" s="166" t="s">
        <v>1107</v>
      </c>
      <c r="D36" s="166" t="s">
        <v>1108</v>
      </c>
      <c r="E36" s="165" t="s">
        <v>931</v>
      </c>
      <c r="F36" s="167">
        <v>1</v>
      </c>
      <c r="G36" s="168">
        <v>11532.48</v>
      </c>
      <c r="H36" s="169"/>
      <c r="I36" s="169"/>
      <c r="J36" s="169"/>
      <c r="K36" s="170">
        <v>2.0000000000000002E-5</v>
      </c>
    </row>
    <row r="37" spans="1:11" s="140" customFormat="1" ht="34.5" customHeight="1">
      <c r="A37" s="164">
        <v>61</v>
      </c>
      <c r="B37" s="165" t="s">
        <v>847</v>
      </c>
      <c r="C37" s="166" t="s">
        <v>1109</v>
      </c>
      <c r="D37" s="166" t="s">
        <v>1110</v>
      </c>
      <c r="E37" s="165" t="s">
        <v>931</v>
      </c>
      <c r="F37" s="167">
        <v>1</v>
      </c>
      <c r="G37" s="168">
        <v>3611</v>
      </c>
      <c r="H37" s="169"/>
      <c r="I37" s="169"/>
      <c r="J37" s="169"/>
      <c r="K37" s="170">
        <v>0</v>
      </c>
    </row>
    <row r="38" spans="1:11" s="140" customFormat="1" ht="34.5" customHeight="1">
      <c r="A38" s="164">
        <v>62</v>
      </c>
      <c r="B38" s="165" t="s">
        <v>863</v>
      </c>
      <c r="C38" s="166" t="s">
        <v>1111</v>
      </c>
      <c r="D38" s="166" t="s">
        <v>1112</v>
      </c>
      <c r="E38" s="165" t="s">
        <v>931</v>
      </c>
      <c r="F38" s="167">
        <v>1</v>
      </c>
      <c r="G38" s="168">
        <v>13819</v>
      </c>
      <c r="H38" s="169"/>
      <c r="I38" s="169"/>
      <c r="J38" s="169"/>
      <c r="K38" s="170">
        <v>1.9000000000000001E-4</v>
      </c>
    </row>
    <row r="39" spans="1:11" s="140" customFormat="1" ht="31.9" customHeight="1">
      <c r="A39" s="164">
        <v>63</v>
      </c>
      <c r="B39" s="165" t="s">
        <v>863</v>
      </c>
      <c r="C39" s="166" t="s">
        <v>1113</v>
      </c>
      <c r="D39" s="166" t="s">
        <v>1114</v>
      </c>
      <c r="E39" s="165" t="s">
        <v>931</v>
      </c>
      <c r="F39" s="167">
        <v>1</v>
      </c>
      <c r="G39" s="168">
        <v>6359</v>
      </c>
      <c r="H39" s="169"/>
      <c r="I39" s="169"/>
      <c r="J39" s="169"/>
      <c r="K39" s="170">
        <v>1.9000000000000001E-4</v>
      </c>
    </row>
    <row r="40" spans="1:11" s="140" customFormat="1" ht="13.5" customHeight="1">
      <c r="A40" s="157">
        <v>5</v>
      </c>
      <c r="B40" s="158" t="s">
        <v>1049</v>
      </c>
      <c r="C40" s="159" t="s">
        <v>1115</v>
      </c>
      <c r="D40" s="159" t="s">
        <v>1116</v>
      </c>
      <c r="E40" s="158" t="s">
        <v>82</v>
      </c>
      <c r="F40" s="160">
        <v>2</v>
      </c>
      <c r="G40" s="161">
        <v>3610</v>
      </c>
      <c r="H40" s="162"/>
      <c r="I40" s="162"/>
      <c r="J40" s="162"/>
      <c r="K40" s="163">
        <v>3.0799999999999998E-3</v>
      </c>
    </row>
    <row r="41" spans="1:11" s="140" customFormat="1" ht="13.5" customHeight="1">
      <c r="A41" s="164">
        <v>6</v>
      </c>
      <c r="B41" s="165" t="s">
        <v>1059</v>
      </c>
      <c r="C41" s="166" t="s">
        <v>1117</v>
      </c>
      <c r="D41" s="166" t="s">
        <v>1118</v>
      </c>
      <c r="E41" s="165" t="s">
        <v>82</v>
      </c>
      <c r="F41" s="167">
        <v>3</v>
      </c>
      <c r="G41" s="168">
        <v>389</v>
      </c>
      <c r="H41" s="169"/>
      <c r="I41" s="169"/>
      <c r="J41" s="169"/>
      <c r="K41" s="170">
        <v>3.0000000000000001E-3</v>
      </c>
    </row>
    <row r="42" spans="1:11" s="140" customFormat="1" ht="13.5" customHeight="1">
      <c r="A42" s="164">
        <v>7</v>
      </c>
      <c r="B42" s="165" t="s">
        <v>863</v>
      </c>
      <c r="C42" s="166" t="s">
        <v>1119</v>
      </c>
      <c r="D42" s="166" t="s">
        <v>1120</v>
      </c>
      <c r="E42" s="165" t="s">
        <v>82</v>
      </c>
      <c r="F42" s="167">
        <v>1</v>
      </c>
      <c r="G42" s="168">
        <v>564</v>
      </c>
      <c r="H42" s="169"/>
      <c r="I42" s="169"/>
      <c r="J42" s="169"/>
      <c r="K42" s="170">
        <v>5.6999999999999998E-4</v>
      </c>
    </row>
    <row r="43" spans="1:11" s="140" customFormat="1" ht="17.45" customHeight="1">
      <c r="A43" s="150"/>
      <c r="B43" s="151"/>
      <c r="C43" s="152" t="s">
        <v>1121</v>
      </c>
      <c r="D43" s="152" t="s">
        <v>1122</v>
      </c>
      <c r="E43" s="151"/>
      <c r="F43" s="153"/>
      <c r="G43" s="154"/>
      <c r="H43" s="155"/>
      <c r="I43" s="155"/>
      <c r="J43" s="155">
        <f>SUM(J44:J75)</f>
        <v>0</v>
      </c>
      <c r="K43" s="156">
        <v>0.75622199999999995</v>
      </c>
    </row>
    <row r="44" spans="1:11" s="140" customFormat="1" ht="24" customHeight="1">
      <c r="A44" s="157">
        <v>47</v>
      </c>
      <c r="B44" s="158" t="s">
        <v>1049</v>
      </c>
      <c r="C44" s="159" t="s">
        <v>1123</v>
      </c>
      <c r="D44" s="159" t="s">
        <v>1124</v>
      </c>
      <c r="E44" s="158" t="s">
        <v>82</v>
      </c>
      <c r="F44" s="160">
        <v>1</v>
      </c>
      <c r="G44" s="161">
        <v>2917.61</v>
      </c>
      <c r="H44" s="162"/>
      <c r="I44" s="162"/>
      <c r="J44" s="162"/>
      <c r="K44" s="163">
        <v>7.1999999999999998E-3</v>
      </c>
    </row>
    <row r="45" spans="1:11" s="140" customFormat="1" ht="24" customHeight="1">
      <c r="A45" s="157">
        <v>46</v>
      </c>
      <c r="B45" s="158" t="s">
        <v>1049</v>
      </c>
      <c r="C45" s="159" t="s">
        <v>1125</v>
      </c>
      <c r="D45" s="159" t="s">
        <v>1126</v>
      </c>
      <c r="E45" s="158" t="s">
        <v>82</v>
      </c>
      <c r="F45" s="160">
        <v>1</v>
      </c>
      <c r="G45" s="161">
        <v>2836.19</v>
      </c>
      <c r="H45" s="162"/>
      <c r="I45" s="162"/>
      <c r="J45" s="162"/>
      <c r="K45" s="163">
        <v>8.3999999999999995E-3</v>
      </c>
    </row>
    <row r="46" spans="1:11" s="140" customFormat="1" ht="24" customHeight="1">
      <c r="A46" s="157">
        <v>57</v>
      </c>
      <c r="B46" s="158" t="s">
        <v>1049</v>
      </c>
      <c r="C46" s="159" t="s">
        <v>1127</v>
      </c>
      <c r="D46" s="159" t="s">
        <v>1128</v>
      </c>
      <c r="E46" s="158" t="s">
        <v>82</v>
      </c>
      <c r="F46" s="160">
        <v>5</v>
      </c>
      <c r="G46" s="161">
        <v>6080</v>
      </c>
      <c r="H46" s="162"/>
      <c r="I46" s="162"/>
      <c r="J46" s="162"/>
      <c r="K46" s="163">
        <v>6.0999999999999999E-2</v>
      </c>
    </row>
    <row r="47" spans="1:11" s="140" customFormat="1" ht="24" customHeight="1">
      <c r="A47" s="157">
        <v>48</v>
      </c>
      <c r="B47" s="158" t="s">
        <v>1049</v>
      </c>
      <c r="C47" s="159" t="s">
        <v>1129</v>
      </c>
      <c r="D47" s="159" t="s">
        <v>1130</v>
      </c>
      <c r="E47" s="158" t="s">
        <v>82</v>
      </c>
      <c r="F47" s="160">
        <v>1</v>
      </c>
      <c r="G47" s="161">
        <v>3712.66</v>
      </c>
      <c r="H47" s="162"/>
      <c r="I47" s="162"/>
      <c r="J47" s="162"/>
      <c r="K47" s="163">
        <v>1.6549999999999999E-2</v>
      </c>
    </row>
    <row r="48" spans="1:11" s="140" customFormat="1" ht="24" customHeight="1">
      <c r="A48" s="157">
        <v>49</v>
      </c>
      <c r="B48" s="158" t="s">
        <v>1049</v>
      </c>
      <c r="C48" s="159" t="s">
        <v>1131</v>
      </c>
      <c r="D48" s="159" t="s">
        <v>1132</v>
      </c>
      <c r="E48" s="158" t="s">
        <v>82</v>
      </c>
      <c r="F48" s="160">
        <v>1</v>
      </c>
      <c r="G48" s="161">
        <v>4605.08</v>
      </c>
      <c r="H48" s="162"/>
      <c r="I48" s="162"/>
      <c r="J48" s="162"/>
      <c r="K48" s="163">
        <v>2.8029999999999999E-2</v>
      </c>
    </row>
    <row r="49" spans="1:11" s="140" customFormat="1" ht="24" customHeight="1">
      <c r="A49" s="157">
        <v>50</v>
      </c>
      <c r="B49" s="158" t="s">
        <v>1049</v>
      </c>
      <c r="C49" s="159" t="s">
        <v>1133</v>
      </c>
      <c r="D49" s="159" t="s">
        <v>1134</v>
      </c>
      <c r="E49" s="158" t="s">
        <v>82</v>
      </c>
      <c r="F49" s="160">
        <v>1</v>
      </c>
      <c r="G49" s="161">
        <v>4561.3100000000004</v>
      </c>
      <c r="H49" s="162"/>
      <c r="I49" s="162"/>
      <c r="J49" s="162"/>
      <c r="K49" s="163">
        <v>2.5700000000000001E-2</v>
      </c>
    </row>
    <row r="50" spans="1:11" s="140" customFormat="1" ht="24" customHeight="1">
      <c r="A50" s="157">
        <v>51</v>
      </c>
      <c r="B50" s="158" t="s">
        <v>1049</v>
      </c>
      <c r="C50" s="159" t="s">
        <v>1135</v>
      </c>
      <c r="D50" s="159" t="s">
        <v>1136</v>
      </c>
      <c r="E50" s="158" t="s">
        <v>82</v>
      </c>
      <c r="F50" s="160">
        <v>1</v>
      </c>
      <c r="G50" s="161">
        <v>3888.66</v>
      </c>
      <c r="H50" s="162"/>
      <c r="I50" s="162"/>
      <c r="J50" s="162"/>
      <c r="K50" s="163">
        <v>1.652E-2</v>
      </c>
    </row>
    <row r="51" spans="1:11" s="140" customFormat="1" ht="24" customHeight="1">
      <c r="A51" s="157">
        <v>52</v>
      </c>
      <c r="B51" s="158" t="s">
        <v>1049</v>
      </c>
      <c r="C51" s="159" t="s">
        <v>1137</v>
      </c>
      <c r="D51" s="159" t="s">
        <v>1138</v>
      </c>
      <c r="E51" s="158" t="s">
        <v>82</v>
      </c>
      <c r="F51" s="160">
        <v>2</v>
      </c>
      <c r="G51" s="161">
        <v>5091.29</v>
      </c>
      <c r="H51" s="162"/>
      <c r="I51" s="162"/>
      <c r="J51" s="162"/>
      <c r="K51" s="163">
        <v>5.4519999999999999E-2</v>
      </c>
    </row>
    <row r="52" spans="1:11" s="140" customFormat="1" ht="24" customHeight="1">
      <c r="A52" s="157">
        <v>53</v>
      </c>
      <c r="B52" s="158" t="s">
        <v>1049</v>
      </c>
      <c r="C52" s="159" t="s">
        <v>1139</v>
      </c>
      <c r="D52" s="159" t="s">
        <v>1140</v>
      </c>
      <c r="E52" s="158" t="s">
        <v>82</v>
      </c>
      <c r="F52" s="160">
        <v>1</v>
      </c>
      <c r="G52" s="161">
        <v>6384.91</v>
      </c>
      <c r="H52" s="162"/>
      <c r="I52" s="162"/>
      <c r="J52" s="162"/>
      <c r="K52" s="163">
        <v>3.9100000000000003E-2</v>
      </c>
    </row>
    <row r="53" spans="1:11" s="140" customFormat="1" ht="24" customHeight="1">
      <c r="A53" s="157">
        <v>54</v>
      </c>
      <c r="B53" s="158" t="s">
        <v>1049</v>
      </c>
      <c r="C53" s="159" t="s">
        <v>1141</v>
      </c>
      <c r="D53" s="159" t="s">
        <v>1142</v>
      </c>
      <c r="E53" s="158" t="s">
        <v>82</v>
      </c>
      <c r="F53" s="160">
        <v>1</v>
      </c>
      <c r="G53" s="161">
        <v>5356.36</v>
      </c>
      <c r="H53" s="162"/>
      <c r="I53" s="162"/>
      <c r="J53" s="162"/>
      <c r="K53" s="163">
        <v>3.4799999999999998E-2</v>
      </c>
    </row>
    <row r="54" spans="1:11" s="140" customFormat="1" ht="24" customHeight="1">
      <c r="A54" s="157">
        <v>55</v>
      </c>
      <c r="B54" s="158" t="s">
        <v>1049</v>
      </c>
      <c r="C54" s="159" t="s">
        <v>1143</v>
      </c>
      <c r="D54" s="159" t="s">
        <v>1144</v>
      </c>
      <c r="E54" s="158" t="s">
        <v>82</v>
      </c>
      <c r="F54" s="160">
        <v>1</v>
      </c>
      <c r="G54" s="161">
        <v>5502.97</v>
      </c>
      <c r="H54" s="162"/>
      <c r="I54" s="162"/>
      <c r="J54" s="162"/>
      <c r="K54" s="163">
        <v>3.4540000000000001E-2</v>
      </c>
    </row>
    <row r="55" spans="1:11" s="140" customFormat="1" ht="24" customHeight="1">
      <c r="A55" s="157">
        <v>56</v>
      </c>
      <c r="B55" s="158" t="s">
        <v>1049</v>
      </c>
      <c r="C55" s="159" t="s">
        <v>1145</v>
      </c>
      <c r="D55" s="159" t="s">
        <v>1146</v>
      </c>
      <c r="E55" s="158" t="s">
        <v>82</v>
      </c>
      <c r="F55" s="160">
        <v>1</v>
      </c>
      <c r="G55" s="161">
        <v>6758.9</v>
      </c>
      <c r="H55" s="162"/>
      <c r="I55" s="162"/>
      <c r="J55" s="162"/>
      <c r="K55" s="163">
        <v>5.0709999999999998E-2</v>
      </c>
    </row>
    <row r="56" spans="1:11" s="140" customFormat="1" ht="24" customHeight="1">
      <c r="A56" s="157">
        <v>10</v>
      </c>
      <c r="B56" s="158" t="s">
        <v>1049</v>
      </c>
      <c r="C56" s="159" t="s">
        <v>1147</v>
      </c>
      <c r="D56" s="159" t="s">
        <v>1148</v>
      </c>
      <c r="E56" s="158" t="s">
        <v>83</v>
      </c>
      <c r="F56" s="160">
        <v>760</v>
      </c>
      <c r="G56" s="161">
        <v>61.7</v>
      </c>
      <c r="H56" s="162"/>
      <c r="I56" s="162"/>
      <c r="J56" s="162"/>
      <c r="K56" s="163">
        <v>8.3599999999999994E-2</v>
      </c>
    </row>
    <row r="57" spans="1:11" s="140" customFormat="1" ht="13.5" customHeight="1">
      <c r="A57" s="157">
        <v>31</v>
      </c>
      <c r="B57" s="158" t="s">
        <v>1049</v>
      </c>
      <c r="C57" s="159" t="s">
        <v>1149</v>
      </c>
      <c r="D57" s="159" t="s">
        <v>1150</v>
      </c>
      <c r="E57" s="158" t="s">
        <v>83</v>
      </c>
      <c r="F57" s="160">
        <v>124</v>
      </c>
      <c r="G57" s="161">
        <v>60</v>
      </c>
      <c r="H57" s="162"/>
      <c r="I57" s="162"/>
      <c r="J57" s="162"/>
      <c r="K57" s="163">
        <v>1.3639999999999999E-2</v>
      </c>
    </row>
    <row r="58" spans="1:11" s="140" customFormat="1" ht="13.5" customHeight="1">
      <c r="A58" s="157">
        <v>11</v>
      </c>
      <c r="B58" s="158" t="s">
        <v>1049</v>
      </c>
      <c r="C58" s="159" t="s">
        <v>1151</v>
      </c>
      <c r="D58" s="159" t="s">
        <v>1152</v>
      </c>
      <c r="E58" s="158" t="s">
        <v>78</v>
      </c>
      <c r="F58" s="160">
        <v>123.2</v>
      </c>
      <c r="G58" s="161">
        <v>307</v>
      </c>
      <c r="H58" s="162"/>
      <c r="I58" s="162"/>
      <c r="J58" s="162"/>
      <c r="K58" s="163">
        <v>0.214368</v>
      </c>
    </row>
    <row r="59" spans="1:11" s="140" customFormat="1" ht="13.5" customHeight="1">
      <c r="A59" s="157">
        <v>32</v>
      </c>
      <c r="B59" s="158" t="s">
        <v>1049</v>
      </c>
      <c r="C59" s="159" t="s">
        <v>1153</v>
      </c>
      <c r="D59" s="159" t="s">
        <v>1154</v>
      </c>
      <c r="E59" s="158" t="s">
        <v>83</v>
      </c>
      <c r="F59" s="160">
        <v>61</v>
      </c>
      <c r="G59" s="161">
        <v>77.7</v>
      </c>
      <c r="H59" s="162"/>
      <c r="I59" s="162"/>
      <c r="J59" s="162"/>
      <c r="K59" s="163">
        <v>7.3200000000000001E-3</v>
      </c>
    </row>
    <row r="60" spans="1:11" s="140" customFormat="1" ht="13.5" customHeight="1">
      <c r="A60" s="157">
        <v>33</v>
      </c>
      <c r="B60" s="158" t="s">
        <v>1049</v>
      </c>
      <c r="C60" s="159" t="s">
        <v>1155</v>
      </c>
      <c r="D60" s="159" t="s">
        <v>1156</v>
      </c>
      <c r="E60" s="158" t="s">
        <v>83</v>
      </c>
      <c r="F60" s="160">
        <v>113</v>
      </c>
      <c r="G60" s="161">
        <v>134</v>
      </c>
      <c r="H60" s="162"/>
      <c r="I60" s="162"/>
      <c r="J60" s="162"/>
      <c r="K60" s="163">
        <v>1.3559999999999999E-2</v>
      </c>
    </row>
    <row r="61" spans="1:11" s="140" customFormat="1" ht="13.5" customHeight="1">
      <c r="A61" s="157">
        <v>34</v>
      </c>
      <c r="B61" s="158" t="s">
        <v>1049</v>
      </c>
      <c r="C61" s="159" t="s">
        <v>1157</v>
      </c>
      <c r="D61" s="159" t="s">
        <v>1158</v>
      </c>
      <c r="E61" s="158" t="s">
        <v>83</v>
      </c>
      <c r="F61" s="160">
        <v>90</v>
      </c>
      <c r="G61" s="161">
        <v>191</v>
      </c>
      <c r="H61" s="162"/>
      <c r="I61" s="162"/>
      <c r="J61" s="162"/>
      <c r="K61" s="163">
        <v>1.0800000000000001E-2</v>
      </c>
    </row>
    <row r="62" spans="1:11" s="140" customFormat="1" ht="13.5" customHeight="1">
      <c r="A62" s="157">
        <v>58</v>
      </c>
      <c r="B62" s="158" t="s">
        <v>1049</v>
      </c>
      <c r="C62" s="159" t="s">
        <v>1159</v>
      </c>
      <c r="D62" s="159" t="s">
        <v>1160</v>
      </c>
      <c r="E62" s="158" t="s">
        <v>83</v>
      </c>
      <c r="F62" s="160">
        <v>8</v>
      </c>
      <c r="G62" s="161">
        <v>346</v>
      </c>
      <c r="H62" s="162"/>
      <c r="I62" s="162"/>
      <c r="J62" s="162"/>
      <c r="K62" s="163">
        <v>9.6000000000000002E-4</v>
      </c>
    </row>
    <row r="63" spans="1:11" s="140" customFormat="1" ht="13.5" customHeight="1">
      <c r="A63" s="157">
        <v>22</v>
      </c>
      <c r="B63" s="158" t="s">
        <v>1049</v>
      </c>
      <c r="C63" s="159" t="s">
        <v>1161</v>
      </c>
      <c r="D63" s="159" t="s">
        <v>1162</v>
      </c>
      <c r="E63" s="158" t="s">
        <v>83</v>
      </c>
      <c r="F63" s="160">
        <v>150</v>
      </c>
      <c r="G63" s="161">
        <v>39.6</v>
      </c>
      <c r="H63" s="162"/>
      <c r="I63" s="162"/>
      <c r="J63" s="162"/>
      <c r="K63" s="163">
        <v>1.0500000000000001E-2</v>
      </c>
    </row>
    <row r="64" spans="1:11" s="140" customFormat="1" ht="13.5" customHeight="1">
      <c r="A64" s="157">
        <v>23</v>
      </c>
      <c r="B64" s="158" t="s">
        <v>1049</v>
      </c>
      <c r="C64" s="159" t="s">
        <v>1163</v>
      </c>
      <c r="D64" s="159" t="s">
        <v>1164</v>
      </c>
      <c r="E64" s="158" t="s">
        <v>83</v>
      </c>
      <c r="F64" s="160">
        <v>3.6</v>
      </c>
      <c r="G64" s="161">
        <v>224</v>
      </c>
      <c r="H64" s="162"/>
      <c r="I64" s="162"/>
      <c r="J64" s="162"/>
      <c r="K64" s="163">
        <v>1.44E-4</v>
      </c>
    </row>
    <row r="65" spans="1:11" s="140" customFormat="1" ht="13.5" customHeight="1">
      <c r="A65" s="157">
        <v>12</v>
      </c>
      <c r="B65" s="158" t="s">
        <v>1049</v>
      </c>
      <c r="C65" s="159" t="s">
        <v>1165</v>
      </c>
      <c r="D65" s="159" t="s">
        <v>1166</v>
      </c>
      <c r="E65" s="158" t="s">
        <v>82</v>
      </c>
      <c r="F65" s="160">
        <v>1</v>
      </c>
      <c r="G65" s="161">
        <v>8950</v>
      </c>
      <c r="H65" s="162"/>
      <c r="I65" s="162"/>
      <c r="J65" s="162"/>
      <c r="K65" s="163">
        <v>5.8999999999999999E-3</v>
      </c>
    </row>
    <row r="66" spans="1:11" s="140" customFormat="1" ht="13.5" customHeight="1">
      <c r="A66" s="157">
        <v>13</v>
      </c>
      <c r="B66" s="158" t="s">
        <v>1049</v>
      </c>
      <c r="C66" s="159" t="s">
        <v>1167</v>
      </c>
      <c r="D66" s="159" t="s">
        <v>1168</v>
      </c>
      <c r="E66" s="158" t="s">
        <v>83</v>
      </c>
      <c r="F66" s="160">
        <v>40</v>
      </c>
      <c r="G66" s="161">
        <v>18</v>
      </c>
      <c r="H66" s="162"/>
      <c r="I66" s="162"/>
      <c r="J66" s="162"/>
      <c r="K66" s="163">
        <v>2.8E-3</v>
      </c>
    </row>
    <row r="67" spans="1:11" s="140" customFormat="1" ht="24" customHeight="1">
      <c r="A67" s="157">
        <v>21</v>
      </c>
      <c r="B67" s="158" t="s">
        <v>1049</v>
      </c>
      <c r="C67" s="159" t="s">
        <v>1169</v>
      </c>
      <c r="D67" s="159" t="s">
        <v>1170</v>
      </c>
      <c r="E67" s="158" t="s">
        <v>82</v>
      </c>
      <c r="F67" s="160">
        <v>16</v>
      </c>
      <c r="G67" s="161">
        <v>130.88999999999999</v>
      </c>
      <c r="H67" s="162"/>
      <c r="I67" s="162"/>
      <c r="J67" s="162"/>
      <c r="K67" s="163">
        <v>1.1199999999999999E-3</v>
      </c>
    </row>
    <row r="68" spans="1:11" s="140" customFormat="1" ht="13.5" customHeight="1">
      <c r="A68" s="157">
        <v>24</v>
      </c>
      <c r="B68" s="158" t="s">
        <v>1049</v>
      </c>
      <c r="C68" s="159" t="s">
        <v>1171</v>
      </c>
      <c r="D68" s="159" t="s">
        <v>1172</v>
      </c>
      <c r="E68" s="158" t="s">
        <v>82</v>
      </c>
      <c r="F68" s="160">
        <v>6</v>
      </c>
      <c r="G68" s="161">
        <v>856</v>
      </c>
      <c r="H68" s="162"/>
      <c r="I68" s="162"/>
      <c r="J68" s="162"/>
      <c r="K68" s="163">
        <v>4.2000000000000002E-4</v>
      </c>
    </row>
    <row r="69" spans="1:11" s="140" customFormat="1" ht="13.5" customHeight="1">
      <c r="A69" s="157">
        <v>28</v>
      </c>
      <c r="B69" s="158" t="s">
        <v>1049</v>
      </c>
      <c r="C69" s="159" t="s">
        <v>1173</v>
      </c>
      <c r="D69" s="159" t="s">
        <v>1174</v>
      </c>
      <c r="E69" s="158" t="s">
        <v>82</v>
      </c>
      <c r="F69" s="160">
        <v>12</v>
      </c>
      <c r="G69" s="161">
        <v>30.1</v>
      </c>
      <c r="H69" s="162"/>
      <c r="I69" s="162"/>
      <c r="J69" s="162"/>
      <c r="K69" s="163">
        <v>0</v>
      </c>
    </row>
    <row r="70" spans="1:11" s="140" customFormat="1" ht="13.5" customHeight="1">
      <c r="A70" s="157">
        <v>29</v>
      </c>
      <c r="B70" s="158" t="s">
        <v>1049</v>
      </c>
      <c r="C70" s="159" t="s">
        <v>1175</v>
      </c>
      <c r="D70" s="159" t="s">
        <v>1176</v>
      </c>
      <c r="E70" s="158" t="s">
        <v>82</v>
      </c>
      <c r="F70" s="160">
        <v>24</v>
      </c>
      <c r="G70" s="161">
        <v>39</v>
      </c>
      <c r="H70" s="162"/>
      <c r="I70" s="162"/>
      <c r="J70" s="162"/>
      <c r="K70" s="163">
        <v>0</v>
      </c>
    </row>
    <row r="71" spans="1:11" s="140" customFormat="1" ht="13.5" customHeight="1">
      <c r="A71" s="157">
        <v>30</v>
      </c>
      <c r="B71" s="158" t="s">
        <v>1049</v>
      </c>
      <c r="C71" s="159" t="s">
        <v>1177</v>
      </c>
      <c r="D71" s="159" t="s">
        <v>1178</v>
      </c>
      <c r="E71" s="158" t="s">
        <v>82</v>
      </c>
      <c r="F71" s="160">
        <v>50</v>
      </c>
      <c r="G71" s="161">
        <v>4.3</v>
      </c>
      <c r="H71" s="162"/>
      <c r="I71" s="162"/>
      <c r="J71" s="162"/>
      <c r="K71" s="163">
        <v>0</v>
      </c>
    </row>
    <row r="72" spans="1:11" s="140" customFormat="1" ht="13.5" customHeight="1">
      <c r="A72" s="157">
        <v>20</v>
      </c>
      <c r="B72" s="158" t="s">
        <v>1049</v>
      </c>
      <c r="C72" s="159" t="s">
        <v>1179</v>
      </c>
      <c r="D72" s="159" t="s">
        <v>1180</v>
      </c>
      <c r="E72" s="158" t="s">
        <v>82</v>
      </c>
      <c r="F72" s="160">
        <v>1</v>
      </c>
      <c r="G72" s="161">
        <v>2440</v>
      </c>
      <c r="H72" s="162"/>
      <c r="I72" s="162"/>
      <c r="J72" s="162"/>
      <c r="K72" s="163">
        <v>1.3299999999999999E-2</v>
      </c>
    </row>
    <row r="73" spans="1:11" s="140" customFormat="1" ht="13.5" customHeight="1">
      <c r="A73" s="157">
        <v>25</v>
      </c>
      <c r="B73" s="158" t="s">
        <v>1049</v>
      </c>
      <c r="C73" s="159" t="s">
        <v>1181</v>
      </c>
      <c r="D73" s="159" t="s">
        <v>1182</v>
      </c>
      <c r="E73" s="158" t="s">
        <v>82</v>
      </c>
      <c r="F73" s="160">
        <v>8</v>
      </c>
      <c r="G73" s="161">
        <v>880</v>
      </c>
      <c r="H73" s="162"/>
      <c r="I73" s="162"/>
      <c r="J73" s="162"/>
      <c r="K73" s="163">
        <v>4.0000000000000002E-4</v>
      </c>
    </row>
    <row r="74" spans="1:11" s="140" customFormat="1" ht="13.5" customHeight="1">
      <c r="A74" s="164">
        <v>26</v>
      </c>
      <c r="B74" s="165" t="s">
        <v>847</v>
      </c>
      <c r="C74" s="166" t="s">
        <v>1183</v>
      </c>
      <c r="D74" s="166" t="s">
        <v>1184</v>
      </c>
      <c r="E74" s="165" t="s">
        <v>378</v>
      </c>
      <c r="F74" s="167">
        <v>16</v>
      </c>
      <c r="G74" s="168">
        <v>19.100000000000001</v>
      </c>
      <c r="H74" s="169"/>
      <c r="I74" s="169"/>
      <c r="J74" s="169"/>
      <c r="K74" s="170">
        <v>3.2000000000000003E-4</v>
      </c>
    </row>
    <row r="75" spans="1:11" s="140" customFormat="1" ht="13.5" customHeight="1" thickBot="1">
      <c r="A75" s="157">
        <v>27</v>
      </c>
      <c r="B75" s="158" t="s">
        <v>1049</v>
      </c>
      <c r="C75" s="159" t="s">
        <v>1185</v>
      </c>
      <c r="D75" s="159" t="s">
        <v>1186</v>
      </c>
      <c r="E75" s="158" t="s">
        <v>931</v>
      </c>
      <c r="F75" s="160">
        <v>1</v>
      </c>
      <c r="G75" s="161">
        <v>2465</v>
      </c>
      <c r="H75" s="162"/>
      <c r="I75" s="162"/>
      <c r="J75" s="206"/>
      <c r="K75" s="163">
        <v>0</v>
      </c>
    </row>
    <row r="76" spans="1:11" s="140" customFormat="1" ht="18.600000000000001" customHeight="1" thickBot="1">
      <c r="A76" s="171"/>
      <c r="B76" s="172"/>
      <c r="C76" s="173"/>
      <c r="D76" s="173" t="s">
        <v>957</v>
      </c>
      <c r="E76" s="172"/>
      <c r="F76" s="174"/>
      <c r="G76" s="175"/>
      <c r="H76" s="207"/>
      <c r="I76" s="207"/>
      <c r="J76" s="208">
        <f>J6+J9</f>
        <v>0</v>
      </c>
      <c r="K76" s="176">
        <v>1.7979019999999999</v>
      </c>
    </row>
  </sheetData>
  <pageMargins left="0.39370078740157483" right="0.39370078740157483" top="0.25" bottom="0.52" header="0" footer="0"/>
  <pageSetup paperSize="9" scale="94" fitToHeight="100" orientation="landscape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K125"/>
  <sheetViews>
    <sheetView showGridLines="0" topLeftCell="A43" zoomScaleNormal="100" workbookViewId="0">
      <selection activeCell="H85" sqref="H85"/>
    </sheetView>
  </sheetViews>
  <sheetFormatPr defaultColWidth="8.140625" defaultRowHeight="12" customHeight="1"/>
  <cols>
    <col min="1" max="1" width="5" style="177" customWidth="1"/>
    <col min="2" max="2" width="6.28515625" style="178" customWidth="1"/>
    <col min="3" max="3" width="12" style="179" customWidth="1"/>
    <col min="4" max="4" width="48.140625" style="179" customWidth="1"/>
    <col min="5" max="5" width="4" style="178" customWidth="1"/>
    <col min="6" max="6" width="8.7109375" style="180" customWidth="1"/>
    <col min="7" max="7" width="10.28515625" style="181" customWidth="1"/>
    <col min="8" max="8" width="14" style="182" customWidth="1"/>
    <col min="9" max="9" width="12.7109375" style="182" customWidth="1"/>
    <col min="10" max="10" width="14" style="182" customWidth="1"/>
    <col min="11" max="11" width="12" style="183" customWidth="1"/>
    <col min="12" max="256" width="8.140625" style="184"/>
    <col min="257" max="257" width="5" style="184" customWidth="1"/>
    <col min="258" max="258" width="6.7109375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4" style="184" customWidth="1"/>
    <col min="265" max="265" width="14.28515625" style="184" customWidth="1"/>
    <col min="266" max="266" width="14" style="184" customWidth="1"/>
    <col min="267" max="267" width="12" style="184" customWidth="1"/>
    <col min="268" max="512" width="8.140625" style="184"/>
    <col min="513" max="513" width="5" style="184" customWidth="1"/>
    <col min="514" max="514" width="6.7109375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4" style="184" customWidth="1"/>
    <col min="521" max="521" width="14.28515625" style="184" customWidth="1"/>
    <col min="522" max="522" width="14" style="184" customWidth="1"/>
    <col min="523" max="523" width="12" style="184" customWidth="1"/>
    <col min="524" max="768" width="8.140625" style="184"/>
    <col min="769" max="769" width="5" style="184" customWidth="1"/>
    <col min="770" max="770" width="6.7109375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4" style="184" customWidth="1"/>
    <col min="777" max="777" width="14.28515625" style="184" customWidth="1"/>
    <col min="778" max="778" width="14" style="184" customWidth="1"/>
    <col min="779" max="779" width="12" style="184" customWidth="1"/>
    <col min="780" max="1024" width="8.140625" style="184"/>
    <col min="1025" max="1025" width="5" style="184" customWidth="1"/>
    <col min="1026" max="1026" width="6.7109375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4" style="184" customWidth="1"/>
    <col min="1033" max="1033" width="14.28515625" style="184" customWidth="1"/>
    <col min="1034" max="1034" width="14" style="184" customWidth="1"/>
    <col min="1035" max="1035" width="12" style="184" customWidth="1"/>
    <col min="1036" max="1280" width="8.140625" style="184"/>
    <col min="1281" max="1281" width="5" style="184" customWidth="1"/>
    <col min="1282" max="1282" width="6.7109375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4" style="184" customWidth="1"/>
    <col min="1289" max="1289" width="14.28515625" style="184" customWidth="1"/>
    <col min="1290" max="1290" width="14" style="184" customWidth="1"/>
    <col min="1291" max="1291" width="12" style="184" customWidth="1"/>
    <col min="1292" max="1536" width="8.140625" style="184"/>
    <col min="1537" max="1537" width="5" style="184" customWidth="1"/>
    <col min="1538" max="1538" width="6.7109375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4" style="184" customWidth="1"/>
    <col min="1545" max="1545" width="14.28515625" style="184" customWidth="1"/>
    <col min="1546" max="1546" width="14" style="184" customWidth="1"/>
    <col min="1547" max="1547" width="12" style="184" customWidth="1"/>
    <col min="1548" max="1792" width="8.140625" style="184"/>
    <col min="1793" max="1793" width="5" style="184" customWidth="1"/>
    <col min="1794" max="1794" width="6.7109375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4" style="184" customWidth="1"/>
    <col min="1801" max="1801" width="14.28515625" style="184" customWidth="1"/>
    <col min="1802" max="1802" width="14" style="184" customWidth="1"/>
    <col min="1803" max="1803" width="12" style="184" customWidth="1"/>
    <col min="1804" max="2048" width="8.140625" style="184"/>
    <col min="2049" max="2049" width="5" style="184" customWidth="1"/>
    <col min="2050" max="2050" width="6.7109375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4" style="184" customWidth="1"/>
    <col min="2057" max="2057" width="14.28515625" style="184" customWidth="1"/>
    <col min="2058" max="2058" width="14" style="184" customWidth="1"/>
    <col min="2059" max="2059" width="12" style="184" customWidth="1"/>
    <col min="2060" max="2304" width="8.140625" style="184"/>
    <col min="2305" max="2305" width="5" style="184" customWidth="1"/>
    <col min="2306" max="2306" width="6.7109375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4" style="184" customWidth="1"/>
    <col min="2313" max="2313" width="14.28515625" style="184" customWidth="1"/>
    <col min="2314" max="2314" width="14" style="184" customWidth="1"/>
    <col min="2315" max="2315" width="12" style="184" customWidth="1"/>
    <col min="2316" max="2560" width="8.140625" style="184"/>
    <col min="2561" max="2561" width="5" style="184" customWidth="1"/>
    <col min="2562" max="2562" width="6.7109375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4" style="184" customWidth="1"/>
    <col min="2569" max="2569" width="14.28515625" style="184" customWidth="1"/>
    <col min="2570" max="2570" width="14" style="184" customWidth="1"/>
    <col min="2571" max="2571" width="12" style="184" customWidth="1"/>
    <col min="2572" max="2816" width="8.140625" style="184"/>
    <col min="2817" max="2817" width="5" style="184" customWidth="1"/>
    <col min="2818" max="2818" width="6.7109375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4" style="184" customWidth="1"/>
    <col min="2825" max="2825" width="14.28515625" style="184" customWidth="1"/>
    <col min="2826" max="2826" width="14" style="184" customWidth="1"/>
    <col min="2827" max="2827" width="12" style="184" customWidth="1"/>
    <col min="2828" max="3072" width="8.140625" style="184"/>
    <col min="3073" max="3073" width="5" style="184" customWidth="1"/>
    <col min="3074" max="3074" width="6.7109375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4" style="184" customWidth="1"/>
    <col min="3081" max="3081" width="14.28515625" style="184" customWidth="1"/>
    <col min="3082" max="3082" width="14" style="184" customWidth="1"/>
    <col min="3083" max="3083" width="12" style="184" customWidth="1"/>
    <col min="3084" max="3328" width="8.140625" style="184"/>
    <col min="3329" max="3329" width="5" style="184" customWidth="1"/>
    <col min="3330" max="3330" width="6.7109375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4" style="184" customWidth="1"/>
    <col min="3337" max="3337" width="14.28515625" style="184" customWidth="1"/>
    <col min="3338" max="3338" width="14" style="184" customWidth="1"/>
    <col min="3339" max="3339" width="12" style="184" customWidth="1"/>
    <col min="3340" max="3584" width="8.140625" style="184"/>
    <col min="3585" max="3585" width="5" style="184" customWidth="1"/>
    <col min="3586" max="3586" width="6.7109375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4" style="184" customWidth="1"/>
    <col min="3593" max="3593" width="14.28515625" style="184" customWidth="1"/>
    <col min="3594" max="3594" width="14" style="184" customWidth="1"/>
    <col min="3595" max="3595" width="12" style="184" customWidth="1"/>
    <col min="3596" max="3840" width="8.140625" style="184"/>
    <col min="3841" max="3841" width="5" style="184" customWidth="1"/>
    <col min="3842" max="3842" width="6.7109375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4" style="184" customWidth="1"/>
    <col min="3849" max="3849" width="14.28515625" style="184" customWidth="1"/>
    <col min="3850" max="3850" width="14" style="184" customWidth="1"/>
    <col min="3851" max="3851" width="12" style="184" customWidth="1"/>
    <col min="3852" max="4096" width="8.140625" style="184"/>
    <col min="4097" max="4097" width="5" style="184" customWidth="1"/>
    <col min="4098" max="4098" width="6.7109375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4" style="184" customWidth="1"/>
    <col min="4105" max="4105" width="14.28515625" style="184" customWidth="1"/>
    <col min="4106" max="4106" width="14" style="184" customWidth="1"/>
    <col min="4107" max="4107" width="12" style="184" customWidth="1"/>
    <col min="4108" max="4352" width="8.140625" style="184"/>
    <col min="4353" max="4353" width="5" style="184" customWidth="1"/>
    <col min="4354" max="4354" width="6.7109375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4" style="184" customWidth="1"/>
    <col min="4361" max="4361" width="14.28515625" style="184" customWidth="1"/>
    <col min="4362" max="4362" width="14" style="184" customWidth="1"/>
    <col min="4363" max="4363" width="12" style="184" customWidth="1"/>
    <col min="4364" max="4608" width="8.140625" style="184"/>
    <col min="4609" max="4609" width="5" style="184" customWidth="1"/>
    <col min="4610" max="4610" width="6.7109375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4" style="184" customWidth="1"/>
    <col min="4617" max="4617" width="14.28515625" style="184" customWidth="1"/>
    <col min="4618" max="4618" width="14" style="184" customWidth="1"/>
    <col min="4619" max="4619" width="12" style="184" customWidth="1"/>
    <col min="4620" max="4864" width="8.140625" style="184"/>
    <col min="4865" max="4865" width="5" style="184" customWidth="1"/>
    <col min="4866" max="4866" width="6.7109375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4" style="184" customWidth="1"/>
    <col min="4873" max="4873" width="14.28515625" style="184" customWidth="1"/>
    <col min="4874" max="4874" width="14" style="184" customWidth="1"/>
    <col min="4875" max="4875" width="12" style="184" customWidth="1"/>
    <col min="4876" max="5120" width="8.140625" style="184"/>
    <col min="5121" max="5121" width="5" style="184" customWidth="1"/>
    <col min="5122" max="5122" width="6.7109375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4" style="184" customWidth="1"/>
    <col min="5129" max="5129" width="14.28515625" style="184" customWidth="1"/>
    <col min="5130" max="5130" width="14" style="184" customWidth="1"/>
    <col min="5131" max="5131" width="12" style="184" customWidth="1"/>
    <col min="5132" max="5376" width="8.140625" style="184"/>
    <col min="5377" max="5377" width="5" style="184" customWidth="1"/>
    <col min="5378" max="5378" width="6.7109375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4" style="184" customWidth="1"/>
    <col min="5385" max="5385" width="14.28515625" style="184" customWidth="1"/>
    <col min="5386" max="5386" width="14" style="184" customWidth="1"/>
    <col min="5387" max="5387" width="12" style="184" customWidth="1"/>
    <col min="5388" max="5632" width="8.140625" style="184"/>
    <col min="5633" max="5633" width="5" style="184" customWidth="1"/>
    <col min="5634" max="5634" width="6.7109375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4" style="184" customWidth="1"/>
    <col min="5641" max="5641" width="14.28515625" style="184" customWidth="1"/>
    <col min="5642" max="5642" width="14" style="184" customWidth="1"/>
    <col min="5643" max="5643" width="12" style="184" customWidth="1"/>
    <col min="5644" max="5888" width="8.140625" style="184"/>
    <col min="5889" max="5889" width="5" style="184" customWidth="1"/>
    <col min="5890" max="5890" width="6.7109375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4" style="184" customWidth="1"/>
    <col min="5897" max="5897" width="14.28515625" style="184" customWidth="1"/>
    <col min="5898" max="5898" width="14" style="184" customWidth="1"/>
    <col min="5899" max="5899" width="12" style="184" customWidth="1"/>
    <col min="5900" max="6144" width="8.140625" style="184"/>
    <col min="6145" max="6145" width="5" style="184" customWidth="1"/>
    <col min="6146" max="6146" width="6.7109375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4" style="184" customWidth="1"/>
    <col min="6153" max="6153" width="14.28515625" style="184" customWidth="1"/>
    <col min="6154" max="6154" width="14" style="184" customWidth="1"/>
    <col min="6155" max="6155" width="12" style="184" customWidth="1"/>
    <col min="6156" max="6400" width="8.140625" style="184"/>
    <col min="6401" max="6401" width="5" style="184" customWidth="1"/>
    <col min="6402" max="6402" width="6.7109375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4" style="184" customWidth="1"/>
    <col min="6409" max="6409" width="14.28515625" style="184" customWidth="1"/>
    <col min="6410" max="6410" width="14" style="184" customWidth="1"/>
    <col min="6411" max="6411" width="12" style="184" customWidth="1"/>
    <col min="6412" max="6656" width="8.140625" style="184"/>
    <col min="6657" max="6657" width="5" style="184" customWidth="1"/>
    <col min="6658" max="6658" width="6.7109375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4" style="184" customWidth="1"/>
    <col min="6665" max="6665" width="14.28515625" style="184" customWidth="1"/>
    <col min="6666" max="6666" width="14" style="184" customWidth="1"/>
    <col min="6667" max="6667" width="12" style="184" customWidth="1"/>
    <col min="6668" max="6912" width="8.140625" style="184"/>
    <col min="6913" max="6913" width="5" style="184" customWidth="1"/>
    <col min="6914" max="6914" width="6.7109375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4" style="184" customWidth="1"/>
    <col min="6921" max="6921" width="14.28515625" style="184" customWidth="1"/>
    <col min="6922" max="6922" width="14" style="184" customWidth="1"/>
    <col min="6923" max="6923" width="12" style="184" customWidth="1"/>
    <col min="6924" max="7168" width="8.140625" style="184"/>
    <col min="7169" max="7169" width="5" style="184" customWidth="1"/>
    <col min="7170" max="7170" width="6.7109375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4" style="184" customWidth="1"/>
    <col min="7177" max="7177" width="14.28515625" style="184" customWidth="1"/>
    <col min="7178" max="7178" width="14" style="184" customWidth="1"/>
    <col min="7179" max="7179" width="12" style="184" customWidth="1"/>
    <col min="7180" max="7424" width="8.140625" style="184"/>
    <col min="7425" max="7425" width="5" style="184" customWidth="1"/>
    <col min="7426" max="7426" width="6.7109375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4" style="184" customWidth="1"/>
    <col min="7433" max="7433" width="14.28515625" style="184" customWidth="1"/>
    <col min="7434" max="7434" width="14" style="184" customWidth="1"/>
    <col min="7435" max="7435" width="12" style="184" customWidth="1"/>
    <col min="7436" max="7680" width="8.140625" style="184"/>
    <col min="7681" max="7681" width="5" style="184" customWidth="1"/>
    <col min="7682" max="7682" width="6.7109375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4" style="184" customWidth="1"/>
    <col min="7689" max="7689" width="14.28515625" style="184" customWidth="1"/>
    <col min="7690" max="7690" width="14" style="184" customWidth="1"/>
    <col min="7691" max="7691" width="12" style="184" customWidth="1"/>
    <col min="7692" max="7936" width="8.140625" style="184"/>
    <col min="7937" max="7937" width="5" style="184" customWidth="1"/>
    <col min="7938" max="7938" width="6.7109375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4" style="184" customWidth="1"/>
    <col min="7945" max="7945" width="14.28515625" style="184" customWidth="1"/>
    <col min="7946" max="7946" width="14" style="184" customWidth="1"/>
    <col min="7947" max="7947" width="12" style="184" customWidth="1"/>
    <col min="7948" max="8192" width="8.140625" style="184"/>
    <col min="8193" max="8193" width="5" style="184" customWidth="1"/>
    <col min="8194" max="8194" width="6.7109375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4" style="184" customWidth="1"/>
    <col min="8201" max="8201" width="14.28515625" style="184" customWidth="1"/>
    <col min="8202" max="8202" width="14" style="184" customWidth="1"/>
    <col min="8203" max="8203" width="12" style="184" customWidth="1"/>
    <col min="8204" max="8448" width="8.140625" style="184"/>
    <col min="8449" max="8449" width="5" style="184" customWidth="1"/>
    <col min="8450" max="8450" width="6.7109375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4" style="184" customWidth="1"/>
    <col min="8457" max="8457" width="14.28515625" style="184" customWidth="1"/>
    <col min="8458" max="8458" width="14" style="184" customWidth="1"/>
    <col min="8459" max="8459" width="12" style="184" customWidth="1"/>
    <col min="8460" max="8704" width="8.140625" style="184"/>
    <col min="8705" max="8705" width="5" style="184" customWidth="1"/>
    <col min="8706" max="8706" width="6.7109375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4" style="184" customWidth="1"/>
    <col min="8713" max="8713" width="14.28515625" style="184" customWidth="1"/>
    <col min="8714" max="8714" width="14" style="184" customWidth="1"/>
    <col min="8715" max="8715" width="12" style="184" customWidth="1"/>
    <col min="8716" max="8960" width="8.140625" style="184"/>
    <col min="8961" max="8961" width="5" style="184" customWidth="1"/>
    <col min="8962" max="8962" width="6.7109375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4" style="184" customWidth="1"/>
    <col min="8969" max="8969" width="14.28515625" style="184" customWidth="1"/>
    <col min="8970" max="8970" width="14" style="184" customWidth="1"/>
    <col min="8971" max="8971" width="12" style="184" customWidth="1"/>
    <col min="8972" max="9216" width="8.140625" style="184"/>
    <col min="9217" max="9217" width="5" style="184" customWidth="1"/>
    <col min="9218" max="9218" width="6.7109375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4" style="184" customWidth="1"/>
    <col min="9225" max="9225" width="14.28515625" style="184" customWidth="1"/>
    <col min="9226" max="9226" width="14" style="184" customWidth="1"/>
    <col min="9227" max="9227" width="12" style="184" customWidth="1"/>
    <col min="9228" max="9472" width="8.140625" style="184"/>
    <col min="9473" max="9473" width="5" style="184" customWidth="1"/>
    <col min="9474" max="9474" width="6.7109375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4" style="184" customWidth="1"/>
    <col min="9481" max="9481" width="14.28515625" style="184" customWidth="1"/>
    <col min="9482" max="9482" width="14" style="184" customWidth="1"/>
    <col min="9483" max="9483" width="12" style="184" customWidth="1"/>
    <col min="9484" max="9728" width="8.140625" style="184"/>
    <col min="9729" max="9729" width="5" style="184" customWidth="1"/>
    <col min="9730" max="9730" width="6.7109375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4" style="184" customWidth="1"/>
    <col min="9737" max="9737" width="14.28515625" style="184" customWidth="1"/>
    <col min="9738" max="9738" width="14" style="184" customWidth="1"/>
    <col min="9739" max="9739" width="12" style="184" customWidth="1"/>
    <col min="9740" max="9984" width="8.140625" style="184"/>
    <col min="9985" max="9985" width="5" style="184" customWidth="1"/>
    <col min="9986" max="9986" width="6.7109375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4" style="184" customWidth="1"/>
    <col min="9993" max="9993" width="14.28515625" style="184" customWidth="1"/>
    <col min="9994" max="9994" width="14" style="184" customWidth="1"/>
    <col min="9995" max="9995" width="12" style="184" customWidth="1"/>
    <col min="9996" max="10240" width="8.140625" style="184"/>
    <col min="10241" max="10241" width="5" style="184" customWidth="1"/>
    <col min="10242" max="10242" width="6.7109375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4" style="184" customWidth="1"/>
    <col min="10249" max="10249" width="14.28515625" style="184" customWidth="1"/>
    <col min="10250" max="10250" width="14" style="184" customWidth="1"/>
    <col min="10251" max="10251" width="12" style="184" customWidth="1"/>
    <col min="10252" max="10496" width="8.140625" style="184"/>
    <col min="10497" max="10497" width="5" style="184" customWidth="1"/>
    <col min="10498" max="10498" width="6.7109375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4" style="184" customWidth="1"/>
    <col min="10505" max="10505" width="14.28515625" style="184" customWidth="1"/>
    <col min="10506" max="10506" width="14" style="184" customWidth="1"/>
    <col min="10507" max="10507" width="12" style="184" customWidth="1"/>
    <col min="10508" max="10752" width="8.140625" style="184"/>
    <col min="10753" max="10753" width="5" style="184" customWidth="1"/>
    <col min="10754" max="10754" width="6.7109375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4" style="184" customWidth="1"/>
    <col min="10761" max="10761" width="14.28515625" style="184" customWidth="1"/>
    <col min="10762" max="10762" width="14" style="184" customWidth="1"/>
    <col min="10763" max="10763" width="12" style="184" customWidth="1"/>
    <col min="10764" max="11008" width="8.140625" style="184"/>
    <col min="11009" max="11009" width="5" style="184" customWidth="1"/>
    <col min="11010" max="11010" width="6.7109375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4" style="184" customWidth="1"/>
    <col min="11017" max="11017" width="14.28515625" style="184" customWidth="1"/>
    <col min="11018" max="11018" width="14" style="184" customWidth="1"/>
    <col min="11019" max="11019" width="12" style="184" customWidth="1"/>
    <col min="11020" max="11264" width="8.140625" style="184"/>
    <col min="11265" max="11265" width="5" style="184" customWidth="1"/>
    <col min="11266" max="11266" width="6.7109375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4" style="184" customWidth="1"/>
    <col min="11273" max="11273" width="14.28515625" style="184" customWidth="1"/>
    <col min="11274" max="11274" width="14" style="184" customWidth="1"/>
    <col min="11275" max="11275" width="12" style="184" customWidth="1"/>
    <col min="11276" max="11520" width="8.140625" style="184"/>
    <col min="11521" max="11521" width="5" style="184" customWidth="1"/>
    <col min="11522" max="11522" width="6.7109375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4" style="184" customWidth="1"/>
    <col min="11529" max="11529" width="14.28515625" style="184" customWidth="1"/>
    <col min="11530" max="11530" width="14" style="184" customWidth="1"/>
    <col min="11531" max="11531" width="12" style="184" customWidth="1"/>
    <col min="11532" max="11776" width="8.140625" style="184"/>
    <col min="11777" max="11777" width="5" style="184" customWidth="1"/>
    <col min="11778" max="11778" width="6.7109375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4" style="184" customWidth="1"/>
    <col min="11785" max="11785" width="14.28515625" style="184" customWidth="1"/>
    <col min="11786" max="11786" width="14" style="184" customWidth="1"/>
    <col min="11787" max="11787" width="12" style="184" customWidth="1"/>
    <col min="11788" max="12032" width="8.140625" style="184"/>
    <col min="12033" max="12033" width="5" style="184" customWidth="1"/>
    <col min="12034" max="12034" width="6.7109375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4" style="184" customWidth="1"/>
    <col min="12041" max="12041" width="14.28515625" style="184" customWidth="1"/>
    <col min="12042" max="12042" width="14" style="184" customWidth="1"/>
    <col min="12043" max="12043" width="12" style="184" customWidth="1"/>
    <col min="12044" max="12288" width="8.140625" style="184"/>
    <col min="12289" max="12289" width="5" style="184" customWidth="1"/>
    <col min="12290" max="12290" width="6.7109375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4" style="184" customWidth="1"/>
    <col min="12297" max="12297" width="14.28515625" style="184" customWidth="1"/>
    <col min="12298" max="12298" width="14" style="184" customWidth="1"/>
    <col min="12299" max="12299" width="12" style="184" customWidth="1"/>
    <col min="12300" max="12544" width="8.140625" style="184"/>
    <col min="12545" max="12545" width="5" style="184" customWidth="1"/>
    <col min="12546" max="12546" width="6.7109375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4" style="184" customWidth="1"/>
    <col min="12553" max="12553" width="14.28515625" style="184" customWidth="1"/>
    <col min="12554" max="12554" width="14" style="184" customWidth="1"/>
    <col min="12555" max="12555" width="12" style="184" customWidth="1"/>
    <col min="12556" max="12800" width="8.140625" style="184"/>
    <col min="12801" max="12801" width="5" style="184" customWidth="1"/>
    <col min="12802" max="12802" width="6.7109375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4" style="184" customWidth="1"/>
    <col min="12809" max="12809" width="14.28515625" style="184" customWidth="1"/>
    <col min="12810" max="12810" width="14" style="184" customWidth="1"/>
    <col min="12811" max="12811" width="12" style="184" customWidth="1"/>
    <col min="12812" max="13056" width="8.140625" style="184"/>
    <col min="13057" max="13057" width="5" style="184" customWidth="1"/>
    <col min="13058" max="13058" width="6.7109375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4" style="184" customWidth="1"/>
    <col min="13065" max="13065" width="14.28515625" style="184" customWidth="1"/>
    <col min="13066" max="13066" width="14" style="184" customWidth="1"/>
    <col min="13067" max="13067" width="12" style="184" customWidth="1"/>
    <col min="13068" max="13312" width="8.140625" style="184"/>
    <col min="13313" max="13313" width="5" style="184" customWidth="1"/>
    <col min="13314" max="13314" width="6.7109375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4" style="184" customWidth="1"/>
    <col min="13321" max="13321" width="14.28515625" style="184" customWidth="1"/>
    <col min="13322" max="13322" width="14" style="184" customWidth="1"/>
    <col min="13323" max="13323" width="12" style="184" customWidth="1"/>
    <col min="13324" max="13568" width="8.140625" style="184"/>
    <col min="13569" max="13569" width="5" style="184" customWidth="1"/>
    <col min="13570" max="13570" width="6.7109375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4" style="184" customWidth="1"/>
    <col min="13577" max="13577" width="14.28515625" style="184" customWidth="1"/>
    <col min="13578" max="13578" width="14" style="184" customWidth="1"/>
    <col min="13579" max="13579" width="12" style="184" customWidth="1"/>
    <col min="13580" max="13824" width="8.140625" style="184"/>
    <col min="13825" max="13825" width="5" style="184" customWidth="1"/>
    <col min="13826" max="13826" width="6.7109375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4" style="184" customWidth="1"/>
    <col min="13833" max="13833" width="14.28515625" style="184" customWidth="1"/>
    <col min="13834" max="13834" width="14" style="184" customWidth="1"/>
    <col min="13835" max="13835" width="12" style="184" customWidth="1"/>
    <col min="13836" max="14080" width="8.140625" style="184"/>
    <col min="14081" max="14081" width="5" style="184" customWidth="1"/>
    <col min="14082" max="14082" width="6.7109375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4" style="184" customWidth="1"/>
    <col min="14089" max="14089" width="14.28515625" style="184" customWidth="1"/>
    <col min="14090" max="14090" width="14" style="184" customWidth="1"/>
    <col min="14091" max="14091" width="12" style="184" customWidth="1"/>
    <col min="14092" max="14336" width="8.140625" style="184"/>
    <col min="14337" max="14337" width="5" style="184" customWidth="1"/>
    <col min="14338" max="14338" width="6.7109375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4" style="184" customWidth="1"/>
    <col min="14345" max="14345" width="14.28515625" style="184" customWidth="1"/>
    <col min="14346" max="14346" width="14" style="184" customWidth="1"/>
    <col min="14347" max="14347" width="12" style="184" customWidth="1"/>
    <col min="14348" max="14592" width="8.140625" style="184"/>
    <col min="14593" max="14593" width="5" style="184" customWidth="1"/>
    <col min="14594" max="14594" width="6.7109375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4" style="184" customWidth="1"/>
    <col min="14601" max="14601" width="14.28515625" style="184" customWidth="1"/>
    <col min="14602" max="14602" width="14" style="184" customWidth="1"/>
    <col min="14603" max="14603" width="12" style="184" customWidth="1"/>
    <col min="14604" max="14848" width="8.140625" style="184"/>
    <col min="14849" max="14849" width="5" style="184" customWidth="1"/>
    <col min="14850" max="14850" width="6.7109375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4" style="184" customWidth="1"/>
    <col min="14857" max="14857" width="14.28515625" style="184" customWidth="1"/>
    <col min="14858" max="14858" width="14" style="184" customWidth="1"/>
    <col min="14859" max="14859" width="12" style="184" customWidth="1"/>
    <col min="14860" max="15104" width="8.140625" style="184"/>
    <col min="15105" max="15105" width="5" style="184" customWidth="1"/>
    <col min="15106" max="15106" width="6.7109375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4" style="184" customWidth="1"/>
    <col min="15113" max="15113" width="14.28515625" style="184" customWidth="1"/>
    <col min="15114" max="15114" width="14" style="184" customWidth="1"/>
    <col min="15115" max="15115" width="12" style="184" customWidth="1"/>
    <col min="15116" max="15360" width="8.140625" style="184"/>
    <col min="15361" max="15361" width="5" style="184" customWidth="1"/>
    <col min="15362" max="15362" width="6.7109375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4" style="184" customWidth="1"/>
    <col min="15369" max="15369" width="14.28515625" style="184" customWidth="1"/>
    <col min="15370" max="15370" width="14" style="184" customWidth="1"/>
    <col min="15371" max="15371" width="12" style="184" customWidth="1"/>
    <col min="15372" max="15616" width="8.140625" style="184"/>
    <col min="15617" max="15617" width="5" style="184" customWidth="1"/>
    <col min="15618" max="15618" width="6.7109375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4" style="184" customWidth="1"/>
    <col min="15625" max="15625" width="14.28515625" style="184" customWidth="1"/>
    <col min="15626" max="15626" width="14" style="184" customWidth="1"/>
    <col min="15627" max="15627" width="12" style="184" customWidth="1"/>
    <col min="15628" max="15872" width="8.140625" style="184"/>
    <col min="15873" max="15873" width="5" style="184" customWidth="1"/>
    <col min="15874" max="15874" width="6.7109375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4" style="184" customWidth="1"/>
    <col min="15881" max="15881" width="14.28515625" style="184" customWidth="1"/>
    <col min="15882" max="15882" width="14" style="184" customWidth="1"/>
    <col min="15883" max="15883" width="12" style="184" customWidth="1"/>
    <col min="15884" max="16128" width="8.140625" style="184"/>
    <col min="16129" max="16129" width="5" style="184" customWidth="1"/>
    <col min="16130" max="16130" width="6.7109375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4" style="184" customWidth="1"/>
    <col min="16137" max="16137" width="14.28515625" style="184" customWidth="1"/>
    <col min="16138" max="16138" width="14" style="184" customWidth="1"/>
    <col min="16139" max="16139" width="12" style="184" customWidth="1"/>
    <col min="16140" max="16384" width="8.140625" style="184"/>
  </cols>
  <sheetData>
    <row r="1" spans="1:11" s="195" customFormat="1" ht="11.45" customHeight="1">
      <c r="A1" s="186"/>
      <c r="B1" s="187"/>
      <c r="C1" s="188" t="s">
        <v>49</v>
      </c>
      <c r="D1" s="189" t="s">
        <v>151</v>
      </c>
      <c r="E1" s="215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15" customHeight="1">
      <c r="A2" s="196"/>
      <c r="B2" s="197"/>
      <c r="C2" s="198" t="s">
        <v>51</v>
      </c>
      <c r="D2" s="199" t="s">
        <v>152</v>
      </c>
      <c r="E2" s="216" t="s">
        <v>1379</v>
      </c>
      <c r="F2" s="200"/>
      <c r="G2" s="201"/>
      <c r="H2" s="202"/>
      <c r="I2" s="197"/>
      <c r="J2" s="203"/>
      <c r="K2" s="204"/>
    </row>
    <row r="3" spans="1:11" s="185" customFormat="1" ht="11.45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1.45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4.1500000000000004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6.149999999999999" customHeight="1">
      <c r="A6" s="150"/>
      <c r="B6" s="151"/>
      <c r="C6" s="152" t="s">
        <v>939</v>
      </c>
      <c r="D6" s="152" t="s">
        <v>940</v>
      </c>
      <c r="E6" s="151"/>
      <c r="F6" s="153"/>
      <c r="G6" s="154"/>
      <c r="H6" s="155"/>
      <c r="I6" s="155"/>
      <c r="J6" s="155">
        <f>SUM(J7,J100)</f>
        <v>0</v>
      </c>
      <c r="K6" s="156"/>
    </row>
    <row r="7" spans="1:11" s="140" customFormat="1" ht="15.6" customHeight="1">
      <c r="A7" s="150"/>
      <c r="B7" s="151"/>
      <c r="C7" s="152" t="s">
        <v>1188</v>
      </c>
      <c r="D7" s="152" t="s">
        <v>1189</v>
      </c>
      <c r="E7" s="151"/>
      <c r="F7" s="153"/>
      <c r="G7" s="154"/>
      <c r="H7" s="155"/>
      <c r="I7" s="155"/>
      <c r="J7" s="155">
        <f>SUM(J8:J99)</f>
        <v>0</v>
      </c>
      <c r="K7" s="156">
        <v>0.80137000000000003</v>
      </c>
    </row>
    <row r="8" spans="1:11" s="140" customFormat="1" ht="13.5" customHeight="1">
      <c r="A8" s="157">
        <v>33</v>
      </c>
      <c r="B8" s="158" t="s">
        <v>1188</v>
      </c>
      <c r="C8" s="159" t="s">
        <v>1190</v>
      </c>
      <c r="D8" s="159" t="s">
        <v>1191</v>
      </c>
      <c r="E8" s="158" t="s">
        <v>82</v>
      </c>
      <c r="F8" s="160">
        <v>134</v>
      </c>
      <c r="G8" s="161">
        <v>28.6</v>
      </c>
      <c r="H8" s="162"/>
      <c r="I8" s="162"/>
      <c r="J8" s="162"/>
      <c r="K8" s="163">
        <v>0</v>
      </c>
    </row>
    <row r="9" spans="1:11" s="140" customFormat="1" ht="13.5" customHeight="1">
      <c r="A9" s="164">
        <v>34</v>
      </c>
      <c r="B9" s="165" t="s">
        <v>1192</v>
      </c>
      <c r="C9" s="166" t="s">
        <v>1193</v>
      </c>
      <c r="D9" s="166" t="s">
        <v>1194</v>
      </c>
      <c r="E9" s="165" t="s">
        <v>82</v>
      </c>
      <c r="F9" s="167">
        <v>134</v>
      </c>
      <c r="G9" s="168">
        <v>5.72</v>
      </c>
      <c r="H9" s="169"/>
      <c r="I9" s="169"/>
      <c r="J9" s="169"/>
      <c r="K9" s="170">
        <v>4.0200000000000001E-3</v>
      </c>
    </row>
    <row r="10" spans="1:11" s="140" customFormat="1" ht="13.5" customHeight="1">
      <c r="A10" s="157">
        <v>60</v>
      </c>
      <c r="B10" s="158" t="s">
        <v>1188</v>
      </c>
      <c r="C10" s="159" t="s">
        <v>1195</v>
      </c>
      <c r="D10" s="159" t="s">
        <v>1196</v>
      </c>
      <c r="E10" s="158" t="s">
        <v>83</v>
      </c>
      <c r="F10" s="160">
        <v>20</v>
      </c>
      <c r="G10" s="161">
        <v>23.3</v>
      </c>
      <c r="H10" s="162"/>
      <c r="I10" s="162"/>
      <c r="J10" s="162"/>
      <c r="K10" s="163">
        <v>0</v>
      </c>
    </row>
    <row r="11" spans="1:11" s="140" customFormat="1" ht="13.5" customHeight="1">
      <c r="A11" s="164">
        <v>61</v>
      </c>
      <c r="B11" s="165" t="s">
        <v>1197</v>
      </c>
      <c r="C11" s="166" t="s">
        <v>1198</v>
      </c>
      <c r="D11" s="166" t="s">
        <v>1199</v>
      </c>
      <c r="E11" s="165" t="s">
        <v>83</v>
      </c>
      <c r="F11" s="167">
        <v>20</v>
      </c>
      <c r="G11" s="168">
        <v>23.17</v>
      </c>
      <c r="H11" s="169"/>
      <c r="I11" s="169"/>
      <c r="J11" s="169"/>
      <c r="K11" s="170">
        <v>2.2000000000000001E-3</v>
      </c>
    </row>
    <row r="12" spans="1:11" s="140" customFormat="1" ht="13.5" customHeight="1">
      <c r="A12" s="157">
        <v>58</v>
      </c>
      <c r="B12" s="158" t="s">
        <v>1188</v>
      </c>
      <c r="C12" s="159" t="s">
        <v>1200</v>
      </c>
      <c r="D12" s="159" t="s">
        <v>1201</v>
      </c>
      <c r="E12" s="158" t="s">
        <v>83</v>
      </c>
      <c r="F12" s="160">
        <v>30</v>
      </c>
      <c r="G12" s="161">
        <v>11.3</v>
      </c>
      <c r="H12" s="162"/>
      <c r="I12" s="162"/>
      <c r="J12" s="162"/>
      <c r="K12" s="163">
        <v>0</v>
      </c>
    </row>
    <row r="13" spans="1:11" s="140" customFormat="1" ht="13.5" customHeight="1">
      <c r="A13" s="164">
        <v>59</v>
      </c>
      <c r="B13" s="165" t="s">
        <v>1197</v>
      </c>
      <c r="C13" s="166" t="s">
        <v>1202</v>
      </c>
      <c r="D13" s="166" t="s">
        <v>1203</v>
      </c>
      <c r="E13" s="165" t="s">
        <v>83</v>
      </c>
      <c r="F13" s="167">
        <v>30</v>
      </c>
      <c r="G13" s="168">
        <v>3.34</v>
      </c>
      <c r="H13" s="169"/>
      <c r="I13" s="169"/>
      <c r="J13" s="169"/>
      <c r="K13" s="170">
        <v>5.9999999999999995E-4</v>
      </c>
    </row>
    <row r="14" spans="1:11" s="140" customFormat="1" ht="12" customHeight="1">
      <c r="A14" s="157">
        <v>54</v>
      </c>
      <c r="B14" s="158" t="s">
        <v>1188</v>
      </c>
      <c r="C14" s="159" t="s">
        <v>1204</v>
      </c>
      <c r="D14" s="159" t="s">
        <v>1205</v>
      </c>
      <c r="E14" s="158" t="s">
        <v>83</v>
      </c>
      <c r="F14" s="160">
        <v>50</v>
      </c>
      <c r="G14" s="161">
        <v>61.2</v>
      </c>
      <c r="H14" s="162"/>
      <c r="I14" s="162"/>
      <c r="J14" s="162"/>
      <c r="K14" s="163">
        <v>0</v>
      </c>
    </row>
    <row r="15" spans="1:11" s="140" customFormat="1" ht="13.5" customHeight="1">
      <c r="A15" s="164">
        <v>55</v>
      </c>
      <c r="B15" s="165" t="s">
        <v>1197</v>
      </c>
      <c r="C15" s="166" t="s">
        <v>1206</v>
      </c>
      <c r="D15" s="166" t="s">
        <v>1207</v>
      </c>
      <c r="E15" s="165" t="s">
        <v>83</v>
      </c>
      <c r="F15" s="167">
        <v>50</v>
      </c>
      <c r="G15" s="168">
        <v>35.26</v>
      </c>
      <c r="H15" s="169"/>
      <c r="I15" s="169"/>
      <c r="J15" s="169"/>
      <c r="K15" s="170">
        <v>8.9999999999999993E-3</v>
      </c>
    </row>
    <row r="16" spans="1:11" s="140" customFormat="1" ht="24" customHeight="1">
      <c r="A16" s="157">
        <v>42</v>
      </c>
      <c r="B16" s="158" t="s">
        <v>1188</v>
      </c>
      <c r="C16" s="159" t="s">
        <v>1208</v>
      </c>
      <c r="D16" s="159" t="s">
        <v>1209</v>
      </c>
      <c r="E16" s="158" t="s">
        <v>83</v>
      </c>
      <c r="F16" s="160">
        <v>3705</v>
      </c>
      <c r="G16" s="161">
        <v>35.299999999999997</v>
      </c>
      <c r="H16" s="162"/>
      <c r="I16" s="162"/>
      <c r="J16" s="162"/>
      <c r="K16" s="163">
        <v>0</v>
      </c>
    </row>
    <row r="17" spans="1:11" s="140" customFormat="1" ht="13.5" customHeight="1">
      <c r="A17" s="164">
        <v>50</v>
      </c>
      <c r="B17" s="165" t="s">
        <v>1197</v>
      </c>
      <c r="C17" s="166" t="s">
        <v>1210</v>
      </c>
      <c r="D17" s="166" t="s">
        <v>1211</v>
      </c>
      <c r="E17" s="165" t="s">
        <v>83</v>
      </c>
      <c r="F17" s="167">
        <v>225</v>
      </c>
      <c r="G17" s="168">
        <v>20.7</v>
      </c>
      <c r="H17" s="169"/>
      <c r="I17" s="169"/>
      <c r="J17" s="169"/>
      <c r="K17" s="170">
        <v>3.5999999999999997E-2</v>
      </c>
    </row>
    <row r="18" spans="1:11" s="140" customFormat="1" ht="13.5" customHeight="1">
      <c r="A18" s="164">
        <v>51</v>
      </c>
      <c r="B18" s="165" t="s">
        <v>1197</v>
      </c>
      <c r="C18" s="166" t="s">
        <v>1212</v>
      </c>
      <c r="D18" s="166" t="s">
        <v>1213</v>
      </c>
      <c r="E18" s="165" t="s">
        <v>83</v>
      </c>
      <c r="F18" s="167">
        <v>70</v>
      </c>
      <c r="G18" s="168">
        <v>9.94</v>
      </c>
      <c r="H18" s="169"/>
      <c r="I18" s="169"/>
      <c r="J18" s="169"/>
      <c r="K18" s="170">
        <v>7.0000000000000001E-3</v>
      </c>
    </row>
    <row r="19" spans="1:11" s="140" customFormat="1" ht="13.5" customHeight="1">
      <c r="A19" s="164">
        <v>43</v>
      </c>
      <c r="B19" s="165" t="s">
        <v>1197</v>
      </c>
      <c r="C19" s="166" t="s">
        <v>1214</v>
      </c>
      <c r="D19" s="166" t="s">
        <v>1215</v>
      </c>
      <c r="E19" s="165" t="s">
        <v>83</v>
      </c>
      <c r="F19" s="167">
        <v>60</v>
      </c>
      <c r="G19" s="168">
        <v>42.7</v>
      </c>
      <c r="H19" s="169"/>
      <c r="I19" s="169"/>
      <c r="J19" s="169"/>
      <c r="K19" s="170">
        <v>3.6600000000000001E-2</v>
      </c>
    </row>
    <row r="20" spans="1:11" s="140" customFormat="1" ht="13.5" customHeight="1">
      <c r="A20" s="164">
        <v>44</v>
      </c>
      <c r="B20" s="165" t="s">
        <v>1197</v>
      </c>
      <c r="C20" s="166" t="s">
        <v>1216</v>
      </c>
      <c r="D20" s="166" t="s">
        <v>1217</v>
      </c>
      <c r="E20" s="165" t="s">
        <v>83</v>
      </c>
      <c r="F20" s="167">
        <v>70</v>
      </c>
      <c r="G20" s="168">
        <v>210</v>
      </c>
      <c r="H20" s="169"/>
      <c r="I20" s="169"/>
      <c r="J20" s="169"/>
      <c r="K20" s="170">
        <v>9.4500000000000001E-2</v>
      </c>
    </row>
    <row r="21" spans="1:11" s="140" customFormat="1" ht="13.5" customHeight="1">
      <c r="A21" s="164">
        <v>45</v>
      </c>
      <c r="B21" s="165" t="s">
        <v>1197</v>
      </c>
      <c r="C21" s="166" t="s">
        <v>1218</v>
      </c>
      <c r="D21" s="166" t="s">
        <v>1219</v>
      </c>
      <c r="E21" s="165" t="s">
        <v>83</v>
      </c>
      <c r="F21" s="167">
        <v>100</v>
      </c>
      <c r="G21" s="168">
        <v>33.4</v>
      </c>
      <c r="H21" s="169"/>
      <c r="I21" s="169"/>
      <c r="J21" s="169"/>
      <c r="K21" s="170">
        <v>2.5000000000000001E-2</v>
      </c>
    </row>
    <row r="22" spans="1:11" s="140" customFormat="1" ht="13.5" customHeight="1">
      <c r="A22" s="164">
        <v>46</v>
      </c>
      <c r="B22" s="165" t="s">
        <v>1197</v>
      </c>
      <c r="C22" s="166" t="s">
        <v>1220</v>
      </c>
      <c r="D22" s="166" t="s">
        <v>1221</v>
      </c>
      <c r="E22" s="165" t="s">
        <v>83</v>
      </c>
      <c r="F22" s="167">
        <v>1880</v>
      </c>
      <c r="G22" s="168">
        <v>21.1</v>
      </c>
      <c r="H22" s="169"/>
      <c r="I22" s="169"/>
      <c r="J22" s="169"/>
      <c r="K22" s="170">
        <v>0.20680000000000001</v>
      </c>
    </row>
    <row r="23" spans="1:11" s="140" customFormat="1" ht="13.5" customHeight="1">
      <c r="A23" s="164">
        <v>47</v>
      </c>
      <c r="B23" s="165" t="s">
        <v>1197</v>
      </c>
      <c r="C23" s="166" t="s">
        <v>1222</v>
      </c>
      <c r="D23" s="166" t="s">
        <v>1223</v>
      </c>
      <c r="E23" s="165" t="s">
        <v>83</v>
      </c>
      <c r="F23" s="167">
        <v>1300</v>
      </c>
      <c r="G23" s="168">
        <v>12.9</v>
      </c>
      <c r="H23" s="169"/>
      <c r="I23" s="169"/>
      <c r="J23" s="169"/>
      <c r="K23" s="170">
        <v>9.0999999999999998E-2</v>
      </c>
    </row>
    <row r="24" spans="1:11" s="140" customFormat="1" ht="24" customHeight="1">
      <c r="A24" s="157">
        <v>48</v>
      </c>
      <c r="B24" s="158" t="s">
        <v>1188</v>
      </c>
      <c r="C24" s="159" t="s">
        <v>1224</v>
      </c>
      <c r="D24" s="159" t="s">
        <v>1225</v>
      </c>
      <c r="E24" s="158" t="s">
        <v>83</v>
      </c>
      <c r="F24" s="160">
        <v>40</v>
      </c>
      <c r="G24" s="161">
        <v>9.34</v>
      </c>
      <c r="H24" s="162"/>
      <c r="I24" s="162"/>
      <c r="J24" s="162"/>
      <c r="K24" s="163">
        <v>0</v>
      </c>
    </row>
    <row r="25" spans="1:11" s="140" customFormat="1" ht="13.5" customHeight="1">
      <c r="A25" s="164">
        <v>49</v>
      </c>
      <c r="B25" s="165" t="s">
        <v>1197</v>
      </c>
      <c r="C25" s="166" t="s">
        <v>1226</v>
      </c>
      <c r="D25" s="166" t="s">
        <v>1227</v>
      </c>
      <c r="E25" s="165" t="s">
        <v>83</v>
      </c>
      <c r="F25" s="167">
        <v>40</v>
      </c>
      <c r="G25" s="168">
        <v>20.5</v>
      </c>
      <c r="H25" s="169"/>
      <c r="I25" s="169"/>
      <c r="J25" s="169"/>
      <c r="K25" s="170">
        <v>6.7999999999999996E-3</v>
      </c>
    </row>
    <row r="26" spans="1:11" s="140" customFormat="1" ht="13.5" customHeight="1">
      <c r="A26" s="157">
        <v>52</v>
      </c>
      <c r="B26" s="158" t="s">
        <v>1188</v>
      </c>
      <c r="C26" s="159" t="s">
        <v>1228</v>
      </c>
      <c r="D26" s="159" t="s">
        <v>1229</v>
      </c>
      <c r="E26" s="158" t="s">
        <v>82</v>
      </c>
      <c r="F26" s="160">
        <v>1</v>
      </c>
      <c r="G26" s="161">
        <v>963</v>
      </c>
      <c r="H26" s="162"/>
      <c r="I26" s="162"/>
      <c r="J26" s="162"/>
      <c r="K26" s="163">
        <v>0</v>
      </c>
    </row>
    <row r="27" spans="1:11" s="140" customFormat="1" ht="13.5" customHeight="1">
      <c r="A27" s="164">
        <v>53</v>
      </c>
      <c r="B27" s="165" t="s">
        <v>1230</v>
      </c>
      <c r="C27" s="166" t="s">
        <v>1231</v>
      </c>
      <c r="D27" s="166" t="s">
        <v>1232</v>
      </c>
      <c r="E27" s="165" t="s">
        <v>235</v>
      </c>
      <c r="F27" s="167">
        <v>90</v>
      </c>
      <c r="G27" s="168">
        <v>41.3</v>
      </c>
      <c r="H27" s="169"/>
      <c r="I27" s="169"/>
      <c r="J27" s="169"/>
      <c r="K27" s="170">
        <v>0.09</v>
      </c>
    </row>
    <row r="28" spans="1:11" s="140" customFormat="1" ht="13.5" customHeight="1">
      <c r="A28" s="164">
        <v>57</v>
      </c>
      <c r="B28" s="165" t="s">
        <v>1230</v>
      </c>
      <c r="C28" s="166" t="s">
        <v>1233</v>
      </c>
      <c r="D28" s="166" t="s">
        <v>1234</v>
      </c>
      <c r="E28" s="165" t="s">
        <v>235</v>
      </c>
      <c r="F28" s="167">
        <v>15.5</v>
      </c>
      <c r="G28" s="168">
        <v>41.3</v>
      </c>
      <c r="H28" s="169"/>
      <c r="I28" s="169"/>
      <c r="J28" s="169"/>
      <c r="K28" s="170">
        <v>1.55E-2</v>
      </c>
    </row>
    <row r="29" spans="1:11" s="140" customFormat="1" ht="13.5" customHeight="1">
      <c r="A29" s="157">
        <v>64</v>
      </c>
      <c r="B29" s="158" t="s">
        <v>1188</v>
      </c>
      <c r="C29" s="159" t="s">
        <v>1235</v>
      </c>
      <c r="D29" s="159" t="s">
        <v>1236</v>
      </c>
      <c r="E29" s="158" t="s">
        <v>82</v>
      </c>
      <c r="F29" s="160">
        <v>1</v>
      </c>
      <c r="G29" s="161">
        <v>458</v>
      </c>
      <c r="H29" s="162"/>
      <c r="I29" s="162"/>
      <c r="J29" s="162"/>
      <c r="K29" s="163">
        <v>0</v>
      </c>
    </row>
    <row r="30" spans="1:11" s="140" customFormat="1" ht="13.5" customHeight="1">
      <c r="A30" s="164">
        <v>65</v>
      </c>
      <c r="B30" s="165" t="s">
        <v>1237</v>
      </c>
      <c r="C30" s="166" t="s">
        <v>1238</v>
      </c>
      <c r="D30" s="166" t="s">
        <v>1239</v>
      </c>
      <c r="E30" s="165" t="s">
        <v>82</v>
      </c>
      <c r="F30" s="167">
        <v>1</v>
      </c>
      <c r="G30" s="168">
        <v>1350</v>
      </c>
      <c r="H30" s="169"/>
      <c r="I30" s="169"/>
      <c r="J30" s="169"/>
      <c r="K30" s="170">
        <v>3.5300000000000002E-3</v>
      </c>
    </row>
    <row r="31" spans="1:11" s="140" customFormat="1" ht="13.5" customHeight="1">
      <c r="A31" s="157">
        <v>68</v>
      </c>
      <c r="B31" s="158" t="s">
        <v>1188</v>
      </c>
      <c r="C31" s="159" t="s">
        <v>1240</v>
      </c>
      <c r="D31" s="159" t="s">
        <v>1241</v>
      </c>
      <c r="E31" s="158" t="s">
        <v>82</v>
      </c>
      <c r="F31" s="160">
        <v>1</v>
      </c>
      <c r="G31" s="161">
        <v>1500</v>
      </c>
      <c r="H31" s="162"/>
      <c r="I31" s="162"/>
      <c r="J31" s="162"/>
      <c r="K31" s="163">
        <v>0</v>
      </c>
    </row>
    <row r="32" spans="1:11" s="140" customFormat="1" ht="13.5" customHeight="1">
      <c r="A32" s="164">
        <v>69</v>
      </c>
      <c r="B32" s="165" t="s">
        <v>1237</v>
      </c>
      <c r="C32" s="166" t="s">
        <v>1242</v>
      </c>
      <c r="D32" s="166" t="s">
        <v>1243</v>
      </c>
      <c r="E32" s="165" t="s">
        <v>82</v>
      </c>
      <c r="F32" s="167">
        <v>1</v>
      </c>
      <c r="G32" s="168">
        <v>2140</v>
      </c>
      <c r="H32" s="169"/>
      <c r="I32" s="169"/>
      <c r="J32" s="169"/>
      <c r="K32" s="170">
        <v>1.6899999999999998E-2</v>
      </c>
    </row>
    <row r="33" spans="1:11" s="140" customFormat="1" ht="13.5" customHeight="1">
      <c r="A33" s="157">
        <v>70</v>
      </c>
      <c r="B33" s="158" t="s">
        <v>1188</v>
      </c>
      <c r="C33" s="159" t="s">
        <v>1240</v>
      </c>
      <c r="D33" s="159" t="s">
        <v>1241</v>
      </c>
      <c r="E33" s="158" t="s">
        <v>82</v>
      </c>
      <c r="F33" s="160">
        <v>1</v>
      </c>
      <c r="G33" s="161">
        <v>1500</v>
      </c>
      <c r="H33" s="162"/>
      <c r="I33" s="162"/>
      <c r="J33" s="162"/>
      <c r="K33" s="163">
        <v>0</v>
      </c>
    </row>
    <row r="34" spans="1:11" s="140" customFormat="1" ht="13.5" customHeight="1">
      <c r="A34" s="164">
        <v>71</v>
      </c>
      <c r="B34" s="165" t="s">
        <v>1237</v>
      </c>
      <c r="C34" s="166" t="s">
        <v>1244</v>
      </c>
      <c r="D34" s="166" t="s">
        <v>1245</v>
      </c>
      <c r="E34" s="165" t="s">
        <v>82</v>
      </c>
      <c r="F34" s="167">
        <v>1</v>
      </c>
      <c r="G34" s="168">
        <v>4170</v>
      </c>
      <c r="H34" s="169"/>
      <c r="I34" s="169"/>
      <c r="J34" s="169"/>
      <c r="K34" s="170">
        <v>8.0000000000000002E-3</v>
      </c>
    </row>
    <row r="35" spans="1:11" s="140" customFormat="1" ht="13.5" customHeight="1">
      <c r="A35" s="157">
        <v>66</v>
      </c>
      <c r="B35" s="158" t="s">
        <v>1188</v>
      </c>
      <c r="C35" s="159" t="s">
        <v>1246</v>
      </c>
      <c r="D35" s="159" t="s">
        <v>1247</v>
      </c>
      <c r="E35" s="158" t="s">
        <v>82</v>
      </c>
      <c r="F35" s="160">
        <v>1</v>
      </c>
      <c r="G35" s="161">
        <v>1710</v>
      </c>
      <c r="H35" s="162"/>
      <c r="I35" s="162"/>
      <c r="J35" s="162"/>
      <c r="K35" s="163">
        <v>0</v>
      </c>
    </row>
    <row r="36" spans="1:11" s="140" customFormat="1" ht="13.5" customHeight="1">
      <c r="A36" s="164">
        <v>67</v>
      </c>
      <c r="B36" s="165" t="s">
        <v>1237</v>
      </c>
      <c r="C36" s="166" t="s">
        <v>1248</v>
      </c>
      <c r="D36" s="166" t="s">
        <v>1249</v>
      </c>
      <c r="E36" s="165" t="s">
        <v>82</v>
      </c>
      <c r="F36" s="167">
        <v>1</v>
      </c>
      <c r="G36" s="168">
        <v>5970</v>
      </c>
      <c r="H36" s="169"/>
      <c r="I36" s="169"/>
      <c r="J36" s="169"/>
      <c r="K36" s="170">
        <v>3.9E-2</v>
      </c>
    </row>
    <row r="37" spans="1:11" s="140" customFormat="1" ht="13.5" customHeight="1">
      <c r="A37" s="157">
        <v>1</v>
      </c>
      <c r="B37" s="158" t="s">
        <v>1188</v>
      </c>
      <c r="C37" s="159" t="s">
        <v>1250</v>
      </c>
      <c r="D37" s="159" t="s">
        <v>1251</v>
      </c>
      <c r="E37" s="158" t="s">
        <v>82</v>
      </c>
      <c r="F37" s="160">
        <v>14</v>
      </c>
      <c r="G37" s="161">
        <v>96.3</v>
      </c>
      <c r="H37" s="162"/>
      <c r="I37" s="162"/>
      <c r="J37" s="162"/>
      <c r="K37" s="163">
        <v>0</v>
      </c>
    </row>
    <row r="38" spans="1:11" s="140" customFormat="1" ht="13.5" customHeight="1">
      <c r="A38" s="164">
        <v>2</v>
      </c>
      <c r="B38" s="165" t="s">
        <v>1192</v>
      </c>
      <c r="C38" s="166" t="s">
        <v>1252</v>
      </c>
      <c r="D38" s="166" t="s">
        <v>1253</v>
      </c>
      <c r="E38" s="165" t="s">
        <v>82</v>
      </c>
      <c r="F38" s="167">
        <v>14</v>
      </c>
      <c r="G38" s="168">
        <v>88.3</v>
      </c>
      <c r="H38" s="169"/>
      <c r="I38" s="169"/>
      <c r="J38" s="169"/>
      <c r="K38" s="170">
        <v>6.9999999999999999E-4</v>
      </c>
    </row>
    <row r="39" spans="1:11" s="140" customFormat="1" ht="13.5" customHeight="1">
      <c r="A39" s="157">
        <v>35</v>
      </c>
      <c r="B39" s="158" t="s">
        <v>1188</v>
      </c>
      <c r="C39" s="159" t="s">
        <v>1250</v>
      </c>
      <c r="D39" s="159" t="s">
        <v>1251</v>
      </c>
      <c r="E39" s="158" t="s">
        <v>82</v>
      </c>
      <c r="F39" s="160">
        <v>90</v>
      </c>
      <c r="G39" s="161">
        <v>96.3</v>
      </c>
      <c r="H39" s="162"/>
      <c r="I39" s="162"/>
      <c r="J39" s="162"/>
      <c r="K39" s="163">
        <v>0</v>
      </c>
    </row>
    <row r="40" spans="1:11" s="140" customFormat="1" ht="13.5" customHeight="1">
      <c r="A40" s="164">
        <v>36</v>
      </c>
      <c r="B40" s="165" t="s">
        <v>1192</v>
      </c>
      <c r="C40" s="166" t="s">
        <v>1254</v>
      </c>
      <c r="D40" s="166" t="s">
        <v>1255</v>
      </c>
      <c r="E40" s="165" t="s">
        <v>82</v>
      </c>
      <c r="F40" s="167">
        <v>56</v>
      </c>
      <c r="G40" s="168">
        <v>19.2</v>
      </c>
      <c r="H40" s="169"/>
      <c r="I40" s="169"/>
      <c r="J40" s="169"/>
      <c r="K40" s="170">
        <v>2.8E-3</v>
      </c>
    </row>
    <row r="41" spans="1:11" s="140" customFormat="1" ht="13.5" customHeight="1">
      <c r="A41" s="164">
        <v>37</v>
      </c>
      <c r="B41" s="165" t="s">
        <v>1192</v>
      </c>
      <c r="C41" s="166" t="s">
        <v>1256</v>
      </c>
      <c r="D41" s="166" t="s">
        <v>1257</v>
      </c>
      <c r="E41" s="165" t="s">
        <v>82</v>
      </c>
      <c r="F41" s="167">
        <v>22</v>
      </c>
      <c r="G41" s="168">
        <v>34.700000000000003</v>
      </c>
      <c r="H41" s="169"/>
      <c r="I41" s="169"/>
      <c r="J41" s="169"/>
      <c r="K41" s="170">
        <v>0</v>
      </c>
    </row>
    <row r="42" spans="1:11" s="140" customFormat="1" ht="13.5" customHeight="1">
      <c r="A42" s="164">
        <v>38</v>
      </c>
      <c r="B42" s="165" t="s">
        <v>1192</v>
      </c>
      <c r="C42" s="166" t="s">
        <v>1258</v>
      </c>
      <c r="D42" s="166" t="s">
        <v>1259</v>
      </c>
      <c r="E42" s="165" t="s">
        <v>82</v>
      </c>
      <c r="F42" s="167">
        <v>12</v>
      </c>
      <c r="G42" s="168">
        <v>50.2</v>
      </c>
      <c r="H42" s="169"/>
      <c r="I42" s="169"/>
      <c r="J42" s="169"/>
      <c r="K42" s="170">
        <v>0</v>
      </c>
    </row>
    <row r="43" spans="1:11" s="140" customFormat="1" ht="13.5" customHeight="1">
      <c r="A43" s="164">
        <v>39</v>
      </c>
      <c r="B43" s="165" t="s">
        <v>1192</v>
      </c>
      <c r="C43" s="166" t="s">
        <v>1260</v>
      </c>
      <c r="D43" s="166" t="s">
        <v>1261</v>
      </c>
      <c r="E43" s="165" t="s">
        <v>83</v>
      </c>
      <c r="F43" s="167">
        <v>10</v>
      </c>
      <c r="G43" s="168">
        <v>139</v>
      </c>
      <c r="H43" s="169"/>
      <c r="I43" s="169"/>
      <c r="J43" s="169"/>
      <c r="K43" s="170">
        <v>3.3E-3</v>
      </c>
    </row>
    <row r="44" spans="1:11" s="140" customFormat="1" ht="13.5" customHeight="1">
      <c r="A44" s="157">
        <v>19</v>
      </c>
      <c r="B44" s="158" t="s">
        <v>1188</v>
      </c>
      <c r="C44" s="159" t="s">
        <v>1262</v>
      </c>
      <c r="D44" s="159" t="s">
        <v>1263</v>
      </c>
      <c r="E44" s="158" t="s">
        <v>82</v>
      </c>
      <c r="F44" s="160">
        <v>2</v>
      </c>
      <c r="G44" s="161">
        <v>123</v>
      </c>
      <c r="H44" s="162"/>
      <c r="I44" s="162"/>
      <c r="J44" s="162"/>
      <c r="K44" s="163">
        <v>0</v>
      </c>
    </row>
    <row r="45" spans="1:11" s="140" customFormat="1" ht="13.5" customHeight="1">
      <c r="A45" s="164">
        <v>20</v>
      </c>
      <c r="B45" s="165" t="s">
        <v>1192</v>
      </c>
      <c r="C45" s="166" t="s">
        <v>1264</v>
      </c>
      <c r="D45" s="166" t="s">
        <v>1265</v>
      </c>
      <c r="E45" s="165" t="s">
        <v>82</v>
      </c>
      <c r="F45" s="167">
        <v>2</v>
      </c>
      <c r="G45" s="168">
        <v>479</v>
      </c>
      <c r="H45" s="169"/>
      <c r="I45" s="169"/>
      <c r="J45" s="169"/>
      <c r="K45" s="170">
        <v>2.0000000000000001E-4</v>
      </c>
    </row>
    <row r="46" spans="1:11" s="140" customFormat="1" ht="13.5" customHeight="1">
      <c r="A46" s="157">
        <v>3</v>
      </c>
      <c r="B46" s="158" t="s">
        <v>1188</v>
      </c>
      <c r="C46" s="159" t="s">
        <v>1266</v>
      </c>
      <c r="D46" s="159" t="s">
        <v>1267</v>
      </c>
      <c r="E46" s="158" t="s">
        <v>82</v>
      </c>
      <c r="F46" s="160">
        <v>4</v>
      </c>
      <c r="G46" s="161">
        <v>103</v>
      </c>
      <c r="H46" s="162"/>
      <c r="I46" s="162"/>
      <c r="J46" s="162"/>
      <c r="K46" s="163">
        <v>0</v>
      </c>
    </row>
    <row r="47" spans="1:11" s="140" customFormat="1" ht="13.5" customHeight="1">
      <c r="A47" s="164">
        <v>4</v>
      </c>
      <c r="B47" s="165" t="s">
        <v>1192</v>
      </c>
      <c r="C47" s="166" t="s">
        <v>1268</v>
      </c>
      <c r="D47" s="166" t="s">
        <v>1269</v>
      </c>
      <c r="E47" s="165" t="s">
        <v>82</v>
      </c>
      <c r="F47" s="167">
        <v>4</v>
      </c>
      <c r="G47" s="168">
        <v>238</v>
      </c>
      <c r="H47" s="169"/>
      <c r="I47" s="169"/>
      <c r="J47" s="169"/>
      <c r="K47" s="170">
        <v>2.0000000000000001E-4</v>
      </c>
    </row>
    <row r="48" spans="1:11" s="140" customFormat="1" ht="13.5" customHeight="1">
      <c r="A48" s="157">
        <v>15</v>
      </c>
      <c r="B48" s="158" t="s">
        <v>1188</v>
      </c>
      <c r="C48" s="159" t="s">
        <v>1266</v>
      </c>
      <c r="D48" s="159" t="s">
        <v>1267</v>
      </c>
      <c r="E48" s="158" t="s">
        <v>82</v>
      </c>
      <c r="F48" s="160">
        <v>1</v>
      </c>
      <c r="G48" s="161">
        <v>103</v>
      </c>
      <c r="H48" s="162"/>
      <c r="I48" s="162"/>
      <c r="J48" s="162"/>
      <c r="K48" s="163">
        <v>0</v>
      </c>
    </row>
    <row r="49" spans="1:11" s="140" customFormat="1" ht="13.5" customHeight="1">
      <c r="A49" s="164">
        <v>16</v>
      </c>
      <c r="B49" s="165" t="s">
        <v>1192</v>
      </c>
      <c r="C49" s="166" t="s">
        <v>1270</v>
      </c>
      <c r="D49" s="166" t="s">
        <v>1271</v>
      </c>
      <c r="E49" s="165" t="s">
        <v>82</v>
      </c>
      <c r="F49" s="167">
        <v>1</v>
      </c>
      <c r="G49" s="168">
        <v>76.2</v>
      </c>
      <c r="H49" s="169"/>
      <c r="I49" s="169"/>
      <c r="J49" s="169"/>
      <c r="K49" s="170">
        <v>8.0000000000000007E-5</v>
      </c>
    </row>
    <row r="50" spans="1:11" s="140" customFormat="1" ht="13.5" customHeight="1">
      <c r="A50" s="157">
        <v>5</v>
      </c>
      <c r="B50" s="158" t="s">
        <v>1188</v>
      </c>
      <c r="C50" s="159" t="s">
        <v>1272</v>
      </c>
      <c r="D50" s="159" t="s">
        <v>1273</v>
      </c>
      <c r="E50" s="158" t="s">
        <v>82</v>
      </c>
      <c r="F50" s="160">
        <v>18</v>
      </c>
      <c r="G50" s="161">
        <v>48.4</v>
      </c>
      <c r="H50" s="162"/>
      <c r="I50" s="162"/>
      <c r="J50" s="162"/>
      <c r="K50" s="163">
        <v>0</v>
      </c>
    </row>
    <row r="51" spans="1:11" s="140" customFormat="1" ht="13.5" customHeight="1">
      <c r="A51" s="164">
        <v>6</v>
      </c>
      <c r="B51" s="165" t="s">
        <v>1192</v>
      </c>
      <c r="C51" s="166" t="s">
        <v>1274</v>
      </c>
      <c r="D51" s="166" t="s">
        <v>1275</v>
      </c>
      <c r="E51" s="165" t="s">
        <v>82</v>
      </c>
      <c r="F51" s="167">
        <v>18</v>
      </c>
      <c r="G51" s="168">
        <v>188</v>
      </c>
      <c r="H51" s="169"/>
      <c r="I51" s="169"/>
      <c r="J51" s="169"/>
      <c r="K51" s="170">
        <v>8.9999999999999998E-4</v>
      </c>
    </row>
    <row r="52" spans="1:11" s="140" customFormat="1" ht="13.5" customHeight="1">
      <c r="A52" s="157">
        <v>7</v>
      </c>
      <c r="B52" s="158" t="s">
        <v>1188</v>
      </c>
      <c r="C52" s="159" t="s">
        <v>1276</v>
      </c>
      <c r="D52" s="159" t="s">
        <v>1277</v>
      </c>
      <c r="E52" s="158" t="s">
        <v>82</v>
      </c>
      <c r="F52" s="160">
        <v>3</v>
      </c>
      <c r="G52" s="161">
        <v>54.4</v>
      </c>
      <c r="H52" s="162"/>
      <c r="I52" s="162"/>
      <c r="J52" s="162"/>
      <c r="K52" s="163">
        <v>0</v>
      </c>
    </row>
    <row r="53" spans="1:11" s="140" customFormat="1" ht="13.5" customHeight="1">
      <c r="A53" s="164">
        <v>8</v>
      </c>
      <c r="B53" s="165" t="s">
        <v>1192</v>
      </c>
      <c r="C53" s="166" t="s">
        <v>1268</v>
      </c>
      <c r="D53" s="166" t="s">
        <v>1269</v>
      </c>
      <c r="E53" s="165" t="s">
        <v>82</v>
      </c>
      <c r="F53" s="167">
        <v>3</v>
      </c>
      <c r="G53" s="168">
        <v>238</v>
      </c>
      <c r="H53" s="169"/>
      <c r="I53" s="169"/>
      <c r="J53" s="169"/>
      <c r="K53" s="170">
        <v>1.4999999999999999E-4</v>
      </c>
    </row>
    <row r="54" spans="1:11" s="140" customFormat="1" ht="13.5" customHeight="1">
      <c r="A54" s="157">
        <v>13</v>
      </c>
      <c r="B54" s="158" t="s">
        <v>1188</v>
      </c>
      <c r="C54" s="159" t="s">
        <v>1278</v>
      </c>
      <c r="D54" s="159" t="s">
        <v>1279</v>
      </c>
      <c r="E54" s="158" t="s">
        <v>82</v>
      </c>
      <c r="F54" s="160">
        <v>2</v>
      </c>
      <c r="G54" s="161">
        <v>53.2</v>
      </c>
      <c r="H54" s="162"/>
      <c r="I54" s="162"/>
      <c r="J54" s="162"/>
      <c r="K54" s="163">
        <v>0</v>
      </c>
    </row>
    <row r="55" spans="1:11" s="140" customFormat="1" ht="13.5" customHeight="1">
      <c r="A55" s="164">
        <v>14</v>
      </c>
      <c r="B55" s="165" t="s">
        <v>1192</v>
      </c>
      <c r="C55" s="166" t="s">
        <v>1274</v>
      </c>
      <c r="D55" s="166" t="s">
        <v>1275</v>
      </c>
      <c r="E55" s="165" t="s">
        <v>82</v>
      </c>
      <c r="F55" s="167">
        <v>2</v>
      </c>
      <c r="G55" s="168">
        <v>188</v>
      </c>
      <c r="H55" s="169"/>
      <c r="I55" s="169"/>
      <c r="J55" s="169"/>
      <c r="K55" s="170">
        <v>1E-4</v>
      </c>
    </row>
    <row r="56" spans="1:11" s="140" customFormat="1" ht="13.5" customHeight="1">
      <c r="A56" s="157">
        <v>11</v>
      </c>
      <c r="B56" s="158" t="s">
        <v>1188</v>
      </c>
      <c r="C56" s="159" t="s">
        <v>1280</v>
      </c>
      <c r="D56" s="159" t="s">
        <v>1281</v>
      </c>
      <c r="E56" s="158" t="s">
        <v>82</v>
      </c>
      <c r="F56" s="160">
        <v>1</v>
      </c>
      <c r="G56" s="161">
        <v>42.2</v>
      </c>
      <c r="H56" s="162"/>
      <c r="I56" s="162"/>
      <c r="J56" s="162"/>
      <c r="K56" s="163">
        <v>0</v>
      </c>
    </row>
    <row r="57" spans="1:11" s="140" customFormat="1" ht="13.5" customHeight="1">
      <c r="A57" s="164">
        <v>12</v>
      </c>
      <c r="B57" s="165" t="s">
        <v>1192</v>
      </c>
      <c r="C57" s="166" t="s">
        <v>1282</v>
      </c>
      <c r="D57" s="166" t="s">
        <v>1283</v>
      </c>
      <c r="E57" s="165" t="s">
        <v>82</v>
      </c>
      <c r="F57" s="167">
        <v>1</v>
      </c>
      <c r="G57" s="168">
        <v>53.4</v>
      </c>
      <c r="H57" s="169"/>
      <c r="I57" s="169"/>
      <c r="J57" s="169"/>
      <c r="K57" s="170">
        <v>4.0000000000000003E-5</v>
      </c>
    </row>
    <row r="58" spans="1:11" s="140" customFormat="1" ht="13.5" customHeight="1">
      <c r="A58" s="157">
        <v>17</v>
      </c>
      <c r="B58" s="158" t="s">
        <v>1188</v>
      </c>
      <c r="C58" s="159" t="s">
        <v>1280</v>
      </c>
      <c r="D58" s="159" t="s">
        <v>1281</v>
      </c>
      <c r="E58" s="158" t="s">
        <v>82</v>
      </c>
      <c r="F58" s="160">
        <v>4</v>
      </c>
      <c r="G58" s="161">
        <v>42.2</v>
      </c>
      <c r="H58" s="162"/>
      <c r="I58" s="162"/>
      <c r="J58" s="162"/>
      <c r="K58" s="163">
        <v>0</v>
      </c>
    </row>
    <row r="59" spans="1:11" s="140" customFormat="1" ht="13.5" customHeight="1">
      <c r="A59" s="164">
        <v>18</v>
      </c>
      <c r="B59" s="165" t="s">
        <v>1192</v>
      </c>
      <c r="C59" s="166" t="s">
        <v>1284</v>
      </c>
      <c r="D59" s="166" t="s">
        <v>1285</v>
      </c>
      <c r="E59" s="165" t="s">
        <v>82</v>
      </c>
      <c r="F59" s="167">
        <v>4</v>
      </c>
      <c r="G59" s="168">
        <v>83.4</v>
      </c>
      <c r="H59" s="169"/>
      <c r="I59" s="169"/>
      <c r="J59" s="169"/>
      <c r="K59" s="170">
        <v>1.6000000000000001E-4</v>
      </c>
    </row>
    <row r="60" spans="1:11" s="140" customFormat="1" ht="13.5" customHeight="1">
      <c r="A60" s="157">
        <v>73</v>
      </c>
      <c r="B60" s="158" t="s">
        <v>1188</v>
      </c>
      <c r="C60" s="159" t="s">
        <v>1286</v>
      </c>
      <c r="D60" s="159" t="s">
        <v>1287</v>
      </c>
      <c r="E60" s="158" t="s">
        <v>82</v>
      </c>
      <c r="F60" s="160">
        <v>2</v>
      </c>
      <c r="G60" s="161">
        <v>130</v>
      </c>
      <c r="H60" s="162"/>
      <c r="I60" s="162"/>
      <c r="J60" s="162"/>
      <c r="K60" s="163">
        <v>0</v>
      </c>
    </row>
    <row r="61" spans="1:11" s="140" customFormat="1" ht="13.5" customHeight="1">
      <c r="A61" s="164">
        <v>74</v>
      </c>
      <c r="B61" s="165" t="s">
        <v>1288</v>
      </c>
      <c r="C61" s="166" t="s">
        <v>1289</v>
      </c>
      <c r="D61" s="166" t="s">
        <v>1290</v>
      </c>
      <c r="E61" s="165" t="s">
        <v>82</v>
      </c>
      <c r="F61" s="167">
        <v>1</v>
      </c>
      <c r="G61" s="168">
        <v>1574</v>
      </c>
      <c r="H61" s="169"/>
      <c r="I61" s="169"/>
      <c r="J61" s="169"/>
      <c r="K61" s="170">
        <v>1.3999999999999999E-4</v>
      </c>
    </row>
    <row r="62" spans="1:11" s="140" customFormat="1" ht="13.5" customHeight="1">
      <c r="A62" s="164">
        <v>89</v>
      </c>
      <c r="B62" s="165" t="s">
        <v>1288</v>
      </c>
      <c r="C62" s="166" t="s">
        <v>1291</v>
      </c>
      <c r="D62" s="166" t="s">
        <v>1292</v>
      </c>
      <c r="E62" s="165" t="s">
        <v>82</v>
      </c>
      <c r="F62" s="167">
        <v>1</v>
      </c>
      <c r="G62" s="168">
        <v>1120</v>
      </c>
      <c r="H62" s="169"/>
      <c r="I62" s="169"/>
      <c r="J62" s="169"/>
      <c r="K62" s="170">
        <v>1.3999999999999999E-4</v>
      </c>
    </row>
    <row r="63" spans="1:11" s="140" customFormat="1" ht="13.5" customHeight="1">
      <c r="A63" s="157">
        <v>21</v>
      </c>
      <c r="B63" s="158" t="s">
        <v>1188</v>
      </c>
      <c r="C63" s="159" t="s">
        <v>1293</v>
      </c>
      <c r="D63" s="159" t="s">
        <v>1294</v>
      </c>
      <c r="E63" s="158" t="s">
        <v>82</v>
      </c>
      <c r="F63" s="160">
        <v>2</v>
      </c>
      <c r="G63" s="161">
        <v>126</v>
      </c>
      <c r="H63" s="162"/>
      <c r="I63" s="162"/>
      <c r="J63" s="162"/>
      <c r="K63" s="163">
        <v>0</v>
      </c>
    </row>
    <row r="64" spans="1:11" s="140" customFormat="1" ht="13.5" customHeight="1">
      <c r="A64" s="164">
        <v>22</v>
      </c>
      <c r="B64" s="165" t="s">
        <v>1288</v>
      </c>
      <c r="C64" s="166" t="s">
        <v>1295</v>
      </c>
      <c r="D64" s="166" t="s">
        <v>1296</v>
      </c>
      <c r="E64" s="165" t="s">
        <v>82</v>
      </c>
      <c r="F64" s="167">
        <v>2</v>
      </c>
      <c r="G64" s="168">
        <v>380</v>
      </c>
      <c r="H64" s="169"/>
      <c r="I64" s="169"/>
      <c r="J64" s="169"/>
      <c r="K64" s="170">
        <v>2.9999999999999997E-4</v>
      </c>
    </row>
    <row r="65" spans="1:11" s="140" customFormat="1" ht="13.5" customHeight="1">
      <c r="A65" s="157">
        <v>23</v>
      </c>
      <c r="B65" s="158" t="s">
        <v>1188</v>
      </c>
      <c r="C65" s="159" t="s">
        <v>1297</v>
      </c>
      <c r="D65" s="159" t="s">
        <v>1298</v>
      </c>
      <c r="E65" s="158" t="s">
        <v>82</v>
      </c>
      <c r="F65" s="160">
        <v>88</v>
      </c>
      <c r="G65" s="161">
        <v>78.3</v>
      </c>
      <c r="H65" s="162"/>
      <c r="I65" s="162"/>
      <c r="J65" s="162"/>
      <c r="K65" s="163">
        <v>0</v>
      </c>
    </row>
    <row r="66" spans="1:11" s="140" customFormat="1" ht="13.5" customHeight="1">
      <c r="A66" s="164">
        <v>24</v>
      </c>
      <c r="B66" s="165" t="s">
        <v>1192</v>
      </c>
      <c r="C66" s="166" t="s">
        <v>1299</v>
      </c>
      <c r="D66" s="166" t="s">
        <v>1300</v>
      </c>
      <c r="E66" s="165" t="s">
        <v>82</v>
      </c>
      <c r="F66" s="167">
        <v>88</v>
      </c>
      <c r="G66" s="168">
        <v>140</v>
      </c>
      <c r="H66" s="169"/>
      <c r="I66" s="169"/>
      <c r="J66" s="169"/>
      <c r="K66" s="170">
        <v>5.28E-3</v>
      </c>
    </row>
    <row r="67" spans="1:11" s="140" customFormat="1" ht="13.5" customHeight="1">
      <c r="A67" s="157">
        <v>25</v>
      </c>
      <c r="B67" s="158" t="s">
        <v>1188</v>
      </c>
      <c r="C67" s="159" t="s">
        <v>1301</v>
      </c>
      <c r="D67" s="159" t="s">
        <v>1302</v>
      </c>
      <c r="E67" s="158" t="s">
        <v>82</v>
      </c>
      <c r="F67" s="160">
        <v>1</v>
      </c>
      <c r="G67" s="161">
        <v>84.9</v>
      </c>
      <c r="H67" s="162"/>
      <c r="I67" s="162"/>
      <c r="J67" s="162"/>
      <c r="K67" s="163">
        <v>0</v>
      </c>
    </row>
    <row r="68" spans="1:11" s="140" customFormat="1" ht="13.5" customHeight="1">
      <c r="A68" s="164">
        <v>26</v>
      </c>
      <c r="B68" s="165" t="s">
        <v>1192</v>
      </c>
      <c r="C68" s="166" t="s">
        <v>1303</v>
      </c>
      <c r="D68" s="166" t="s">
        <v>1304</v>
      </c>
      <c r="E68" s="165" t="s">
        <v>82</v>
      </c>
      <c r="F68" s="167">
        <v>1</v>
      </c>
      <c r="G68" s="168">
        <v>119</v>
      </c>
      <c r="H68" s="169"/>
      <c r="I68" s="169"/>
      <c r="J68" s="169"/>
      <c r="K68" s="170">
        <v>2.2000000000000001E-4</v>
      </c>
    </row>
    <row r="69" spans="1:11" s="140" customFormat="1" ht="13.5" customHeight="1">
      <c r="A69" s="157">
        <v>27</v>
      </c>
      <c r="B69" s="158" t="s">
        <v>1188</v>
      </c>
      <c r="C69" s="159" t="s">
        <v>1305</v>
      </c>
      <c r="D69" s="159" t="s">
        <v>1306</v>
      </c>
      <c r="E69" s="158" t="s">
        <v>82</v>
      </c>
      <c r="F69" s="160">
        <v>8</v>
      </c>
      <c r="G69" s="161">
        <v>138</v>
      </c>
      <c r="H69" s="162"/>
      <c r="I69" s="162"/>
      <c r="J69" s="162"/>
      <c r="K69" s="163">
        <v>0</v>
      </c>
    </row>
    <row r="70" spans="1:11" s="140" customFormat="1" ht="13.5" customHeight="1">
      <c r="A70" s="164">
        <v>28</v>
      </c>
      <c r="B70" s="165" t="s">
        <v>1307</v>
      </c>
      <c r="C70" s="166" t="s">
        <v>1308</v>
      </c>
      <c r="D70" s="166" t="s">
        <v>1309</v>
      </c>
      <c r="E70" s="165" t="s">
        <v>82</v>
      </c>
      <c r="F70" s="167">
        <v>8</v>
      </c>
      <c r="G70" s="168">
        <v>262</v>
      </c>
      <c r="H70" s="169"/>
      <c r="I70" s="169"/>
      <c r="J70" s="169"/>
      <c r="K70" s="170">
        <v>4.8000000000000001E-4</v>
      </c>
    </row>
    <row r="71" spans="1:11" s="140" customFormat="1" ht="13.5" customHeight="1">
      <c r="A71" s="157">
        <v>29</v>
      </c>
      <c r="B71" s="158" t="s">
        <v>1188</v>
      </c>
      <c r="C71" s="159" t="s">
        <v>1310</v>
      </c>
      <c r="D71" s="159" t="s">
        <v>1311</v>
      </c>
      <c r="E71" s="158" t="s">
        <v>82</v>
      </c>
      <c r="F71" s="160">
        <v>1</v>
      </c>
      <c r="G71" s="161">
        <v>178</v>
      </c>
      <c r="H71" s="162"/>
      <c r="I71" s="162"/>
      <c r="J71" s="162"/>
      <c r="K71" s="163">
        <v>0</v>
      </c>
    </row>
    <row r="72" spans="1:11" s="140" customFormat="1" ht="13.5" customHeight="1">
      <c r="A72" s="164">
        <v>30</v>
      </c>
      <c r="B72" s="165" t="s">
        <v>1288</v>
      </c>
      <c r="C72" s="166" t="s">
        <v>1312</v>
      </c>
      <c r="D72" s="166" t="s">
        <v>1313</v>
      </c>
      <c r="E72" s="165" t="s">
        <v>82</v>
      </c>
      <c r="F72" s="167">
        <v>1</v>
      </c>
      <c r="G72" s="168">
        <v>214</v>
      </c>
      <c r="H72" s="169"/>
      <c r="I72" s="169"/>
      <c r="J72" s="169"/>
      <c r="K72" s="170">
        <v>3.8000000000000002E-4</v>
      </c>
    </row>
    <row r="73" spans="1:11" s="140" customFormat="1" ht="13.5" customHeight="1">
      <c r="A73" s="157">
        <v>77</v>
      </c>
      <c r="B73" s="158" t="s">
        <v>1188</v>
      </c>
      <c r="C73" s="159" t="s">
        <v>1314</v>
      </c>
      <c r="D73" s="159" t="s">
        <v>1315</v>
      </c>
      <c r="E73" s="158" t="s">
        <v>82</v>
      </c>
      <c r="F73" s="160">
        <v>1</v>
      </c>
      <c r="G73" s="161">
        <v>66.400000000000006</v>
      </c>
      <c r="H73" s="162"/>
      <c r="I73" s="162"/>
      <c r="J73" s="162"/>
      <c r="K73" s="163">
        <v>0</v>
      </c>
    </row>
    <row r="74" spans="1:11" s="140" customFormat="1" ht="13.5" customHeight="1">
      <c r="A74" s="164">
        <v>78</v>
      </c>
      <c r="B74" s="165" t="s">
        <v>1288</v>
      </c>
      <c r="C74" s="166" t="s">
        <v>1316</v>
      </c>
      <c r="D74" s="166" t="s">
        <v>1317</v>
      </c>
      <c r="E74" s="165" t="s">
        <v>82</v>
      </c>
      <c r="F74" s="167">
        <v>1</v>
      </c>
      <c r="G74" s="168">
        <v>264</v>
      </c>
      <c r="H74" s="169"/>
      <c r="I74" s="169"/>
      <c r="J74" s="169"/>
      <c r="K74" s="170">
        <v>4.0000000000000002E-4</v>
      </c>
    </row>
    <row r="75" spans="1:11" s="140" customFormat="1" ht="13.5" customHeight="1">
      <c r="A75" s="157">
        <v>83</v>
      </c>
      <c r="B75" s="158" t="s">
        <v>1188</v>
      </c>
      <c r="C75" s="159" t="s">
        <v>1314</v>
      </c>
      <c r="D75" s="159" t="s">
        <v>1318</v>
      </c>
      <c r="E75" s="158" t="s">
        <v>82</v>
      </c>
      <c r="F75" s="160">
        <v>68</v>
      </c>
      <c r="G75" s="161">
        <v>66.400000000000006</v>
      </c>
      <c r="H75" s="162"/>
      <c r="I75" s="162"/>
      <c r="J75" s="162"/>
      <c r="K75" s="163">
        <v>0</v>
      </c>
    </row>
    <row r="76" spans="1:11" s="140" customFormat="1" ht="13.5" customHeight="1">
      <c r="A76" s="164">
        <v>84</v>
      </c>
      <c r="B76" s="165" t="s">
        <v>1288</v>
      </c>
      <c r="C76" s="166" t="s">
        <v>1319</v>
      </c>
      <c r="D76" s="166" t="s">
        <v>1320</v>
      </c>
      <c r="E76" s="165" t="s">
        <v>82</v>
      </c>
      <c r="F76" s="167">
        <v>12</v>
      </c>
      <c r="G76" s="168">
        <v>138</v>
      </c>
      <c r="H76" s="169"/>
      <c r="I76" s="169"/>
      <c r="J76" s="169"/>
      <c r="K76" s="170">
        <v>4.7999999999999996E-3</v>
      </c>
    </row>
    <row r="77" spans="1:11" s="140" customFormat="1" ht="13.5" customHeight="1">
      <c r="A77" s="164">
        <v>85</v>
      </c>
      <c r="B77" s="165" t="s">
        <v>1288</v>
      </c>
      <c r="C77" s="166" t="s">
        <v>1321</v>
      </c>
      <c r="D77" s="166" t="s">
        <v>1322</v>
      </c>
      <c r="E77" s="165" t="s">
        <v>82</v>
      </c>
      <c r="F77" s="167">
        <v>47</v>
      </c>
      <c r="G77" s="168">
        <v>118</v>
      </c>
      <c r="H77" s="169"/>
      <c r="I77" s="169"/>
      <c r="J77" s="169"/>
      <c r="K77" s="170">
        <v>1.8800000000000001E-2</v>
      </c>
    </row>
    <row r="78" spans="1:11" s="140" customFormat="1" ht="13.5" customHeight="1">
      <c r="A78" s="164">
        <v>86</v>
      </c>
      <c r="B78" s="165" t="s">
        <v>1288</v>
      </c>
      <c r="C78" s="166" t="s">
        <v>1323</v>
      </c>
      <c r="D78" s="166" t="s">
        <v>1324</v>
      </c>
      <c r="E78" s="165" t="s">
        <v>82</v>
      </c>
      <c r="F78" s="167">
        <v>8</v>
      </c>
      <c r="G78" s="168">
        <v>582</v>
      </c>
      <c r="H78" s="169"/>
      <c r="I78" s="169"/>
      <c r="J78" s="169"/>
      <c r="K78" s="170">
        <v>3.2000000000000002E-3</v>
      </c>
    </row>
    <row r="79" spans="1:11" s="140" customFormat="1" ht="13.5" customHeight="1">
      <c r="A79" s="164">
        <v>90</v>
      </c>
      <c r="B79" s="165" t="s">
        <v>1288</v>
      </c>
      <c r="C79" s="166" t="s">
        <v>1325</v>
      </c>
      <c r="D79" s="166" t="s">
        <v>1326</v>
      </c>
      <c r="E79" s="165" t="s">
        <v>82</v>
      </c>
      <c r="F79" s="167">
        <v>1</v>
      </c>
      <c r="G79" s="168">
        <v>559</v>
      </c>
      <c r="H79" s="169"/>
      <c r="I79" s="169"/>
      <c r="J79" s="169"/>
      <c r="K79" s="170">
        <v>4.0000000000000002E-4</v>
      </c>
    </row>
    <row r="80" spans="1:11" s="140" customFormat="1" ht="13.5" customHeight="1">
      <c r="A80" s="157">
        <v>75</v>
      </c>
      <c r="B80" s="158" t="s">
        <v>1188</v>
      </c>
      <c r="C80" s="159" t="s">
        <v>1327</v>
      </c>
      <c r="D80" s="159" t="s">
        <v>1328</v>
      </c>
      <c r="E80" s="158" t="s">
        <v>82</v>
      </c>
      <c r="F80" s="160">
        <v>2</v>
      </c>
      <c r="G80" s="161">
        <v>163</v>
      </c>
      <c r="H80" s="162"/>
      <c r="I80" s="162"/>
      <c r="J80" s="162"/>
      <c r="K80" s="163">
        <v>0</v>
      </c>
    </row>
    <row r="81" spans="1:11" s="140" customFormat="1" ht="13.5" customHeight="1">
      <c r="A81" s="164">
        <v>76</v>
      </c>
      <c r="B81" s="165" t="s">
        <v>1288</v>
      </c>
      <c r="C81" s="166" t="s">
        <v>1329</v>
      </c>
      <c r="D81" s="166" t="s">
        <v>1330</v>
      </c>
      <c r="E81" s="165" t="s">
        <v>82</v>
      </c>
      <c r="F81" s="167">
        <v>2</v>
      </c>
      <c r="G81" s="168">
        <v>3320</v>
      </c>
      <c r="H81" s="169"/>
      <c r="I81" s="169"/>
      <c r="J81" s="169"/>
      <c r="K81" s="170">
        <v>2.0799999999999998E-3</v>
      </c>
    </row>
    <row r="82" spans="1:11" s="140" customFormat="1" ht="13.5" customHeight="1">
      <c r="A82" s="157">
        <v>79</v>
      </c>
      <c r="B82" s="158" t="s">
        <v>1188</v>
      </c>
      <c r="C82" s="159" t="s">
        <v>1331</v>
      </c>
      <c r="D82" s="159" t="s">
        <v>1332</v>
      </c>
      <c r="E82" s="158" t="s">
        <v>82</v>
      </c>
      <c r="F82" s="160">
        <v>1</v>
      </c>
      <c r="G82" s="161">
        <v>113</v>
      </c>
      <c r="H82" s="162"/>
      <c r="I82" s="162"/>
      <c r="J82" s="162"/>
      <c r="K82" s="163">
        <v>0</v>
      </c>
    </row>
    <row r="83" spans="1:11" s="140" customFormat="1" ht="13.5" customHeight="1">
      <c r="A83" s="164">
        <v>80</v>
      </c>
      <c r="B83" s="165" t="s">
        <v>1288</v>
      </c>
      <c r="C83" s="166" t="s">
        <v>1333</v>
      </c>
      <c r="D83" s="166" t="s">
        <v>1334</v>
      </c>
      <c r="E83" s="165" t="s">
        <v>82</v>
      </c>
      <c r="F83" s="167">
        <v>1</v>
      </c>
      <c r="G83" s="168">
        <v>913</v>
      </c>
      <c r="H83" s="169"/>
      <c r="I83" s="169"/>
      <c r="J83" s="169"/>
      <c r="K83" s="170">
        <v>4.6999999999999999E-4</v>
      </c>
    </row>
    <row r="84" spans="1:11" s="140" customFormat="1" ht="13.5" customHeight="1">
      <c r="A84" s="157">
        <v>87</v>
      </c>
      <c r="B84" s="158" t="s">
        <v>1188</v>
      </c>
      <c r="C84" s="159" t="s">
        <v>1335</v>
      </c>
      <c r="D84" s="159" t="s">
        <v>1336</v>
      </c>
      <c r="E84" s="158" t="s">
        <v>82</v>
      </c>
      <c r="F84" s="160">
        <v>8</v>
      </c>
      <c r="G84" s="161">
        <v>98.1</v>
      </c>
      <c r="H84" s="162"/>
      <c r="I84" s="162"/>
      <c r="J84" s="162"/>
      <c r="K84" s="163">
        <v>0</v>
      </c>
    </row>
    <row r="85" spans="1:11" s="140" customFormat="1" ht="13.5" customHeight="1">
      <c r="A85" s="164">
        <v>88</v>
      </c>
      <c r="B85" s="165" t="s">
        <v>1288</v>
      </c>
      <c r="C85" s="166" t="s">
        <v>1337</v>
      </c>
      <c r="D85" s="166" t="s">
        <v>1338</v>
      </c>
      <c r="E85" s="165" t="s">
        <v>82</v>
      </c>
      <c r="F85" s="167">
        <v>8</v>
      </c>
      <c r="G85" s="168">
        <v>913</v>
      </c>
      <c r="H85" s="169"/>
      <c r="I85" s="169"/>
      <c r="J85" s="169"/>
      <c r="K85" s="170">
        <v>3.7599999999999999E-3</v>
      </c>
    </row>
    <row r="86" spans="1:11" s="140" customFormat="1" ht="13.5" customHeight="1">
      <c r="A86" s="157">
        <v>72</v>
      </c>
      <c r="B86" s="158" t="s">
        <v>1188</v>
      </c>
      <c r="C86" s="159" t="s">
        <v>1339</v>
      </c>
      <c r="D86" s="159" t="s">
        <v>1340</v>
      </c>
      <c r="E86" s="158" t="s">
        <v>82</v>
      </c>
      <c r="F86" s="160">
        <v>1</v>
      </c>
      <c r="G86" s="161">
        <v>528</v>
      </c>
      <c r="H86" s="162"/>
      <c r="I86" s="162"/>
      <c r="J86" s="162"/>
      <c r="K86" s="163">
        <v>0</v>
      </c>
    </row>
    <row r="87" spans="1:11" s="140" customFormat="1" ht="13.5" customHeight="1">
      <c r="A87" s="157">
        <v>9</v>
      </c>
      <c r="B87" s="158" t="s">
        <v>1188</v>
      </c>
      <c r="C87" s="159" t="s">
        <v>1341</v>
      </c>
      <c r="D87" s="159" t="s">
        <v>1342</v>
      </c>
      <c r="E87" s="158" t="s">
        <v>82</v>
      </c>
      <c r="F87" s="160">
        <v>5</v>
      </c>
      <c r="G87" s="161">
        <v>52.1</v>
      </c>
      <c r="H87" s="162"/>
      <c r="I87" s="162"/>
      <c r="J87" s="162"/>
      <c r="K87" s="163">
        <v>0</v>
      </c>
    </row>
    <row r="88" spans="1:11" s="140" customFormat="1" ht="24" customHeight="1">
      <c r="A88" s="164">
        <v>10</v>
      </c>
      <c r="B88" s="165" t="s">
        <v>1192</v>
      </c>
      <c r="C88" s="166" t="s">
        <v>1343</v>
      </c>
      <c r="D88" s="166" t="s">
        <v>1344</v>
      </c>
      <c r="E88" s="165" t="s">
        <v>82</v>
      </c>
      <c r="F88" s="167">
        <v>5</v>
      </c>
      <c r="G88" s="168">
        <v>88.9</v>
      </c>
      <c r="H88" s="169"/>
      <c r="I88" s="169"/>
      <c r="J88" s="169"/>
      <c r="K88" s="170">
        <v>2.5000000000000001E-4</v>
      </c>
    </row>
    <row r="89" spans="1:11" s="140" customFormat="1" ht="13.5" customHeight="1">
      <c r="A89" s="157">
        <v>81</v>
      </c>
      <c r="B89" s="158" t="s">
        <v>1188</v>
      </c>
      <c r="C89" s="159" t="s">
        <v>1345</v>
      </c>
      <c r="D89" s="159" t="s">
        <v>1346</v>
      </c>
      <c r="E89" s="158" t="s">
        <v>82</v>
      </c>
      <c r="F89" s="160">
        <v>1</v>
      </c>
      <c r="G89" s="161">
        <v>299</v>
      </c>
      <c r="H89" s="162"/>
      <c r="I89" s="162"/>
      <c r="J89" s="162"/>
      <c r="K89" s="163">
        <v>0</v>
      </c>
    </row>
    <row r="90" spans="1:11" s="140" customFormat="1" ht="13.5" customHeight="1">
      <c r="A90" s="164">
        <v>82</v>
      </c>
      <c r="B90" s="165" t="s">
        <v>1288</v>
      </c>
      <c r="C90" s="166" t="s">
        <v>1347</v>
      </c>
      <c r="D90" s="166" t="s">
        <v>1348</v>
      </c>
      <c r="E90" s="165" t="s">
        <v>82</v>
      </c>
      <c r="F90" s="167">
        <v>1</v>
      </c>
      <c r="G90" s="168">
        <v>156</v>
      </c>
      <c r="H90" s="169"/>
      <c r="I90" s="169"/>
      <c r="J90" s="169"/>
      <c r="K90" s="170">
        <v>1.4999999999999999E-4</v>
      </c>
    </row>
    <row r="91" spans="1:11" s="140" customFormat="1" ht="13.5" customHeight="1">
      <c r="A91" s="157">
        <v>91</v>
      </c>
      <c r="B91" s="158" t="s">
        <v>1188</v>
      </c>
      <c r="C91" s="159" t="s">
        <v>1349</v>
      </c>
      <c r="D91" s="159" t="s">
        <v>1350</v>
      </c>
      <c r="E91" s="158" t="s">
        <v>82</v>
      </c>
      <c r="F91" s="160">
        <v>77</v>
      </c>
      <c r="G91" s="161">
        <v>465</v>
      </c>
      <c r="H91" s="162"/>
      <c r="I91" s="162"/>
      <c r="J91" s="162"/>
      <c r="K91" s="163">
        <v>0</v>
      </c>
    </row>
    <row r="92" spans="1:11" s="140" customFormat="1" ht="13.5" customHeight="1">
      <c r="A92" s="164">
        <v>92</v>
      </c>
      <c r="B92" s="165" t="s">
        <v>1351</v>
      </c>
      <c r="C92" s="166" t="s">
        <v>1352</v>
      </c>
      <c r="D92" s="166" t="s">
        <v>1353</v>
      </c>
      <c r="E92" s="165" t="s">
        <v>82</v>
      </c>
      <c r="F92" s="167">
        <v>17</v>
      </c>
      <c r="G92" s="168">
        <v>9120</v>
      </c>
      <c r="H92" s="169"/>
      <c r="I92" s="169"/>
      <c r="J92" s="169"/>
      <c r="K92" s="170">
        <v>3.3999999999999998E-3</v>
      </c>
    </row>
    <row r="93" spans="1:11" s="140" customFormat="1" ht="13.5" customHeight="1">
      <c r="A93" s="164">
        <v>94</v>
      </c>
      <c r="B93" s="165" t="s">
        <v>1351</v>
      </c>
      <c r="C93" s="166" t="s">
        <v>1354</v>
      </c>
      <c r="D93" s="166" t="s">
        <v>1355</v>
      </c>
      <c r="E93" s="165" t="s">
        <v>82</v>
      </c>
      <c r="F93" s="167">
        <v>11</v>
      </c>
      <c r="G93" s="168">
        <v>2245</v>
      </c>
      <c r="H93" s="169"/>
      <c r="I93" s="169"/>
      <c r="J93" s="169"/>
      <c r="K93" s="170">
        <v>4.4880000000000003E-2</v>
      </c>
    </row>
    <row r="94" spans="1:11" s="140" customFormat="1" ht="13.5" customHeight="1">
      <c r="A94" s="164">
        <v>95</v>
      </c>
      <c r="B94" s="165" t="s">
        <v>1351</v>
      </c>
      <c r="C94" s="166" t="s">
        <v>1356</v>
      </c>
      <c r="D94" s="166" t="s">
        <v>1357</v>
      </c>
      <c r="E94" s="165" t="s">
        <v>82</v>
      </c>
      <c r="F94" s="167">
        <v>1</v>
      </c>
      <c r="G94" s="168">
        <v>3910</v>
      </c>
      <c r="H94" s="169"/>
      <c r="I94" s="169"/>
      <c r="J94" s="169"/>
      <c r="K94" s="170">
        <v>4.0800000000000003E-3</v>
      </c>
    </row>
    <row r="95" spans="1:11" s="140" customFormat="1" ht="13.5" customHeight="1">
      <c r="A95" s="164">
        <v>96</v>
      </c>
      <c r="B95" s="165" t="s">
        <v>1351</v>
      </c>
      <c r="C95" s="166" t="s">
        <v>1358</v>
      </c>
      <c r="D95" s="166" t="s">
        <v>1359</v>
      </c>
      <c r="E95" s="165" t="s">
        <v>931</v>
      </c>
      <c r="F95" s="167">
        <v>1</v>
      </c>
      <c r="G95" s="168">
        <v>61000</v>
      </c>
      <c r="H95" s="169"/>
      <c r="I95" s="169"/>
      <c r="J95" s="169"/>
      <c r="K95" s="170">
        <v>4.0800000000000003E-3</v>
      </c>
    </row>
    <row r="96" spans="1:11" s="140" customFormat="1" ht="13.5" customHeight="1">
      <c r="A96" s="164">
        <v>93</v>
      </c>
      <c r="B96" s="165" t="s">
        <v>1351</v>
      </c>
      <c r="C96" s="166" t="s">
        <v>1360</v>
      </c>
      <c r="D96" s="166" t="s">
        <v>1361</v>
      </c>
      <c r="E96" s="165" t="s">
        <v>82</v>
      </c>
      <c r="F96" s="167">
        <v>13</v>
      </c>
      <c r="G96" s="168">
        <v>10610</v>
      </c>
      <c r="H96" s="169"/>
      <c r="I96" s="169"/>
      <c r="J96" s="169"/>
      <c r="K96" s="170">
        <v>2.5999999999999999E-3</v>
      </c>
    </row>
    <row r="97" spans="1:11" s="140" customFormat="1" ht="13.5" customHeight="1">
      <c r="A97" s="157">
        <v>56</v>
      </c>
      <c r="B97" s="158" t="s">
        <v>1188</v>
      </c>
      <c r="C97" s="159" t="s">
        <v>1362</v>
      </c>
      <c r="D97" s="159" t="s">
        <v>1363</v>
      </c>
      <c r="E97" s="158" t="s">
        <v>83</v>
      </c>
      <c r="F97" s="160">
        <v>25</v>
      </c>
      <c r="G97" s="161">
        <v>156</v>
      </c>
      <c r="H97" s="162"/>
      <c r="I97" s="162"/>
      <c r="J97" s="162"/>
      <c r="K97" s="163">
        <v>0</v>
      </c>
    </row>
    <row r="98" spans="1:11" s="140" customFormat="1" ht="13.5" customHeight="1">
      <c r="A98" s="157">
        <v>62</v>
      </c>
      <c r="B98" s="158" t="s">
        <v>1188</v>
      </c>
      <c r="C98" s="159" t="s">
        <v>1364</v>
      </c>
      <c r="D98" s="159" t="s">
        <v>1365</v>
      </c>
      <c r="E98" s="158" t="s">
        <v>82</v>
      </c>
      <c r="F98" s="160">
        <v>5</v>
      </c>
      <c r="G98" s="161">
        <v>111</v>
      </c>
      <c r="H98" s="162"/>
      <c r="I98" s="162"/>
      <c r="J98" s="162"/>
      <c r="K98" s="163">
        <v>0</v>
      </c>
    </row>
    <row r="99" spans="1:11" s="140" customFormat="1" ht="13.5" customHeight="1">
      <c r="A99" s="164">
        <v>63</v>
      </c>
      <c r="B99" s="165" t="s">
        <v>1192</v>
      </c>
      <c r="C99" s="166" t="s">
        <v>1366</v>
      </c>
      <c r="D99" s="166" t="s">
        <v>1367</v>
      </c>
      <c r="E99" s="165" t="s">
        <v>82</v>
      </c>
      <c r="F99" s="167">
        <v>5</v>
      </c>
      <c r="G99" s="168">
        <v>9</v>
      </c>
      <c r="H99" s="169"/>
      <c r="I99" s="169"/>
      <c r="J99" s="169"/>
      <c r="K99" s="170">
        <v>0</v>
      </c>
    </row>
    <row r="100" spans="1:11" s="140" customFormat="1" ht="16.149999999999999" customHeight="1">
      <c r="A100" s="150"/>
      <c r="B100" s="151"/>
      <c r="C100" s="152" t="s">
        <v>1368</v>
      </c>
      <c r="D100" s="152" t="s">
        <v>1369</v>
      </c>
      <c r="E100" s="151"/>
      <c r="F100" s="153"/>
      <c r="G100" s="154"/>
      <c r="H100" s="155"/>
      <c r="I100" s="155"/>
      <c r="J100" s="155">
        <f>SUM(J101:J104)</f>
        <v>0</v>
      </c>
      <c r="K100" s="156">
        <v>0.85619999999999996</v>
      </c>
    </row>
    <row r="101" spans="1:11" s="140" customFormat="1" ht="13.5" customHeight="1">
      <c r="A101" s="157">
        <v>40</v>
      </c>
      <c r="B101" s="158" t="s">
        <v>1368</v>
      </c>
      <c r="C101" s="159" t="s">
        <v>1370</v>
      </c>
      <c r="D101" s="159" t="s">
        <v>1371</v>
      </c>
      <c r="E101" s="158" t="s">
        <v>83</v>
      </c>
      <c r="F101" s="160">
        <v>15</v>
      </c>
      <c r="G101" s="161">
        <v>178</v>
      </c>
      <c r="H101" s="162"/>
      <c r="I101" s="162"/>
      <c r="J101" s="162"/>
      <c r="K101" s="163">
        <v>0</v>
      </c>
    </row>
    <row r="102" spans="1:11" s="140" customFormat="1" ht="13.5" customHeight="1">
      <c r="A102" s="164">
        <v>41</v>
      </c>
      <c r="B102" s="165" t="s">
        <v>1372</v>
      </c>
      <c r="C102" s="166" t="s">
        <v>1373</v>
      </c>
      <c r="D102" s="166" t="s">
        <v>1374</v>
      </c>
      <c r="E102" s="165" t="s">
        <v>83</v>
      </c>
      <c r="F102" s="167">
        <v>15</v>
      </c>
      <c r="G102" s="168">
        <v>279</v>
      </c>
      <c r="H102" s="169"/>
      <c r="I102" s="169"/>
      <c r="J102" s="169"/>
      <c r="K102" s="170">
        <v>0.85499999999999998</v>
      </c>
    </row>
    <row r="103" spans="1:11" s="140" customFormat="1" ht="24" customHeight="1">
      <c r="A103" s="157">
        <v>31</v>
      </c>
      <c r="B103" s="158" t="s">
        <v>1368</v>
      </c>
      <c r="C103" s="159" t="s">
        <v>1375</v>
      </c>
      <c r="D103" s="159" t="s">
        <v>1376</v>
      </c>
      <c r="E103" s="158" t="s">
        <v>82</v>
      </c>
      <c r="F103" s="160">
        <v>24</v>
      </c>
      <c r="G103" s="161">
        <v>47.3</v>
      </c>
      <c r="H103" s="162"/>
      <c r="I103" s="162"/>
      <c r="J103" s="162"/>
      <c r="K103" s="163">
        <v>0</v>
      </c>
    </row>
    <row r="104" spans="1:11" s="140" customFormat="1" ht="13.5" customHeight="1" thickBot="1">
      <c r="A104" s="164">
        <v>32</v>
      </c>
      <c r="B104" s="165" t="s">
        <v>1192</v>
      </c>
      <c r="C104" s="166" t="s">
        <v>1377</v>
      </c>
      <c r="D104" s="166" t="s">
        <v>1378</v>
      </c>
      <c r="E104" s="165" t="s">
        <v>82</v>
      </c>
      <c r="F104" s="167">
        <v>24</v>
      </c>
      <c r="G104" s="168">
        <v>10.5</v>
      </c>
      <c r="H104" s="169"/>
      <c r="I104" s="169"/>
      <c r="J104" s="217"/>
      <c r="K104" s="170">
        <v>1.1999999999999999E-3</v>
      </c>
    </row>
    <row r="105" spans="1:11" s="140" customFormat="1" ht="17.45" customHeight="1" thickBot="1">
      <c r="A105" s="171"/>
      <c r="B105" s="172"/>
      <c r="C105" s="173"/>
      <c r="D105" s="173" t="s">
        <v>957</v>
      </c>
      <c r="E105" s="172"/>
      <c r="F105" s="174"/>
      <c r="G105" s="175"/>
      <c r="H105" s="207"/>
      <c r="I105" s="207"/>
      <c r="J105" s="208">
        <f>J6</f>
        <v>0</v>
      </c>
      <c r="K105" s="176">
        <v>1.65757</v>
      </c>
    </row>
    <row r="106" spans="1:11" ht="3.6" customHeight="1"/>
    <row r="107" spans="1:11" ht="16.899999999999999" customHeight="1">
      <c r="A107" s="219"/>
      <c r="B107" s="220"/>
      <c r="C107" s="221" t="s">
        <v>1188</v>
      </c>
      <c r="D107" s="221" t="s">
        <v>1408</v>
      </c>
      <c r="E107" s="221"/>
      <c r="F107" s="222"/>
      <c r="G107" s="223"/>
      <c r="H107" s="223"/>
      <c r="I107" s="223"/>
      <c r="J107" s="223">
        <f>SUM(J108:J122)</f>
        <v>0</v>
      </c>
      <c r="K107" s="222">
        <v>0.23882999999999999</v>
      </c>
    </row>
    <row r="108" spans="1:11" ht="12" customHeight="1">
      <c r="A108" s="224">
        <v>2</v>
      </c>
      <c r="B108" s="225" t="s">
        <v>1188</v>
      </c>
      <c r="C108" s="226" t="s">
        <v>1362</v>
      </c>
      <c r="D108" s="226" t="s">
        <v>1381</v>
      </c>
      <c r="E108" s="226" t="s">
        <v>83</v>
      </c>
      <c r="F108" s="227">
        <v>120</v>
      </c>
      <c r="G108" s="228">
        <v>156</v>
      </c>
      <c r="H108" s="228"/>
      <c r="I108" s="228"/>
      <c r="J108" s="228"/>
      <c r="K108" s="227">
        <v>0</v>
      </c>
    </row>
    <row r="109" spans="1:11" ht="12" customHeight="1">
      <c r="A109" s="229">
        <v>3</v>
      </c>
      <c r="B109" s="230" t="s">
        <v>1230</v>
      </c>
      <c r="C109" s="231" t="s">
        <v>1233</v>
      </c>
      <c r="D109" s="231" t="s">
        <v>1382</v>
      </c>
      <c r="E109" s="231" t="s">
        <v>235</v>
      </c>
      <c r="F109" s="232">
        <v>74.400000000000006</v>
      </c>
      <c r="G109" s="233">
        <v>41.3</v>
      </c>
      <c r="H109" s="233"/>
      <c r="I109" s="233"/>
      <c r="J109" s="233"/>
      <c r="K109" s="232">
        <v>7.4399999999999994E-2</v>
      </c>
    </row>
    <row r="110" spans="1:11" ht="12" customHeight="1">
      <c r="A110" s="224">
        <v>14</v>
      </c>
      <c r="B110" s="225" t="s">
        <v>1188</v>
      </c>
      <c r="C110" s="226" t="s">
        <v>1383</v>
      </c>
      <c r="D110" s="226" t="s">
        <v>1384</v>
      </c>
      <c r="E110" s="226" t="s">
        <v>83</v>
      </c>
      <c r="F110" s="227">
        <v>100</v>
      </c>
      <c r="G110" s="228">
        <v>161</v>
      </c>
      <c r="H110" s="228"/>
      <c r="I110" s="228"/>
      <c r="J110" s="228"/>
      <c r="K110" s="227">
        <v>0</v>
      </c>
    </row>
    <row r="111" spans="1:11" ht="12" customHeight="1">
      <c r="A111" s="229">
        <v>15</v>
      </c>
      <c r="B111" s="230" t="s">
        <v>1230</v>
      </c>
      <c r="C111" s="231" t="s">
        <v>1385</v>
      </c>
      <c r="D111" s="231" t="s">
        <v>1386</v>
      </c>
      <c r="E111" s="231" t="s">
        <v>235</v>
      </c>
      <c r="F111" s="232">
        <v>105</v>
      </c>
      <c r="G111" s="233">
        <v>101</v>
      </c>
      <c r="H111" s="233"/>
      <c r="I111" s="233"/>
      <c r="J111" s="233"/>
      <c r="K111" s="232">
        <v>0.105</v>
      </c>
    </row>
    <row r="112" spans="1:11" ht="12" customHeight="1">
      <c r="A112" s="234"/>
      <c r="B112" s="235"/>
      <c r="C112" s="236"/>
      <c r="D112" s="236" t="s">
        <v>1387</v>
      </c>
      <c r="E112" s="236"/>
      <c r="F112" s="237"/>
      <c r="G112" s="238"/>
      <c r="H112" s="238"/>
      <c r="I112" s="238"/>
      <c r="J112" s="238"/>
      <c r="K112" s="237"/>
    </row>
    <row r="113" spans="1:11" ht="12" customHeight="1">
      <c r="A113" s="224">
        <v>6</v>
      </c>
      <c r="B113" s="225" t="s">
        <v>1188</v>
      </c>
      <c r="C113" s="226" t="s">
        <v>1388</v>
      </c>
      <c r="D113" s="226" t="s">
        <v>1389</v>
      </c>
      <c r="E113" s="226" t="s">
        <v>82</v>
      </c>
      <c r="F113" s="227">
        <v>29</v>
      </c>
      <c r="G113" s="228">
        <v>74.7</v>
      </c>
      <c r="H113" s="228"/>
      <c r="I113" s="228"/>
      <c r="J113" s="228"/>
      <c r="K113" s="227">
        <v>0</v>
      </c>
    </row>
    <row r="114" spans="1:11" ht="12" customHeight="1">
      <c r="A114" s="229">
        <v>7</v>
      </c>
      <c r="B114" s="230" t="s">
        <v>1230</v>
      </c>
      <c r="C114" s="231" t="s">
        <v>1390</v>
      </c>
      <c r="D114" s="231" t="s">
        <v>1391</v>
      </c>
      <c r="E114" s="231" t="s">
        <v>82</v>
      </c>
      <c r="F114" s="232">
        <v>7</v>
      </c>
      <c r="G114" s="233">
        <v>23</v>
      </c>
      <c r="H114" s="233"/>
      <c r="I114" s="233"/>
      <c r="J114" s="233"/>
      <c r="K114" s="232">
        <v>1.1199999999999999E-3</v>
      </c>
    </row>
    <row r="115" spans="1:11" ht="12" customHeight="1">
      <c r="A115" s="229">
        <v>8</v>
      </c>
      <c r="B115" s="230" t="s">
        <v>1230</v>
      </c>
      <c r="C115" s="231" t="s">
        <v>1392</v>
      </c>
      <c r="D115" s="231" t="s">
        <v>1393</v>
      </c>
      <c r="E115" s="231" t="s">
        <v>82</v>
      </c>
      <c r="F115" s="232">
        <v>10</v>
      </c>
      <c r="G115" s="233">
        <v>9.42</v>
      </c>
      <c r="H115" s="233"/>
      <c r="I115" s="233"/>
      <c r="J115" s="233"/>
      <c r="K115" s="232">
        <v>2.3E-3</v>
      </c>
    </row>
    <row r="116" spans="1:11" ht="12" customHeight="1">
      <c r="A116" s="229">
        <v>9</v>
      </c>
      <c r="B116" s="230" t="s">
        <v>1230</v>
      </c>
      <c r="C116" s="231" t="s">
        <v>1394</v>
      </c>
      <c r="D116" s="231" t="s">
        <v>1395</v>
      </c>
      <c r="E116" s="231" t="s">
        <v>82</v>
      </c>
      <c r="F116" s="232">
        <v>10</v>
      </c>
      <c r="G116" s="233">
        <v>34.200000000000003</v>
      </c>
      <c r="H116" s="233"/>
      <c r="I116" s="233"/>
      <c r="J116" s="233"/>
      <c r="K116" s="232">
        <v>4.3E-3</v>
      </c>
    </row>
    <row r="117" spans="1:11" ht="12" customHeight="1">
      <c r="A117" s="229">
        <v>10</v>
      </c>
      <c r="B117" s="230" t="s">
        <v>1230</v>
      </c>
      <c r="C117" s="231" t="s">
        <v>1396</v>
      </c>
      <c r="D117" s="231" t="s">
        <v>1397</v>
      </c>
      <c r="E117" s="231" t="s">
        <v>82</v>
      </c>
      <c r="F117" s="232">
        <v>7</v>
      </c>
      <c r="G117" s="233">
        <v>16.5</v>
      </c>
      <c r="H117" s="233"/>
      <c r="I117" s="233"/>
      <c r="J117" s="233"/>
      <c r="K117" s="232">
        <v>9.1E-4</v>
      </c>
    </row>
    <row r="118" spans="1:11" ht="12" customHeight="1">
      <c r="A118" s="229">
        <v>11</v>
      </c>
      <c r="B118" s="230" t="s">
        <v>1230</v>
      </c>
      <c r="C118" s="231" t="s">
        <v>1398</v>
      </c>
      <c r="D118" s="231" t="s">
        <v>1399</v>
      </c>
      <c r="E118" s="231" t="s">
        <v>82</v>
      </c>
      <c r="F118" s="232">
        <v>7</v>
      </c>
      <c r="G118" s="233">
        <v>30.5</v>
      </c>
      <c r="H118" s="233"/>
      <c r="I118" s="233"/>
      <c r="J118" s="233"/>
      <c r="K118" s="232">
        <v>1.4E-3</v>
      </c>
    </row>
    <row r="119" spans="1:11" ht="12" customHeight="1">
      <c r="A119" s="224">
        <v>12</v>
      </c>
      <c r="B119" s="225" t="s">
        <v>1188</v>
      </c>
      <c r="C119" s="226" t="s">
        <v>1400</v>
      </c>
      <c r="D119" s="226" t="s">
        <v>1401</v>
      </c>
      <c r="E119" s="226" t="s">
        <v>82</v>
      </c>
      <c r="F119" s="227">
        <v>7</v>
      </c>
      <c r="G119" s="228">
        <v>258</v>
      </c>
      <c r="H119" s="228"/>
      <c r="I119" s="228"/>
      <c r="J119" s="228"/>
      <c r="K119" s="227">
        <v>0</v>
      </c>
    </row>
    <row r="120" spans="1:11" ht="12" customHeight="1">
      <c r="A120" s="229">
        <v>13</v>
      </c>
      <c r="B120" s="230" t="s">
        <v>1230</v>
      </c>
      <c r="C120" s="231" t="s">
        <v>1402</v>
      </c>
      <c r="D120" s="231" t="s">
        <v>1403</v>
      </c>
      <c r="E120" s="231" t="s">
        <v>82</v>
      </c>
      <c r="F120" s="232">
        <v>7</v>
      </c>
      <c r="G120" s="233">
        <v>185</v>
      </c>
      <c r="H120" s="233"/>
      <c r="I120" s="233"/>
      <c r="J120" s="233"/>
      <c r="K120" s="232">
        <v>2.9399999999999999E-2</v>
      </c>
    </row>
    <row r="121" spans="1:11" ht="12" customHeight="1">
      <c r="A121" s="224">
        <v>4</v>
      </c>
      <c r="B121" s="225" t="s">
        <v>1188</v>
      </c>
      <c r="C121" s="226" t="s">
        <v>1404</v>
      </c>
      <c r="D121" s="226" t="s">
        <v>1405</v>
      </c>
      <c r="E121" s="226" t="s">
        <v>82</v>
      </c>
      <c r="F121" s="227">
        <v>5</v>
      </c>
      <c r="G121" s="228">
        <v>282</v>
      </c>
      <c r="H121" s="228"/>
      <c r="I121" s="228"/>
      <c r="J121" s="228"/>
      <c r="K121" s="227">
        <v>0</v>
      </c>
    </row>
    <row r="122" spans="1:11" ht="12" customHeight="1" thickBot="1">
      <c r="A122" s="229">
        <v>5</v>
      </c>
      <c r="B122" s="230" t="s">
        <v>1230</v>
      </c>
      <c r="C122" s="231" t="s">
        <v>1406</v>
      </c>
      <c r="D122" s="231" t="s">
        <v>1407</v>
      </c>
      <c r="E122" s="231" t="s">
        <v>82</v>
      </c>
      <c r="F122" s="232">
        <v>5</v>
      </c>
      <c r="G122" s="233">
        <v>255</v>
      </c>
      <c r="H122" s="233"/>
      <c r="I122" s="233"/>
      <c r="J122" s="217"/>
      <c r="K122" s="232">
        <v>0.02</v>
      </c>
    </row>
    <row r="123" spans="1:11" ht="15.6" customHeight="1" thickBot="1">
      <c r="A123" s="239"/>
      <c r="B123" s="240"/>
      <c r="C123" s="241"/>
      <c r="D123" s="241" t="s">
        <v>957</v>
      </c>
      <c r="E123" s="241"/>
      <c r="F123" s="242"/>
      <c r="G123" s="243"/>
      <c r="H123" s="243">
        <f>-UT!M36</f>
        <v>0</v>
      </c>
      <c r="I123" s="243"/>
      <c r="J123" s="208">
        <f>J107</f>
        <v>0</v>
      </c>
      <c r="K123" s="242">
        <v>0.23882999999999999</v>
      </c>
    </row>
    <row r="124" spans="1:11" ht="12" customHeight="1" thickBot="1"/>
    <row r="125" spans="1:11" ht="15" customHeight="1" thickBot="1">
      <c r="D125" s="244" t="s">
        <v>1409</v>
      </c>
      <c r="E125" s="245"/>
      <c r="F125" s="246"/>
      <c r="G125" s="247"/>
      <c r="H125" s="248"/>
      <c r="I125" s="248"/>
      <c r="J125" s="249">
        <f>J123+J105</f>
        <v>0</v>
      </c>
    </row>
  </sheetData>
  <pageMargins left="0.39370079040527345" right="0.39370079040527345" top="0.7874015808105469" bottom="0.7874015808105469" header="0" footer="0"/>
  <pageSetup paperSize="9" scale="94" fitToHeight="100" orientation="landscape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1"/>
  <sheetViews>
    <sheetView workbookViewId="0">
      <selection activeCell="H4" sqref="H4"/>
    </sheetView>
  </sheetViews>
  <sheetFormatPr defaultRowHeight="15"/>
  <cols>
    <col min="1" max="1" width="5.28515625" customWidth="1"/>
    <col min="2" max="2" width="2.28515625" customWidth="1"/>
    <col min="3" max="3" width="10.42578125" customWidth="1"/>
    <col min="4" max="4" width="42.7109375" customWidth="1"/>
    <col min="5" max="5" width="6.140625" customWidth="1"/>
    <col min="8" max="8" width="11.5703125" customWidth="1"/>
    <col min="10" max="10" width="8.140625" customWidth="1"/>
    <col min="13" max="13" width="3" customWidth="1"/>
  </cols>
  <sheetData>
    <row r="1" spans="1:13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>
      <c r="A2" s="272"/>
      <c r="B2" s="283"/>
      <c r="C2" s="284" t="s">
        <v>51</v>
      </c>
      <c r="D2" s="285" t="s">
        <v>152</v>
      </c>
      <c r="E2" s="283" t="s">
        <v>1369</v>
      </c>
      <c r="F2" s="286"/>
      <c r="G2" s="287"/>
      <c r="H2" s="288"/>
      <c r="I2" s="283"/>
      <c r="J2" s="289"/>
      <c r="K2" s="289"/>
      <c r="L2" s="289"/>
      <c r="M2" s="290"/>
    </row>
    <row r="3" spans="1:13" ht="12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5.6" customHeight="1" thickTop="1">
      <c r="A4" s="32"/>
      <c r="B4" s="33"/>
      <c r="C4" s="34"/>
      <c r="D4" s="35" t="s">
        <v>1488</v>
      </c>
      <c r="E4" s="36"/>
      <c r="F4" s="132"/>
      <c r="G4" s="37"/>
      <c r="H4" s="38">
        <f>SUM(H5:H11)</f>
        <v>0</v>
      </c>
      <c r="I4" s="39"/>
      <c r="J4" s="38">
        <f>SUM(J5:J11)</f>
        <v>0</v>
      </c>
      <c r="K4" s="41"/>
      <c r="L4" s="38">
        <f>SUM(L5:L11)</f>
        <v>0</v>
      </c>
      <c r="M4" s="40"/>
    </row>
    <row r="5" spans="1:13">
      <c r="A5" s="378">
        <v>1</v>
      </c>
      <c r="B5" s="374"/>
      <c r="C5" s="268" t="s">
        <v>1489</v>
      </c>
      <c r="D5" s="268" t="s">
        <v>1490</v>
      </c>
      <c r="E5" s="375" t="s">
        <v>82</v>
      </c>
      <c r="F5" s="376">
        <v>2</v>
      </c>
      <c r="G5" s="377"/>
      <c r="H5" s="270"/>
      <c r="I5" s="269">
        <v>0</v>
      </c>
      <c r="J5" s="49">
        <f>F5*I5</f>
        <v>0</v>
      </c>
      <c r="K5" s="48"/>
      <c r="L5" s="49">
        <f>F5*K5</f>
        <v>0</v>
      </c>
      <c r="M5" s="298"/>
    </row>
    <row r="6" spans="1:13">
      <c r="A6" s="378">
        <f>A5+1</f>
        <v>2</v>
      </c>
      <c r="B6" s="374"/>
      <c r="C6" s="268" t="s">
        <v>1491</v>
      </c>
      <c r="D6" s="268" t="s">
        <v>1492</v>
      </c>
      <c r="E6" s="375" t="s">
        <v>82</v>
      </c>
      <c r="F6" s="376">
        <v>1</v>
      </c>
      <c r="G6" s="377"/>
      <c r="H6" s="270"/>
      <c r="I6" s="269">
        <v>0</v>
      </c>
      <c r="J6" s="49">
        <f t="shared" ref="J6:J11" si="0">F6*I6</f>
        <v>0</v>
      </c>
      <c r="K6" s="48"/>
      <c r="L6" s="49">
        <f t="shared" ref="L6:L11" si="1">F6*K6</f>
        <v>0</v>
      </c>
      <c r="M6" s="298"/>
    </row>
    <row r="7" spans="1:13">
      <c r="A7" s="378">
        <f t="shared" ref="A7:A11" si="2">A6+1</f>
        <v>3</v>
      </c>
      <c r="B7" s="374"/>
      <c r="C7" s="268" t="s">
        <v>1493</v>
      </c>
      <c r="D7" s="268" t="s">
        <v>1494</v>
      </c>
      <c r="E7" s="375" t="s">
        <v>82</v>
      </c>
      <c r="F7" s="376">
        <v>1</v>
      </c>
      <c r="G7" s="377"/>
      <c r="H7" s="270"/>
      <c r="I7" s="269">
        <v>0</v>
      </c>
      <c r="J7" s="49">
        <f t="shared" si="0"/>
        <v>0</v>
      </c>
      <c r="K7" s="48"/>
      <c r="L7" s="49">
        <f t="shared" si="1"/>
        <v>0</v>
      </c>
      <c r="M7" s="298"/>
    </row>
    <row r="8" spans="1:13">
      <c r="A8" s="378">
        <f t="shared" si="2"/>
        <v>4</v>
      </c>
      <c r="B8" s="374"/>
      <c r="C8" s="268" t="s">
        <v>1495</v>
      </c>
      <c r="D8" s="268" t="s">
        <v>1496</v>
      </c>
      <c r="E8" s="375" t="s">
        <v>83</v>
      </c>
      <c r="F8" s="376">
        <v>300</v>
      </c>
      <c r="G8" s="377"/>
      <c r="H8" s="270"/>
      <c r="I8" s="269">
        <v>0</v>
      </c>
      <c r="J8" s="49">
        <f t="shared" si="0"/>
        <v>0</v>
      </c>
      <c r="K8" s="48"/>
      <c r="L8" s="49">
        <f t="shared" si="1"/>
        <v>0</v>
      </c>
      <c r="M8" s="298"/>
    </row>
    <row r="9" spans="1:13">
      <c r="A9" s="378">
        <f t="shared" si="2"/>
        <v>5</v>
      </c>
      <c r="B9" s="374"/>
      <c r="C9" s="268" t="s">
        <v>1497</v>
      </c>
      <c r="D9" s="268" t="s">
        <v>1498</v>
      </c>
      <c r="E9" s="375" t="s">
        <v>82</v>
      </c>
      <c r="F9" s="376">
        <v>15</v>
      </c>
      <c r="G9" s="377"/>
      <c r="H9" s="270"/>
      <c r="I9" s="269">
        <v>0</v>
      </c>
      <c r="J9" s="49">
        <f t="shared" si="0"/>
        <v>0</v>
      </c>
      <c r="K9" s="48"/>
      <c r="L9" s="49">
        <f t="shared" si="1"/>
        <v>0</v>
      </c>
      <c r="M9" s="298"/>
    </row>
    <row r="10" spans="1:13">
      <c r="A10" s="378">
        <f t="shared" si="2"/>
        <v>6</v>
      </c>
      <c r="B10" s="374"/>
      <c r="C10" s="268" t="s">
        <v>1499</v>
      </c>
      <c r="D10" s="268" t="s">
        <v>1500</v>
      </c>
      <c r="E10" s="375" t="s">
        <v>82</v>
      </c>
      <c r="F10" s="376">
        <v>3</v>
      </c>
      <c r="G10" s="377"/>
      <c r="H10" s="270"/>
      <c r="I10" s="269">
        <v>0</v>
      </c>
      <c r="J10" s="49">
        <f t="shared" si="0"/>
        <v>0</v>
      </c>
      <c r="K10" s="48"/>
      <c r="L10" s="49">
        <f t="shared" si="1"/>
        <v>0</v>
      </c>
      <c r="M10" s="298"/>
    </row>
    <row r="11" spans="1:13">
      <c r="A11" s="378">
        <f t="shared" si="2"/>
        <v>7</v>
      </c>
      <c r="B11" s="374"/>
      <c r="C11" s="268" t="s">
        <v>1501</v>
      </c>
      <c r="D11" s="268" t="s">
        <v>1502</v>
      </c>
      <c r="E11" s="375" t="s">
        <v>543</v>
      </c>
      <c r="F11" s="376">
        <v>1</v>
      </c>
      <c r="G11" s="377"/>
      <c r="H11" s="270"/>
      <c r="I11" s="269">
        <v>0</v>
      </c>
      <c r="J11" s="49">
        <f t="shared" si="0"/>
        <v>0</v>
      </c>
      <c r="K11" s="48"/>
      <c r="L11" s="49">
        <f t="shared" si="1"/>
        <v>0</v>
      </c>
      <c r="M11" s="298"/>
    </row>
  </sheetData>
  <pageMargins left="0.7" right="0.56000000000000005" top="0.78740157499999996" bottom="0.78740157499999996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"/>
  <sheetViews>
    <sheetView workbookViewId="0">
      <selection activeCell="H4" sqref="H4"/>
    </sheetView>
  </sheetViews>
  <sheetFormatPr defaultRowHeight="15"/>
  <cols>
    <col min="1" max="1" width="5.28515625" customWidth="1"/>
    <col min="2" max="2" width="2.28515625" customWidth="1"/>
    <col min="3" max="3" width="10.42578125" customWidth="1"/>
    <col min="4" max="4" width="42.7109375" customWidth="1"/>
    <col min="5" max="5" width="6.140625" customWidth="1"/>
    <col min="8" max="8" width="11.5703125" customWidth="1"/>
    <col min="10" max="10" width="8.140625" customWidth="1"/>
    <col min="13" max="13" width="3" customWidth="1"/>
  </cols>
  <sheetData>
    <row r="1" spans="1:13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>
      <c r="A2" s="272"/>
      <c r="B2" s="283"/>
      <c r="C2" s="284" t="s">
        <v>51</v>
      </c>
      <c r="D2" s="285" t="s">
        <v>152</v>
      </c>
      <c r="E2" s="283" t="s">
        <v>1509</v>
      </c>
      <c r="F2" s="286"/>
      <c r="G2" s="287"/>
      <c r="H2" s="288"/>
      <c r="I2" s="283"/>
      <c r="J2" s="289"/>
      <c r="K2" s="289"/>
      <c r="L2" s="289"/>
      <c r="M2" s="290"/>
    </row>
    <row r="3" spans="1:13" ht="12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5.6" customHeight="1" thickTop="1">
      <c r="A4" s="32"/>
      <c r="B4" s="33"/>
      <c r="C4" s="34"/>
      <c r="D4" s="35" t="s">
        <v>1508</v>
      </c>
      <c r="E4" s="36"/>
      <c r="F4" s="132"/>
      <c r="G4" s="37"/>
      <c r="H4" s="38">
        <f>SUM(H5:H7)</f>
        <v>0</v>
      </c>
      <c r="I4" s="39"/>
      <c r="J4" s="89">
        <f>SUM(J5:J7)</f>
        <v>9.2519999999999998E-3</v>
      </c>
      <c r="K4" s="41"/>
      <c r="L4" s="373">
        <f>SUM(L5:L7)</f>
        <v>0</v>
      </c>
      <c r="M4" s="40"/>
    </row>
    <row r="5" spans="1:13">
      <c r="A5" s="378">
        <v>1</v>
      </c>
      <c r="B5" s="374"/>
      <c r="C5" s="268" t="s">
        <v>1503</v>
      </c>
      <c r="D5" s="268" t="s">
        <v>1504</v>
      </c>
      <c r="E5" s="375" t="s">
        <v>82</v>
      </c>
      <c r="F5" s="376">
        <v>3</v>
      </c>
      <c r="G5" s="377"/>
      <c r="H5" s="270"/>
      <c r="I5" s="269">
        <v>0</v>
      </c>
      <c r="J5" s="90">
        <f>I5</f>
        <v>0</v>
      </c>
      <c r="K5" s="48"/>
      <c r="L5" s="49">
        <v>0</v>
      </c>
      <c r="M5" s="298"/>
    </row>
    <row r="6" spans="1:13">
      <c r="A6" s="378">
        <f>A5+1</f>
        <v>2</v>
      </c>
      <c r="B6" s="374"/>
      <c r="C6" s="379" t="s">
        <v>1505</v>
      </c>
      <c r="D6" s="379" t="s">
        <v>1511</v>
      </c>
      <c r="E6" s="380" t="s">
        <v>82</v>
      </c>
      <c r="F6" s="381">
        <v>3</v>
      </c>
      <c r="G6" s="382"/>
      <c r="H6" s="383"/>
      <c r="I6" s="384">
        <v>2.7000000000000001E-3</v>
      </c>
      <c r="J6" s="90">
        <f t="shared" ref="J6:J7" si="0">I6</f>
        <v>2.7000000000000001E-3</v>
      </c>
      <c r="K6" s="48"/>
      <c r="L6" s="49">
        <v>0</v>
      </c>
      <c r="M6" s="298"/>
    </row>
    <row r="7" spans="1:13" ht="23.25">
      <c r="A7" s="378">
        <f t="shared" ref="A7" si="1">A6+1</f>
        <v>3</v>
      </c>
      <c r="B7" s="374"/>
      <c r="C7" s="268" t="s">
        <v>1506</v>
      </c>
      <c r="D7" s="268" t="s">
        <v>1507</v>
      </c>
      <c r="E7" s="375" t="s">
        <v>83</v>
      </c>
      <c r="F7" s="376">
        <v>2.1</v>
      </c>
      <c r="G7" s="377"/>
      <c r="H7" s="270"/>
      <c r="I7" s="269">
        <v>6.5519999999999997E-3</v>
      </c>
      <c r="J7" s="90">
        <f t="shared" si="0"/>
        <v>6.5519999999999997E-3</v>
      </c>
      <c r="K7" s="48"/>
      <c r="L7" s="49">
        <v>0</v>
      </c>
      <c r="M7" s="298"/>
    </row>
  </sheetData>
  <pageMargins left="0.7" right="0.56000000000000005" top="0.78740157499999996" bottom="0.78740157499999996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M2" sqref="M2"/>
    </sheetView>
  </sheetViews>
  <sheetFormatPr defaultColWidth="8.85546875" defaultRowHeight="12"/>
  <cols>
    <col min="1" max="1" width="65.7109375" style="1" customWidth="1"/>
    <col min="2" max="2" width="8.85546875" style="1"/>
    <col min="3" max="8" width="6.28515625" style="3" customWidth="1"/>
    <col min="9" max="13" width="4.85546875" style="3" customWidth="1"/>
    <col min="14" max="16384" width="8.85546875" style="1"/>
  </cols>
  <sheetData>
    <row r="1" spans="1:13" ht="15">
      <c r="A1" s="2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>
      <c r="A2" s="5" t="s">
        <v>17</v>
      </c>
      <c r="B2" s="24">
        <f>SUM(C2:M2)</f>
        <v>597.6</v>
      </c>
      <c r="C2" s="25">
        <f>omítky!D37</f>
        <v>65.900000000000006</v>
      </c>
      <c r="D2" s="25">
        <f>omítky!E37</f>
        <v>58.5</v>
      </c>
      <c r="E2" s="25">
        <f>omítky!F37</f>
        <v>9.1999999999999993</v>
      </c>
      <c r="F2" s="25">
        <f>omítky!G37</f>
        <v>22.4</v>
      </c>
      <c r="G2" s="25">
        <f>omítky!H37</f>
        <v>43.8</v>
      </c>
      <c r="H2" s="25">
        <f>omítky!I37</f>
        <v>11.9</v>
      </c>
      <c r="I2" s="25">
        <f>omítky!J37</f>
        <v>101</v>
      </c>
      <c r="J2" s="25">
        <f>omítky!K37</f>
        <v>1.8</v>
      </c>
      <c r="K2" s="25">
        <f>omítky!L37</f>
        <v>74.300000000000011</v>
      </c>
      <c r="L2" s="25">
        <f>omítky!M37</f>
        <v>168</v>
      </c>
      <c r="M2" s="25">
        <f>omítky!N37</f>
        <v>40.799999999999997</v>
      </c>
    </row>
    <row r="3" spans="1:13" ht="12.75">
      <c r="A3" s="116" t="s">
        <v>31</v>
      </c>
      <c r="B3" s="17">
        <f>SUM(C3:M3)</f>
        <v>65.900000000000006</v>
      </c>
      <c r="C3" s="15">
        <f>C2</f>
        <v>65.900000000000006</v>
      </c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12.75">
      <c r="A4" s="58" t="s">
        <v>30</v>
      </c>
      <c r="B4" s="18">
        <f t="shared" ref="B4:B33" si="0">SUM(C4:M4)</f>
        <v>24.2</v>
      </c>
      <c r="C4" s="16"/>
      <c r="D4" s="11"/>
      <c r="E4" s="11"/>
      <c r="F4" s="11">
        <f>F2</f>
        <v>22.4</v>
      </c>
      <c r="G4" s="11"/>
      <c r="H4" s="11"/>
      <c r="I4" s="11"/>
      <c r="J4" s="11">
        <f>J2</f>
        <v>1.8</v>
      </c>
      <c r="K4" s="11"/>
      <c r="L4" s="11"/>
      <c r="M4" s="12"/>
    </row>
    <row r="5" spans="1:13" ht="12.75">
      <c r="A5" s="58" t="s">
        <v>36</v>
      </c>
      <c r="B5" s="18">
        <f t="shared" si="0"/>
        <v>231</v>
      </c>
      <c r="C5" s="16"/>
      <c r="D5" s="11"/>
      <c r="E5" s="11"/>
      <c r="F5" s="11"/>
      <c r="G5" s="11">
        <f>G2</f>
        <v>43.8</v>
      </c>
      <c r="H5" s="11">
        <f>H2</f>
        <v>11.9</v>
      </c>
      <c r="I5" s="11">
        <f>I2</f>
        <v>101</v>
      </c>
      <c r="J5" s="11"/>
      <c r="K5" s="11">
        <f>K2</f>
        <v>74.300000000000011</v>
      </c>
      <c r="L5" s="11"/>
      <c r="M5" s="12"/>
    </row>
    <row r="6" spans="1:13" ht="12.75">
      <c r="A6" s="58" t="s">
        <v>23</v>
      </c>
      <c r="B6" s="59">
        <f t="shared" si="0"/>
        <v>65.900000000000006</v>
      </c>
      <c r="C6" s="16">
        <f>C2</f>
        <v>65.900000000000006</v>
      </c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ht="12.75">
      <c r="A7" s="58" t="s">
        <v>22</v>
      </c>
      <c r="B7" s="59">
        <f t="shared" si="0"/>
        <v>211.70000000000002</v>
      </c>
      <c r="C7" s="16">
        <f>C2</f>
        <v>65.900000000000006</v>
      </c>
      <c r="D7" s="11">
        <f>D2</f>
        <v>58.5</v>
      </c>
      <c r="E7" s="11">
        <f>E2</f>
        <v>9.1999999999999993</v>
      </c>
      <c r="F7" s="11">
        <f>F2</f>
        <v>22.4</v>
      </c>
      <c r="G7" s="11">
        <f>G2</f>
        <v>43.8</v>
      </c>
      <c r="H7" s="11">
        <f>H5</f>
        <v>11.9</v>
      </c>
      <c r="I7" s="11"/>
      <c r="J7" s="11"/>
      <c r="K7" s="11"/>
      <c r="L7" s="11"/>
      <c r="M7" s="12"/>
    </row>
    <row r="8" spans="1:13" ht="12.75">
      <c r="A8" s="58" t="s">
        <v>33</v>
      </c>
      <c r="B8" s="59">
        <f t="shared" si="0"/>
        <v>390.4</v>
      </c>
      <c r="C8" s="16">
        <f>C2+C15</f>
        <v>131.80000000000001</v>
      </c>
      <c r="D8" s="11">
        <f>D13+D15</f>
        <v>117</v>
      </c>
      <c r="E8" s="11">
        <f>E2</f>
        <v>9.1999999999999993</v>
      </c>
      <c r="F8" s="11">
        <f>F13+F2</f>
        <v>44.8</v>
      </c>
      <c r="G8" s="11">
        <f>G2*2</f>
        <v>87.6</v>
      </c>
      <c r="H8" s="11"/>
      <c r="I8" s="11"/>
      <c r="J8" s="11"/>
      <c r="K8" s="11"/>
      <c r="L8" s="11"/>
      <c r="M8" s="12"/>
    </row>
    <row r="9" spans="1:13" ht="12.75">
      <c r="A9" s="26" t="s">
        <v>24</v>
      </c>
      <c r="B9" s="18">
        <f t="shared" si="0"/>
        <v>124.4</v>
      </c>
      <c r="C9" s="16">
        <f>C2</f>
        <v>65.900000000000006</v>
      </c>
      <c r="D9" s="11">
        <f>D2</f>
        <v>58.5</v>
      </c>
      <c r="E9" s="11"/>
      <c r="F9" s="11"/>
      <c r="G9" s="11"/>
      <c r="H9" s="11"/>
      <c r="I9" s="11"/>
      <c r="J9" s="11"/>
      <c r="K9" s="11"/>
      <c r="L9" s="11"/>
      <c r="M9" s="12"/>
    </row>
    <row r="10" spans="1:13" ht="12.75">
      <c r="A10" s="58" t="s">
        <v>18</v>
      </c>
      <c r="B10" s="59">
        <f t="shared" si="0"/>
        <v>124.4</v>
      </c>
      <c r="C10" s="16">
        <f>C2</f>
        <v>65.900000000000006</v>
      </c>
      <c r="D10" s="11">
        <f>D2</f>
        <v>58.5</v>
      </c>
      <c r="E10" s="11"/>
      <c r="F10" s="11"/>
      <c r="G10" s="11"/>
      <c r="H10" s="11"/>
      <c r="I10" s="11"/>
      <c r="J10" s="11"/>
      <c r="K10" s="11"/>
      <c r="L10" s="11"/>
      <c r="M10" s="12"/>
    </row>
    <row r="11" spans="1:13" ht="12.75">
      <c r="A11" s="58" t="s">
        <v>37</v>
      </c>
      <c r="B11" s="59">
        <f t="shared" ref="B11" si="1">SUM(C11:M11)</f>
        <v>43.8</v>
      </c>
      <c r="C11" s="16"/>
      <c r="D11" s="11"/>
      <c r="E11" s="11"/>
      <c r="F11" s="11"/>
      <c r="G11" s="11">
        <f>G2</f>
        <v>43.8</v>
      </c>
      <c r="H11" s="11"/>
      <c r="I11" s="11"/>
      <c r="J11" s="11"/>
      <c r="K11" s="11"/>
      <c r="L11" s="11"/>
      <c r="M11" s="12"/>
    </row>
    <row r="12" spans="1:13" ht="12.75">
      <c r="A12" s="58" t="s">
        <v>19</v>
      </c>
      <c r="B12" s="59">
        <f t="shared" si="0"/>
        <v>211.70000000000002</v>
      </c>
      <c r="C12" s="16">
        <f t="shared" ref="C12:H12" si="2">C2</f>
        <v>65.900000000000006</v>
      </c>
      <c r="D12" s="11">
        <f t="shared" si="2"/>
        <v>58.5</v>
      </c>
      <c r="E12" s="11">
        <f t="shared" si="2"/>
        <v>9.1999999999999993</v>
      </c>
      <c r="F12" s="11">
        <f t="shared" si="2"/>
        <v>22.4</v>
      </c>
      <c r="G12" s="11">
        <f t="shared" si="2"/>
        <v>43.8</v>
      </c>
      <c r="H12" s="11">
        <f t="shared" si="2"/>
        <v>11.9</v>
      </c>
      <c r="I12" s="11"/>
      <c r="J12" s="11"/>
      <c r="K12" s="11"/>
      <c r="L12" s="11"/>
      <c r="M12" s="12"/>
    </row>
    <row r="13" spans="1:13" ht="12.75">
      <c r="A13" s="58" t="s">
        <v>25</v>
      </c>
      <c r="B13" s="18">
        <f t="shared" si="0"/>
        <v>190.60000000000002</v>
      </c>
      <c r="C13" s="16">
        <f>C2</f>
        <v>65.900000000000006</v>
      </c>
      <c r="D13" s="11">
        <f>D2</f>
        <v>58.5</v>
      </c>
      <c r="E13" s="11"/>
      <c r="F13" s="11">
        <f>F12</f>
        <v>22.4</v>
      </c>
      <c r="G13" s="11">
        <f>G2</f>
        <v>43.8</v>
      </c>
      <c r="H13" s="11"/>
      <c r="I13" s="11"/>
      <c r="J13" s="11"/>
      <c r="K13" s="11"/>
      <c r="L13" s="11"/>
      <c r="M13" s="12"/>
    </row>
    <row r="14" spans="1:13" ht="12.75">
      <c r="A14" s="58" t="s">
        <v>20</v>
      </c>
      <c r="B14" s="59">
        <f t="shared" si="0"/>
        <v>190.60000000000002</v>
      </c>
      <c r="C14" s="16">
        <f>C2</f>
        <v>65.900000000000006</v>
      </c>
      <c r="D14" s="11">
        <f>D2</f>
        <v>58.5</v>
      </c>
      <c r="E14" s="11"/>
      <c r="F14" s="11">
        <f>F13</f>
        <v>22.4</v>
      </c>
      <c r="G14" s="11">
        <f>G2</f>
        <v>43.8</v>
      </c>
      <c r="H14" s="11"/>
      <c r="I14" s="11"/>
      <c r="J14" s="11"/>
      <c r="K14" s="11"/>
      <c r="L14" s="11"/>
      <c r="M14" s="12"/>
    </row>
    <row r="15" spans="1:13" ht="12.75">
      <c r="A15" s="58" t="s">
        <v>34</v>
      </c>
      <c r="B15" s="59">
        <f t="shared" si="0"/>
        <v>289.8</v>
      </c>
      <c r="C15" s="16">
        <f>C2</f>
        <v>65.900000000000006</v>
      </c>
      <c r="D15" s="11">
        <f>D2</f>
        <v>58.5</v>
      </c>
      <c r="E15" s="11">
        <f>E2</f>
        <v>9.1999999999999993</v>
      </c>
      <c r="F15" s="11">
        <f>F2*2</f>
        <v>44.8</v>
      </c>
      <c r="G15" s="11">
        <f>G2*2</f>
        <v>87.6</v>
      </c>
      <c r="H15" s="11">
        <f>H2*2</f>
        <v>23.8</v>
      </c>
      <c r="I15" s="11"/>
      <c r="J15" s="11"/>
      <c r="K15" s="11"/>
      <c r="L15" s="11"/>
      <c r="M15" s="12"/>
    </row>
    <row r="16" spans="1:13" ht="12.75">
      <c r="A16" s="58" t="s">
        <v>21</v>
      </c>
      <c r="B16" s="59">
        <f t="shared" si="0"/>
        <v>190.60000000000002</v>
      </c>
      <c r="C16" s="16">
        <f>C2</f>
        <v>65.900000000000006</v>
      </c>
      <c r="D16" s="11">
        <f>D2</f>
        <v>58.5</v>
      </c>
      <c r="E16" s="11"/>
      <c r="F16" s="11">
        <f>F14</f>
        <v>22.4</v>
      </c>
      <c r="G16" s="11">
        <f>G2</f>
        <v>43.8</v>
      </c>
      <c r="H16" s="11"/>
      <c r="I16" s="11"/>
      <c r="J16" s="11"/>
      <c r="K16" s="11"/>
      <c r="L16" s="11"/>
      <c r="M16" s="12"/>
    </row>
    <row r="17" spans="1:13" ht="12.75">
      <c r="A17" s="58" t="s">
        <v>28</v>
      </c>
      <c r="B17" s="59">
        <f t="shared" ref="B17" si="3">SUM(C17:M17)</f>
        <v>9.1999999999999993</v>
      </c>
      <c r="C17" s="16"/>
      <c r="D17" s="11"/>
      <c r="E17" s="11">
        <f>E12</f>
        <v>9.1999999999999993</v>
      </c>
      <c r="F17" s="11"/>
      <c r="G17" s="11"/>
      <c r="H17" s="11"/>
      <c r="I17" s="11"/>
      <c r="J17" s="11"/>
      <c r="K17" s="11"/>
      <c r="L17" s="11"/>
      <c r="M17" s="12"/>
    </row>
    <row r="18" spans="1:13" ht="12.75">
      <c r="A18" s="58" t="s">
        <v>26</v>
      </c>
      <c r="B18" s="59">
        <f t="shared" si="0"/>
        <v>58.5</v>
      </c>
      <c r="C18" s="16"/>
      <c r="D18" s="11">
        <f>D2</f>
        <v>58.5</v>
      </c>
      <c r="E18" s="11"/>
      <c r="F18" s="11"/>
      <c r="G18" s="11"/>
      <c r="H18" s="11"/>
      <c r="I18" s="11"/>
      <c r="J18" s="11"/>
      <c r="K18" s="11"/>
      <c r="L18" s="11"/>
      <c r="M18" s="12"/>
    </row>
    <row r="19" spans="1:13" ht="12.75">
      <c r="A19" s="58" t="s">
        <v>27</v>
      </c>
      <c r="B19" s="59">
        <f t="shared" si="0"/>
        <v>9.1999999999999993</v>
      </c>
      <c r="C19" s="16"/>
      <c r="D19" s="11"/>
      <c r="E19" s="11">
        <f>E2</f>
        <v>9.1999999999999993</v>
      </c>
      <c r="F19" s="11"/>
      <c r="G19" s="11"/>
      <c r="H19" s="11"/>
      <c r="I19" s="11"/>
      <c r="J19" s="11"/>
      <c r="K19" s="11"/>
      <c r="L19" s="11"/>
      <c r="M19" s="12"/>
    </row>
    <row r="20" spans="1:13">
      <c r="A20" s="79" t="s">
        <v>29</v>
      </c>
      <c r="B20" s="59">
        <f t="shared" si="0"/>
        <v>24.2</v>
      </c>
      <c r="C20" s="16"/>
      <c r="D20" s="11"/>
      <c r="E20" s="11"/>
      <c r="F20" s="11">
        <f>F2</f>
        <v>22.4</v>
      </c>
      <c r="G20" s="11"/>
      <c r="H20" s="11"/>
      <c r="I20" s="11"/>
      <c r="J20" s="11">
        <f>J2</f>
        <v>1.8</v>
      </c>
      <c r="K20" s="11"/>
      <c r="L20" s="11"/>
      <c r="M20" s="12"/>
    </row>
    <row r="21" spans="1:13">
      <c r="A21" s="79" t="s">
        <v>32</v>
      </c>
      <c r="B21" s="59">
        <f t="shared" si="0"/>
        <v>34.299999999999997</v>
      </c>
      <c r="C21" s="16"/>
      <c r="D21" s="11"/>
      <c r="E21" s="11"/>
      <c r="F21" s="11">
        <f>F2</f>
        <v>22.4</v>
      </c>
      <c r="G21" s="11"/>
      <c r="H21" s="11">
        <f>H2</f>
        <v>11.9</v>
      </c>
      <c r="I21" s="11"/>
      <c r="J21" s="11"/>
      <c r="K21" s="11"/>
      <c r="L21" s="11"/>
      <c r="M21" s="12"/>
    </row>
    <row r="22" spans="1:13">
      <c r="A22" s="79" t="s">
        <v>35</v>
      </c>
      <c r="B22" s="59">
        <f t="shared" si="0"/>
        <v>78.099999999999994</v>
      </c>
      <c r="C22" s="16"/>
      <c r="D22" s="11"/>
      <c r="E22" s="11"/>
      <c r="F22" s="11">
        <f>F21</f>
        <v>22.4</v>
      </c>
      <c r="G22" s="11">
        <f>G2</f>
        <v>43.8</v>
      </c>
      <c r="H22" s="11">
        <f>H2</f>
        <v>11.9</v>
      </c>
      <c r="I22" s="11"/>
      <c r="J22" s="11"/>
      <c r="K22" s="11"/>
      <c r="L22" s="11"/>
      <c r="M22" s="12"/>
    </row>
    <row r="23" spans="1:13">
      <c r="A23" s="79" t="s">
        <v>38</v>
      </c>
      <c r="B23" s="59">
        <f t="shared" si="0"/>
        <v>11.9</v>
      </c>
      <c r="C23" s="16"/>
      <c r="D23" s="11"/>
      <c r="E23" s="11"/>
      <c r="F23" s="11"/>
      <c r="G23" s="11"/>
      <c r="H23" s="11">
        <f>H2</f>
        <v>11.9</v>
      </c>
      <c r="I23" s="11"/>
      <c r="J23" s="11"/>
      <c r="K23" s="11"/>
      <c r="L23" s="11"/>
      <c r="M23" s="12"/>
    </row>
    <row r="24" spans="1:13" ht="12.75">
      <c r="A24" s="58" t="s">
        <v>39</v>
      </c>
      <c r="B24" s="59">
        <f t="shared" si="0"/>
        <v>177.10000000000002</v>
      </c>
      <c r="C24" s="16"/>
      <c r="D24" s="11"/>
      <c r="E24" s="11"/>
      <c r="F24" s="11"/>
      <c r="G24" s="11"/>
      <c r="H24" s="11"/>
      <c r="I24" s="11">
        <f>I2</f>
        <v>101</v>
      </c>
      <c r="J24" s="11">
        <f>J2</f>
        <v>1.8</v>
      </c>
      <c r="K24" s="11">
        <f>K2</f>
        <v>74.300000000000011</v>
      </c>
      <c r="L24" s="11"/>
      <c r="M24" s="12"/>
    </row>
    <row r="25" spans="1:13" ht="12.75">
      <c r="A25" s="58" t="s">
        <v>41</v>
      </c>
      <c r="B25" s="59">
        <f t="shared" si="0"/>
        <v>102.8</v>
      </c>
      <c r="C25" s="16"/>
      <c r="D25" s="11"/>
      <c r="E25" s="11"/>
      <c r="F25" s="11"/>
      <c r="G25" s="11"/>
      <c r="H25" s="11"/>
      <c r="I25" s="11">
        <f>I2</f>
        <v>101</v>
      </c>
      <c r="J25" s="11">
        <f>J2</f>
        <v>1.8</v>
      </c>
      <c r="K25" s="11"/>
      <c r="L25" s="11"/>
      <c r="M25" s="12"/>
    </row>
    <row r="26" spans="1:13" ht="12.75">
      <c r="A26" s="58" t="s">
        <v>43</v>
      </c>
      <c r="B26" s="59">
        <f t="shared" ref="B26" si="4">SUM(C26:M26)</f>
        <v>74.300000000000011</v>
      </c>
      <c r="C26" s="16"/>
      <c r="D26" s="11"/>
      <c r="E26" s="11"/>
      <c r="F26" s="11"/>
      <c r="G26" s="11"/>
      <c r="H26" s="11"/>
      <c r="I26" s="11"/>
      <c r="J26" s="11"/>
      <c r="K26" s="11">
        <f>K2</f>
        <v>74.300000000000011</v>
      </c>
      <c r="L26" s="11"/>
      <c r="M26" s="12"/>
    </row>
    <row r="27" spans="1:13" ht="12.75">
      <c r="A27" s="58" t="s">
        <v>42</v>
      </c>
      <c r="B27" s="59">
        <f t="shared" si="0"/>
        <v>102.8</v>
      </c>
      <c r="C27" s="16"/>
      <c r="D27" s="11"/>
      <c r="E27" s="11"/>
      <c r="F27" s="11"/>
      <c r="G27" s="11"/>
      <c r="H27" s="11"/>
      <c r="I27" s="11">
        <f>I2</f>
        <v>101</v>
      </c>
      <c r="J27" s="11">
        <f>J2</f>
        <v>1.8</v>
      </c>
      <c r="K27" s="11"/>
      <c r="L27" s="11"/>
      <c r="M27" s="12"/>
    </row>
    <row r="28" spans="1:13">
      <c r="A28" s="79" t="s">
        <v>40</v>
      </c>
      <c r="B28" s="59">
        <f t="shared" si="0"/>
        <v>102.8</v>
      </c>
      <c r="C28" s="16"/>
      <c r="D28" s="11"/>
      <c r="E28" s="11"/>
      <c r="F28" s="11"/>
      <c r="G28" s="11"/>
      <c r="H28" s="11"/>
      <c r="I28" s="11">
        <f>I2</f>
        <v>101</v>
      </c>
      <c r="J28" s="11">
        <f>J2</f>
        <v>1.8</v>
      </c>
      <c r="K28" s="11"/>
      <c r="L28" s="11"/>
      <c r="M28" s="12"/>
    </row>
    <row r="29" spans="1:13" ht="15">
      <c r="A29" s="58" t="s">
        <v>44</v>
      </c>
      <c r="B29" s="59">
        <f t="shared" si="0"/>
        <v>74.300000000000011</v>
      </c>
      <c r="C29" s="29"/>
      <c r="D29" s="11"/>
      <c r="E29" s="11"/>
      <c r="F29" s="11"/>
      <c r="G29" s="11"/>
      <c r="H29" s="11"/>
      <c r="I29" s="11"/>
      <c r="J29" s="11"/>
      <c r="K29" s="11">
        <f>K2</f>
        <v>74.300000000000011</v>
      </c>
      <c r="L29" s="11"/>
      <c r="M29" s="12"/>
    </row>
    <row r="30" spans="1:13" ht="12.75">
      <c r="A30" s="58" t="s">
        <v>45</v>
      </c>
      <c r="B30" s="59">
        <f t="shared" si="0"/>
        <v>74.300000000000011</v>
      </c>
      <c r="C30" s="16"/>
      <c r="D30" s="11"/>
      <c r="E30" s="11"/>
      <c r="F30" s="11"/>
      <c r="G30" s="11"/>
      <c r="H30" s="11"/>
      <c r="I30" s="11"/>
      <c r="J30" s="11"/>
      <c r="K30" s="11">
        <f>K2</f>
        <v>74.300000000000011</v>
      </c>
      <c r="L30" s="11"/>
      <c r="M30" s="12"/>
    </row>
    <row r="31" spans="1:13" ht="12.75">
      <c r="A31" s="58" t="s">
        <v>46</v>
      </c>
      <c r="B31" s="59">
        <f t="shared" si="0"/>
        <v>74.300000000000011</v>
      </c>
      <c r="C31" s="16"/>
      <c r="D31" s="11"/>
      <c r="E31" s="11"/>
      <c r="F31" s="11"/>
      <c r="G31" s="11"/>
      <c r="H31" s="11"/>
      <c r="I31" s="11"/>
      <c r="J31" s="11"/>
      <c r="K31" s="11">
        <f>K2</f>
        <v>74.300000000000011</v>
      </c>
      <c r="L31" s="11"/>
      <c r="M31" s="12"/>
    </row>
    <row r="32" spans="1:13" ht="12.75">
      <c r="A32" s="27" t="s">
        <v>47</v>
      </c>
      <c r="B32" s="18">
        <f t="shared" si="0"/>
        <v>168</v>
      </c>
      <c r="C32" s="30"/>
      <c r="D32" s="11"/>
      <c r="E32" s="11"/>
      <c r="F32" s="11"/>
      <c r="G32" s="11"/>
      <c r="H32" s="11"/>
      <c r="I32" s="11"/>
      <c r="J32" s="11"/>
      <c r="K32" s="11"/>
      <c r="L32" s="11">
        <f>L2</f>
        <v>168</v>
      </c>
      <c r="M32" s="12"/>
    </row>
    <row r="33" spans="1:13" ht="12.75">
      <c r="A33" s="28" t="s">
        <v>48</v>
      </c>
      <c r="B33" s="19">
        <f t="shared" si="0"/>
        <v>40.799999999999997</v>
      </c>
      <c r="C33" s="31"/>
      <c r="D33" s="13"/>
      <c r="E33" s="13"/>
      <c r="F33" s="13"/>
      <c r="G33" s="13"/>
      <c r="H33" s="13"/>
      <c r="I33" s="13"/>
      <c r="J33" s="13"/>
      <c r="K33" s="13"/>
      <c r="L33" s="13"/>
      <c r="M33" s="14">
        <f>M2</f>
        <v>40.799999999999997</v>
      </c>
    </row>
    <row r="34" spans="1:13" ht="12.75">
      <c r="A34" s="1" t="s">
        <v>153</v>
      </c>
      <c r="B34" s="60">
        <f>B6*0.6+B15*0.5</f>
        <v>184.44</v>
      </c>
      <c r="C34" s="23"/>
    </row>
    <row r="35" spans="1:13" ht="15">
      <c r="B35"/>
      <c r="C35" s="23"/>
    </row>
    <row r="36" spans="1:13" ht="15">
      <c r="B36"/>
      <c r="C36" s="23"/>
    </row>
    <row r="37" spans="1:13" ht="15">
      <c r="B37"/>
      <c r="C37" s="2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14</vt:i4>
      </vt:variant>
    </vt:vector>
  </HeadingPairs>
  <TitlesOfParts>
    <vt:vector size="24" baseType="lpstr">
      <vt:lpstr>reka</vt:lpstr>
      <vt:lpstr>položky</vt:lpstr>
      <vt:lpstr>kanal.</vt:lpstr>
      <vt:lpstr>vodovod</vt:lpstr>
      <vt:lpstr>UT</vt:lpstr>
      <vt:lpstr>silno</vt:lpstr>
      <vt:lpstr>slabo</vt:lpstr>
      <vt:lpstr>VZT</vt:lpstr>
      <vt:lpstr>podlahy</vt:lpstr>
      <vt:lpstr>omítky</vt:lpstr>
      <vt:lpstr>kanal.!Názvy_tisku</vt:lpstr>
      <vt:lpstr>položky!Názvy_tisku</vt:lpstr>
      <vt:lpstr>silno!Názvy_tisku</vt:lpstr>
      <vt:lpstr>UT!Názvy_tisku</vt:lpstr>
      <vt:lpstr>vodovod!Názvy_tisku</vt:lpstr>
      <vt:lpstr>kanal.!Oblast_tisku</vt:lpstr>
      <vt:lpstr>podlahy!Oblast_tisku</vt:lpstr>
      <vt:lpstr>položky!Oblast_tisku</vt:lpstr>
      <vt:lpstr>reka!Oblast_tisku</vt:lpstr>
      <vt:lpstr>silno!Oblast_tisku</vt:lpstr>
      <vt:lpstr>slabo!Oblast_tisku</vt:lpstr>
      <vt:lpstr>UT!Oblast_tisku</vt:lpstr>
      <vt:lpstr>vodovod!Oblast_tisku</vt:lpstr>
      <vt:lpstr>VZT!Oblast_tisku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ROZTYLY</dc:creator>
  <cp:lastModifiedBy>Mgr. Martin Hýbl</cp:lastModifiedBy>
  <cp:lastPrinted>2018-05-30T16:34:05Z</cp:lastPrinted>
  <dcterms:created xsi:type="dcterms:W3CDTF">2018-02-14T10:22:13Z</dcterms:created>
  <dcterms:modified xsi:type="dcterms:W3CDTF">2018-11-28T14:40:40Z</dcterms:modified>
</cp:coreProperties>
</file>