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em\Desktop\Projekt Vodní nádrž\SOD a rozpočet_Final\"/>
    </mc:Choice>
  </mc:AlternateContent>
  <bookViews>
    <workbookView xWindow="0" yWindow="0" windowWidth="20490" windowHeight="7155" activeTab="2"/>
  </bookViews>
  <sheets>
    <sheet name="Stavební rozpočet" sheetId="1" r:id="rId1"/>
    <sheet name="Výkaz výměr" sheetId="2" r:id="rId2"/>
    <sheet name="Krycí list rozpočtu" sheetId="3" r:id="rId3"/>
  </sheets>
  <definedNames>
    <definedName name="Excel_BuiltIn_Print_Area_1_1">'Stavební rozpočet'!$A$1:$L$105</definedName>
    <definedName name="Excel_BuiltIn_Print_Area_3">#REF!</definedName>
    <definedName name="_xlnm.Print_Titles" localSheetId="0">'Stavební rozpočet'!$1:$7</definedName>
    <definedName name="_xlnm.Print_Area" localSheetId="2">'Krycí list rozpočtu'!$A$1:$I$32</definedName>
    <definedName name="_xlnm.Print_Area" localSheetId="0">'Stavební rozpočet'!$A$1:$L$107</definedName>
    <definedName name="_xlnm.Print_Area" localSheetId="1">'Výkaz výměr'!$A$1:$G$199</definedName>
  </definedNames>
  <calcPr calcId="152511"/>
</workbook>
</file>

<file path=xl/calcChain.xml><?xml version="1.0" encoding="utf-8"?>
<calcChain xmlns="http://schemas.openxmlformats.org/spreadsheetml/2006/main">
  <c r="J87" i="1" l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86" i="1"/>
  <c r="J85" i="1" s="1"/>
  <c r="J82" i="1"/>
  <c r="J84" i="1"/>
  <c r="J83" i="1"/>
  <c r="J80" i="1"/>
  <c r="J78" i="1" s="1"/>
  <c r="J81" i="1"/>
  <c r="J79" i="1"/>
  <c r="J76" i="1"/>
  <c r="J77" i="1"/>
  <c r="J73" i="1"/>
  <c r="J70" i="1"/>
  <c r="J69" i="1" s="1"/>
  <c r="J63" i="1"/>
  <c r="J65" i="1"/>
  <c r="J66" i="1"/>
  <c r="J67" i="1"/>
  <c r="J62" i="1"/>
  <c r="J58" i="1"/>
  <c r="J59" i="1"/>
  <c r="J60" i="1"/>
  <c r="J48" i="1"/>
  <c r="J52" i="1"/>
  <c r="J53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30" i="1"/>
  <c r="J27" i="1"/>
  <c r="J28" i="1"/>
  <c r="J24" i="1"/>
  <c r="J18" i="1"/>
  <c r="J19" i="1"/>
  <c r="J21" i="1"/>
  <c r="J22" i="1"/>
  <c r="J17" i="1"/>
  <c r="J6" i="1"/>
  <c r="J7" i="1"/>
  <c r="J8" i="1"/>
  <c r="J10" i="1"/>
  <c r="J5" i="1"/>
  <c r="J4" i="1" s="1"/>
  <c r="G167" i="2"/>
  <c r="G166" i="2"/>
  <c r="G173" i="2"/>
  <c r="G172" i="2"/>
  <c r="G171" i="2"/>
  <c r="G168" i="2"/>
  <c r="G165" i="2"/>
  <c r="G163" i="2"/>
  <c r="G162" i="2"/>
  <c r="G160" i="2"/>
  <c r="G159" i="2"/>
  <c r="G158" i="2"/>
  <c r="G155" i="2" s="1"/>
  <c r="G157" i="2"/>
  <c r="G156" i="2"/>
  <c r="G154" i="2"/>
  <c r="G153" i="2"/>
  <c r="G152" i="2"/>
  <c r="G151" i="2"/>
  <c r="G150" i="2"/>
  <c r="G149" i="2"/>
  <c r="G148" i="2"/>
  <c r="G147" i="2"/>
  <c r="G145" i="2"/>
  <c r="G144" i="2"/>
  <c r="G143" i="2"/>
  <c r="G142" i="2"/>
  <c r="G141" i="2"/>
  <c r="G140" i="2"/>
  <c r="G139" i="2"/>
  <c r="G138" i="2"/>
  <c r="G137" i="2"/>
  <c r="G136" i="2"/>
  <c r="G135" i="2"/>
  <c r="G132" i="2"/>
  <c r="G133" i="2"/>
  <c r="G131" i="2"/>
  <c r="G130" i="2"/>
  <c r="G129" i="2"/>
  <c r="G128" i="2"/>
  <c r="G126" i="2"/>
  <c r="G123" i="2" s="1"/>
  <c r="G125" i="2"/>
  <c r="G124" i="2"/>
  <c r="G127" i="2"/>
  <c r="G122" i="2"/>
  <c r="G121" i="2"/>
  <c r="G119" i="2"/>
  <c r="G118" i="2"/>
  <c r="G117" i="2"/>
  <c r="G111" i="2"/>
  <c r="G110" i="2"/>
  <c r="G109" i="2"/>
  <c r="G116" i="2"/>
  <c r="G115" i="2"/>
  <c r="G114" i="2"/>
  <c r="G113" i="2"/>
  <c r="G112" i="2"/>
  <c r="G107" i="2"/>
  <c r="G106" i="2"/>
  <c r="G105" i="2"/>
  <c r="G104" i="2"/>
  <c r="G84" i="2"/>
  <c r="G83" i="2"/>
  <c r="G82" i="2"/>
  <c r="G78" i="2"/>
  <c r="G77" i="2" s="1"/>
  <c r="G79" i="2"/>
  <c r="G80" i="2"/>
  <c r="G92" i="2"/>
  <c r="G91" i="2"/>
  <c r="G90" i="2"/>
  <c r="G89" i="2"/>
  <c r="G88" i="2"/>
  <c r="G86" i="2"/>
  <c r="G85" i="2"/>
  <c r="G76" i="2"/>
  <c r="G75" i="2"/>
  <c r="G72" i="2" s="1"/>
  <c r="G74" i="2"/>
  <c r="G73" i="2"/>
  <c r="G70" i="2"/>
  <c r="G69" i="2"/>
  <c r="G66" i="2"/>
  <c r="G62" i="2"/>
  <c r="G61" i="2"/>
  <c r="G60" i="2"/>
  <c r="G59" i="2"/>
  <c r="G51" i="2"/>
  <c r="G44" i="2"/>
  <c r="G46" i="2"/>
  <c r="G50" i="2"/>
  <c r="G42" i="2"/>
  <c r="G58" i="2"/>
  <c r="G56" i="2"/>
  <c r="G55" i="2"/>
  <c r="G52" i="2"/>
  <c r="G49" i="2"/>
  <c r="G48" i="2"/>
  <c r="G47" i="2"/>
  <c r="G45" i="2"/>
  <c r="G43" i="2"/>
  <c r="G41" i="2"/>
  <c r="L70" i="1"/>
  <c r="L69" i="1" s="1"/>
  <c r="I69" i="1"/>
  <c r="H69" i="1"/>
  <c r="G40" i="2"/>
  <c r="G39" i="2"/>
  <c r="G38" i="2"/>
  <c r="G36" i="2"/>
  <c r="G35" i="2"/>
  <c r="G34" i="2"/>
  <c r="G33" i="2"/>
  <c r="G32" i="2"/>
  <c r="G31" i="2"/>
  <c r="G28" i="2"/>
  <c r="G27" i="2"/>
  <c r="G26" i="2"/>
  <c r="G15" i="2"/>
  <c r="G25" i="2"/>
  <c r="G24" i="2"/>
  <c r="G23" i="2"/>
  <c r="G22" i="2"/>
  <c r="G21" i="2"/>
  <c r="G20" i="2"/>
  <c r="G19" i="2"/>
  <c r="G18" i="2"/>
  <c r="G16" i="2"/>
  <c r="G14" i="2"/>
  <c r="G11" i="2"/>
  <c r="G10" i="2" s="1"/>
  <c r="G13" i="2"/>
  <c r="G12" i="2"/>
  <c r="G9" i="2"/>
  <c r="L45" i="1"/>
  <c r="H29" i="1"/>
  <c r="H78" i="1"/>
  <c r="I78" i="1"/>
  <c r="I82" i="1"/>
  <c r="H105" i="1"/>
  <c r="I105" i="1"/>
  <c r="J105" i="1" s="1"/>
  <c r="F47" i="1"/>
  <c r="J47" i="1" s="1"/>
  <c r="L89" i="1"/>
  <c r="L77" i="1"/>
  <c r="L100" i="1"/>
  <c r="L37" i="1"/>
  <c r="L38" i="1"/>
  <c r="L39" i="1"/>
  <c r="L40" i="1"/>
  <c r="L41" i="1"/>
  <c r="L42" i="1"/>
  <c r="L43" i="1"/>
  <c r="L21" i="1"/>
  <c r="L73" i="1"/>
  <c r="F59" i="1"/>
  <c r="L59" i="1"/>
  <c r="L93" i="1"/>
  <c r="L94" i="1"/>
  <c r="L60" i="1"/>
  <c r="L65" i="1"/>
  <c r="L19" i="1"/>
  <c r="L18" i="1"/>
  <c r="F64" i="1"/>
  <c r="J64" i="1" s="1"/>
  <c r="L64" i="1"/>
  <c r="L61" i="1" s="1"/>
  <c r="L67" i="1"/>
  <c r="F30" i="1"/>
  <c r="L30" i="1" s="1"/>
  <c r="F17" i="1"/>
  <c r="F15" i="1"/>
  <c r="L15" i="1" s="1"/>
  <c r="F68" i="1"/>
  <c r="J68" i="1" s="1"/>
  <c r="F66" i="1"/>
  <c r="L66" i="1"/>
  <c r="L34" i="1"/>
  <c r="L33" i="1"/>
  <c r="L8" i="1"/>
  <c r="L7" i="1"/>
  <c r="F9" i="1"/>
  <c r="J9" i="1" s="1"/>
  <c r="F27" i="1"/>
  <c r="F26" i="1"/>
  <c r="J26" i="1" s="1"/>
  <c r="F14" i="1"/>
  <c r="L14" i="1" s="1"/>
  <c r="F76" i="1"/>
  <c r="F75" i="1"/>
  <c r="J75" i="1" s="1"/>
  <c r="J74" i="1" s="1"/>
  <c r="F72" i="1"/>
  <c r="J72" i="1" s="1"/>
  <c r="J71" i="1" s="1"/>
  <c r="L72" i="1"/>
  <c r="L71" i="1" s="1"/>
  <c r="F58" i="1"/>
  <c r="F57" i="1"/>
  <c r="J57" i="1" s="1"/>
  <c r="L57" i="1"/>
  <c r="F56" i="1"/>
  <c r="J56" i="1" s="1"/>
  <c r="F52" i="1"/>
  <c r="F51" i="1"/>
  <c r="J51" i="1" s="1"/>
  <c r="L51" i="1"/>
  <c r="F50" i="1"/>
  <c r="J50" i="1" s="1"/>
  <c r="F49" i="1"/>
  <c r="J49" i="1" s="1"/>
  <c r="L49" i="1"/>
  <c r="F13" i="1"/>
  <c r="J13" i="1" s="1"/>
  <c r="F12" i="1"/>
  <c r="J12" i="1" s="1"/>
  <c r="L12" i="1"/>
  <c r="F25" i="1"/>
  <c r="J25" i="1" s="1"/>
  <c r="J23" i="1" s="1"/>
  <c r="F55" i="1"/>
  <c r="J55" i="1" s="1"/>
  <c r="L28" i="1"/>
  <c r="L23" i="1"/>
  <c r="L22" i="1"/>
  <c r="F20" i="1"/>
  <c r="J20" i="1" s="1"/>
  <c r="L32" i="1"/>
  <c r="F31" i="1"/>
  <c r="L31" i="1" s="1"/>
  <c r="G8" i="2"/>
  <c r="G7" i="2"/>
  <c r="G6" i="2"/>
  <c r="G5" i="2"/>
  <c r="G3" i="2" s="1"/>
  <c r="G4" i="2"/>
  <c r="L5" i="1"/>
  <c r="L10" i="1"/>
  <c r="L35" i="1"/>
  <c r="L44" i="1"/>
  <c r="L48" i="1"/>
  <c r="L53" i="1"/>
  <c r="L62" i="1"/>
  <c r="L63" i="1"/>
  <c r="L79" i="1"/>
  <c r="L78" i="1" s="1"/>
  <c r="L80" i="1"/>
  <c r="L81" i="1"/>
  <c r="L83" i="1"/>
  <c r="L82" i="1" s="1"/>
  <c r="L84" i="1"/>
  <c r="L86" i="1"/>
  <c r="L87" i="1"/>
  <c r="L85" i="1" s="1"/>
  <c r="L88" i="1"/>
  <c r="L90" i="1"/>
  <c r="L91" i="1"/>
  <c r="L92" i="1"/>
  <c r="L95" i="1"/>
  <c r="L96" i="1"/>
  <c r="L97" i="1"/>
  <c r="L98" i="1"/>
  <c r="F104" i="1" s="1"/>
  <c r="J104" i="1" s="1"/>
  <c r="L99" i="1"/>
  <c r="L101" i="1"/>
  <c r="L6" i="1"/>
  <c r="L4" i="1" s="1"/>
  <c r="L36" i="1"/>
  <c r="L9" i="1"/>
  <c r="L56" i="1"/>
  <c r="L52" i="1"/>
  <c r="L17" i="1"/>
  <c r="L16" i="1" s="1"/>
  <c r="L75" i="1"/>
  <c r="L74" i="1" s="1"/>
  <c r="L76" i="1"/>
  <c r="L68" i="1"/>
  <c r="H71" i="1"/>
  <c r="I71" i="1"/>
  <c r="I23" i="1"/>
  <c r="H54" i="1"/>
  <c r="H11" i="1"/>
  <c r="L47" i="1"/>
  <c r="G108" i="2"/>
  <c r="G81" i="2"/>
  <c r="I54" i="1"/>
  <c r="I74" i="1"/>
  <c r="L13" i="1"/>
  <c r="I16" i="1"/>
  <c r="I61" i="1"/>
  <c r="I11" i="1"/>
  <c r="L20" i="1"/>
  <c r="L58" i="1"/>
  <c r="H74" i="1"/>
  <c r="H16" i="1"/>
  <c r="I46" i="1"/>
  <c r="I102" i="1"/>
  <c r="H102" i="1"/>
  <c r="H61" i="1"/>
  <c r="I29" i="1"/>
  <c r="H23" i="1"/>
  <c r="I4" i="1"/>
  <c r="L11" i="1" l="1"/>
  <c r="J16" i="1"/>
  <c r="J61" i="1"/>
  <c r="J54" i="1"/>
  <c r="L29" i="1"/>
  <c r="J46" i="1"/>
  <c r="J15" i="1"/>
  <c r="J31" i="1"/>
  <c r="J29" i="1" s="1"/>
  <c r="J14" i="1"/>
  <c r="J11" i="1" s="1"/>
  <c r="L55" i="1"/>
  <c r="L54" i="1" s="1"/>
  <c r="L50" i="1"/>
  <c r="L46" i="1" s="1"/>
  <c r="L103" i="1" s="1"/>
  <c r="F103" i="1" s="1"/>
  <c r="J103" i="1" s="1"/>
  <c r="J102" i="1" s="1"/>
  <c r="C21" i="3" s="1"/>
  <c r="C16" i="3"/>
  <c r="H85" i="1"/>
  <c r="I85" i="1"/>
  <c r="H82" i="1"/>
  <c r="H46" i="1"/>
  <c r="H4" i="1"/>
  <c r="C20" i="3" l="1"/>
  <c r="C14" i="3"/>
  <c r="C22" i="3" l="1"/>
  <c r="I22" i="3" s="1"/>
  <c r="C26" i="3" s="1"/>
  <c r="I25" i="3" s="1"/>
  <c r="F26" i="3" l="1"/>
  <c r="I26" i="3" s="1"/>
</calcChain>
</file>

<file path=xl/comments1.xml><?xml version="1.0" encoding="utf-8"?>
<comments xmlns="http://schemas.openxmlformats.org/spreadsheetml/2006/main">
  <authors>
    <author>Lenovo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bez zdiva 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38"/>
          </rPr>
          <t>verze bez zdiva</t>
        </r>
      </text>
    </comment>
  </commentList>
</comments>
</file>

<file path=xl/sharedStrings.xml><?xml version="1.0" encoding="utf-8"?>
<sst xmlns="http://schemas.openxmlformats.org/spreadsheetml/2006/main" count="1340" uniqueCount="548">
  <si>
    <t xml:space="preserve"> </t>
  </si>
  <si>
    <t>Jednot.</t>
  </si>
  <si>
    <t>Náklady (Kč)</t>
  </si>
  <si>
    <t>Hmotnost (t)</t>
  </si>
  <si>
    <t>Č</t>
  </si>
  <si>
    <t>Objekt</t>
  </si>
  <si>
    <t>Kód</t>
  </si>
  <si>
    <t>Zkrácený popis</t>
  </si>
  <si>
    <t>M.j.</t>
  </si>
  <si>
    <t>Množství</t>
  </si>
  <si>
    <t>cena (Kč)</t>
  </si>
  <si>
    <t>Dodávka</t>
  </si>
  <si>
    <t>Montáž</t>
  </si>
  <si>
    <t>Celkem</t>
  </si>
  <si>
    <t>11</t>
  </si>
  <si>
    <t>m2</t>
  </si>
  <si>
    <t>m</t>
  </si>
  <si>
    <t>12</t>
  </si>
  <si>
    <t>Odkopávky a prokopávky</t>
  </si>
  <si>
    <t>5</t>
  </si>
  <si>
    <t>Sejmutí ornice s přemístěním do 50 m</t>
  </si>
  <si>
    <t>m3</t>
  </si>
  <si>
    <t>6</t>
  </si>
  <si>
    <t>13</t>
  </si>
  <si>
    <t>Hloubené vykopávky</t>
  </si>
  <si>
    <t>10</t>
  </si>
  <si>
    <t>16</t>
  </si>
  <si>
    <t>17</t>
  </si>
  <si>
    <t>18</t>
  </si>
  <si>
    <t>Přemístění výkopku</t>
  </si>
  <si>
    <t>23</t>
  </si>
  <si>
    <t>24</t>
  </si>
  <si>
    <t>26</t>
  </si>
  <si>
    <t>32</t>
  </si>
  <si>
    <t>Konstrukce ze zemin</t>
  </si>
  <si>
    <t>33</t>
  </si>
  <si>
    <t>Povrchové úpravy terénu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</si>
  <si>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</si>
  <si>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</si>
  <si>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</si>
  <si>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</si>
  <si>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</si>
  <si>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</si>
  <si>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</si>
  <si>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</si>
  <si>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</si>
  <si>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Zdi přehradní a opěrné</t>
  </si>
  <si>
    <t>46</t>
  </si>
  <si>
    <t>47</t>
  </si>
  <si>
    <t>48</t>
  </si>
  <si>
    <t>t</t>
  </si>
  <si>
    <t>49</t>
  </si>
  <si>
    <t>50</t>
  </si>
  <si>
    <t>51</t>
  </si>
  <si>
    <t>52</t>
  </si>
  <si>
    <t>55</t>
  </si>
  <si>
    <t>56</t>
  </si>
  <si>
    <t>57</t>
  </si>
  <si>
    <t>58</t>
  </si>
  <si>
    <t>59</t>
  </si>
  <si>
    <t>60</t>
  </si>
  <si>
    <t>62</t>
  </si>
  <si>
    <t>64</t>
  </si>
  <si>
    <t>Podkladní a vedlejší konstrukce (inženýr. stavby kromě vozovek a železnič. svršku)</t>
  </si>
  <si>
    <t>68</t>
  </si>
  <si>
    <t>69</t>
  </si>
  <si>
    <t>70</t>
  </si>
  <si>
    <t>71</t>
  </si>
  <si>
    <t>kus</t>
  </si>
  <si>
    <t>Zpevněné plochy (kromě vozovek a železnič. svršku)</t>
  </si>
  <si>
    <t>80</t>
  </si>
  <si>
    <t>81</t>
  </si>
  <si>
    <t>87</t>
  </si>
  <si>
    <t>89</t>
  </si>
  <si>
    <t>Potrubí z trub z plastických hmot, skleněných a čedičových</t>
  </si>
  <si>
    <t>Ostatní konstrukce</t>
  </si>
  <si>
    <t>94</t>
  </si>
  <si>
    <t>Bednění pro obetonování potrubí v otevřeném výkopu</t>
  </si>
  <si>
    <t>95</t>
  </si>
  <si>
    <t>Lešení a stavební výtahy</t>
  </si>
  <si>
    <t>99</t>
  </si>
  <si>
    <t>Různé dokončovací konstrukce a práce pozemních staveb</t>
  </si>
  <si>
    <t>Osazení kovových předmětů do betonu, 120 kg / kus</t>
  </si>
  <si>
    <t>Osazení kovových předmětů do betonu, 30 kg / kus</t>
  </si>
  <si>
    <t>Ostatní materiál</t>
  </si>
  <si>
    <t>Rám požeráku - kovový L profil</t>
  </si>
  <si>
    <t>ks</t>
  </si>
  <si>
    <t>200139VD</t>
  </si>
  <si>
    <t>Česle</t>
  </si>
  <si>
    <t>200305VD</t>
  </si>
  <si>
    <t>Drážky pro dluže</t>
  </si>
  <si>
    <t>Rozměry</t>
  </si>
  <si>
    <t>Vykopávky v zemníku v hor. 3 do 5000 m3</t>
  </si>
  <si>
    <t>Výkop zeminy pro stavbu hráze</t>
  </si>
  <si>
    <t>Úprava pláně vyrovnáním výškových rozdílů v hor. 1-4, se zhutněním</t>
  </si>
  <si>
    <t>181*3   Koruna hráze</t>
  </si>
  <si>
    <t>Svahování trvalých svahů do projektovaných profilů v zářezech v hor. 1 - 4</t>
  </si>
  <si>
    <t>115*2   Zátopa velká</t>
  </si>
  <si>
    <t>19,5*6+29,5*2  Zátopa mokřadu</t>
  </si>
  <si>
    <t>Svahování trvalých svahů do projektovaných profilů násypů</t>
  </si>
  <si>
    <t>921,9  Těsnící 1:1,5</t>
  </si>
  <si>
    <t>(4,84*16,3)/2+(4,84*16,3)/2  Hrázka mezi mokřadem a velkou zátopou</t>
  </si>
  <si>
    <t>436,1   Zátopa velká těsnící 1:2</t>
  </si>
  <si>
    <t>23,75*1,53  Zátopa mokřad těsnící 1:2</t>
  </si>
  <si>
    <t>Vodorovné přemístění výkopku z hor.1-4 do 50 m</t>
  </si>
  <si>
    <t>Výkopek ze zátopy</t>
  </si>
  <si>
    <t>Rozprostření ornice, rovina, tl.do 10 cm,nad 500m2</t>
  </si>
  <si>
    <t>Rozprostření ornice, svah, tl.do 10 cm,nad 500m2</t>
  </si>
  <si>
    <t>2,37*2*0,8   Vnitřní stěna</t>
  </si>
  <si>
    <t>Vypouštěcí objekt velký</t>
  </si>
  <si>
    <t>1,9*2*3+0,8*2*3  Vnitřní část obvodových stěn</t>
  </si>
  <si>
    <t>2,5*2*3+1,4*2*3   Vnější část obvodových stěn</t>
  </si>
  <si>
    <t>48,07   Vypouštěcí objekt velký</t>
  </si>
  <si>
    <t>Vtokový objekt požeráku</t>
  </si>
  <si>
    <t>1,1*2*1,25+1,25*0,8  Vnitřní část stěn</t>
  </si>
  <si>
    <t>1,25*1,4*3 Vnější část stěn</t>
  </si>
  <si>
    <t>0,62*1,4*4 Základ</t>
  </si>
  <si>
    <t>12,47   Vtokový objekt požeráku</t>
  </si>
  <si>
    <t>0,6*2,7*2+0,6*0,3*2   Práh před dlažbou</t>
  </si>
  <si>
    <t>3,60   Práh před dlažbou</t>
  </si>
  <si>
    <t>Podklad pod dlažbu z betonu prostého do 150 mm</t>
  </si>
  <si>
    <t>6,93   Vtokový objekt</t>
  </si>
  <si>
    <t>5,72*1,3   Schody</t>
  </si>
  <si>
    <t>0,8*2*1,3+0,8*2*0,3   Patka v horní části schodů</t>
  </si>
  <si>
    <t>2,56   Patka v horní části schodů</t>
  </si>
  <si>
    <t>6,93+0,88   Vtokový objekt</t>
  </si>
  <si>
    <t>0,6*(2*3,5+2*2,4)   Základ (s podkladním betonem)</t>
  </si>
  <si>
    <t>12,14*0,7   Jáma pro dlažbu a práh před vtokovým objektem</t>
  </si>
  <si>
    <t>5,74*0,73   Jáma pro základ vtokového objektu požeráku</t>
  </si>
  <si>
    <t>15,29*0,53   Jáma pro základ požeráku</t>
  </si>
  <si>
    <t>4,08*3,4   Jáma požeráku</t>
  </si>
  <si>
    <t>1,05*2,4   Jáma vtokového objektu požeráku</t>
  </si>
  <si>
    <t>0,3*2   Podklad potrubí mezi pořerákem a vtok. objektem</t>
  </si>
  <si>
    <t>0,3*2   Podklad potrubí mezi pořerákem a vtok. Objektem</t>
  </si>
  <si>
    <t>Uložení sypaniny do násypů zhutněných na 100% PS</t>
  </si>
  <si>
    <t>5,97*0,2+0,95*0,47   Pod podkladní beton kam. Dlažby před vtokem</t>
  </si>
  <si>
    <t>0,62*2,9   Pod podklad potrubí mezi požerákem a napouštěním</t>
  </si>
  <si>
    <t>Schody z lom. kamene lomařsky upraveného na cem. maltu s vyspárov. MCS tl. 250 mm</t>
  </si>
  <si>
    <t>1,3*5,9   Schody</t>
  </si>
  <si>
    <t>Konstrukce z betonu železového tř. C25/30</t>
  </si>
  <si>
    <t>2,4*3,5*0,5   Základ</t>
  </si>
  <si>
    <t>0,99*2*3-2*(0,2*0,2*3,14)-0,06*(2,5*2+1,4)   Obvodové zdi</t>
  </si>
  <si>
    <t>Výztuž ŽB konstrukcí vodních staveb svařované sítě</t>
  </si>
  <si>
    <t>(7,51*2+4,2*2+3,54+6,77*2+1,84*2+1,96*2*1,67+1,64*2*1,67)*0,0079   Vypouštěcí zařízení + vtokové - svislé uložení</t>
  </si>
  <si>
    <t>(8,39*2+1,96*2+6,94)*0,0079    Vypouštěcí zařízení + vtokové - vodorovné uložení</t>
  </si>
  <si>
    <t>Výztuž ŽB konstrukcí vodních staveb do 12 mm z oceli 10216</t>
  </si>
  <si>
    <t>6,94*0,0079   v betonu desky pod dlažbou u vtoku</t>
  </si>
  <si>
    <t>Konstrukce z betonu prostého tř. C25/30</t>
  </si>
  <si>
    <t>2,7*0,3*0,6   Práh před dlažbou</t>
  </si>
  <si>
    <t>0,3*0,9 Podkladní beton potrubí mezi požerákem a napouštěním</t>
  </si>
  <si>
    <t>0,7*0,8-(0,2*0,2*3,14)  Vnitřní stěna</t>
  </si>
  <si>
    <t>Zdivo nadzákladové z lomového kamene vodních staveb obkladní s vyspárováním na MC</t>
  </si>
  <si>
    <t>0,06*(2,5*2+1,4) Obložení horní části požeráku</t>
  </si>
  <si>
    <t>20 Požerák</t>
  </si>
  <si>
    <t>7,52*2+4,2*2 Vypouštěcí objekt velký</t>
  </si>
  <si>
    <t>Osazení kovových předmětů do betonu, 120 kg/kus</t>
  </si>
  <si>
    <t xml:space="preserve">Drážky pro dluže </t>
  </si>
  <si>
    <t>1 Vtokový objekt</t>
  </si>
  <si>
    <t>I profil</t>
  </si>
  <si>
    <t>Bednění podkladních a zajišťovacích konstrukcí v otevřeném výkopu - desek</t>
  </si>
  <si>
    <t>28,49+2,1 Vypouštěcí potrubí DN 400</t>
  </si>
  <si>
    <t>Vykopávky v zemníku v hor. 3 do 100 m3</t>
  </si>
  <si>
    <t>2,74*1,9 Vývar pod vyústění výpustného zařízení</t>
  </si>
  <si>
    <t>0,06*0,9 Patka ŽB podkladové desky vypouštěcího potrubí</t>
  </si>
  <si>
    <t>Obetonování potrubí v otevřeném výkopu, beton tř. C25/30</t>
  </si>
  <si>
    <t>(14,43+1,5)*0,55 Potrubí DN 400</t>
  </si>
  <si>
    <t>Stupadla do šachet ocelová s PE povlakem osazovaná při zdění a betonování</t>
  </si>
  <si>
    <t>5 DN 400 vypouštěcí</t>
  </si>
  <si>
    <t>1 DN 400 vypouštěcí</t>
  </si>
  <si>
    <t>Podkladní a zajišťovací konstrukce z betonu železového v otevřeném příkopu - desky tř. C25/30</t>
  </si>
  <si>
    <t>Hloubení zapažených i nezapažených rýh šířky 600 - 2000 mm s urovnáním dna v hornině tř. 3 do 100 m3</t>
  </si>
  <si>
    <t xml:space="preserve">29,90*0,9 Rýha pro vypouštěcí potrubí </t>
  </si>
  <si>
    <t>(14,44+1,5)*0,56*2</t>
  </si>
  <si>
    <t>13220-1201</t>
  </si>
  <si>
    <t>16220-1102</t>
  </si>
  <si>
    <t>Obsypání potrubí ručně sypaninou z hornin tř. 1 až 4 bez prohození sypaniny</t>
  </si>
  <si>
    <t>17511-1101</t>
  </si>
  <si>
    <t>0,63*12,71 Vypouštěcí DN 400</t>
  </si>
  <si>
    <t>Zásyp rýh sypaninou se zhutněním</t>
  </si>
  <si>
    <t>17410-1101</t>
  </si>
  <si>
    <t>8,32*0,9 DN 400</t>
  </si>
  <si>
    <t>(29,90*0,9)-8,32*0,9+2,74*1,9 Rýha DN 400 + vývar</t>
  </si>
  <si>
    <t>0,1*0,9*13,8 Vypouštěcí potrubí DN 400</t>
  </si>
  <si>
    <t>54157-3111</t>
  </si>
  <si>
    <t>0,6*0,3*3   Práh vývaru</t>
  </si>
  <si>
    <t>Zához z lomového kamene neupraveného záhozového z terénu bez proštěrkování hmotnost kamenů do 500 kg</t>
  </si>
  <si>
    <t>7,2*0,45 Vývar</t>
  </si>
  <si>
    <t>46251-1370</t>
  </si>
  <si>
    <t>Prolití konstrukce z kamenného záhozu cementovou maltou MC 10</t>
  </si>
  <si>
    <t>46245-1112</t>
  </si>
  <si>
    <t>Hloubení zapažených i nezapažených rýh šířky do 600 s urovnáním dna v hornině tř. 3 do 100 m3</t>
  </si>
  <si>
    <t>13220-1101</t>
  </si>
  <si>
    <t>0,6*0,3*2+3*0,8*2   Práh vývaru</t>
  </si>
  <si>
    <t>13120-1101</t>
  </si>
  <si>
    <t>4,32*3,62+4,32*4,46+1,88*12,45+3,39*5,9+4,32*3,47 Bezpečnostní přepad - nová hráz</t>
  </si>
  <si>
    <t>2,84*0,2*3+3,65*0,3*0,8+3,5*0,3*0,8 Prahy BP - nová hráz</t>
  </si>
  <si>
    <t>93,3+3,42 Výkop BP - nová hráz</t>
  </si>
  <si>
    <t>5,22*6+0,3*0,8*10+0,8*3,5*2+0,8*3,65*2 BP - nová hráz</t>
  </si>
  <si>
    <t>0,18*14,45 Vypouštěcí DN 400</t>
  </si>
  <si>
    <t>2,57*2,7*0,15</t>
  </si>
  <si>
    <t>32132-1115</t>
  </si>
  <si>
    <t>0,64*(4,46+3,02+3,47) Podkladní beton BP - nová hráz</t>
  </si>
  <si>
    <t>32131-1115</t>
  </si>
  <si>
    <t>Konstrukce z betonu prostého tř. C 25/30</t>
  </si>
  <si>
    <t>5,19*0,3*3+0,8*0,3*3,5+0,8*0,3*3,65 Betonové prahy BP - nová hráz</t>
  </si>
  <si>
    <t>45,16   BP - nová hráz</t>
  </si>
  <si>
    <t>0,88*2*(3+4,46) Horní část BP - nová hráz</t>
  </si>
  <si>
    <t>Zához z lomového kamene neupraveného záhozového z terénu bez proštěrkování hmotnost kamenů do 200 kg</t>
  </si>
  <si>
    <t>46251-1270</t>
  </si>
  <si>
    <t>(3,5*3,5+3,5*1,3)*0,3 Dolní část BP - nová hráz</t>
  </si>
  <si>
    <t>Bezpečnostní přepad - stará hráz</t>
  </si>
  <si>
    <t>4,36*6,13 Horní část</t>
  </si>
  <si>
    <t>((4,36+2,64)/2)*6,92 Střed</t>
  </si>
  <si>
    <t>Podkladní beton BP - stará hráz</t>
  </si>
  <si>
    <t>0,64*6,13 Horní část</t>
  </si>
  <si>
    <t>((0,64+0,43)/2)*6,92 Střed</t>
  </si>
  <si>
    <t>Kamenný zához - stará hráz</t>
  </si>
  <si>
    <t>2,74*1+((2,74/2))*1,22)*2 Spodní část</t>
  </si>
  <si>
    <t>(3,8*2+2,7*2+7,63)*0,1 Spodní část</t>
  </si>
  <si>
    <t>1,71*6,13 Horní část</t>
  </si>
  <si>
    <t>((1,71+1,14)/2)*6,92 Střed</t>
  </si>
  <si>
    <t>(3,8*2+2,7*2+7,63)*0,3 Spodní část</t>
  </si>
  <si>
    <t>5,19*0,3+2,8*0,3+3,6*0,3+0,8*0,3 Prahy BP - stará hráz</t>
  </si>
  <si>
    <t>57,03+3,72 Výkop BP - stará hráz</t>
  </si>
  <si>
    <t>10,42+0,48+5,6+0,48+7,2+0,48+1,6+0,48 BP - stará hráz</t>
  </si>
  <si>
    <t>26,74   BP - stará hráz</t>
  </si>
  <si>
    <t>Rozprostření ornice, rovina, tl.do 10 cm, do 500 m2</t>
  </si>
  <si>
    <t>18230-1121</t>
  </si>
  <si>
    <t>18230-1101</t>
  </si>
  <si>
    <t>3,8*2+2,7*2+1,3*7*2+6,13*1,3*2 BP - stará hráz</t>
  </si>
  <si>
    <t>11,9*3,5   BP - nová hráz</t>
  </si>
  <si>
    <t>Rozprostření ornice, svah, tl.do 10 cm,do 500m2</t>
  </si>
  <si>
    <t>1,3*11,9*2+5,94*2 BP - nová hráz</t>
  </si>
  <si>
    <t>(0,18*1,08)/2+(0,18*2)/2+0,64*3,17  Malý BP</t>
  </si>
  <si>
    <t>0,42*0,2+0,71*0,2 Prahy malý BP</t>
  </si>
  <si>
    <t>0,71*2+0,2*0,5*2+1,05*2+0,5*0,2*2 Malý BP</t>
  </si>
  <si>
    <t>3,92   Malý BP</t>
  </si>
  <si>
    <t>0,71*2*0,2+1,05*2*0,2   Malý BP</t>
  </si>
  <si>
    <t>3,21*0,3*1,5+(0,11*1,7)/2+(0,11*1,5)/2    Malý BP</t>
  </si>
  <si>
    <t>Regulační šacha</t>
  </si>
  <si>
    <t>0,3*8,4   Základ vč. Podkladní deska</t>
  </si>
  <si>
    <t>0,9*1,7*4   Vnitřní část stěn</t>
  </si>
  <si>
    <t>1,5*1,7*4   Vnější část stěn</t>
  </si>
  <si>
    <t>18,84   Regulační šacha</t>
  </si>
  <si>
    <t>0,36*4*1,7-3*(0,2*0,2*3,14)   Stěny</t>
  </si>
  <si>
    <t>(4,41*2+1,36*1,7*8)*0,0079   Regulační šachta</t>
  </si>
  <si>
    <t>48*0,00064   Reg. Šachta</t>
  </si>
  <si>
    <t>Vřetenové šoupátko DN 400 mm</t>
  </si>
  <si>
    <t>22,57*0,9*1,32 Rýha pro potrubí z reg. Šachty</t>
  </si>
  <si>
    <t>4,19+8,5+8,1+2,52+13,87</t>
  </si>
  <si>
    <t>0,1*0,9*12,9 potrubí DN 400 z reg. Šachty</t>
  </si>
  <si>
    <t>0,6*0,9*12,9-(3,14*0,2*0,2*12,9) potrubí DN 400 z reg. Šachty</t>
  </si>
  <si>
    <t>0,55*11,9 Potrubí DN 400 z reg. Šachty</t>
  </si>
  <si>
    <t>0,2*2*14,45 Vypouštěcí potrubí DN 400</t>
  </si>
  <si>
    <t>(14,45*0,9*2+1,5*0,9*2)*0,0079 Pod potrubí DN 400 - vypouštění</t>
  </si>
  <si>
    <t>0,2*2*11,9 Potrubí DN 400 z reg. Šachty</t>
  </si>
  <si>
    <t>(11,9*0,9*2)*0,0079 Potrubí DN 400 z reg. Šachty</t>
  </si>
  <si>
    <t>0,9*0,2*11,9  Potrubí DN 400 z reg. Šachty</t>
  </si>
  <si>
    <t>0,18*0,33 Patka ŽB podkladové desky</t>
  </si>
  <si>
    <t>13,1*0,9*0,3 Potrubí DN 400 z reg. Šachty</t>
  </si>
  <si>
    <t>2 Reg. Šachta</t>
  </si>
  <si>
    <t>87739-0410</t>
  </si>
  <si>
    <t>1 Regu. Šachta</t>
  </si>
  <si>
    <t>4 DN 400 reg. Šachta</t>
  </si>
  <si>
    <t>Korugované plastové potrub tvarovka koleno 15° DN 400</t>
  </si>
  <si>
    <t>1 reg šachta</t>
  </si>
  <si>
    <t>11,9+12,9 Vypouštěcí potrubí DN 400</t>
  </si>
  <si>
    <t>6173*0,1 Hráz + zátopa</t>
  </si>
  <si>
    <t>110*0,1 Okolí reg. Šachty</t>
  </si>
  <si>
    <t>88*0,1 BP nová hráz</t>
  </si>
  <si>
    <t xml:space="preserve">17,74*0,1 Vypouštění </t>
  </si>
  <si>
    <t>(36,2+37,5+19,7)*0,1 BP stará hráz</t>
  </si>
  <si>
    <t>1,1*2*0,33+0,33*0,2*2+0,4*0,2*2+0,45*0,4*2   Patky na výusti potrubí</t>
  </si>
  <si>
    <t>1,38   Patky na výusti potrubí</t>
  </si>
  <si>
    <t>0,2*0,4*0,45 Patka záhozu</t>
  </si>
  <si>
    <t>0,86*0,45+0,43*0,33*2   Vývar potrubí z reg. Šachty</t>
  </si>
  <si>
    <t>Veškeré sejmutí ornice</t>
  </si>
  <si>
    <t>761+6*7,5+38+24+15   Koruna hráze + část nad litorálem</t>
  </si>
  <si>
    <t>1998,23+70,23   Násyp hráze těsnící část</t>
  </si>
  <si>
    <t>1142,52+100   Násyp hráze stabilizační část</t>
  </si>
  <si>
    <t>2074,25   Stabilizační 1:3,5</t>
  </si>
  <si>
    <t>2118,6,3+25*7+92+66+47  vzdušný svah + část břehu mokřadu</t>
  </si>
  <si>
    <t>Vodorovné přemístění výkopku nebo sypaniny z hor.1-4 do 10 000 m</t>
  </si>
  <si>
    <t>16270-1105</t>
  </si>
  <si>
    <t>1142,52+100    Materiál do stabilizační části hráze, který není v místě stavby</t>
  </si>
  <si>
    <t>1142,52+100    Materiál pro stabilizační hráz</t>
  </si>
  <si>
    <t>Nakládání neulehlého výkopku nebo sypaniny přes 100 m3 tř. 1 až 4</t>
  </si>
  <si>
    <t>16710-1102</t>
  </si>
  <si>
    <t>12110-1101</t>
  </si>
  <si>
    <t>Sejmutí ornice s přemístěním vodorovným přemístěním do 50 m</t>
  </si>
  <si>
    <t>12220-1403</t>
  </si>
  <si>
    <t>Ulož. sypaniny z hornin 1-4 do zemních hrází,100%PS, objem jílu 20%-50%</t>
  </si>
  <si>
    <t>17110-3202</t>
  </si>
  <si>
    <t>18210-1101</t>
  </si>
  <si>
    <t>18220-1101</t>
  </si>
  <si>
    <t>18195-1102</t>
  </si>
  <si>
    <t>Ulož. sypaniny z hornin 1-4 do zemních hrází,bez předepsaného zhutnění,objem jílu do 20%</t>
  </si>
  <si>
    <t>17110-3211</t>
  </si>
  <si>
    <t>18130-1111</t>
  </si>
  <si>
    <t>18230-1131</t>
  </si>
  <si>
    <t>Bednění konstrukcí z betonu prostého nebo železového vodních staveb zřízení ploch rovinných</t>
  </si>
  <si>
    <t>32135-1010</t>
  </si>
  <si>
    <t>32135-2010</t>
  </si>
  <si>
    <t>Bednění konstrukcí z betonu prostého nebo železového vodních staveb odstranění ploch rovinných</t>
  </si>
  <si>
    <t>45131-1521</t>
  </si>
  <si>
    <t>4,41*0,1   Podkladní deska pod základ</t>
  </si>
  <si>
    <t>4,41*0,2   Základ</t>
  </si>
  <si>
    <t>(8,39+1,96)*0,1   Pod základy</t>
  </si>
  <si>
    <t>46521-0112</t>
  </si>
  <si>
    <t>17110-1103</t>
  </si>
  <si>
    <t>Hloubení nezapažených jam s urovnáním dna v horninách tř. 4 nesoudružných do 100m3</t>
  </si>
  <si>
    <t>13130-1101</t>
  </si>
  <si>
    <t>Hloubení nezapažených jam s urovnáním dna v horninách tř. 4 nesoudružných do 100 m3</t>
  </si>
  <si>
    <t>Hloubení nezapažených jam s urovnáním dna v horninách tř. 3 nesoudružných do 100 m3</t>
  </si>
  <si>
    <t>32136-8211</t>
  </si>
  <si>
    <t>32136-1101</t>
  </si>
  <si>
    <t>32121-3345</t>
  </si>
  <si>
    <t>45235-1101</t>
  </si>
  <si>
    <t>Výztuž podkladních desek ze svařovaných sítí typu KARI</t>
  </si>
  <si>
    <t>45236-8211</t>
  </si>
  <si>
    <t>45221-1161</t>
  </si>
  <si>
    <t>87139-0420</t>
  </si>
  <si>
    <t>Montáž kanalizačního potrubí z plastů korugovaného DN 400 SN 12</t>
  </si>
  <si>
    <t>89964-3111</t>
  </si>
  <si>
    <t>(11,9)*0,56*2 Potrubí ze reg. Šachty</t>
  </si>
  <si>
    <t>89962-3171</t>
  </si>
  <si>
    <t>12220-1401</t>
  </si>
  <si>
    <t>(7,14/2)*4,15 ODKOPÁNÍ terénu</t>
  </si>
  <si>
    <t>2*2,1*2,1   Reg. Šachta</t>
  </si>
  <si>
    <t>8,82+14,82+26,81 Výkop reg. Šachta + odkopání + rýha</t>
  </si>
  <si>
    <t>Rozprostření ornice, rovina, tl.do 10 cm,do 500m2</t>
  </si>
  <si>
    <t>3,5 Všude</t>
  </si>
  <si>
    <t>Příplatek za urovnání ploch záhozu, hmotnost jednolivých kamennů do 200kg</t>
  </si>
  <si>
    <t>46251-9002</t>
  </si>
  <si>
    <t>46241-9002</t>
  </si>
  <si>
    <t>Přesun hmot pro nádrže</t>
  </si>
  <si>
    <t>Dlažba z lom. kamene lom. upraveného na MC s vyspárováním cementovou maltou tl. kamene 250 mm</t>
  </si>
  <si>
    <t>46551-3227</t>
  </si>
  <si>
    <t>6*5,8+5*7,3+2,5*6,7  BP - stará hráz</t>
  </si>
  <si>
    <t>6*7,9</t>
  </si>
  <si>
    <t>648,21-(2498,63+883,33+42,82+41,65)*0,1 Přebytek ornice</t>
  </si>
  <si>
    <t>648,21 Ornice</t>
  </si>
  <si>
    <t>Vodorovné přemístění výkopku z horniny 1-4 do 4000 m</t>
  </si>
  <si>
    <t>648,21-301,57 Využitelná ornice</t>
  </si>
  <si>
    <t>Vodorovné přemístění výkopku z horniny 1-4 do 500 m</t>
  </si>
  <si>
    <t>Vodorovné přemístění výkopku z hor.1-4 do 500 m</t>
  </si>
  <si>
    <t>16230-1101</t>
  </si>
  <si>
    <t>Pohoz svahů z hrubého drceného kameniva fr. 63-125 mm</t>
  </si>
  <si>
    <t>25,6*3,2*0,3 Mokřad</t>
  </si>
  <si>
    <t>46453-1112</t>
  </si>
  <si>
    <t>Zřízení vrstvy z geotextílie s přesahem do 7,5 m o sklonu do 35°</t>
  </si>
  <si>
    <t>45797-1122</t>
  </si>
  <si>
    <t>665,8*0,3 Velká zátopa</t>
  </si>
  <si>
    <t>Osetí (založení trávníku)</t>
  </si>
  <si>
    <t>18141-1121</t>
  </si>
  <si>
    <t>69366058</t>
  </si>
  <si>
    <t>883+2498,63+84,47   Koruna hráze + svahy + BP</t>
  </si>
  <si>
    <t>(693,2+25,6*3,2+11,36+8)*1,08 Velká zátopa + Mokřad + Objekty</t>
  </si>
  <si>
    <t xml:space="preserve">Geotextílie 500 g/m2 </t>
  </si>
  <si>
    <t>Korugované plastové potrubí s hrdlem DN 400, délka 6000 mm</t>
  </si>
  <si>
    <t>Vřetenové šoupátko DN 400</t>
  </si>
  <si>
    <t>200308</t>
  </si>
  <si>
    <t>Korugované plastové potrubí s hrdlem DN 400, délka 3000 mm</t>
  </si>
  <si>
    <t>45157-3111</t>
  </si>
  <si>
    <t>Lože pod potrubí v otevřeném příkopu z písku</t>
  </si>
  <si>
    <t>200500</t>
  </si>
  <si>
    <t>1 Vypouštěcí objekt velký</t>
  </si>
  <si>
    <t>Kotvící souprava pro šoupátko DN 400 mm</t>
  </si>
  <si>
    <t>200309</t>
  </si>
  <si>
    <t>200140</t>
  </si>
  <si>
    <t>94111-1121</t>
  </si>
  <si>
    <t>Příplatek za první a každý další den použití lešení</t>
  </si>
  <si>
    <t>94111-1221</t>
  </si>
  <si>
    <t>23,44*14 dní -  Vypouštěcí objekt velký</t>
  </si>
  <si>
    <t>Montáž lešení řadového trubkového lehkého řad. s podlahami, š. 1,2 m, H 10 m</t>
  </si>
  <si>
    <t>Demontáž lešení řadového trubkového lehkého řad. s podlahami, š. 1,2 m, H 10 m</t>
  </si>
  <si>
    <t xml:space="preserve">Montáž lešení řadového trubkového lehkého řad. s podlahami, š. 1,2 m, H 10 m </t>
  </si>
  <si>
    <t>94111-2821</t>
  </si>
  <si>
    <t>16260-1101</t>
  </si>
  <si>
    <t>5 Reg. Šachta</t>
  </si>
  <si>
    <t>Hloubení jamek bez výměry půdy do 0,125 m3 svah 1:5</t>
  </si>
  <si>
    <t>Výsadba dřevin s balem D do 30 cm, v rovině</t>
  </si>
  <si>
    <t>Ochrana dřevin před okusem z drát.pletiva  v rovině</t>
  </si>
  <si>
    <t>Osazení kůlů k dřevině s usazováním, dl. kůlů do 2 m</t>
  </si>
  <si>
    <t xml:space="preserve">ks </t>
  </si>
  <si>
    <t>8*3</t>
  </si>
  <si>
    <t>Hnojení umělým hnojivem k rostlinám rovině</t>
  </si>
  <si>
    <t>Zalití rostlin vodou plochy nad 20 m2</t>
  </si>
  <si>
    <t>Přesun hmot pro savodnické a krajin. úpravy do 5 km</t>
  </si>
  <si>
    <t>Kůl dřevěný</t>
  </si>
  <si>
    <t>Úvazek pro uvázání dřeviny ke kůlu (1bm/ks)</t>
  </si>
  <si>
    <t>kg</t>
  </si>
  <si>
    <t>4*20 litů</t>
  </si>
  <si>
    <t>18310-1114</t>
  </si>
  <si>
    <t>18410-2112</t>
  </si>
  <si>
    <t>18480-4112</t>
  </si>
  <si>
    <t>Dovoz vody pro zálivku rostlin do 6 km</t>
  </si>
  <si>
    <t>18490-1111</t>
  </si>
  <si>
    <t>18580-2114</t>
  </si>
  <si>
    <t>18580-4312</t>
  </si>
  <si>
    <t>99823-1311</t>
  </si>
  <si>
    <t>200369</t>
  </si>
  <si>
    <t>Lesní dřeviny - odrostky výšky do 180 cm</t>
  </si>
  <si>
    <t>200450</t>
  </si>
  <si>
    <t>18585-1111</t>
  </si>
  <si>
    <t>200496</t>
  </si>
  <si>
    <t>Tabletové hnojivo</t>
  </si>
  <si>
    <t>200475</t>
  </si>
  <si>
    <t>8</t>
  </si>
  <si>
    <t>1,2</t>
  </si>
  <si>
    <t>Přesun hmot</t>
  </si>
  <si>
    <t xml:space="preserve">kg </t>
  </si>
  <si>
    <t xml:space="preserve">t </t>
  </si>
  <si>
    <t>99833-10</t>
  </si>
  <si>
    <t>1</t>
  </si>
  <si>
    <t>2</t>
  </si>
  <si>
    <t>3</t>
  </si>
  <si>
    <t>4</t>
  </si>
  <si>
    <t>7</t>
  </si>
  <si>
    <t>9</t>
  </si>
  <si>
    <t>89950-3111</t>
  </si>
  <si>
    <t>200110</t>
  </si>
  <si>
    <t>200111</t>
  </si>
  <si>
    <t>Rám regulační šachty - kovový L profil</t>
  </si>
  <si>
    <t>200112</t>
  </si>
  <si>
    <t>1 Menší pro vtokový objekt</t>
  </si>
  <si>
    <t>1 Vetší pro vypouštěcí objekt velký</t>
  </si>
  <si>
    <t>1 Reg. šachta</t>
  </si>
  <si>
    <t>1*4 Vypouštěcí objekt velký + 1*2 Vtokový objekt</t>
  </si>
  <si>
    <t>200298</t>
  </si>
  <si>
    <t>Osazení kovových předmětů do betonu, 30 kg/kus</t>
  </si>
  <si>
    <t>10 Drážky pro dluže - vypouštěcí objekt velký</t>
  </si>
  <si>
    <t>95394-3125</t>
  </si>
  <si>
    <t>1 I profil</t>
  </si>
  <si>
    <t>2 rám na poklop</t>
  </si>
  <si>
    <t>1 rám na poklop požeráku</t>
  </si>
  <si>
    <t>95394-3124</t>
  </si>
  <si>
    <t>14</t>
  </si>
  <si>
    <t>15</t>
  </si>
  <si>
    <t>19</t>
  </si>
  <si>
    <t>20</t>
  </si>
  <si>
    <t>21</t>
  </si>
  <si>
    <t>22</t>
  </si>
  <si>
    <t>25</t>
  </si>
  <si>
    <t>27</t>
  </si>
  <si>
    <t>28</t>
  </si>
  <si>
    <t>29</t>
  </si>
  <si>
    <t>30</t>
  </si>
  <si>
    <t>31</t>
  </si>
  <si>
    <t>34</t>
  </si>
  <si>
    <t>35</t>
  </si>
  <si>
    <t>43</t>
  </si>
  <si>
    <t>53</t>
  </si>
  <si>
    <t>54</t>
  </si>
  <si>
    <t>61</t>
  </si>
  <si>
    <t>63</t>
  </si>
  <si>
    <t>65</t>
  </si>
  <si>
    <t>66</t>
  </si>
  <si>
    <t>67</t>
  </si>
  <si>
    <t>72</t>
  </si>
  <si>
    <t>73</t>
  </si>
  <si>
    <t>74</t>
  </si>
  <si>
    <t>75</t>
  </si>
  <si>
    <t>76</t>
  </si>
  <si>
    <t>77</t>
  </si>
  <si>
    <t>78</t>
  </si>
  <si>
    <t>79</t>
  </si>
  <si>
    <t>Příplatek za urovnání ploch záhozu,kameny do 200 kg</t>
  </si>
  <si>
    <t>Montáž tvarovek na kanalizačním plastovém potrubí korugovaného kolen DN 400</t>
  </si>
  <si>
    <t>200306VD</t>
  </si>
  <si>
    <t>Geotextílie 500g/m2</t>
  </si>
  <si>
    <t>858,04</t>
  </si>
  <si>
    <t>Úprava půdy - orba do 30 cm, sklon do 5°</t>
  </si>
  <si>
    <t>ha</t>
  </si>
  <si>
    <t>18355-1111</t>
  </si>
  <si>
    <t>84</t>
  </si>
  <si>
    <t>0,37 plocha pod hrází</t>
  </si>
  <si>
    <t>Datum, razítko a podpis</t>
  </si>
  <si>
    <t xml:space="preserve">ing. Tomáš Horký </t>
  </si>
  <si>
    <t>Zhotovitel</t>
  </si>
  <si>
    <t>Objednatel</t>
  </si>
  <si>
    <t>Projektant</t>
  </si>
  <si>
    <t>Celkem včetně DPH</t>
  </si>
  <si>
    <t>DPH 21%</t>
  </si>
  <si>
    <t>Základ 21%</t>
  </si>
  <si>
    <t>Celkem bez DPH</t>
  </si>
  <si>
    <t>DPH 5%</t>
  </si>
  <si>
    <t>Základ 5%</t>
  </si>
  <si>
    <t>Základ 0%</t>
  </si>
  <si>
    <t>NUS celkem</t>
  </si>
  <si>
    <t>DN celkem</t>
  </si>
  <si>
    <t>ZRN celkem</t>
  </si>
  <si>
    <t>Přesun hmot a sutí</t>
  </si>
  <si>
    <t>NUS z rozpočtu</t>
  </si>
  <si>
    <t>Ostatní</t>
  </si>
  <si>
    <t>Dodávky</t>
  </si>
  <si>
    <t>"M"</t>
  </si>
  <si>
    <t>Provozní vlivy</t>
  </si>
  <si>
    <t>Územní vlivy</t>
  </si>
  <si>
    <t>Kulturní památka</t>
  </si>
  <si>
    <t>PSV</t>
  </si>
  <si>
    <t>Mimostav. doprava</t>
  </si>
  <si>
    <t>Bez pevné podl.</t>
  </si>
  <si>
    <t>Zařízení staveniště</t>
  </si>
  <si>
    <t>Práce přesčas</t>
  </si>
  <si>
    <t>HSV</t>
  </si>
  <si>
    <t>Náklady na umístění stavby (NUS)</t>
  </si>
  <si>
    <t>C</t>
  </si>
  <si>
    <t>Doplňkové náklady</t>
  </si>
  <si>
    <t>B</t>
  </si>
  <si>
    <t>Základní rozpočtové náklady</t>
  </si>
  <si>
    <t>A</t>
  </si>
  <si>
    <t>Rozpočtové náklady v Kč</t>
  </si>
  <si>
    <t>Datum:</t>
  </si>
  <si>
    <t>ing. Tomáš Horký</t>
  </si>
  <si>
    <t>Zpracoval:</t>
  </si>
  <si>
    <t>JKSO:</t>
  </si>
  <si>
    <t>Položek:</t>
  </si>
  <si>
    <t>Konec výstavby:</t>
  </si>
  <si>
    <t>Začátek výstavby:</t>
  </si>
  <si>
    <t>IČ/DIČ:</t>
  </si>
  <si>
    <t>Zhotovitel:</t>
  </si>
  <si>
    <t>Lokalita:</t>
  </si>
  <si>
    <t>13700987</t>
  </si>
  <si>
    <t>Projektant:</t>
  </si>
  <si>
    <t>Druh stavby a účel:</t>
  </si>
  <si>
    <t>Objednatel:</t>
  </si>
  <si>
    <t>Název stavby:</t>
  </si>
  <si>
    <t>Krycí list rozpočtu</t>
  </si>
  <si>
    <t>783</t>
  </si>
  <si>
    <t>Nátěry</t>
  </si>
  <si>
    <t>78312-1169</t>
  </si>
  <si>
    <t>Nátěry ocelových konstrukcí syntetické dražšími barvami, matný povrch, konstrukcí lehkých, 3x antiorozní, 1x základní, 3x email</t>
  </si>
  <si>
    <t>(64+36+8)*0,00064   Požerák</t>
  </si>
  <si>
    <t>82</t>
  </si>
  <si>
    <t>3,1 Veškeré nátěry kovových konstrukcí</t>
  </si>
  <si>
    <t>83</t>
  </si>
  <si>
    <t>Korugované plastové potrubí tvarovka koleno 15° DN 400</t>
  </si>
  <si>
    <t>200307VD</t>
  </si>
  <si>
    <t>D+M</t>
  </si>
  <si>
    <t>Nová Lhota</t>
  </si>
  <si>
    <t>Vodní plocha – Nová Lhota (polní trať Lazy)</t>
  </si>
  <si>
    <t>Obec Nová Lhota, Nová Lhota 355, 696 74 Nová Lhota</t>
  </si>
  <si>
    <t>86</t>
  </si>
  <si>
    <t>85</t>
  </si>
  <si>
    <t>797,95</t>
  </si>
  <si>
    <t>Výkaz výměr - Vodní plocha – Nová Lhota (polní trať Lazy)</t>
  </si>
  <si>
    <t>Stavební rozpočet - Vodní plocha – Nová Lhota (polní trať Lazy)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</si>
</sst>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.0"/>
    <numFmt numFmtId="166" formatCode="0.000"/>
  </numFmts>
  <fonts count="18" x14ac:knownFonts="1">
    <font>
      <sz val="10"/>
      <name val="Arial"/>
      <family val="2"/>
    </font>
    <font>
      <sz val="10"/>
      <name val="Arial"/>
      <family val="2"/>
      <charset val="238"/>
    </font>
    <font>
      <sz val="1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theme="4" tint="0.39997558519241921"/>
      <name val="Arial"/>
      <family val="2"/>
      <charset val="238"/>
    </font>
    <font>
      <sz val="10"/>
      <color theme="7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8">
    <xf numFmtId="0" fontId="1" fillId="0" borderId="0" xfId="0" applyFont="1"/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>
      <alignment horizontal="right" vertical="center"/>
    </xf>
    <xf numFmtId="49" fontId="4" fillId="2" borderId="0" xfId="0" applyNumberFormat="1" applyFont="1" applyFill="1" applyBorder="1" applyAlignment="1" applyProtection="1">
      <alignment horizontal="righ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4" fillId="0" borderId="12" xfId="0" applyNumberFormat="1" applyFont="1" applyFill="1" applyBorder="1" applyAlignment="1" applyProtection="1">
      <alignment horizontal="right" vertic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49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/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left" vertical="center" wrapText="1"/>
    </xf>
    <xf numFmtId="4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/>
    <xf numFmtId="0" fontId="17" fillId="0" borderId="0" xfId="0" applyFont="1"/>
    <xf numFmtId="49" fontId="1" fillId="0" borderId="0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/>
    <xf numFmtId="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3" fillId="0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vertical="center"/>
    </xf>
    <xf numFmtId="0" fontId="3" fillId="0" borderId="16" xfId="0" applyNumberFormat="1" applyFont="1" applyFill="1" applyBorder="1" applyAlignment="1" applyProtection="1">
      <alignment vertical="center"/>
    </xf>
    <xf numFmtId="4" fontId="9" fillId="2" borderId="17" xfId="0" applyNumberFormat="1" applyFont="1" applyFill="1" applyBorder="1" applyAlignment="1" applyProtection="1">
      <alignment horizontal="right" vertical="center"/>
    </xf>
    <xf numFmtId="0" fontId="8" fillId="0" borderId="18" xfId="0" applyNumberFormat="1" applyFont="1" applyFill="1" applyBorder="1" applyAlignment="1" applyProtection="1">
      <alignment vertical="center"/>
    </xf>
    <xf numFmtId="0" fontId="8" fillId="0" borderId="19" xfId="0" applyNumberFormat="1" applyFont="1" applyFill="1" applyBorder="1" applyAlignment="1" applyProtection="1">
      <alignment vertical="center"/>
    </xf>
    <xf numFmtId="0" fontId="8" fillId="0" borderId="20" xfId="0" applyNumberFormat="1" applyFont="1" applyFill="1" applyBorder="1" applyAlignment="1" applyProtection="1">
      <alignment vertical="center"/>
    </xf>
    <xf numFmtId="0" fontId="8" fillId="0" borderId="21" xfId="0" applyNumberFormat="1" applyFont="1" applyFill="1" applyBorder="1" applyAlignment="1" applyProtection="1">
      <alignment vertical="center"/>
    </xf>
    <xf numFmtId="4" fontId="10" fillId="0" borderId="22" xfId="0" applyNumberFormat="1" applyFont="1" applyFill="1" applyBorder="1" applyAlignment="1" applyProtection="1">
      <alignment horizontal="right" vertical="center"/>
    </xf>
    <xf numFmtId="49" fontId="10" fillId="0" borderId="22" xfId="0" applyNumberFormat="1" applyFont="1" applyFill="1" applyBorder="1" applyAlignment="1" applyProtection="1">
      <alignment horizontal="right" vertical="center"/>
    </xf>
    <xf numFmtId="49" fontId="10" fillId="0" borderId="22" xfId="0" applyNumberFormat="1" applyFont="1" applyFill="1" applyBorder="1" applyAlignment="1" applyProtection="1">
      <alignment horizontal="left" vertical="center"/>
    </xf>
    <xf numFmtId="49" fontId="11" fillId="0" borderId="23" xfId="0" applyNumberFormat="1" applyFont="1" applyFill="1" applyBorder="1" applyAlignment="1" applyProtection="1">
      <alignment horizontal="left" vertical="center"/>
    </xf>
    <xf numFmtId="49" fontId="11" fillId="0" borderId="24" xfId="0" applyNumberFormat="1" applyFont="1" applyFill="1" applyBorder="1" applyAlignment="1" applyProtection="1">
      <alignment horizontal="left" vertical="center"/>
    </xf>
    <xf numFmtId="49" fontId="12" fillId="2" borderId="2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/>
    </xf>
    <xf numFmtId="49" fontId="1" fillId="2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165" fontId="7" fillId="2" borderId="0" xfId="0" applyNumberFormat="1" applyFont="1" applyFill="1" applyBorder="1" applyAlignment="1" applyProtection="1">
      <alignment horizontal="right" vertical="center"/>
    </xf>
    <xf numFmtId="166" fontId="7" fillId="2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Alignment="1"/>
    <xf numFmtId="49" fontId="4" fillId="2" borderId="0" xfId="0" applyNumberFormat="1" applyFont="1" applyFill="1" applyBorder="1" applyAlignment="1" applyProtection="1">
      <alignment horizontal="left" vertical="center" wrapText="1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horizontal="center" vertical="center"/>
    </xf>
    <xf numFmtId="49" fontId="4" fillId="0" borderId="27" xfId="0" applyNumberFormat="1" applyFont="1" applyFill="1" applyBorder="1" applyAlignment="1" applyProtection="1">
      <alignment horizontal="center" vertical="center"/>
    </xf>
    <xf numFmtId="49" fontId="4" fillId="0" borderId="28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8" fillId="0" borderId="36" xfId="0" applyNumberFormat="1" applyFont="1" applyFill="1" applyBorder="1" applyAlignment="1" applyProtection="1">
      <alignment horizontal="left" vertical="center"/>
    </xf>
    <xf numFmtId="49" fontId="8" fillId="0" borderId="34" xfId="0" applyNumberFormat="1" applyFont="1" applyFill="1" applyBorder="1" applyAlignment="1" applyProtection="1">
      <alignment horizontal="left" vertical="center"/>
    </xf>
    <xf numFmtId="49" fontId="8" fillId="0" borderId="35" xfId="0" applyNumberFormat="1" applyFont="1" applyFill="1" applyBorder="1" applyAlignment="1" applyProtection="1">
      <alignment horizontal="left" vertical="center"/>
    </xf>
    <xf numFmtId="49" fontId="8" fillId="0" borderId="34" xfId="0" applyNumberFormat="1" applyFont="1" applyFill="1" applyBorder="1" applyAlignment="1" applyProtection="1">
      <alignment horizontal="left" vertical="center" wrapText="1"/>
    </xf>
    <xf numFmtId="49" fontId="11" fillId="0" borderId="22" xfId="0" applyNumberFormat="1" applyFont="1" applyFill="1" applyBorder="1" applyAlignment="1" applyProtection="1">
      <alignment horizontal="left" vertical="center"/>
    </xf>
    <xf numFmtId="49" fontId="10" fillId="0" borderId="22" xfId="0" applyNumberFormat="1" applyFont="1" applyFill="1" applyBorder="1" applyAlignment="1" applyProtection="1">
      <alignment horizontal="left" vertical="center"/>
    </xf>
    <xf numFmtId="49" fontId="9" fillId="2" borderId="33" xfId="0" applyNumberFormat="1" applyFont="1" applyFill="1" applyBorder="1" applyAlignment="1" applyProtection="1">
      <alignment horizontal="left" vertical="center"/>
    </xf>
    <xf numFmtId="4" fontId="10" fillId="0" borderId="24" xfId="0" applyNumberFormat="1" applyFont="1" applyFill="1" applyBorder="1" applyAlignment="1" applyProtection="1">
      <alignment horizontal="right" vertical="center"/>
    </xf>
    <xf numFmtId="4" fontId="10" fillId="0" borderId="23" xfId="0" applyNumberFormat="1" applyFont="1" applyFill="1" applyBorder="1" applyAlignment="1" applyProtection="1">
      <alignment horizontal="right" vertical="center"/>
    </xf>
    <xf numFmtId="49" fontId="10" fillId="0" borderId="24" xfId="0" applyNumberFormat="1" applyFont="1" applyFill="1" applyBorder="1" applyAlignment="1" applyProtection="1">
      <alignment horizontal="left" vertical="center"/>
    </xf>
    <xf numFmtId="49" fontId="10" fillId="0" borderId="23" xfId="0" applyNumberFormat="1" applyFont="1" applyFill="1" applyBorder="1" applyAlignment="1" applyProtection="1">
      <alignment horizontal="left" vertical="center"/>
    </xf>
    <xf numFmtId="49" fontId="11" fillId="0" borderId="24" xfId="0" applyNumberFormat="1" applyFont="1" applyFill="1" applyBorder="1" applyAlignment="1" applyProtection="1">
      <alignment horizontal="left" vertical="center"/>
    </xf>
    <xf numFmtId="49" fontId="11" fillId="0" borderId="23" xfId="0" applyNumberFormat="1" applyFont="1" applyFill="1" applyBorder="1" applyAlignment="1" applyProtection="1">
      <alignment horizontal="left" vertical="center"/>
    </xf>
    <xf numFmtId="14" fontId="3" fillId="0" borderId="32" xfId="0" applyNumberFormat="1" applyFont="1" applyFill="1" applyBorder="1" applyAlignment="1" applyProtection="1">
      <alignment horizontal="left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9" fillId="0" borderId="22" xfId="0" applyNumberFormat="1" applyFont="1" applyFill="1" applyBorder="1" applyAlignment="1" applyProtection="1">
      <alignment horizontal="left" vertical="center"/>
    </xf>
    <xf numFmtId="49" fontId="3" fillId="0" borderId="19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left" vertical="center"/>
    </xf>
    <xf numFmtId="49" fontId="3" fillId="0" borderId="31" xfId="0" applyNumberFormat="1" applyFont="1" applyFill="1" applyBorder="1" applyAlignment="1" applyProtection="1">
      <alignment horizontal="left" vertical="center"/>
    </xf>
    <xf numFmtId="49" fontId="3" fillId="0" borderId="16" xfId="0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3" fillId="0" borderId="18" xfId="0" applyNumberFormat="1" applyFont="1" applyFill="1" applyBorder="1" applyAlignment="1" applyProtection="1">
      <alignment horizontal="center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49" fontId="4" fillId="0" borderId="20" xfId="0" applyNumberFormat="1" applyFont="1" applyFill="1" applyBorder="1" applyAlignment="1" applyProtection="1">
      <alignment horizontal="left" vertical="center" wrapText="1"/>
    </xf>
    <xf numFmtId="49" fontId="3" fillId="0" borderId="20" xfId="0" applyNumberFormat="1" applyFont="1" applyFill="1" applyBorder="1" applyAlignment="1" applyProtection="1">
      <alignment horizontal="left" vertical="center"/>
    </xf>
    <xf numFmtId="49" fontId="3" fillId="0" borderId="20" xfId="0" applyNumberFormat="1" applyFont="1" applyFill="1" applyBorder="1" applyAlignment="1" applyProtection="1">
      <alignment horizontal="left" vertical="center" wrapText="1"/>
    </xf>
    <xf numFmtId="49" fontId="3" fillId="0" borderId="30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zoomScaleNormal="100" zoomScaleSheetLayoutView="100" workbookViewId="0">
      <selection activeCell="A5" sqref="A5:IV7"/>
    </sheetView>
  </sheetViews>
  <sheetFormatPr defaultColWidth="11.42578125" defaultRowHeight="12.75" x14ac:dyDescent="0.2"/>
  <cols>
    <col min="1" max="2" width="3.7109375" customWidth="1"/>
    <col min="3" max="3" width="13.28515625" customWidth="1"/>
    <col min="4" max="4" width="34.140625" customWidth="1"/>
    <col min="5" max="5" width="4.28515625" customWidth="1"/>
    <col min="6" max="6" width="10.85546875" customWidth="1"/>
    <col min="7" max="7" width="12" customWidth="1"/>
    <col min="8" max="9" width="13.140625" customWidth="1"/>
    <col min="10" max="10" width="13.28515625" customWidth="1"/>
    <col min="11" max="12" width="11.7109375" customWidth="1"/>
  </cols>
  <sheetData>
    <row r="1" spans="1:13" ht="21.95" customHeight="1" thickBot="1" x14ac:dyDescent="0.25">
      <c r="A1" s="62" t="s">
        <v>547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x14ac:dyDescent="0.2">
      <c r="A2" s="1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3" t="s">
        <v>1</v>
      </c>
      <c r="H2" s="63" t="s">
        <v>2</v>
      </c>
      <c r="I2" s="64"/>
      <c r="J2" s="65"/>
      <c r="K2" s="66" t="s">
        <v>3</v>
      </c>
      <c r="L2" s="66"/>
      <c r="M2" s="4"/>
    </row>
    <row r="3" spans="1:13" ht="13.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8" t="s">
        <v>10</v>
      </c>
      <c r="H3" s="9" t="s">
        <v>11</v>
      </c>
      <c r="I3" s="10" t="s">
        <v>12</v>
      </c>
      <c r="J3" s="11" t="s">
        <v>13</v>
      </c>
      <c r="K3" s="9" t="s">
        <v>1</v>
      </c>
      <c r="L3" s="11" t="s">
        <v>13</v>
      </c>
      <c r="M3" s="4"/>
    </row>
    <row r="4" spans="1:13" ht="13.35" customHeight="1" x14ac:dyDescent="0.2">
      <c r="A4" s="15"/>
      <c r="B4" s="15"/>
      <c r="C4" s="16" t="s">
        <v>17</v>
      </c>
      <c r="D4" s="61" t="s">
        <v>18</v>
      </c>
      <c r="E4" s="61"/>
      <c r="F4" s="61"/>
      <c r="G4" s="61"/>
      <c r="H4" s="17">
        <f>SUM(H5:H10)</f>
        <v>0</v>
      </c>
      <c r="I4" s="17">
        <f>SUM(I5:I10)</f>
        <v>376</v>
      </c>
      <c r="J4" s="17">
        <f>SUM(J5:J10)</f>
        <v>120000.54000000001</v>
      </c>
      <c r="K4" s="18"/>
      <c r="L4" s="17">
        <f>SUM(L5:L10)</f>
        <v>0</v>
      </c>
    </row>
    <row r="5" spans="1:13" s="26" customFormat="1" x14ac:dyDescent="0.2">
      <c r="A5" s="12" t="s">
        <v>414</v>
      </c>
      <c r="B5" s="12"/>
      <c r="C5" s="12" t="s">
        <v>288</v>
      </c>
      <c r="D5" s="13" t="s">
        <v>20</v>
      </c>
      <c r="E5" s="12" t="s">
        <v>21</v>
      </c>
      <c r="F5" s="14">
        <v>648.21</v>
      </c>
      <c r="G5" s="14">
        <v>33</v>
      </c>
      <c r="H5" s="14">
        <v>0</v>
      </c>
      <c r="I5" s="14">
        <v>33</v>
      </c>
      <c r="J5" s="14">
        <f>G5*F5</f>
        <v>21390.93</v>
      </c>
      <c r="K5" s="14">
        <v>0</v>
      </c>
      <c r="L5" s="14">
        <f t="shared" ref="L5:L10" si="0">F5*K5</f>
        <v>0</v>
      </c>
    </row>
    <row r="6" spans="1:13" s="26" customFormat="1" ht="25.5" x14ac:dyDescent="0.2">
      <c r="A6" s="12" t="s">
        <v>415</v>
      </c>
      <c r="B6" s="12"/>
      <c r="C6" s="12" t="s">
        <v>326</v>
      </c>
      <c r="D6" s="13" t="s">
        <v>161</v>
      </c>
      <c r="E6" s="12" t="s">
        <v>21</v>
      </c>
      <c r="F6" s="14">
        <v>93.3</v>
      </c>
      <c r="G6" s="14">
        <v>44</v>
      </c>
      <c r="H6" s="14">
        <v>0</v>
      </c>
      <c r="I6" s="14">
        <v>44</v>
      </c>
      <c r="J6" s="14">
        <f t="shared" ref="J6:J10" si="1">G6*F6</f>
        <v>4105.2</v>
      </c>
      <c r="K6" s="14">
        <v>0</v>
      </c>
      <c r="L6" s="14">
        <f t="shared" si="0"/>
        <v>0</v>
      </c>
    </row>
    <row r="7" spans="1:13" s="26" customFormat="1" ht="25.5" x14ac:dyDescent="0.2">
      <c r="A7" s="12" t="s">
        <v>416</v>
      </c>
      <c r="B7" s="12"/>
      <c r="C7" s="12" t="s">
        <v>326</v>
      </c>
      <c r="D7" s="13" t="s">
        <v>161</v>
      </c>
      <c r="E7" s="12" t="s">
        <v>21</v>
      </c>
      <c r="F7" s="14">
        <v>57.03</v>
      </c>
      <c r="G7" s="14">
        <v>44</v>
      </c>
      <c r="H7" s="14">
        <v>0</v>
      </c>
      <c r="I7" s="14">
        <v>44</v>
      </c>
      <c r="J7" s="14">
        <f t="shared" si="1"/>
        <v>2509.3200000000002</v>
      </c>
      <c r="K7" s="14">
        <v>0</v>
      </c>
      <c r="L7" s="14">
        <f t="shared" si="0"/>
        <v>0</v>
      </c>
    </row>
    <row r="8" spans="1:13" s="26" customFormat="1" ht="25.5" x14ac:dyDescent="0.2">
      <c r="A8" s="12" t="s">
        <v>417</v>
      </c>
      <c r="B8" s="12"/>
      <c r="C8" s="12" t="s">
        <v>326</v>
      </c>
      <c r="D8" s="13" t="s">
        <v>161</v>
      </c>
      <c r="E8" s="12" t="s">
        <v>21</v>
      </c>
      <c r="F8" s="14">
        <v>2.31</v>
      </c>
      <c r="G8" s="14">
        <v>167</v>
      </c>
      <c r="H8" s="14">
        <v>0</v>
      </c>
      <c r="I8" s="14">
        <v>167</v>
      </c>
      <c r="J8" s="14">
        <f t="shared" si="1"/>
        <v>385.77</v>
      </c>
      <c r="K8" s="14">
        <v>0</v>
      </c>
      <c r="L8" s="14">
        <f t="shared" si="0"/>
        <v>0</v>
      </c>
    </row>
    <row r="9" spans="1:13" s="26" customFormat="1" ht="25.5" x14ac:dyDescent="0.2">
      <c r="A9" s="12" t="s">
        <v>19</v>
      </c>
      <c r="B9" s="12"/>
      <c r="C9" s="12" t="s">
        <v>326</v>
      </c>
      <c r="D9" s="13" t="s">
        <v>161</v>
      </c>
      <c r="E9" s="12" t="s">
        <v>21</v>
      </c>
      <c r="F9" s="14">
        <f>5.21+14.82</f>
        <v>20.03</v>
      </c>
      <c r="G9" s="14">
        <v>44</v>
      </c>
      <c r="H9" s="14">
        <v>0</v>
      </c>
      <c r="I9" s="14">
        <v>44</v>
      </c>
      <c r="J9" s="14">
        <f t="shared" si="1"/>
        <v>881.32</v>
      </c>
      <c r="K9" s="14">
        <v>0</v>
      </c>
      <c r="L9" s="14">
        <f t="shared" si="0"/>
        <v>0</v>
      </c>
    </row>
    <row r="10" spans="1:13" s="26" customFormat="1" ht="25.5" x14ac:dyDescent="0.2">
      <c r="A10" s="12" t="s">
        <v>22</v>
      </c>
      <c r="B10" s="12"/>
      <c r="C10" s="12" t="s">
        <v>290</v>
      </c>
      <c r="D10" s="13" t="s">
        <v>92</v>
      </c>
      <c r="E10" s="12" t="s">
        <v>21</v>
      </c>
      <c r="F10" s="14">
        <v>2062</v>
      </c>
      <c r="G10" s="14">
        <v>44</v>
      </c>
      <c r="H10" s="14">
        <v>0</v>
      </c>
      <c r="I10" s="14">
        <v>44</v>
      </c>
      <c r="J10" s="14">
        <f t="shared" si="1"/>
        <v>90728</v>
      </c>
      <c r="K10" s="14">
        <v>0</v>
      </c>
      <c r="L10" s="14">
        <f t="shared" si="0"/>
        <v>0</v>
      </c>
    </row>
    <row r="11" spans="1:13" ht="13.35" customHeight="1" x14ac:dyDescent="0.2">
      <c r="A11" s="15"/>
      <c r="B11" s="15"/>
      <c r="C11" s="16" t="s">
        <v>23</v>
      </c>
      <c r="D11" s="61" t="s">
        <v>24</v>
      </c>
      <c r="E11" s="61"/>
      <c r="F11" s="61"/>
      <c r="G11" s="61"/>
      <c r="H11" s="17">
        <f>SUM(H12:H15)</f>
        <v>0</v>
      </c>
      <c r="I11" s="17">
        <f>SUM(I12:I15)</f>
        <v>855</v>
      </c>
      <c r="J11" s="17">
        <f>SUM(J12:J15)</f>
        <v>22151.85</v>
      </c>
      <c r="K11" s="18"/>
      <c r="L11" s="17">
        <f>SUM(L12:L15)</f>
        <v>0</v>
      </c>
    </row>
    <row r="12" spans="1:13" s="26" customFormat="1" ht="38.25" x14ac:dyDescent="0.2">
      <c r="A12" s="12" t="s">
        <v>418</v>
      </c>
      <c r="B12" s="12"/>
      <c r="C12" s="12" t="s">
        <v>311</v>
      </c>
      <c r="D12" s="13" t="s">
        <v>312</v>
      </c>
      <c r="E12" s="12" t="s">
        <v>21</v>
      </c>
      <c r="F12" s="14">
        <f>4.19+8.5+8.1</f>
        <v>20.79</v>
      </c>
      <c r="G12" s="14">
        <v>179</v>
      </c>
      <c r="H12" s="14">
        <v>0</v>
      </c>
      <c r="I12" s="14">
        <v>179</v>
      </c>
      <c r="J12" s="14">
        <f>G12*F12</f>
        <v>3721.41</v>
      </c>
      <c r="K12" s="14">
        <v>0</v>
      </c>
      <c r="L12" s="14">
        <f>F12*K12</f>
        <v>0</v>
      </c>
    </row>
    <row r="13" spans="1:13" s="26" customFormat="1" ht="38.25" x14ac:dyDescent="0.2">
      <c r="A13" s="12" t="s">
        <v>408</v>
      </c>
      <c r="B13" s="12"/>
      <c r="C13" s="12" t="s">
        <v>193</v>
      </c>
      <c r="D13" s="13" t="s">
        <v>313</v>
      </c>
      <c r="E13" s="12" t="s">
        <v>21</v>
      </c>
      <c r="F13" s="14">
        <f>2.52+13.87+8.82</f>
        <v>25.21</v>
      </c>
      <c r="G13" s="14">
        <v>179</v>
      </c>
      <c r="H13" s="14">
        <v>0</v>
      </c>
      <c r="I13" s="14">
        <v>179</v>
      </c>
      <c r="J13" s="14">
        <f t="shared" ref="J13:J15" si="2">G13*F13</f>
        <v>4512.59</v>
      </c>
      <c r="K13" s="14">
        <v>0</v>
      </c>
      <c r="L13" s="14">
        <f>F13*K13</f>
        <v>0</v>
      </c>
    </row>
    <row r="14" spans="1:13" s="26" customFormat="1" ht="38.25" x14ac:dyDescent="0.2">
      <c r="A14" s="12" t="s">
        <v>419</v>
      </c>
      <c r="B14" s="12"/>
      <c r="C14" s="12" t="s">
        <v>173</v>
      </c>
      <c r="D14" s="13" t="s">
        <v>170</v>
      </c>
      <c r="E14" s="12" t="s">
        <v>21</v>
      </c>
      <c r="F14" s="14">
        <f>26.91+26.81</f>
        <v>53.72</v>
      </c>
      <c r="G14" s="14">
        <v>218</v>
      </c>
      <c r="H14" s="14">
        <v>0</v>
      </c>
      <c r="I14" s="14">
        <v>218</v>
      </c>
      <c r="J14" s="14">
        <f t="shared" si="2"/>
        <v>11710.96</v>
      </c>
      <c r="K14" s="14">
        <v>0</v>
      </c>
      <c r="L14" s="14">
        <f>F14*K14</f>
        <v>0</v>
      </c>
    </row>
    <row r="15" spans="1:13" s="26" customFormat="1" ht="38.25" x14ac:dyDescent="0.2">
      <c r="A15" s="12" t="s">
        <v>25</v>
      </c>
      <c r="B15" s="12"/>
      <c r="C15" s="12" t="s">
        <v>191</v>
      </c>
      <c r="D15" s="13" t="s">
        <v>190</v>
      </c>
      <c r="E15" s="12" t="s">
        <v>21</v>
      </c>
      <c r="F15" s="14">
        <f>0.54+3.42+3.72+0.23</f>
        <v>7.91</v>
      </c>
      <c r="G15" s="14">
        <v>279</v>
      </c>
      <c r="H15" s="14">
        <v>0</v>
      </c>
      <c r="I15" s="14">
        <v>279</v>
      </c>
      <c r="J15" s="14">
        <f t="shared" si="2"/>
        <v>2206.89</v>
      </c>
      <c r="K15" s="14">
        <v>0</v>
      </c>
      <c r="L15" s="14">
        <f>F15*K15</f>
        <v>0</v>
      </c>
    </row>
    <row r="16" spans="1:13" ht="13.35" customHeight="1" x14ac:dyDescent="0.2">
      <c r="A16" s="15"/>
      <c r="B16" s="15"/>
      <c r="C16" s="16" t="s">
        <v>26</v>
      </c>
      <c r="D16" s="61" t="s">
        <v>29</v>
      </c>
      <c r="E16" s="61"/>
      <c r="F16" s="61"/>
      <c r="G16" s="61"/>
      <c r="H16" s="17">
        <f>SUM(H17:H22)</f>
        <v>0</v>
      </c>
      <c r="I16" s="17">
        <f>SUM(I17:I22)</f>
        <v>366</v>
      </c>
      <c r="J16" s="17">
        <f>SUM(J17:J22)</f>
        <v>332205.02</v>
      </c>
      <c r="K16" s="18"/>
      <c r="L16" s="17">
        <f>SUM(L17:L22)</f>
        <v>0</v>
      </c>
    </row>
    <row r="17" spans="1:14" s="26" customFormat="1" ht="25.5" x14ac:dyDescent="0.2">
      <c r="A17" s="12" t="s">
        <v>14</v>
      </c>
      <c r="B17" s="12"/>
      <c r="C17" s="12" t="s">
        <v>174</v>
      </c>
      <c r="D17" s="13" t="s">
        <v>104</v>
      </c>
      <c r="E17" s="12" t="s">
        <v>21</v>
      </c>
      <c r="F17" s="14">
        <f>2062+37.18+24.63+96.72+60.75+50.45</f>
        <v>2331.7299999999996</v>
      </c>
      <c r="G17" s="14">
        <v>33</v>
      </c>
      <c r="H17" s="14">
        <v>0</v>
      </c>
      <c r="I17" s="14">
        <v>33</v>
      </c>
      <c r="J17" s="14">
        <f>G17*F17</f>
        <v>76947.089999999982</v>
      </c>
      <c r="K17" s="14">
        <v>0</v>
      </c>
      <c r="L17" s="14">
        <f t="shared" ref="L17:L22" si="3">F17*K17</f>
        <v>0</v>
      </c>
      <c r="N17" s="34"/>
    </row>
    <row r="18" spans="1:14" s="26" customFormat="1" ht="25.5" x14ac:dyDescent="0.2">
      <c r="A18" s="12" t="s">
        <v>17</v>
      </c>
      <c r="B18" s="12"/>
      <c r="C18" s="12" t="s">
        <v>346</v>
      </c>
      <c r="D18" s="13" t="s">
        <v>345</v>
      </c>
      <c r="E18" s="12" t="s">
        <v>21</v>
      </c>
      <c r="F18" s="14">
        <v>346.64</v>
      </c>
      <c r="G18" s="14">
        <v>50</v>
      </c>
      <c r="H18" s="14">
        <v>0</v>
      </c>
      <c r="I18" s="14">
        <v>50</v>
      </c>
      <c r="J18" s="14">
        <f t="shared" ref="J18:J22" si="4">G18*F18</f>
        <v>17332</v>
      </c>
      <c r="K18" s="14">
        <v>0</v>
      </c>
      <c r="L18" s="14">
        <f t="shared" si="3"/>
        <v>0</v>
      </c>
    </row>
    <row r="19" spans="1:14" s="31" customFormat="1" ht="25.5" x14ac:dyDescent="0.2">
      <c r="A19" s="27" t="s">
        <v>23</v>
      </c>
      <c r="B19" s="27"/>
      <c r="C19" s="27" t="s">
        <v>287</v>
      </c>
      <c r="D19" s="13" t="s">
        <v>286</v>
      </c>
      <c r="E19" s="12" t="s">
        <v>21</v>
      </c>
      <c r="F19" s="29">
        <v>648.21</v>
      </c>
      <c r="G19" s="29">
        <v>33</v>
      </c>
      <c r="H19" s="14">
        <v>0</v>
      </c>
      <c r="I19" s="14">
        <v>33</v>
      </c>
      <c r="J19" s="14">
        <f t="shared" si="4"/>
        <v>21390.93</v>
      </c>
      <c r="K19" s="14">
        <v>0</v>
      </c>
      <c r="L19" s="14">
        <f t="shared" si="3"/>
        <v>0</v>
      </c>
    </row>
    <row r="20" spans="1:14" s="31" customFormat="1" ht="25.5" x14ac:dyDescent="0.2">
      <c r="A20" s="27" t="s">
        <v>437</v>
      </c>
      <c r="B20" s="27"/>
      <c r="C20" s="27" t="s">
        <v>287</v>
      </c>
      <c r="D20" s="13" t="s">
        <v>286</v>
      </c>
      <c r="E20" s="12" t="s">
        <v>21</v>
      </c>
      <c r="F20" s="29">
        <f>1142.52+100</f>
        <v>1242.52</v>
      </c>
      <c r="G20" s="29">
        <v>33</v>
      </c>
      <c r="H20" s="14">
        <v>0</v>
      </c>
      <c r="I20" s="14">
        <v>33</v>
      </c>
      <c r="J20" s="14">
        <f t="shared" si="4"/>
        <v>41003.159999999996</v>
      </c>
      <c r="K20" s="14">
        <v>0</v>
      </c>
      <c r="L20" s="14">
        <f t="shared" si="3"/>
        <v>0</v>
      </c>
    </row>
    <row r="21" spans="1:14" s="31" customFormat="1" ht="25.5" x14ac:dyDescent="0.2">
      <c r="A21" s="27" t="s">
        <v>438</v>
      </c>
      <c r="B21" s="27"/>
      <c r="C21" s="27" t="s">
        <v>378</v>
      </c>
      <c r="D21" s="13" t="s">
        <v>342</v>
      </c>
      <c r="E21" s="12" t="s">
        <v>21</v>
      </c>
      <c r="F21" s="29">
        <v>301.57</v>
      </c>
      <c r="G21" s="29">
        <v>100</v>
      </c>
      <c r="H21" s="14">
        <v>0</v>
      </c>
      <c r="I21" s="14">
        <v>100</v>
      </c>
      <c r="J21" s="14">
        <f t="shared" si="4"/>
        <v>30157</v>
      </c>
      <c r="K21" s="14">
        <v>0</v>
      </c>
      <c r="L21" s="14">
        <f t="shared" si="3"/>
        <v>0</v>
      </c>
    </row>
    <row r="22" spans="1:14" s="26" customFormat="1" ht="25.5" x14ac:dyDescent="0.2">
      <c r="A22" s="12" t="s">
        <v>26</v>
      </c>
      <c r="B22" s="12"/>
      <c r="C22" s="12" t="s">
        <v>283</v>
      </c>
      <c r="D22" s="13" t="s">
        <v>282</v>
      </c>
      <c r="E22" s="12" t="s">
        <v>21</v>
      </c>
      <c r="F22" s="14">
        <v>1242.52</v>
      </c>
      <c r="G22" s="14">
        <v>117</v>
      </c>
      <c r="H22" s="14">
        <v>0</v>
      </c>
      <c r="I22" s="14">
        <v>117</v>
      </c>
      <c r="J22" s="14">
        <f t="shared" si="4"/>
        <v>145374.84</v>
      </c>
      <c r="K22" s="14">
        <v>0</v>
      </c>
      <c r="L22" s="14">
        <f t="shared" si="3"/>
        <v>0</v>
      </c>
    </row>
    <row r="23" spans="1:14" ht="13.35" customHeight="1" x14ac:dyDescent="0.2">
      <c r="A23" s="15"/>
      <c r="B23" s="15"/>
      <c r="C23" s="16" t="s">
        <v>27</v>
      </c>
      <c r="D23" s="61" t="s">
        <v>34</v>
      </c>
      <c r="E23" s="61"/>
      <c r="F23" s="61"/>
      <c r="G23" s="61"/>
      <c r="H23" s="17">
        <f>SUM(H24:H28)</f>
        <v>0</v>
      </c>
      <c r="I23" s="17">
        <f>SUM(I24:I28)</f>
        <v>548</v>
      </c>
      <c r="J23" s="17">
        <f>SUM(J24:J28)</f>
        <v>154245.24</v>
      </c>
      <c r="K23" s="18"/>
      <c r="L23" s="17">
        <f>SUM(L24:L28)</f>
        <v>0</v>
      </c>
    </row>
    <row r="24" spans="1:14" s="26" customFormat="1" ht="38.25" x14ac:dyDescent="0.2">
      <c r="A24" s="12" t="s">
        <v>27</v>
      </c>
      <c r="B24" s="12"/>
      <c r="C24" s="12" t="s">
        <v>292</v>
      </c>
      <c r="D24" s="13" t="s">
        <v>291</v>
      </c>
      <c r="E24" s="12" t="s">
        <v>21</v>
      </c>
      <c r="F24" s="14">
        <v>2068.46</v>
      </c>
      <c r="G24" s="14">
        <v>45</v>
      </c>
      <c r="H24" s="14">
        <v>0</v>
      </c>
      <c r="I24" s="14">
        <v>45</v>
      </c>
      <c r="J24" s="14">
        <f>G24*F24</f>
        <v>93080.7</v>
      </c>
      <c r="K24" s="14">
        <v>0</v>
      </c>
      <c r="L24" s="14">
        <v>0</v>
      </c>
    </row>
    <row r="25" spans="1:14" s="26" customFormat="1" ht="25.5" x14ac:dyDescent="0.2">
      <c r="A25" s="12" t="s">
        <v>28</v>
      </c>
      <c r="B25" s="12"/>
      <c r="C25" s="12" t="s">
        <v>309</v>
      </c>
      <c r="D25" s="13" t="s">
        <v>134</v>
      </c>
      <c r="E25" s="12" t="s">
        <v>21</v>
      </c>
      <c r="F25" s="14">
        <f>1.64+1.8</f>
        <v>3.44</v>
      </c>
      <c r="G25" s="14">
        <v>56</v>
      </c>
      <c r="H25" s="14">
        <v>0</v>
      </c>
      <c r="I25" s="14">
        <v>56</v>
      </c>
      <c r="J25" s="14">
        <f t="shared" ref="J25:J28" si="5">G25*F25</f>
        <v>192.64</v>
      </c>
      <c r="K25" s="14">
        <v>0</v>
      </c>
      <c r="L25" s="14">
        <v>0</v>
      </c>
    </row>
    <row r="26" spans="1:14" s="26" customFormat="1" ht="38.25" x14ac:dyDescent="0.2">
      <c r="A26" s="12" t="s">
        <v>439</v>
      </c>
      <c r="B26" s="12"/>
      <c r="C26" s="12" t="s">
        <v>176</v>
      </c>
      <c r="D26" s="13" t="s">
        <v>175</v>
      </c>
      <c r="E26" s="12" t="s">
        <v>21</v>
      </c>
      <c r="F26" s="14">
        <f>8.01+5.35</f>
        <v>13.36</v>
      </c>
      <c r="G26" s="14">
        <v>268</v>
      </c>
      <c r="H26" s="14">
        <v>0</v>
      </c>
      <c r="I26" s="14">
        <v>268</v>
      </c>
      <c r="J26" s="14">
        <f t="shared" si="5"/>
        <v>3580.48</v>
      </c>
      <c r="K26" s="14">
        <v>0</v>
      </c>
      <c r="L26" s="14">
        <v>0</v>
      </c>
    </row>
    <row r="27" spans="1:14" s="26" customFormat="1" x14ac:dyDescent="0.2">
      <c r="A27" s="12" t="s">
        <v>440</v>
      </c>
      <c r="B27" s="12"/>
      <c r="C27" s="25" t="s">
        <v>179</v>
      </c>
      <c r="D27" s="13" t="s">
        <v>178</v>
      </c>
      <c r="E27" s="12" t="s">
        <v>21</v>
      </c>
      <c r="F27" s="14">
        <f>7.49+3.54</f>
        <v>11.030000000000001</v>
      </c>
      <c r="G27" s="14">
        <v>134</v>
      </c>
      <c r="H27" s="14">
        <v>0</v>
      </c>
      <c r="I27" s="14">
        <v>134</v>
      </c>
      <c r="J27" s="14">
        <f t="shared" si="5"/>
        <v>1478.0200000000002</v>
      </c>
      <c r="K27" s="14">
        <v>0</v>
      </c>
      <c r="L27" s="14">
        <v>0</v>
      </c>
    </row>
    <row r="28" spans="1:14" s="26" customFormat="1" ht="38.25" x14ac:dyDescent="0.2">
      <c r="A28" s="12" t="s">
        <v>441</v>
      </c>
      <c r="B28" s="12"/>
      <c r="C28" s="12" t="s">
        <v>297</v>
      </c>
      <c r="D28" s="13" t="s">
        <v>296</v>
      </c>
      <c r="E28" s="12" t="s">
        <v>21</v>
      </c>
      <c r="F28" s="14">
        <v>1242.52</v>
      </c>
      <c r="G28" s="14">
        <v>45</v>
      </c>
      <c r="H28" s="14">
        <v>0</v>
      </c>
      <c r="I28" s="14">
        <v>45</v>
      </c>
      <c r="J28" s="14">
        <f t="shared" si="5"/>
        <v>55913.4</v>
      </c>
      <c r="K28" s="14">
        <v>0</v>
      </c>
      <c r="L28" s="14">
        <f>F28*K28</f>
        <v>0</v>
      </c>
    </row>
    <row r="29" spans="1:14" ht="13.35" customHeight="1" x14ac:dyDescent="0.2">
      <c r="A29" s="15"/>
      <c r="B29" s="15"/>
      <c r="C29" s="16" t="s">
        <v>28</v>
      </c>
      <c r="D29" s="61" t="s">
        <v>36</v>
      </c>
      <c r="E29" s="61"/>
      <c r="F29" s="61"/>
      <c r="G29" s="61"/>
      <c r="H29" s="17">
        <f>SUM(H30:H44)</f>
        <v>166.83</v>
      </c>
      <c r="I29" s="17">
        <f>SUM(I30:I45)</f>
        <v>13818.17</v>
      </c>
      <c r="J29" s="17">
        <f>SUM(J30:J45)</f>
        <v>229113.60000000003</v>
      </c>
      <c r="K29" s="18"/>
      <c r="L29" s="17">
        <f>SUM(L30:L44)</f>
        <v>0</v>
      </c>
    </row>
    <row r="30" spans="1:14" s="26" customFormat="1" ht="38.25" x14ac:dyDescent="0.2">
      <c r="A30" s="12" t="s">
        <v>442</v>
      </c>
      <c r="B30" s="12"/>
      <c r="C30" s="12" t="s">
        <v>293</v>
      </c>
      <c r="D30" s="13" t="s">
        <v>96</v>
      </c>
      <c r="E30" s="12" t="s">
        <v>15</v>
      </c>
      <c r="F30" s="14">
        <f>406+24.82+47.14</f>
        <v>477.96</v>
      </c>
      <c r="G30" s="14">
        <v>22</v>
      </c>
      <c r="H30" s="14">
        <v>0</v>
      </c>
      <c r="I30" s="14">
        <v>22</v>
      </c>
      <c r="J30" s="14">
        <f>G30*F30</f>
        <v>10515.119999999999</v>
      </c>
      <c r="K30" s="14">
        <v>0</v>
      </c>
      <c r="L30" s="14">
        <f t="shared" ref="L30:L45" si="6">F30*K30</f>
        <v>0</v>
      </c>
    </row>
    <row r="31" spans="1:14" s="26" customFormat="1" ht="25.5" x14ac:dyDescent="0.2">
      <c r="A31" s="12" t="s">
        <v>30</v>
      </c>
      <c r="B31" s="12"/>
      <c r="C31" s="12" t="s">
        <v>294</v>
      </c>
      <c r="D31" s="13" t="s">
        <v>99</v>
      </c>
      <c r="E31" s="12" t="s">
        <v>15</v>
      </c>
      <c r="F31" s="14">
        <f>2996.15+115.23+436.1</f>
        <v>3547.48</v>
      </c>
      <c r="G31" s="14">
        <v>22</v>
      </c>
      <c r="H31" s="14">
        <v>0</v>
      </c>
      <c r="I31" s="14">
        <v>22</v>
      </c>
      <c r="J31" s="14">
        <f t="shared" ref="J31:J45" si="7">G31*F31</f>
        <v>78044.56</v>
      </c>
      <c r="K31" s="14">
        <v>0</v>
      </c>
      <c r="L31" s="14">
        <f t="shared" si="6"/>
        <v>0</v>
      </c>
    </row>
    <row r="32" spans="1:14" s="26" customFormat="1" ht="25.5" x14ac:dyDescent="0.2">
      <c r="A32" s="32" t="s">
        <v>31</v>
      </c>
      <c r="B32" s="32"/>
      <c r="C32" s="32" t="s">
        <v>295</v>
      </c>
      <c r="D32" s="25" t="s">
        <v>94</v>
      </c>
      <c r="E32" s="32" t="s">
        <v>15</v>
      </c>
      <c r="F32" s="33">
        <v>543</v>
      </c>
      <c r="G32" s="33">
        <v>15</v>
      </c>
      <c r="H32" s="33">
        <v>0</v>
      </c>
      <c r="I32" s="33">
        <v>15</v>
      </c>
      <c r="J32" s="14">
        <f t="shared" si="7"/>
        <v>8145</v>
      </c>
      <c r="K32" s="33">
        <v>0</v>
      </c>
      <c r="L32" s="33">
        <f t="shared" si="6"/>
        <v>0</v>
      </c>
    </row>
    <row r="33" spans="1:12" s="26" customFormat="1" ht="25.5" x14ac:dyDescent="0.2">
      <c r="A33" s="12" t="s">
        <v>443</v>
      </c>
      <c r="B33" s="12"/>
      <c r="C33" s="12" t="s">
        <v>228</v>
      </c>
      <c r="D33" s="13" t="s">
        <v>330</v>
      </c>
      <c r="E33" s="12" t="s">
        <v>15</v>
      </c>
      <c r="F33" s="14">
        <v>41.65</v>
      </c>
      <c r="G33" s="14">
        <v>25</v>
      </c>
      <c r="H33" s="14">
        <v>0</v>
      </c>
      <c r="I33" s="14">
        <v>25</v>
      </c>
      <c r="J33" s="14">
        <f t="shared" si="7"/>
        <v>1041.25</v>
      </c>
      <c r="K33" s="14">
        <v>0</v>
      </c>
      <c r="L33" s="14">
        <f t="shared" si="6"/>
        <v>0</v>
      </c>
    </row>
    <row r="34" spans="1:12" s="26" customFormat="1" ht="25.5" x14ac:dyDescent="0.2">
      <c r="A34" s="12" t="s">
        <v>32</v>
      </c>
      <c r="B34" s="12"/>
      <c r="C34" s="12" t="s">
        <v>227</v>
      </c>
      <c r="D34" s="13" t="s">
        <v>231</v>
      </c>
      <c r="E34" s="12" t="s">
        <v>15</v>
      </c>
      <c r="F34" s="14">
        <v>42.82</v>
      </c>
      <c r="G34" s="14">
        <v>25</v>
      </c>
      <c r="H34" s="14">
        <v>0</v>
      </c>
      <c r="I34" s="14">
        <v>25</v>
      </c>
      <c r="J34" s="14">
        <f t="shared" si="7"/>
        <v>1070.5</v>
      </c>
      <c r="K34" s="14">
        <v>0</v>
      </c>
      <c r="L34" s="14">
        <f t="shared" si="6"/>
        <v>0</v>
      </c>
    </row>
    <row r="35" spans="1:12" s="26" customFormat="1" ht="25.5" x14ac:dyDescent="0.2">
      <c r="A35" s="12" t="s">
        <v>444</v>
      </c>
      <c r="B35" s="12"/>
      <c r="C35" s="12" t="s">
        <v>298</v>
      </c>
      <c r="D35" s="13" t="s">
        <v>106</v>
      </c>
      <c r="E35" s="12" t="s">
        <v>15</v>
      </c>
      <c r="F35" s="14">
        <v>883</v>
      </c>
      <c r="G35" s="14">
        <v>20</v>
      </c>
      <c r="H35" s="14">
        <v>0</v>
      </c>
      <c r="I35" s="14">
        <v>20</v>
      </c>
      <c r="J35" s="14">
        <f t="shared" si="7"/>
        <v>17660</v>
      </c>
      <c r="K35" s="14">
        <v>0</v>
      </c>
      <c r="L35" s="14">
        <f t="shared" si="6"/>
        <v>0</v>
      </c>
    </row>
    <row r="36" spans="1:12" s="26" customFormat="1" x14ac:dyDescent="0.2">
      <c r="A36" s="12" t="s">
        <v>445</v>
      </c>
      <c r="B36" s="12"/>
      <c r="C36" s="12" t="s">
        <v>354</v>
      </c>
      <c r="D36" s="13" t="s">
        <v>353</v>
      </c>
      <c r="E36" s="12" t="s">
        <v>15</v>
      </c>
      <c r="F36" s="33">
        <v>3466.1</v>
      </c>
      <c r="G36" s="33">
        <v>16</v>
      </c>
      <c r="H36" s="14">
        <v>0</v>
      </c>
      <c r="I36" s="14">
        <v>16</v>
      </c>
      <c r="J36" s="14">
        <f t="shared" si="7"/>
        <v>55457.599999999999</v>
      </c>
      <c r="K36" s="14">
        <v>0</v>
      </c>
      <c r="L36" s="14">
        <f t="shared" si="6"/>
        <v>0</v>
      </c>
    </row>
    <row r="37" spans="1:12" s="26" customFormat="1" ht="25.5" x14ac:dyDescent="0.2">
      <c r="A37" s="12" t="s">
        <v>446</v>
      </c>
      <c r="B37" s="12"/>
      <c r="C37" s="12" t="s">
        <v>393</v>
      </c>
      <c r="D37" s="13" t="s">
        <v>380</v>
      </c>
      <c r="E37" s="32" t="s">
        <v>86</v>
      </c>
      <c r="F37" s="33">
        <v>8</v>
      </c>
      <c r="G37" s="33">
        <v>65</v>
      </c>
      <c r="H37" s="14">
        <v>0</v>
      </c>
      <c r="I37" s="14">
        <v>65</v>
      </c>
      <c r="J37" s="14">
        <f t="shared" si="7"/>
        <v>520</v>
      </c>
      <c r="K37" s="14">
        <v>0</v>
      </c>
      <c r="L37" s="14">
        <f t="shared" si="6"/>
        <v>0</v>
      </c>
    </row>
    <row r="38" spans="1:12" s="26" customFormat="1" ht="25.5" x14ac:dyDescent="0.2">
      <c r="A38" s="12" t="s">
        <v>447</v>
      </c>
      <c r="B38" s="12"/>
      <c r="C38" s="12" t="s">
        <v>394</v>
      </c>
      <c r="D38" s="13" t="s">
        <v>381</v>
      </c>
      <c r="E38" s="32" t="s">
        <v>86</v>
      </c>
      <c r="F38" s="33">
        <v>8</v>
      </c>
      <c r="G38" s="33">
        <v>65</v>
      </c>
      <c r="H38" s="14">
        <v>0.73</v>
      </c>
      <c r="I38" s="14">
        <v>64.27</v>
      </c>
      <c r="J38" s="14">
        <f t="shared" si="7"/>
        <v>520</v>
      </c>
      <c r="K38" s="14">
        <v>0</v>
      </c>
      <c r="L38" s="14">
        <f t="shared" si="6"/>
        <v>0</v>
      </c>
    </row>
    <row r="39" spans="1:12" s="26" customFormat="1" ht="25.5" x14ac:dyDescent="0.2">
      <c r="A39" s="12" t="s">
        <v>448</v>
      </c>
      <c r="B39" s="12"/>
      <c r="C39" s="12" t="s">
        <v>395</v>
      </c>
      <c r="D39" s="13" t="s">
        <v>382</v>
      </c>
      <c r="E39" s="32" t="s">
        <v>86</v>
      </c>
      <c r="F39" s="33">
        <v>8</v>
      </c>
      <c r="G39" s="33">
        <v>51</v>
      </c>
      <c r="H39" s="14">
        <v>24.38</v>
      </c>
      <c r="I39" s="14">
        <v>26.62</v>
      </c>
      <c r="J39" s="14">
        <f t="shared" si="7"/>
        <v>408</v>
      </c>
      <c r="K39" s="14">
        <v>0</v>
      </c>
      <c r="L39" s="14">
        <f t="shared" si="6"/>
        <v>0</v>
      </c>
    </row>
    <row r="40" spans="1:12" s="26" customFormat="1" ht="25.5" x14ac:dyDescent="0.2">
      <c r="A40" s="12" t="s">
        <v>33</v>
      </c>
      <c r="B40" s="12"/>
      <c r="C40" s="12" t="s">
        <v>397</v>
      </c>
      <c r="D40" s="13" t="s">
        <v>383</v>
      </c>
      <c r="E40" s="32" t="s">
        <v>384</v>
      </c>
      <c r="F40" s="33">
        <v>24</v>
      </c>
      <c r="G40" s="33">
        <v>39</v>
      </c>
      <c r="H40" s="14">
        <v>3.04</v>
      </c>
      <c r="I40" s="14">
        <v>35.96</v>
      </c>
      <c r="J40" s="14">
        <f t="shared" si="7"/>
        <v>936</v>
      </c>
      <c r="K40" s="14">
        <v>0</v>
      </c>
      <c r="L40" s="14">
        <f t="shared" si="6"/>
        <v>0</v>
      </c>
    </row>
    <row r="41" spans="1:12" s="26" customFormat="1" ht="25.5" x14ac:dyDescent="0.2">
      <c r="A41" s="12" t="s">
        <v>35</v>
      </c>
      <c r="B41" s="12"/>
      <c r="C41" s="12" t="s">
        <v>398</v>
      </c>
      <c r="D41" s="13" t="s">
        <v>386</v>
      </c>
      <c r="E41" s="32" t="s">
        <v>391</v>
      </c>
      <c r="F41" s="33">
        <v>1.2</v>
      </c>
      <c r="G41" s="33">
        <v>13</v>
      </c>
      <c r="H41" s="14">
        <v>0</v>
      </c>
      <c r="I41" s="14">
        <v>13</v>
      </c>
      <c r="J41" s="14">
        <f t="shared" si="7"/>
        <v>15.6</v>
      </c>
      <c r="K41" s="14">
        <v>0</v>
      </c>
      <c r="L41" s="14">
        <f t="shared" si="6"/>
        <v>0</v>
      </c>
    </row>
    <row r="42" spans="1:12" s="26" customFormat="1" x14ac:dyDescent="0.2">
      <c r="A42" s="12" t="s">
        <v>449</v>
      </c>
      <c r="B42" s="12"/>
      <c r="C42" s="32" t="s">
        <v>404</v>
      </c>
      <c r="D42" s="13" t="s">
        <v>396</v>
      </c>
      <c r="E42" s="32" t="s">
        <v>21</v>
      </c>
      <c r="F42" s="33">
        <v>0.08</v>
      </c>
      <c r="G42" s="33">
        <v>308</v>
      </c>
      <c r="H42" s="14">
        <v>0</v>
      </c>
      <c r="I42" s="14">
        <v>308</v>
      </c>
      <c r="J42" s="14">
        <f t="shared" si="7"/>
        <v>24.64</v>
      </c>
      <c r="K42" s="14">
        <v>0</v>
      </c>
      <c r="L42" s="14">
        <f t="shared" si="6"/>
        <v>0</v>
      </c>
    </row>
    <row r="43" spans="1:12" s="26" customFormat="1" x14ac:dyDescent="0.2">
      <c r="A43" s="12" t="s">
        <v>450</v>
      </c>
      <c r="B43" s="12"/>
      <c r="C43" s="12" t="s">
        <v>399</v>
      </c>
      <c r="D43" s="13" t="s">
        <v>387</v>
      </c>
      <c r="E43" s="32" t="s">
        <v>21</v>
      </c>
      <c r="F43" s="33">
        <v>0.08</v>
      </c>
      <c r="G43" s="33">
        <v>450</v>
      </c>
      <c r="H43" s="14">
        <v>138.68</v>
      </c>
      <c r="I43" s="14">
        <v>311.32</v>
      </c>
      <c r="J43" s="14">
        <f t="shared" si="7"/>
        <v>36</v>
      </c>
      <c r="K43" s="14">
        <v>0</v>
      </c>
      <c r="L43" s="14">
        <f t="shared" si="6"/>
        <v>0</v>
      </c>
    </row>
    <row r="44" spans="1:12" s="26" customFormat="1" ht="25.5" x14ac:dyDescent="0.2">
      <c r="A44" s="12" t="s">
        <v>37</v>
      </c>
      <c r="B44" s="12"/>
      <c r="C44" s="12" t="s">
        <v>299</v>
      </c>
      <c r="D44" s="13" t="s">
        <v>107</v>
      </c>
      <c r="E44" s="12" t="s">
        <v>15</v>
      </c>
      <c r="F44" s="14">
        <v>2498.63</v>
      </c>
      <c r="G44" s="14">
        <v>20</v>
      </c>
      <c r="H44" s="14">
        <v>0</v>
      </c>
      <c r="I44" s="14">
        <v>20</v>
      </c>
      <c r="J44" s="14">
        <f t="shared" si="7"/>
        <v>49972.600000000006</v>
      </c>
      <c r="K44" s="14">
        <v>0</v>
      </c>
      <c r="L44" s="14">
        <f t="shared" si="6"/>
        <v>0</v>
      </c>
    </row>
    <row r="45" spans="1:12" s="26" customFormat="1" ht="25.5" x14ac:dyDescent="0.2">
      <c r="A45" s="12" t="s">
        <v>38</v>
      </c>
      <c r="B45" s="12"/>
      <c r="C45" s="32" t="s">
        <v>474</v>
      </c>
      <c r="D45" s="13" t="s">
        <v>472</v>
      </c>
      <c r="E45" s="12" t="s">
        <v>473</v>
      </c>
      <c r="F45" s="14">
        <v>0.37</v>
      </c>
      <c r="G45" s="14">
        <v>12829</v>
      </c>
      <c r="H45" s="14">
        <v>0</v>
      </c>
      <c r="I45" s="14">
        <v>12829</v>
      </c>
      <c r="J45" s="14">
        <f t="shared" si="7"/>
        <v>4746.7299999999996</v>
      </c>
      <c r="K45" s="14">
        <v>0</v>
      </c>
      <c r="L45" s="14">
        <f t="shared" si="6"/>
        <v>0</v>
      </c>
    </row>
    <row r="46" spans="1:12" ht="13.35" customHeight="1" x14ac:dyDescent="0.2">
      <c r="A46" s="15"/>
      <c r="B46" s="15"/>
      <c r="C46" s="16" t="s">
        <v>33</v>
      </c>
      <c r="D46" s="61" t="s">
        <v>46</v>
      </c>
      <c r="E46" s="61"/>
      <c r="F46" s="61"/>
      <c r="G46" s="61"/>
      <c r="H46" s="17">
        <f>SUM(H47:H53)</f>
        <v>52127.22</v>
      </c>
      <c r="I46" s="17">
        <f>SUM(I47:I53)</f>
        <v>34050.78</v>
      </c>
      <c r="J46" s="17">
        <f>SUM(J47:J53)</f>
        <v>354926.35999999993</v>
      </c>
      <c r="K46" s="18"/>
      <c r="L46" s="17">
        <f>SUM(L47:L53)</f>
        <v>122.9989083</v>
      </c>
    </row>
    <row r="47" spans="1:12" s="26" customFormat="1" ht="38.25" x14ac:dyDescent="0.2">
      <c r="A47" s="12" t="s">
        <v>39</v>
      </c>
      <c r="B47" s="12"/>
      <c r="C47" s="12" t="s">
        <v>301</v>
      </c>
      <c r="D47" s="13" t="s">
        <v>300</v>
      </c>
      <c r="E47" s="12" t="s">
        <v>15</v>
      </c>
      <c r="F47" s="14">
        <f>50.47+12.47+3.6+2.56+0.6+5.16+45.16+26.74+3.92+18.84+1.38</f>
        <v>170.89999999999998</v>
      </c>
      <c r="G47" s="14">
        <v>724</v>
      </c>
      <c r="H47" s="14">
        <v>138.84</v>
      </c>
      <c r="I47" s="14">
        <v>585.16</v>
      </c>
      <c r="J47" s="14">
        <f>G47*F47</f>
        <v>123731.59999999998</v>
      </c>
      <c r="K47" s="37">
        <v>7.6499999999999997E-3</v>
      </c>
      <c r="L47" s="14">
        <f t="shared" ref="L47:L53" si="8">F47*K47</f>
        <v>1.3073849999999998</v>
      </c>
    </row>
    <row r="48" spans="1:12" s="26" customFormat="1" ht="38.25" x14ac:dyDescent="0.2">
      <c r="A48" s="12" t="s">
        <v>40</v>
      </c>
      <c r="B48" s="12"/>
      <c r="C48" s="12" t="s">
        <v>302</v>
      </c>
      <c r="D48" s="13" t="s">
        <v>303</v>
      </c>
      <c r="E48" s="12" t="s">
        <v>15</v>
      </c>
      <c r="F48" s="14">
        <v>170.9</v>
      </c>
      <c r="G48" s="14">
        <v>167</v>
      </c>
      <c r="H48" s="14">
        <v>25.09</v>
      </c>
      <c r="I48" s="14">
        <v>141.91</v>
      </c>
      <c r="J48" s="14">
        <f t="shared" ref="J48:J53" si="9">G48*F48</f>
        <v>28540.3</v>
      </c>
      <c r="K48" s="37">
        <v>8.5999999999999998E-4</v>
      </c>
      <c r="L48" s="14">
        <f t="shared" si="8"/>
        <v>0.14697399999999999</v>
      </c>
    </row>
    <row r="49" spans="1:12" s="26" customFormat="1" ht="25.5" x14ac:dyDescent="0.2">
      <c r="A49" s="32" t="s">
        <v>41</v>
      </c>
      <c r="B49" s="32"/>
      <c r="C49" s="32" t="s">
        <v>200</v>
      </c>
      <c r="D49" s="25" t="s">
        <v>139</v>
      </c>
      <c r="E49" s="12" t="s">
        <v>21</v>
      </c>
      <c r="F49" s="33">
        <f>9.94+2.24+0.27+1.04+0.88+2.07</f>
        <v>16.439999999999998</v>
      </c>
      <c r="G49" s="33">
        <v>3849</v>
      </c>
      <c r="H49" s="33">
        <v>2535.1</v>
      </c>
      <c r="I49" s="33">
        <v>1313.9</v>
      </c>
      <c r="J49" s="14">
        <f t="shared" si="9"/>
        <v>63277.55999999999</v>
      </c>
      <c r="K49" s="38">
        <v>2.8089400000000002</v>
      </c>
      <c r="L49" s="33">
        <f t="shared" si="8"/>
        <v>46.178973599999999</v>
      </c>
    </row>
    <row r="50" spans="1:12" s="26" customFormat="1" ht="25.5" x14ac:dyDescent="0.2">
      <c r="A50" s="32" t="s">
        <v>42</v>
      </c>
      <c r="B50" s="32"/>
      <c r="C50" s="32" t="s">
        <v>202</v>
      </c>
      <c r="D50" s="25" t="s">
        <v>147</v>
      </c>
      <c r="E50" s="32" t="s">
        <v>21</v>
      </c>
      <c r="F50" s="33">
        <f>1.04+0.49+0.05+0.54+7.01+6.39+9.69+0.7+0.44+0.06+0.04</f>
        <v>26.45</v>
      </c>
      <c r="G50" s="33">
        <v>3849</v>
      </c>
      <c r="H50" s="33">
        <v>2682.9</v>
      </c>
      <c r="I50" s="33">
        <v>1166.0999999999999</v>
      </c>
      <c r="J50" s="14">
        <f t="shared" si="9"/>
        <v>101806.05</v>
      </c>
      <c r="K50" s="38">
        <v>2.7676599999999998</v>
      </c>
      <c r="L50" s="33">
        <f t="shared" si="8"/>
        <v>73.204606999999996</v>
      </c>
    </row>
    <row r="51" spans="1:12" s="26" customFormat="1" ht="25.5" x14ac:dyDescent="0.2">
      <c r="A51" s="12" t="s">
        <v>43</v>
      </c>
      <c r="B51" s="12"/>
      <c r="C51" s="12" t="s">
        <v>314</v>
      </c>
      <c r="D51" s="25" t="s">
        <v>142</v>
      </c>
      <c r="E51" s="12" t="s">
        <v>50</v>
      </c>
      <c r="F51" s="14">
        <f>0.44+0.22+0.05+0.22</f>
        <v>0.93</v>
      </c>
      <c r="G51" s="14">
        <v>29953</v>
      </c>
      <c r="H51" s="14">
        <v>18476.2</v>
      </c>
      <c r="I51" s="14">
        <v>11476.8</v>
      </c>
      <c r="J51" s="14">
        <f t="shared" si="9"/>
        <v>27856.29</v>
      </c>
      <c r="K51" s="38">
        <v>1.03003</v>
      </c>
      <c r="L51" s="14">
        <f t="shared" si="8"/>
        <v>0.95792790000000005</v>
      </c>
    </row>
    <row r="52" spans="1:12" s="26" customFormat="1" ht="25.5" x14ac:dyDescent="0.2">
      <c r="A52" s="12" t="s">
        <v>451</v>
      </c>
      <c r="B52" s="12"/>
      <c r="C52" s="12" t="s">
        <v>315</v>
      </c>
      <c r="D52" s="25" t="s">
        <v>145</v>
      </c>
      <c r="E52" s="12" t="s">
        <v>50</v>
      </c>
      <c r="F52" s="14">
        <f>0.1</f>
        <v>0.1</v>
      </c>
      <c r="G52" s="14">
        <v>29954</v>
      </c>
      <c r="H52" s="14">
        <v>20706.86</v>
      </c>
      <c r="I52" s="14">
        <v>9247.14</v>
      </c>
      <c r="J52" s="14">
        <f t="shared" si="9"/>
        <v>2995.4</v>
      </c>
      <c r="K52" s="38">
        <v>1.0858000000000001</v>
      </c>
      <c r="L52" s="14">
        <f t="shared" si="8"/>
        <v>0.10858000000000001</v>
      </c>
    </row>
    <row r="53" spans="1:12" s="26" customFormat="1" ht="38.25" x14ac:dyDescent="0.2">
      <c r="A53" s="12" t="s">
        <v>44</v>
      </c>
      <c r="B53" s="12"/>
      <c r="C53" s="12" t="s">
        <v>316</v>
      </c>
      <c r="D53" s="25" t="s">
        <v>151</v>
      </c>
      <c r="E53" s="12" t="s">
        <v>21</v>
      </c>
      <c r="F53" s="14">
        <v>0.38</v>
      </c>
      <c r="G53" s="14">
        <v>17682</v>
      </c>
      <c r="H53" s="14">
        <v>7562.23</v>
      </c>
      <c r="I53" s="14">
        <v>10119.77</v>
      </c>
      <c r="J53" s="14">
        <f t="shared" si="9"/>
        <v>6719.16</v>
      </c>
      <c r="K53" s="38">
        <v>2.8801600000000001</v>
      </c>
      <c r="L53" s="14">
        <f t="shared" si="8"/>
        <v>1.0944608</v>
      </c>
    </row>
    <row r="54" spans="1:12" ht="25.35" customHeight="1" x14ac:dyDescent="0.2">
      <c r="A54" s="15"/>
      <c r="B54" s="15"/>
      <c r="C54" s="16" t="s">
        <v>45</v>
      </c>
      <c r="D54" s="61" t="s">
        <v>63</v>
      </c>
      <c r="E54" s="61"/>
      <c r="F54" s="61"/>
      <c r="G54" s="61"/>
      <c r="H54" s="17">
        <f>SUM(H55:H60)</f>
        <v>1079.19</v>
      </c>
      <c r="I54" s="17">
        <f>SUM(I55:I60)</f>
        <v>33983.81</v>
      </c>
      <c r="J54" s="17">
        <f>SUM(J55:J60)</f>
        <v>51793.13</v>
      </c>
      <c r="K54" s="18"/>
      <c r="L54" s="17">
        <f>SUM(L55:L60)</f>
        <v>22.1346721</v>
      </c>
    </row>
    <row r="55" spans="1:12" s="26" customFormat="1" ht="25.5" x14ac:dyDescent="0.2">
      <c r="A55" s="12" t="s">
        <v>45</v>
      </c>
      <c r="B55" s="12"/>
      <c r="C55" s="12" t="s">
        <v>304</v>
      </c>
      <c r="D55" s="13" t="s">
        <v>120</v>
      </c>
      <c r="E55" s="12" t="s">
        <v>15</v>
      </c>
      <c r="F55" s="14">
        <f>6.93+7.44</f>
        <v>14.370000000000001</v>
      </c>
      <c r="G55" s="14">
        <v>351</v>
      </c>
      <c r="H55" s="14">
        <v>270.74</v>
      </c>
      <c r="I55" s="14">
        <v>80.260000000000005</v>
      </c>
      <c r="J55" s="14">
        <f>G55*F55</f>
        <v>5043.8700000000008</v>
      </c>
      <c r="K55" s="37">
        <v>0.38257000000000002</v>
      </c>
      <c r="L55" s="14">
        <f t="shared" ref="L55:L60" si="10">F55*K55</f>
        <v>5.497530900000001</v>
      </c>
    </row>
    <row r="56" spans="1:12" s="26" customFormat="1" ht="25.5" x14ac:dyDescent="0.2">
      <c r="A56" s="12" t="s">
        <v>47</v>
      </c>
      <c r="B56" s="12"/>
      <c r="C56" s="12" t="s">
        <v>317</v>
      </c>
      <c r="D56" s="13" t="s">
        <v>159</v>
      </c>
      <c r="E56" s="12" t="s">
        <v>15</v>
      </c>
      <c r="F56" s="14">
        <f>5.78+4.76</f>
        <v>10.54</v>
      </c>
      <c r="G56" s="14">
        <v>167</v>
      </c>
      <c r="H56" s="14">
        <v>28.55</v>
      </c>
      <c r="I56" s="14">
        <v>138.44999999999999</v>
      </c>
      <c r="J56" s="14">
        <f t="shared" ref="J56:J60" si="11">G56*F56</f>
        <v>1760.1799999999998</v>
      </c>
      <c r="K56" s="37">
        <v>6.3200000000000001E-3</v>
      </c>
      <c r="L56" s="14">
        <f t="shared" si="10"/>
        <v>6.66128E-2</v>
      </c>
    </row>
    <row r="57" spans="1:12" s="26" customFormat="1" ht="25.5" x14ac:dyDescent="0.2">
      <c r="A57" s="12" t="s">
        <v>48</v>
      </c>
      <c r="B57" s="12"/>
      <c r="C57" s="12" t="s">
        <v>319</v>
      </c>
      <c r="D57" s="13" t="s">
        <v>318</v>
      </c>
      <c r="E57" s="12" t="s">
        <v>50</v>
      </c>
      <c r="F57" s="14">
        <f>0.23+0.17</f>
        <v>0.4</v>
      </c>
      <c r="G57" s="14">
        <v>29953</v>
      </c>
      <c r="H57" s="14">
        <v>0</v>
      </c>
      <c r="I57" s="14">
        <v>29953</v>
      </c>
      <c r="J57" s="14">
        <f t="shared" si="11"/>
        <v>11981.2</v>
      </c>
      <c r="K57" s="37">
        <v>0.84758</v>
      </c>
      <c r="L57" s="14">
        <f t="shared" si="10"/>
        <v>0.339032</v>
      </c>
    </row>
    <row r="58" spans="1:12" s="26" customFormat="1" ht="38.25" x14ac:dyDescent="0.2">
      <c r="A58" s="12" t="s">
        <v>49</v>
      </c>
      <c r="B58" s="12"/>
      <c r="C58" s="12" t="s">
        <v>320</v>
      </c>
      <c r="D58" s="13" t="s">
        <v>169</v>
      </c>
      <c r="E58" s="12" t="s">
        <v>21</v>
      </c>
      <c r="F58" s="14">
        <f>2.6+2.14</f>
        <v>4.74</v>
      </c>
      <c r="G58" s="14">
        <v>3180</v>
      </c>
      <c r="H58" s="14">
        <v>0</v>
      </c>
      <c r="I58" s="14">
        <v>3180</v>
      </c>
      <c r="J58" s="14">
        <f t="shared" si="11"/>
        <v>15073.2</v>
      </c>
      <c r="K58" s="37">
        <v>2.4289999999999998</v>
      </c>
      <c r="L58" s="14">
        <f t="shared" si="10"/>
        <v>11.51346</v>
      </c>
    </row>
    <row r="59" spans="1:12" s="26" customFormat="1" ht="25.5" x14ac:dyDescent="0.2">
      <c r="A59" s="12" t="s">
        <v>51</v>
      </c>
      <c r="B59" s="12"/>
      <c r="C59" s="12" t="s">
        <v>363</v>
      </c>
      <c r="D59" s="13" t="s">
        <v>364</v>
      </c>
      <c r="E59" s="12" t="s">
        <v>21</v>
      </c>
      <c r="F59" s="14">
        <f>1.24+1.16</f>
        <v>2.4</v>
      </c>
      <c r="G59" s="14">
        <v>1395</v>
      </c>
      <c r="H59" s="14">
        <v>778.98</v>
      </c>
      <c r="I59" s="14">
        <v>616.02</v>
      </c>
      <c r="J59" s="14">
        <f t="shared" si="11"/>
        <v>3348</v>
      </c>
      <c r="K59" s="37">
        <v>1.8907700000000001</v>
      </c>
      <c r="L59" s="14">
        <f t="shared" si="10"/>
        <v>4.5378480000000003</v>
      </c>
    </row>
    <row r="60" spans="1:12" s="26" customFormat="1" ht="25.5" x14ac:dyDescent="0.2">
      <c r="A60" s="12" t="s">
        <v>52</v>
      </c>
      <c r="B60" s="12"/>
      <c r="C60" s="12" t="s">
        <v>351</v>
      </c>
      <c r="D60" s="13" t="s">
        <v>350</v>
      </c>
      <c r="E60" s="12" t="s">
        <v>15</v>
      </c>
      <c r="F60" s="14">
        <v>858.04</v>
      </c>
      <c r="G60" s="14">
        <v>17</v>
      </c>
      <c r="H60" s="14">
        <v>0.92</v>
      </c>
      <c r="I60" s="14">
        <v>16.079999999999998</v>
      </c>
      <c r="J60" s="14">
        <f t="shared" si="11"/>
        <v>14586.68</v>
      </c>
      <c r="K60" s="37">
        <v>2.1000000000000001E-4</v>
      </c>
      <c r="L60" s="14">
        <f t="shared" si="10"/>
        <v>0.1801884</v>
      </c>
    </row>
    <row r="61" spans="1:12" ht="13.35" customHeight="1" x14ac:dyDescent="0.2">
      <c r="A61" s="15"/>
      <c r="B61" s="15"/>
      <c r="C61" s="16" t="s">
        <v>47</v>
      </c>
      <c r="D61" s="61" t="s">
        <v>69</v>
      </c>
      <c r="E61" s="61"/>
      <c r="F61" s="61"/>
      <c r="G61" s="61"/>
      <c r="H61" s="17">
        <f>SUM(H62:H68)</f>
        <v>9851.3799999999992</v>
      </c>
      <c r="I61" s="17">
        <f>SUM(I62:I68)</f>
        <v>5015.6200000000008</v>
      </c>
      <c r="J61" s="17">
        <f>SUM(J62:J68)</f>
        <v>354781.20000000007</v>
      </c>
      <c r="K61" s="18"/>
      <c r="L61" s="17">
        <f>SUM(L62:L68)</f>
        <v>612.8807068000001</v>
      </c>
    </row>
    <row r="62" spans="1:12" s="26" customFormat="1" ht="38.25" x14ac:dyDescent="0.2">
      <c r="A62" s="12" t="s">
        <v>53</v>
      </c>
      <c r="B62" s="12"/>
      <c r="C62" s="12" t="s">
        <v>308</v>
      </c>
      <c r="D62" s="13" t="s">
        <v>137</v>
      </c>
      <c r="E62" s="12" t="s">
        <v>15</v>
      </c>
      <c r="F62" s="14">
        <v>7.67</v>
      </c>
      <c r="G62" s="14">
        <v>3905</v>
      </c>
      <c r="H62" s="14">
        <v>1725.92</v>
      </c>
      <c r="I62" s="14">
        <v>2179.08</v>
      </c>
      <c r="J62" s="14">
        <f>G62*F62</f>
        <v>29951.35</v>
      </c>
      <c r="K62" s="37">
        <v>0.78741000000000005</v>
      </c>
      <c r="L62" s="14">
        <f t="shared" ref="L62:L70" si="12">F62*K62</f>
        <v>6.0394347000000002</v>
      </c>
    </row>
    <row r="63" spans="1:12" s="26" customFormat="1" ht="25.5" x14ac:dyDescent="0.2">
      <c r="A63" s="12" t="s">
        <v>54</v>
      </c>
      <c r="B63" s="12"/>
      <c r="C63" s="12" t="s">
        <v>189</v>
      </c>
      <c r="D63" s="13" t="s">
        <v>188</v>
      </c>
      <c r="E63" s="12" t="s">
        <v>21</v>
      </c>
      <c r="F63" s="14">
        <v>3.5</v>
      </c>
      <c r="G63" s="14">
        <v>3124</v>
      </c>
      <c r="H63" s="14">
        <v>2555.64</v>
      </c>
      <c r="I63" s="14">
        <v>568.36</v>
      </c>
      <c r="J63" s="14">
        <f t="shared" ref="J63:J68" si="13">G63*F63</f>
        <v>10934</v>
      </c>
      <c r="K63" s="37">
        <v>2.4815700000000001</v>
      </c>
      <c r="L63" s="14">
        <f t="shared" si="12"/>
        <v>8.6854949999999995</v>
      </c>
    </row>
    <row r="64" spans="1:12" s="26" customFormat="1" ht="25.5" x14ac:dyDescent="0.2">
      <c r="A64" s="32" t="s">
        <v>452</v>
      </c>
      <c r="B64" s="32"/>
      <c r="C64" s="32" t="s">
        <v>334</v>
      </c>
      <c r="D64" s="25" t="s">
        <v>467</v>
      </c>
      <c r="E64" s="32" t="s">
        <v>15</v>
      </c>
      <c r="F64" s="33">
        <f>88.05+47.4</f>
        <v>135.44999999999999</v>
      </c>
      <c r="G64" s="33">
        <v>167</v>
      </c>
      <c r="H64" s="33">
        <v>0</v>
      </c>
      <c r="I64" s="33">
        <v>167</v>
      </c>
      <c r="J64" s="14">
        <f t="shared" si="13"/>
        <v>22620.149999999998</v>
      </c>
      <c r="K64" s="33">
        <v>0</v>
      </c>
      <c r="L64" s="33">
        <f t="shared" si="12"/>
        <v>0</v>
      </c>
    </row>
    <row r="65" spans="1:12" s="26" customFormat="1" ht="25.5" x14ac:dyDescent="0.2">
      <c r="A65" s="32" t="s">
        <v>453</v>
      </c>
      <c r="B65" s="32"/>
      <c r="C65" s="12" t="s">
        <v>349</v>
      </c>
      <c r="D65" s="25" t="s">
        <v>347</v>
      </c>
      <c r="E65" s="32" t="s">
        <v>21</v>
      </c>
      <c r="F65" s="33">
        <v>224.32</v>
      </c>
      <c r="G65" s="33">
        <v>809</v>
      </c>
      <c r="H65" s="33">
        <v>669.01</v>
      </c>
      <c r="I65" s="33">
        <v>139.99</v>
      </c>
      <c r="J65" s="14">
        <f t="shared" si="13"/>
        <v>181474.88</v>
      </c>
      <c r="K65" s="33">
        <v>2.16</v>
      </c>
      <c r="L65" s="33">
        <f t="shared" si="12"/>
        <v>484.53120000000001</v>
      </c>
    </row>
    <row r="66" spans="1:12" s="26" customFormat="1" ht="51" x14ac:dyDescent="0.2">
      <c r="A66" s="12" t="s">
        <v>55</v>
      </c>
      <c r="B66" s="12"/>
      <c r="C66" s="12" t="s">
        <v>187</v>
      </c>
      <c r="D66" s="13" t="s">
        <v>185</v>
      </c>
      <c r="E66" s="12" t="s">
        <v>21</v>
      </c>
      <c r="F66" s="14">
        <f>3.24+5.04</f>
        <v>8.2800000000000011</v>
      </c>
      <c r="G66" s="14">
        <v>2064</v>
      </c>
      <c r="H66" s="14">
        <v>1631.34</v>
      </c>
      <c r="I66" s="14">
        <v>432.66</v>
      </c>
      <c r="J66" s="14">
        <f t="shared" si="13"/>
        <v>17089.920000000002</v>
      </c>
      <c r="K66" s="14">
        <v>2.13408</v>
      </c>
      <c r="L66" s="14">
        <f t="shared" si="12"/>
        <v>17.670182400000002</v>
      </c>
    </row>
    <row r="67" spans="1:12" s="26" customFormat="1" ht="51" x14ac:dyDescent="0.2">
      <c r="A67" s="12" t="s">
        <v>56</v>
      </c>
      <c r="B67" s="12"/>
      <c r="C67" s="12" t="s">
        <v>337</v>
      </c>
      <c r="D67" s="13" t="s">
        <v>336</v>
      </c>
      <c r="E67" s="12" t="s">
        <v>15</v>
      </c>
      <c r="F67" s="14">
        <v>7.81</v>
      </c>
      <c r="G67" s="14">
        <v>3180</v>
      </c>
      <c r="H67" s="14">
        <v>1972.9</v>
      </c>
      <c r="I67" s="14">
        <v>1207.0999999999999</v>
      </c>
      <c r="J67" s="14">
        <f t="shared" si="13"/>
        <v>24835.8</v>
      </c>
      <c r="K67" s="14">
        <v>0.82326999999999995</v>
      </c>
      <c r="L67" s="14">
        <f t="shared" si="12"/>
        <v>6.4297386999999997</v>
      </c>
    </row>
    <row r="68" spans="1:12" s="26" customFormat="1" ht="51" x14ac:dyDescent="0.2">
      <c r="A68" s="12" t="s">
        <v>57</v>
      </c>
      <c r="B68" s="12"/>
      <c r="C68" s="12" t="s">
        <v>208</v>
      </c>
      <c r="D68" s="13" t="s">
        <v>207</v>
      </c>
      <c r="E68" s="12" t="s">
        <v>21</v>
      </c>
      <c r="F68" s="14">
        <f>26.53+13.13+1.62+0.67</f>
        <v>41.95</v>
      </c>
      <c r="G68" s="14">
        <v>1618</v>
      </c>
      <c r="H68" s="14">
        <v>1296.57</v>
      </c>
      <c r="I68" s="14">
        <v>321.43</v>
      </c>
      <c r="J68" s="14">
        <f t="shared" si="13"/>
        <v>67875.100000000006</v>
      </c>
      <c r="K68" s="14">
        <v>2.13408</v>
      </c>
      <c r="L68" s="14">
        <f t="shared" si="12"/>
        <v>89.524656000000007</v>
      </c>
    </row>
    <row r="69" spans="1:12" ht="13.35" customHeight="1" x14ac:dyDescent="0.2">
      <c r="A69" s="55"/>
      <c r="B69" s="55"/>
      <c r="C69" s="56" t="s">
        <v>529</v>
      </c>
      <c r="D69" s="67" t="s">
        <v>530</v>
      </c>
      <c r="E69" s="67"/>
      <c r="F69" s="67"/>
      <c r="G69" s="67"/>
      <c r="H69" s="57">
        <f>SUM(H70)</f>
        <v>0</v>
      </c>
      <c r="I69" s="17">
        <f>SUM(I70)</f>
        <v>391</v>
      </c>
      <c r="J69" s="17">
        <f>SUM(J70)</f>
        <v>1212.1000000000001</v>
      </c>
      <c r="K69" s="58"/>
      <c r="L69" s="58">
        <f>SUM(L70)</f>
        <v>4.3400000000000001E-3</v>
      </c>
    </row>
    <row r="70" spans="1:12" s="26" customFormat="1" ht="51" x14ac:dyDescent="0.2">
      <c r="A70" s="12" t="s">
        <v>58</v>
      </c>
      <c r="B70" s="12"/>
      <c r="C70" s="12" t="s">
        <v>531</v>
      </c>
      <c r="D70" s="13" t="s">
        <v>532</v>
      </c>
      <c r="E70" s="12" t="s">
        <v>15</v>
      </c>
      <c r="F70" s="14">
        <v>3.1</v>
      </c>
      <c r="G70" s="14">
        <v>391</v>
      </c>
      <c r="H70" s="14">
        <v>0</v>
      </c>
      <c r="I70" s="14">
        <v>391</v>
      </c>
      <c r="J70" s="14">
        <f>G70*F70</f>
        <v>1212.1000000000001</v>
      </c>
      <c r="K70" s="14">
        <v>1.4E-3</v>
      </c>
      <c r="L70" s="14">
        <f t="shared" si="12"/>
        <v>4.3400000000000001E-3</v>
      </c>
    </row>
    <row r="71" spans="1:12" ht="13.35" customHeight="1" x14ac:dyDescent="0.2">
      <c r="A71" s="15"/>
      <c r="B71" s="15"/>
      <c r="C71" s="16" t="s">
        <v>72</v>
      </c>
      <c r="D71" s="61" t="s">
        <v>74</v>
      </c>
      <c r="E71" s="61"/>
      <c r="F71" s="61"/>
      <c r="G71" s="61"/>
      <c r="H71" s="17">
        <f>SUM(H72:H72)</f>
        <v>0</v>
      </c>
      <c r="I71" s="17">
        <f>SUM(I72:I73)</f>
        <v>212</v>
      </c>
      <c r="J71" s="17">
        <f>SUM(J72:J73)</f>
        <v>2659.55</v>
      </c>
      <c r="K71" s="18"/>
      <c r="L71" s="17">
        <f>SUM(L72:L72)</f>
        <v>0</v>
      </c>
    </row>
    <row r="72" spans="1:12" s="26" customFormat="1" ht="25.5" x14ac:dyDescent="0.2">
      <c r="A72" s="12" t="s">
        <v>59</v>
      </c>
      <c r="B72" s="12"/>
      <c r="C72" s="12" t="s">
        <v>321</v>
      </c>
      <c r="D72" s="13" t="s">
        <v>322</v>
      </c>
      <c r="E72" s="12" t="s">
        <v>16</v>
      </c>
      <c r="F72" s="14">
        <f>24.8+30.59</f>
        <v>55.39</v>
      </c>
      <c r="G72" s="14">
        <v>45</v>
      </c>
      <c r="H72" s="14">
        <v>0</v>
      </c>
      <c r="I72" s="14">
        <v>45</v>
      </c>
      <c r="J72" s="14">
        <f>G72*F72</f>
        <v>2492.5500000000002</v>
      </c>
      <c r="K72" s="14">
        <v>0</v>
      </c>
      <c r="L72" s="14">
        <f>F72*K72</f>
        <v>0</v>
      </c>
    </row>
    <row r="73" spans="1:12" s="26" customFormat="1" ht="38.25" x14ac:dyDescent="0.2">
      <c r="A73" s="12" t="s">
        <v>60</v>
      </c>
      <c r="B73" s="12"/>
      <c r="C73" s="12" t="s">
        <v>261</v>
      </c>
      <c r="D73" s="13" t="s">
        <v>468</v>
      </c>
      <c r="E73" s="12" t="s">
        <v>86</v>
      </c>
      <c r="F73" s="14">
        <v>1</v>
      </c>
      <c r="G73" s="14">
        <v>167</v>
      </c>
      <c r="H73" s="14">
        <v>0</v>
      </c>
      <c r="I73" s="14">
        <v>167</v>
      </c>
      <c r="J73" s="14">
        <f>G73*F73</f>
        <v>167</v>
      </c>
      <c r="K73" s="14">
        <v>1E-4</v>
      </c>
      <c r="L73" s="14">
        <f>F73*K73</f>
        <v>1E-4</v>
      </c>
    </row>
    <row r="74" spans="1:12" ht="13.35" customHeight="1" x14ac:dyDescent="0.2">
      <c r="A74" s="15"/>
      <c r="B74" s="15"/>
      <c r="C74" s="16" t="s">
        <v>73</v>
      </c>
      <c r="D74" s="61" t="s">
        <v>75</v>
      </c>
      <c r="E74" s="61"/>
      <c r="F74" s="61"/>
      <c r="G74" s="61"/>
      <c r="H74" s="17">
        <f>SUM(H75:H77)</f>
        <v>2187.6999999999998</v>
      </c>
      <c r="I74" s="17">
        <f>SUM(I75:I77)</f>
        <v>763.3</v>
      </c>
      <c r="J74" s="17">
        <f>SUM(J75:J77)</f>
        <v>49942.52</v>
      </c>
      <c r="K74" s="18"/>
      <c r="L74" s="17">
        <f>SUM(L75:L77)</f>
        <v>38.830555899999993</v>
      </c>
    </row>
    <row r="75" spans="1:12" s="26" customFormat="1" ht="25.5" x14ac:dyDescent="0.2">
      <c r="A75" s="12" t="s">
        <v>454</v>
      </c>
      <c r="B75" s="12"/>
      <c r="C75" s="12" t="s">
        <v>323</v>
      </c>
      <c r="D75" s="13" t="s">
        <v>77</v>
      </c>
      <c r="E75" s="12" t="s">
        <v>15</v>
      </c>
      <c r="F75" s="14">
        <f>13.33+17.85</f>
        <v>31.18</v>
      </c>
      <c r="G75" s="14">
        <v>167</v>
      </c>
      <c r="H75" s="14">
        <v>23.5</v>
      </c>
      <c r="I75" s="14">
        <v>143.5</v>
      </c>
      <c r="J75" s="14">
        <f>G75*F75</f>
        <v>5207.0600000000004</v>
      </c>
      <c r="K75" s="37">
        <v>4.02E-2</v>
      </c>
      <c r="L75" s="14">
        <f>F75*K75</f>
        <v>1.253436</v>
      </c>
    </row>
    <row r="76" spans="1:12" s="26" customFormat="1" ht="25.5" x14ac:dyDescent="0.2">
      <c r="A76" s="12" t="s">
        <v>61</v>
      </c>
      <c r="B76" s="12"/>
      <c r="C76" s="12" t="s">
        <v>325</v>
      </c>
      <c r="D76" s="25" t="s">
        <v>164</v>
      </c>
      <c r="E76" s="12" t="s">
        <v>21</v>
      </c>
      <c r="F76" s="14">
        <f>8.76+6.55</f>
        <v>15.309999999999999</v>
      </c>
      <c r="G76" s="14">
        <v>2566</v>
      </c>
      <c r="H76" s="14">
        <v>2164.1999999999998</v>
      </c>
      <c r="I76" s="14">
        <v>401.8</v>
      </c>
      <c r="J76" s="14">
        <f t="shared" ref="J76:J77" si="14">G76*F76</f>
        <v>39285.46</v>
      </c>
      <c r="K76" s="37">
        <v>2.45329</v>
      </c>
      <c r="L76" s="14">
        <f>F76*K76</f>
        <v>37.559869899999995</v>
      </c>
    </row>
    <row r="77" spans="1:12" s="26" customFormat="1" ht="38.25" x14ac:dyDescent="0.2">
      <c r="A77" s="12" t="s">
        <v>455</v>
      </c>
      <c r="B77" s="12"/>
      <c r="C77" s="12" t="s">
        <v>420</v>
      </c>
      <c r="D77" s="25" t="s">
        <v>166</v>
      </c>
      <c r="E77" s="12" t="s">
        <v>86</v>
      </c>
      <c r="F77" s="14">
        <v>25</v>
      </c>
      <c r="G77" s="14">
        <v>218</v>
      </c>
      <c r="H77" s="14">
        <v>0</v>
      </c>
      <c r="I77" s="14">
        <v>218</v>
      </c>
      <c r="J77" s="14">
        <f t="shared" si="14"/>
        <v>5450</v>
      </c>
      <c r="K77" s="37">
        <v>6.8999999999999997E-4</v>
      </c>
      <c r="L77" s="14">
        <f>F77*K77</f>
        <v>1.7249999999999998E-2</v>
      </c>
    </row>
    <row r="78" spans="1:12" ht="13.35" customHeight="1" x14ac:dyDescent="0.2">
      <c r="A78" s="15"/>
      <c r="B78" s="15"/>
      <c r="C78" s="16" t="s">
        <v>76</v>
      </c>
      <c r="D78" s="61" t="s">
        <v>79</v>
      </c>
      <c r="E78" s="61"/>
      <c r="F78" s="61"/>
      <c r="G78" s="61"/>
      <c r="H78" s="17">
        <f>SUM(H79:H81)</f>
        <v>0</v>
      </c>
      <c r="I78" s="17">
        <f>SUM(I79:I81)</f>
        <v>145</v>
      </c>
      <c r="J78" s="17">
        <f>SUM(J79:J81)</f>
        <v>13454.560000000001</v>
      </c>
      <c r="K78" s="18"/>
      <c r="L78" s="17">
        <f>SUM(L79:L81)</f>
        <v>0</v>
      </c>
    </row>
    <row r="79" spans="1:12" s="26" customFormat="1" ht="38.25" x14ac:dyDescent="0.2">
      <c r="A79" s="32" t="s">
        <v>62</v>
      </c>
      <c r="B79" s="32"/>
      <c r="C79" s="32" t="s">
        <v>370</v>
      </c>
      <c r="D79" s="25" t="s">
        <v>376</v>
      </c>
      <c r="E79" s="32" t="s">
        <v>15</v>
      </c>
      <c r="F79" s="33">
        <v>23.44</v>
      </c>
      <c r="G79" s="33">
        <v>56</v>
      </c>
      <c r="H79" s="33">
        <v>0</v>
      </c>
      <c r="I79" s="33">
        <v>56</v>
      </c>
      <c r="J79" s="33">
        <f>G79*F79</f>
        <v>1312.64</v>
      </c>
      <c r="K79" s="33">
        <v>0</v>
      </c>
      <c r="L79" s="33">
        <f>F79*K79</f>
        <v>0</v>
      </c>
    </row>
    <row r="80" spans="1:12" s="26" customFormat="1" ht="38.25" x14ac:dyDescent="0.2">
      <c r="A80" s="12" t="s">
        <v>456</v>
      </c>
      <c r="B80" s="12"/>
      <c r="C80" s="32" t="s">
        <v>377</v>
      </c>
      <c r="D80" s="25" t="s">
        <v>375</v>
      </c>
      <c r="E80" s="12" t="s">
        <v>15</v>
      </c>
      <c r="F80" s="33">
        <v>23.44</v>
      </c>
      <c r="G80" s="33">
        <v>56</v>
      </c>
      <c r="H80" s="14">
        <v>0</v>
      </c>
      <c r="I80" s="14">
        <v>56</v>
      </c>
      <c r="J80" s="33">
        <f t="shared" ref="J80:J81" si="15">G80*F80</f>
        <v>1312.64</v>
      </c>
      <c r="K80" s="14">
        <v>0</v>
      </c>
      <c r="L80" s="14">
        <f>F80*K80</f>
        <v>0</v>
      </c>
    </row>
    <row r="81" spans="1:12" s="26" customFormat="1" ht="25.5" x14ac:dyDescent="0.2">
      <c r="A81" s="12" t="s">
        <v>457</v>
      </c>
      <c r="B81" s="12"/>
      <c r="C81" s="12" t="s">
        <v>372</v>
      </c>
      <c r="D81" s="13" t="s">
        <v>371</v>
      </c>
      <c r="E81" s="12" t="s">
        <v>15</v>
      </c>
      <c r="F81" s="14">
        <v>328.16</v>
      </c>
      <c r="G81" s="14">
        <v>33</v>
      </c>
      <c r="H81" s="14">
        <v>0</v>
      </c>
      <c r="I81" s="14">
        <v>33</v>
      </c>
      <c r="J81" s="33">
        <f t="shared" si="15"/>
        <v>10829.28</v>
      </c>
      <c r="K81" s="14">
        <v>0</v>
      </c>
      <c r="L81" s="14">
        <f>F81*K81</f>
        <v>0</v>
      </c>
    </row>
    <row r="82" spans="1:12" ht="13.35" customHeight="1" x14ac:dyDescent="0.2">
      <c r="A82" s="15"/>
      <c r="B82" s="15"/>
      <c r="C82" s="16" t="s">
        <v>78</v>
      </c>
      <c r="D82" s="61" t="s">
        <v>81</v>
      </c>
      <c r="E82" s="61"/>
      <c r="F82" s="61"/>
      <c r="G82" s="61"/>
      <c r="H82" s="17">
        <f>SUM(H83:H84)</f>
        <v>28.090000000000003</v>
      </c>
      <c r="I82" s="17">
        <f>SUM(I83:I84)</f>
        <v>529.91</v>
      </c>
      <c r="J82" s="17">
        <f>SUM(J83:J84)</f>
        <v>2729</v>
      </c>
      <c r="K82" s="18"/>
      <c r="L82" s="17">
        <f>SUM(L83:L84)</f>
        <v>1E-3</v>
      </c>
    </row>
    <row r="83" spans="1:12" ht="25.5" x14ac:dyDescent="0.2">
      <c r="A83" s="12" t="s">
        <v>458</v>
      </c>
      <c r="B83" s="12"/>
      <c r="C83" s="12" t="s">
        <v>432</v>
      </c>
      <c r="D83" s="13" t="s">
        <v>82</v>
      </c>
      <c r="E83" s="12" t="s">
        <v>68</v>
      </c>
      <c r="F83" s="14">
        <v>1</v>
      </c>
      <c r="G83" s="14">
        <v>391</v>
      </c>
      <c r="H83" s="14">
        <v>20.69</v>
      </c>
      <c r="I83" s="14">
        <v>370.31</v>
      </c>
      <c r="J83" s="14">
        <f>G83*F83</f>
        <v>391</v>
      </c>
      <c r="K83" s="14">
        <v>1E-3</v>
      </c>
      <c r="L83" s="14">
        <f>F83*K83</f>
        <v>1E-3</v>
      </c>
    </row>
    <row r="84" spans="1:12" ht="25.5" x14ac:dyDescent="0.2">
      <c r="A84" s="12" t="s">
        <v>64</v>
      </c>
      <c r="B84" s="12"/>
      <c r="C84" s="12" t="s">
        <v>436</v>
      </c>
      <c r="D84" s="13" t="s">
        <v>83</v>
      </c>
      <c r="E84" s="12" t="s">
        <v>68</v>
      </c>
      <c r="F84" s="14">
        <v>14</v>
      </c>
      <c r="G84" s="14">
        <v>167</v>
      </c>
      <c r="H84" s="14">
        <v>7.4</v>
      </c>
      <c r="I84" s="14">
        <v>159.6</v>
      </c>
      <c r="J84" s="14">
        <f>G84*F84</f>
        <v>2338</v>
      </c>
      <c r="K84" s="14">
        <v>0</v>
      </c>
      <c r="L84" s="14">
        <f>F84*K84</f>
        <v>0</v>
      </c>
    </row>
    <row r="85" spans="1:12" ht="13.35" customHeight="1" x14ac:dyDescent="0.2">
      <c r="A85" s="15"/>
      <c r="B85" s="15"/>
      <c r="C85" s="16"/>
      <c r="D85" s="61" t="s">
        <v>84</v>
      </c>
      <c r="E85" s="61"/>
      <c r="F85" s="61"/>
      <c r="G85" s="61"/>
      <c r="H85" s="17">
        <f>SUM(H86:H101)</f>
        <v>57692</v>
      </c>
      <c r="I85" s="17">
        <f>SUM(I86:I101)</f>
        <v>5774</v>
      </c>
      <c r="J85" s="17">
        <f>SUM(J86:J101)</f>
        <v>202101.88</v>
      </c>
      <c r="K85" s="18"/>
      <c r="L85" s="17">
        <f>SUM(L86:L101)</f>
        <v>1.10406</v>
      </c>
    </row>
    <row r="86" spans="1:12" x14ac:dyDescent="0.2">
      <c r="A86" s="12" t="s">
        <v>65</v>
      </c>
      <c r="B86" s="12"/>
      <c r="C86" s="32" t="s">
        <v>424</v>
      </c>
      <c r="D86" s="25" t="s">
        <v>423</v>
      </c>
      <c r="E86" s="12" t="s">
        <v>86</v>
      </c>
      <c r="F86" s="14">
        <v>1</v>
      </c>
      <c r="G86" s="14">
        <v>2503</v>
      </c>
      <c r="H86" s="14">
        <v>2503</v>
      </c>
      <c r="I86" s="14">
        <v>0</v>
      </c>
      <c r="J86" s="14">
        <f>G86*F86</f>
        <v>2503</v>
      </c>
      <c r="K86" s="14">
        <v>0.02</v>
      </c>
      <c r="L86" s="14">
        <f t="shared" ref="L86:L101" si="16">F86*K86</f>
        <v>0.02</v>
      </c>
    </row>
    <row r="87" spans="1:12" x14ac:dyDescent="0.2">
      <c r="A87" s="12" t="s">
        <v>66</v>
      </c>
      <c r="B87" s="12"/>
      <c r="C87" s="32" t="s">
        <v>422</v>
      </c>
      <c r="D87" s="13" t="s">
        <v>85</v>
      </c>
      <c r="E87" s="12" t="s">
        <v>86</v>
      </c>
      <c r="F87" s="14">
        <v>1</v>
      </c>
      <c r="G87" s="14">
        <v>2503</v>
      </c>
      <c r="H87" s="14">
        <v>2503</v>
      </c>
      <c r="I87" s="14">
        <v>0</v>
      </c>
      <c r="J87" s="14">
        <f t="shared" ref="J87:J101" si="17">G87*F87</f>
        <v>2503</v>
      </c>
      <c r="K87" s="14">
        <v>0.04</v>
      </c>
      <c r="L87" s="14">
        <f t="shared" si="16"/>
        <v>0.04</v>
      </c>
    </row>
    <row r="88" spans="1:12" s="26" customFormat="1" x14ac:dyDescent="0.2">
      <c r="A88" s="12" t="s">
        <v>67</v>
      </c>
      <c r="B88" s="12"/>
      <c r="C88" s="32" t="s">
        <v>421</v>
      </c>
      <c r="D88" s="13" t="s">
        <v>85</v>
      </c>
      <c r="E88" s="12" t="s">
        <v>86</v>
      </c>
      <c r="F88" s="14">
        <v>1</v>
      </c>
      <c r="G88" s="14">
        <v>2888</v>
      </c>
      <c r="H88" s="14">
        <v>2888</v>
      </c>
      <c r="I88" s="14">
        <v>0</v>
      </c>
      <c r="J88" s="14">
        <f t="shared" si="17"/>
        <v>2888</v>
      </c>
      <c r="K88" s="14">
        <v>0.02</v>
      </c>
      <c r="L88" s="14">
        <f t="shared" si="16"/>
        <v>0.02</v>
      </c>
    </row>
    <row r="89" spans="1:12" s="26" customFormat="1" x14ac:dyDescent="0.2">
      <c r="A89" s="12" t="s">
        <v>459</v>
      </c>
      <c r="B89" s="12"/>
      <c r="C89" s="32" t="s">
        <v>429</v>
      </c>
      <c r="D89" s="13" t="s">
        <v>90</v>
      </c>
      <c r="E89" s="12" t="s">
        <v>16</v>
      </c>
      <c r="F89" s="14">
        <v>10</v>
      </c>
      <c r="G89" s="14">
        <v>430</v>
      </c>
      <c r="H89" s="14">
        <v>430</v>
      </c>
      <c r="I89" s="14">
        <v>0</v>
      </c>
      <c r="J89" s="14">
        <f t="shared" si="17"/>
        <v>4300</v>
      </c>
      <c r="K89" s="14">
        <v>0.01</v>
      </c>
      <c r="L89" s="14">
        <f t="shared" si="16"/>
        <v>0.1</v>
      </c>
    </row>
    <row r="90" spans="1:12" s="26" customFormat="1" x14ac:dyDescent="0.2">
      <c r="A90" s="32" t="s">
        <v>460</v>
      </c>
      <c r="B90" s="32"/>
      <c r="C90" s="32" t="s">
        <v>87</v>
      </c>
      <c r="D90" s="25" t="s">
        <v>88</v>
      </c>
      <c r="E90" s="32" t="s">
        <v>86</v>
      </c>
      <c r="F90" s="33">
        <v>1</v>
      </c>
      <c r="G90" s="33">
        <v>5774</v>
      </c>
      <c r="H90" s="33">
        <v>0</v>
      </c>
      <c r="I90" s="33">
        <v>5774</v>
      </c>
      <c r="J90" s="14">
        <f t="shared" si="17"/>
        <v>5774</v>
      </c>
      <c r="K90" s="33">
        <v>0.03</v>
      </c>
      <c r="L90" s="33">
        <f t="shared" si="16"/>
        <v>0.03</v>
      </c>
    </row>
    <row r="91" spans="1:12" s="26" customFormat="1" x14ac:dyDescent="0.2">
      <c r="A91" s="32" t="s">
        <v>461</v>
      </c>
      <c r="B91" s="32"/>
      <c r="C91" s="32" t="s">
        <v>355</v>
      </c>
      <c r="D91" s="25" t="s">
        <v>358</v>
      </c>
      <c r="E91" s="32" t="s">
        <v>15</v>
      </c>
      <c r="F91" s="33">
        <v>858.04</v>
      </c>
      <c r="G91" s="33">
        <v>32</v>
      </c>
      <c r="H91" s="33">
        <v>32</v>
      </c>
      <c r="I91" s="33">
        <v>0</v>
      </c>
      <c r="J91" s="14">
        <f t="shared" si="17"/>
        <v>27457.279999999999</v>
      </c>
      <c r="K91" s="33">
        <v>5.0000000000000001E-4</v>
      </c>
      <c r="L91" s="33">
        <f t="shared" si="16"/>
        <v>0.42902000000000001</v>
      </c>
    </row>
    <row r="92" spans="1:12" s="26" customFormat="1" ht="25.5" x14ac:dyDescent="0.2">
      <c r="A92" s="12" t="s">
        <v>462</v>
      </c>
      <c r="B92" s="12"/>
      <c r="C92" s="12" t="s">
        <v>89</v>
      </c>
      <c r="D92" s="13" t="s">
        <v>359</v>
      </c>
      <c r="E92" s="12" t="s">
        <v>86</v>
      </c>
      <c r="F92" s="14">
        <v>9</v>
      </c>
      <c r="G92" s="14">
        <v>3398</v>
      </c>
      <c r="H92" s="14">
        <v>3398</v>
      </c>
      <c r="I92" s="14">
        <v>0</v>
      </c>
      <c r="J92" s="14">
        <f t="shared" si="17"/>
        <v>30582</v>
      </c>
      <c r="K92" s="14">
        <v>0.02</v>
      </c>
      <c r="L92" s="14">
        <f t="shared" si="16"/>
        <v>0.18</v>
      </c>
    </row>
    <row r="93" spans="1:12" s="26" customFormat="1" ht="25.5" x14ac:dyDescent="0.2">
      <c r="A93" s="12" t="s">
        <v>463</v>
      </c>
      <c r="B93" s="12"/>
      <c r="C93" s="12" t="s">
        <v>469</v>
      </c>
      <c r="D93" s="13" t="s">
        <v>362</v>
      </c>
      <c r="E93" s="12" t="s">
        <v>86</v>
      </c>
      <c r="F93" s="14">
        <v>1</v>
      </c>
      <c r="G93" s="14">
        <v>1808</v>
      </c>
      <c r="H93" s="14">
        <v>1808</v>
      </c>
      <c r="I93" s="14">
        <v>0</v>
      </c>
      <c r="J93" s="14">
        <f t="shared" si="17"/>
        <v>1808</v>
      </c>
      <c r="K93" s="14">
        <v>0.01</v>
      </c>
      <c r="L93" s="14">
        <f t="shared" si="16"/>
        <v>0.01</v>
      </c>
    </row>
    <row r="94" spans="1:12" s="26" customFormat="1" x14ac:dyDescent="0.2">
      <c r="A94" s="12" t="s">
        <v>464</v>
      </c>
      <c r="B94" s="12"/>
      <c r="C94" s="12" t="s">
        <v>361</v>
      </c>
      <c r="D94" s="13" t="s">
        <v>360</v>
      </c>
      <c r="E94" s="12" t="s">
        <v>86</v>
      </c>
      <c r="F94" s="14">
        <v>3</v>
      </c>
      <c r="G94" s="14">
        <v>36638</v>
      </c>
      <c r="H94" s="14">
        <v>36638</v>
      </c>
      <c r="I94" s="14">
        <v>0</v>
      </c>
      <c r="J94" s="14">
        <f t="shared" si="17"/>
        <v>109914</v>
      </c>
      <c r="K94" s="14">
        <v>0</v>
      </c>
      <c r="L94" s="14">
        <f t="shared" si="16"/>
        <v>0</v>
      </c>
    </row>
    <row r="95" spans="1:12" s="26" customFormat="1" ht="25.5" x14ac:dyDescent="0.2">
      <c r="A95" s="12" t="s">
        <v>465</v>
      </c>
      <c r="B95" s="12"/>
      <c r="C95" s="12" t="s">
        <v>538</v>
      </c>
      <c r="D95" s="13" t="s">
        <v>537</v>
      </c>
      <c r="E95" s="12" t="s">
        <v>86</v>
      </c>
      <c r="F95" s="14">
        <v>1</v>
      </c>
      <c r="G95" s="14">
        <v>2446</v>
      </c>
      <c r="H95" s="14">
        <v>2446</v>
      </c>
      <c r="I95" s="14">
        <v>0</v>
      </c>
      <c r="J95" s="14">
        <f t="shared" si="17"/>
        <v>2446</v>
      </c>
      <c r="K95" s="14">
        <v>0</v>
      </c>
      <c r="L95" s="14">
        <f t="shared" si="16"/>
        <v>0</v>
      </c>
    </row>
    <row r="96" spans="1:12" s="26" customFormat="1" x14ac:dyDescent="0.2">
      <c r="A96" s="12" t="s">
        <v>466</v>
      </c>
      <c r="B96" s="12"/>
      <c r="C96" s="12" t="s">
        <v>365</v>
      </c>
      <c r="D96" s="32" t="s">
        <v>158</v>
      </c>
      <c r="E96" s="12" t="s">
        <v>86</v>
      </c>
      <c r="F96" s="14">
        <v>1</v>
      </c>
      <c r="G96" s="14">
        <v>2399</v>
      </c>
      <c r="H96" s="14">
        <v>2399</v>
      </c>
      <c r="I96" s="14">
        <v>0</v>
      </c>
      <c r="J96" s="14">
        <f t="shared" si="17"/>
        <v>2399</v>
      </c>
      <c r="K96" s="14">
        <v>0.08</v>
      </c>
      <c r="L96" s="14">
        <f t="shared" si="16"/>
        <v>0.08</v>
      </c>
    </row>
    <row r="97" spans="1:12" s="26" customFormat="1" ht="25.5" x14ac:dyDescent="0.2">
      <c r="A97" s="12" t="s">
        <v>70</v>
      </c>
      <c r="B97" s="12"/>
      <c r="C97" s="12" t="s">
        <v>368</v>
      </c>
      <c r="D97" s="13" t="s">
        <v>367</v>
      </c>
      <c r="E97" s="12" t="s">
        <v>86</v>
      </c>
      <c r="F97" s="14">
        <v>3</v>
      </c>
      <c r="G97" s="14">
        <v>2312</v>
      </c>
      <c r="H97" s="14">
        <v>2312</v>
      </c>
      <c r="I97" s="14">
        <v>0</v>
      </c>
      <c r="J97" s="14">
        <f t="shared" si="17"/>
        <v>6936</v>
      </c>
      <c r="K97" s="14">
        <v>0.02</v>
      </c>
      <c r="L97" s="14">
        <f t="shared" si="16"/>
        <v>0.06</v>
      </c>
    </row>
    <row r="98" spans="1:12" x14ac:dyDescent="0.2">
      <c r="A98" s="12" t="s">
        <v>71</v>
      </c>
      <c r="B98" s="12"/>
      <c r="C98" s="32" t="s">
        <v>401</v>
      </c>
      <c r="D98" s="32" t="s">
        <v>389</v>
      </c>
      <c r="E98" s="12" t="s">
        <v>86</v>
      </c>
      <c r="F98" s="14">
        <v>8</v>
      </c>
      <c r="G98" s="14">
        <v>103</v>
      </c>
      <c r="H98" s="14">
        <v>103</v>
      </c>
      <c r="I98" s="14">
        <v>0</v>
      </c>
      <c r="J98" s="14">
        <f t="shared" si="17"/>
        <v>824</v>
      </c>
      <c r="K98" s="14">
        <v>5.0000000000000001E-3</v>
      </c>
      <c r="L98" s="14">
        <f t="shared" si="16"/>
        <v>0.04</v>
      </c>
    </row>
    <row r="99" spans="1:12" ht="25.5" x14ac:dyDescent="0.2">
      <c r="A99" s="12" t="s">
        <v>534</v>
      </c>
      <c r="B99" s="12"/>
      <c r="C99" s="32" t="s">
        <v>403</v>
      </c>
      <c r="D99" s="13" t="s">
        <v>390</v>
      </c>
      <c r="E99" s="12" t="s">
        <v>16</v>
      </c>
      <c r="F99" s="14">
        <v>8</v>
      </c>
      <c r="G99" s="14">
        <v>26</v>
      </c>
      <c r="H99" s="14">
        <v>26</v>
      </c>
      <c r="I99" s="14">
        <v>0</v>
      </c>
      <c r="J99" s="14">
        <f t="shared" si="17"/>
        <v>208</v>
      </c>
      <c r="K99" s="14">
        <v>8.0000000000000007E-5</v>
      </c>
      <c r="L99" s="14">
        <f t="shared" si="16"/>
        <v>6.4000000000000005E-4</v>
      </c>
    </row>
    <row r="100" spans="1:12" x14ac:dyDescent="0.2">
      <c r="A100" s="12" t="s">
        <v>536</v>
      </c>
      <c r="B100" s="12"/>
      <c r="C100" s="32" t="s">
        <v>407</v>
      </c>
      <c r="D100" s="32" t="s">
        <v>406</v>
      </c>
      <c r="E100" s="12" t="s">
        <v>391</v>
      </c>
      <c r="F100" s="14">
        <v>1.2</v>
      </c>
      <c r="G100" s="14">
        <v>13</v>
      </c>
      <c r="H100" s="14">
        <v>13</v>
      </c>
      <c r="I100" s="14">
        <v>0</v>
      </c>
      <c r="J100" s="14">
        <f t="shared" si="17"/>
        <v>15.6</v>
      </c>
      <c r="K100" s="14">
        <v>1.2E-2</v>
      </c>
      <c r="L100" s="14">
        <f t="shared" si="16"/>
        <v>1.44E-2</v>
      </c>
    </row>
    <row r="101" spans="1:12" s="26" customFormat="1" ht="25.5" x14ac:dyDescent="0.2">
      <c r="A101" s="12" t="s">
        <v>475</v>
      </c>
      <c r="B101" s="12"/>
      <c r="C101" s="12" t="s">
        <v>405</v>
      </c>
      <c r="D101" s="13" t="s">
        <v>402</v>
      </c>
      <c r="E101" s="12" t="s">
        <v>50</v>
      </c>
      <c r="F101" s="14">
        <v>8</v>
      </c>
      <c r="G101" s="14">
        <v>193</v>
      </c>
      <c r="H101" s="14">
        <v>193</v>
      </c>
      <c r="I101" s="14">
        <v>0</v>
      </c>
      <c r="J101" s="14">
        <f t="shared" si="17"/>
        <v>1544</v>
      </c>
      <c r="K101" s="14">
        <v>0.01</v>
      </c>
      <c r="L101" s="14">
        <f t="shared" si="16"/>
        <v>0.08</v>
      </c>
    </row>
    <row r="102" spans="1:12" x14ac:dyDescent="0.2">
      <c r="A102" s="15"/>
      <c r="B102" s="15"/>
      <c r="C102" s="16" t="s">
        <v>80</v>
      </c>
      <c r="D102" s="61" t="s">
        <v>410</v>
      </c>
      <c r="E102" s="61"/>
      <c r="F102" s="61"/>
      <c r="G102" s="61"/>
      <c r="H102" s="17">
        <f>SUM(H103:H104)</f>
        <v>0</v>
      </c>
      <c r="I102" s="17">
        <f>SUM(I103:I104)</f>
        <v>996</v>
      </c>
      <c r="J102" s="17">
        <f>SUM(J103:J104)</f>
        <v>36036.123679500008</v>
      </c>
      <c r="K102" s="18"/>
      <c r="L102" s="18"/>
    </row>
    <row r="103" spans="1:12" s="26" customFormat="1" ht="12.75" customHeight="1" x14ac:dyDescent="0.2">
      <c r="A103" s="54">
        <v>85</v>
      </c>
      <c r="B103"/>
      <c r="C103" t="s">
        <v>413</v>
      </c>
      <c r="D103" s="13" t="s">
        <v>335</v>
      </c>
      <c r="E103" t="s">
        <v>50</v>
      </c>
      <c r="F103" s="35">
        <f>L103</f>
        <v>797.94890310000017</v>
      </c>
      <c r="G103" s="14">
        <v>45</v>
      </c>
      <c r="H103" s="14">
        <v>0</v>
      </c>
      <c r="I103" s="14">
        <v>45</v>
      </c>
      <c r="J103" s="14">
        <f>G103*F103</f>
        <v>35907.700639500006</v>
      </c>
      <c r="K103" s="14">
        <v>5.0000000000000001E-4</v>
      </c>
      <c r="L103" s="35">
        <f>L46+L54+L61+L74+L85</f>
        <v>797.94890310000017</v>
      </c>
    </row>
    <row r="104" spans="1:12" s="26" customFormat="1" ht="27.75" customHeight="1" x14ac:dyDescent="0.2">
      <c r="A104" s="54">
        <v>86</v>
      </c>
      <c r="B104"/>
      <c r="C104" t="s">
        <v>400</v>
      </c>
      <c r="D104" s="13" t="s">
        <v>388</v>
      </c>
      <c r="E104" t="s">
        <v>412</v>
      </c>
      <c r="F104" s="35">
        <f>SUM(L98:L101)</f>
        <v>0.13503999999999999</v>
      </c>
      <c r="G104" s="14">
        <v>951</v>
      </c>
      <c r="H104" s="14">
        <v>0</v>
      </c>
      <c r="I104" s="14">
        <v>951</v>
      </c>
      <c r="J104" s="14">
        <f>G104*F104</f>
        <v>128.42303999999999</v>
      </c>
      <c r="K104" s="14">
        <v>5.0000000000000001E-4</v>
      </c>
      <c r="L104" s="35">
        <v>0.14000000000000001</v>
      </c>
    </row>
    <row r="105" spans="1:12" x14ac:dyDescent="0.2">
      <c r="A105" s="15"/>
      <c r="B105" s="15"/>
      <c r="C105" s="16"/>
      <c r="D105" s="61" t="s">
        <v>84</v>
      </c>
      <c r="E105" s="61"/>
      <c r="F105" s="61"/>
      <c r="G105" s="61"/>
      <c r="H105" s="17">
        <f>SUM(H106:H120)</f>
        <v>0</v>
      </c>
      <c r="I105" s="17">
        <f>SUM(I106:I120)</f>
        <v>0</v>
      </c>
      <c r="J105" s="17">
        <f>H105+I105</f>
        <v>0</v>
      </c>
      <c r="K105" s="18"/>
      <c r="L105" s="18"/>
    </row>
    <row r="107" spans="1:12" x14ac:dyDescent="0.2">
      <c r="J107" s="35"/>
    </row>
    <row r="108" spans="1:12" x14ac:dyDescent="0.2">
      <c r="J108" s="35"/>
    </row>
    <row r="109" spans="1:12" x14ac:dyDescent="0.2">
      <c r="J109" s="35"/>
    </row>
    <row r="111" spans="1:12" x14ac:dyDescent="0.2">
      <c r="J111" s="35"/>
      <c r="K111" s="35"/>
    </row>
    <row r="112" spans="1:12" x14ac:dyDescent="0.2">
      <c r="J112" s="36"/>
    </row>
  </sheetData>
  <mergeCells count="19">
    <mergeCell ref="D46:G46"/>
    <mergeCell ref="D54:G54"/>
    <mergeCell ref="D61:G61"/>
    <mergeCell ref="D78:G78"/>
    <mergeCell ref="D82:G82"/>
    <mergeCell ref="D85:G85"/>
    <mergeCell ref="D71:G71"/>
    <mergeCell ref="D74:G74"/>
    <mergeCell ref="D69:G69"/>
    <mergeCell ref="D105:G105"/>
    <mergeCell ref="D102:G102"/>
    <mergeCell ref="D16:G16"/>
    <mergeCell ref="D23:G23"/>
    <mergeCell ref="D29:G29"/>
    <mergeCell ref="A1:L1"/>
    <mergeCell ref="H2:J2"/>
    <mergeCell ref="K2:L2"/>
    <mergeCell ref="D4:G4"/>
    <mergeCell ref="D11:G11"/>
  </mergeCells>
  <pageMargins left="0.74791666666666667" right="0.74791666666666667" top="0.98402777777777783" bottom="0.98402777777777783" header="0.51180555555555562" footer="0.51180555555555562"/>
  <pageSetup paperSize="9" scale="91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view="pageBreakPreview" zoomScaleSheetLayoutView="100" workbookViewId="0">
      <selection activeCell="A2" sqref="A2"/>
    </sheetView>
  </sheetViews>
  <sheetFormatPr defaultColWidth="11.42578125" defaultRowHeight="12.75" x14ac:dyDescent="0.2"/>
  <cols>
    <col min="1" max="1" width="4" customWidth="1"/>
    <col min="2" max="2" width="1.7109375" customWidth="1"/>
    <col min="3" max="3" width="21.42578125" customWidth="1"/>
    <col min="4" max="4" width="84.5703125" customWidth="1"/>
    <col min="5" max="5" width="9.85546875" customWidth="1"/>
    <col min="6" max="6" width="47.5703125" customWidth="1"/>
    <col min="7" max="7" width="13.85546875" customWidth="1"/>
    <col min="8" max="8" width="44" customWidth="1"/>
  </cols>
  <sheetData>
    <row r="1" spans="1:8" ht="21.95" customHeight="1" x14ac:dyDescent="0.2">
      <c r="A1" s="68" t="s">
        <v>546</v>
      </c>
      <c r="B1" s="68"/>
      <c r="C1" s="68"/>
      <c r="D1" s="68"/>
      <c r="E1" s="68"/>
      <c r="F1" s="68"/>
      <c r="G1" s="68"/>
    </row>
    <row r="2" spans="1:8" x14ac:dyDescent="0.2">
      <c r="A2" s="39" t="s">
        <v>4</v>
      </c>
      <c r="B2" s="19" t="s">
        <v>5</v>
      </c>
      <c r="C2" s="19" t="s">
        <v>6</v>
      </c>
      <c r="D2" s="19" t="s">
        <v>7</v>
      </c>
      <c r="E2" s="19" t="s">
        <v>8</v>
      </c>
      <c r="F2" s="19" t="s">
        <v>91</v>
      </c>
      <c r="G2" s="20" t="s">
        <v>9</v>
      </c>
      <c r="H2" s="4"/>
    </row>
    <row r="3" spans="1:8" s="30" customFormat="1" x14ac:dyDescent="0.2">
      <c r="A3" s="32" t="s">
        <v>414</v>
      </c>
      <c r="B3" s="27"/>
      <c r="C3" s="27" t="s">
        <v>288</v>
      </c>
      <c r="D3" s="27" t="s">
        <v>289</v>
      </c>
      <c r="E3" s="27" t="s">
        <v>21</v>
      </c>
      <c r="F3" s="28" t="s">
        <v>276</v>
      </c>
      <c r="G3" s="29">
        <f>SUM(G4:G8)</f>
        <v>648.21400000000006</v>
      </c>
    </row>
    <row r="4" spans="1:8" s="30" customFormat="1" x14ac:dyDescent="0.2">
      <c r="A4" s="32"/>
      <c r="B4" s="27"/>
      <c r="C4" s="27"/>
      <c r="D4" s="27"/>
      <c r="E4" s="27"/>
      <c r="F4" s="28" t="s">
        <v>267</v>
      </c>
      <c r="G4" s="29">
        <f>6173*0.1</f>
        <v>617.30000000000007</v>
      </c>
    </row>
    <row r="5" spans="1:8" s="30" customFormat="1" x14ac:dyDescent="0.2">
      <c r="A5" s="32"/>
      <c r="B5" s="27"/>
      <c r="C5" s="27"/>
      <c r="D5" s="27"/>
      <c r="E5" s="27"/>
      <c r="F5" s="28" t="s">
        <v>268</v>
      </c>
      <c r="G5" s="29">
        <f>110*0.1</f>
        <v>11</v>
      </c>
    </row>
    <row r="6" spans="1:8" s="30" customFormat="1" x14ac:dyDescent="0.2">
      <c r="A6" s="32"/>
      <c r="B6" s="27"/>
      <c r="C6" s="27"/>
      <c r="D6" s="27"/>
      <c r="E6" s="27"/>
      <c r="F6" s="28" t="s">
        <v>269</v>
      </c>
      <c r="G6" s="29">
        <f>88*0.1</f>
        <v>8.8000000000000007</v>
      </c>
    </row>
    <row r="7" spans="1:8" s="30" customFormat="1" x14ac:dyDescent="0.2">
      <c r="A7" s="32"/>
      <c r="B7" s="27"/>
      <c r="C7" s="27"/>
      <c r="D7" s="27"/>
      <c r="E7" s="27"/>
      <c r="F7" s="28" t="s">
        <v>270</v>
      </c>
      <c r="G7" s="29">
        <f>17.74*0.1</f>
        <v>1.774</v>
      </c>
    </row>
    <row r="8" spans="1:8" s="30" customFormat="1" x14ac:dyDescent="0.2">
      <c r="A8" s="32"/>
      <c r="B8" s="27"/>
      <c r="C8" s="27"/>
      <c r="D8" s="27"/>
      <c r="E8" s="27"/>
      <c r="F8" s="28" t="s">
        <v>271</v>
      </c>
      <c r="G8" s="29">
        <f>(36.2+37.5+19.7)*0.1</f>
        <v>9.3400000000000016</v>
      </c>
    </row>
    <row r="9" spans="1:8" ht="25.5" x14ac:dyDescent="0.2">
      <c r="A9" s="32" t="s">
        <v>415</v>
      </c>
      <c r="B9" s="32"/>
      <c r="C9" s="25" t="s">
        <v>326</v>
      </c>
      <c r="D9" s="32" t="s">
        <v>161</v>
      </c>
      <c r="E9" s="32" t="s">
        <v>21</v>
      </c>
      <c r="F9" s="25" t="s">
        <v>194</v>
      </c>
      <c r="G9" s="33">
        <f>4.32*3.62+4.32*4.46+1.88*12.45+3.39*5.9+4.32*3.47</f>
        <v>93.302999999999997</v>
      </c>
    </row>
    <row r="10" spans="1:8" x14ac:dyDescent="0.2">
      <c r="A10" s="32" t="s">
        <v>416</v>
      </c>
      <c r="B10" s="32"/>
      <c r="C10" s="25" t="s">
        <v>326</v>
      </c>
      <c r="D10" s="32" t="s">
        <v>161</v>
      </c>
      <c r="E10" s="32" t="s">
        <v>21</v>
      </c>
      <c r="F10" s="25" t="s">
        <v>210</v>
      </c>
      <c r="G10" s="33">
        <f>SUM(G11:G13)</f>
        <v>57.029599999999995</v>
      </c>
    </row>
    <row r="11" spans="1:8" x14ac:dyDescent="0.2">
      <c r="A11" s="32"/>
      <c r="B11" s="32"/>
      <c r="C11" s="32"/>
      <c r="D11" s="32"/>
      <c r="E11" s="32"/>
      <c r="F11" s="25" t="s">
        <v>211</v>
      </c>
      <c r="G11" s="33">
        <f>4.36*6.13</f>
        <v>26.726800000000001</v>
      </c>
    </row>
    <row r="12" spans="1:8" x14ac:dyDescent="0.2">
      <c r="A12" s="32"/>
      <c r="B12" s="32"/>
      <c r="C12" s="32"/>
      <c r="D12" s="32"/>
      <c r="E12" s="32"/>
      <c r="F12" s="25" t="s">
        <v>212</v>
      </c>
      <c r="G12" s="33">
        <f>((4.36+2.64)/2)*6.92</f>
        <v>24.22</v>
      </c>
    </row>
    <row r="13" spans="1:8" x14ac:dyDescent="0.2">
      <c r="A13" s="32"/>
      <c r="B13" s="32"/>
      <c r="C13" s="32"/>
      <c r="D13" s="32"/>
      <c r="E13" s="32"/>
      <c r="F13" s="25" t="s">
        <v>217</v>
      </c>
      <c r="G13" s="33">
        <f>2.74*1+((2.74/2)*1.22)*2</f>
        <v>6.0828000000000007</v>
      </c>
    </row>
    <row r="14" spans="1:8" x14ac:dyDescent="0.2">
      <c r="A14" s="32" t="s">
        <v>417</v>
      </c>
      <c r="B14" s="32"/>
      <c r="C14" s="25" t="s">
        <v>326</v>
      </c>
      <c r="D14" s="32" t="s">
        <v>161</v>
      </c>
      <c r="E14" s="32" t="s">
        <v>21</v>
      </c>
      <c r="F14" s="25" t="s">
        <v>233</v>
      </c>
      <c r="G14" s="33">
        <f>(0.18*1.08)/2+(0.18*2)/2+0.64*3.17</f>
        <v>2.306</v>
      </c>
    </row>
    <row r="15" spans="1:8" x14ac:dyDescent="0.2">
      <c r="A15" s="32" t="s">
        <v>19</v>
      </c>
      <c r="B15" s="32"/>
      <c r="C15" s="25" t="s">
        <v>326</v>
      </c>
      <c r="D15" s="32" t="s">
        <v>161</v>
      </c>
      <c r="E15" s="25" t="s">
        <v>21</v>
      </c>
      <c r="F15" s="25" t="s">
        <v>162</v>
      </c>
      <c r="G15" s="33">
        <f>2.74*1.9</f>
        <v>5.2060000000000004</v>
      </c>
    </row>
    <row r="16" spans="1:8" x14ac:dyDescent="0.2">
      <c r="A16" s="32" t="s">
        <v>19</v>
      </c>
      <c r="B16" s="32"/>
      <c r="C16" s="25" t="s">
        <v>326</v>
      </c>
      <c r="D16" s="32" t="s">
        <v>161</v>
      </c>
      <c r="E16" s="32" t="s">
        <v>21</v>
      </c>
      <c r="F16" s="25" t="s">
        <v>327</v>
      </c>
      <c r="G16" s="33">
        <f>(7.14/2)*4.15</f>
        <v>14.8155</v>
      </c>
    </row>
    <row r="17" spans="1:7" s="30" customFormat="1" x14ac:dyDescent="0.2">
      <c r="A17" s="32" t="s">
        <v>22</v>
      </c>
      <c r="B17" s="27"/>
      <c r="C17" s="27" t="s">
        <v>290</v>
      </c>
      <c r="D17" s="27" t="s">
        <v>92</v>
      </c>
      <c r="E17" s="27" t="s">
        <v>21</v>
      </c>
      <c r="F17" s="28" t="s">
        <v>93</v>
      </c>
      <c r="G17" s="29">
        <v>2062</v>
      </c>
    </row>
    <row r="18" spans="1:7" ht="25.5" x14ac:dyDescent="0.2">
      <c r="A18" s="32" t="s">
        <v>418</v>
      </c>
      <c r="B18" s="32"/>
      <c r="C18" s="32" t="s">
        <v>311</v>
      </c>
      <c r="D18" s="32" t="s">
        <v>310</v>
      </c>
      <c r="E18" s="32" t="s">
        <v>21</v>
      </c>
      <c r="F18" s="25" t="s">
        <v>128</v>
      </c>
      <c r="G18" s="33">
        <f>5.74*0.73</f>
        <v>4.1901999999999999</v>
      </c>
    </row>
    <row r="19" spans="1:7" ht="25.5" x14ac:dyDescent="0.2">
      <c r="A19" s="32" t="s">
        <v>418</v>
      </c>
      <c r="B19" s="32"/>
      <c r="C19" s="32" t="s">
        <v>311</v>
      </c>
      <c r="D19" s="32" t="s">
        <v>310</v>
      </c>
      <c r="E19" s="32" t="s">
        <v>21</v>
      </c>
      <c r="F19" s="25" t="s">
        <v>127</v>
      </c>
      <c r="G19" s="33">
        <f>12.14*0.7</f>
        <v>8.4979999999999993</v>
      </c>
    </row>
    <row r="20" spans="1:7" x14ac:dyDescent="0.2">
      <c r="A20" s="32" t="s">
        <v>418</v>
      </c>
      <c r="B20" s="32"/>
      <c r="C20" s="32" t="s">
        <v>311</v>
      </c>
      <c r="D20" s="32" t="s">
        <v>310</v>
      </c>
      <c r="E20" s="32" t="s">
        <v>21</v>
      </c>
      <c r="F20" s="25" t="s">
        <v>129</v>
      </c>
      <c r="G20" s="33">
        <f>15.29*0.53</f>
        <v>8.1036999999999999</v>
      </c>
    </row>
    <row r="21" spans="1:7" x14ac:dyDescent="0.2">
      <c r="A21" s="32" t="s">
        <v>408</v>
      </c>
      <c r="B21" s="32"/>
      <c r="C21" s="32" t="s">
        <v>193</v>
      </c>
      <c r="D21" s="32" t="s">
        <v>313</v>
      </c>
      <c r="E21" s="32" t="s">
        <v>21</v>
      </c>
      <c r="F21" s="25" t="s">
        <v>131</v>
      </c>
      <c r="G21" s="33">
        <f>1.05*2.4</f>
        <v>2.52</v>
      </c>
    </row>
    <row r="22" spans="1:7" x14ac:dyDescent="0.2">
      <c r="A22" s="32" t="s">
        <v>408</v>
      </c>
      <c r="B22" s="32"/>
      <c r="C22" s="32" t="s">
        <v>193</v>
      </c>
      <c r="D22" s="32" t="s">
        <v>313</v>
      </c>
      <c r="E22" s="32" t="s">
        <v>21</v>
      </c>
      <c r="F22" s="25" t="s">
        <v>130</v>
      </c>
      <c r="G22" s="33">
        <f>4.08*3.4</f>
        <v>13.872</v>
      </c>
    </row>
    <row r="23" spans="1:7" x14ac:dyDescent="0.2">
      <c r="A23" s="32" t="s">
        <v>408</v>
      </c>
      <c r="B23" s="32"/>
      <c r="C23" s="32" t="s">
        <v>193</v>
      </c>
      <c r="D23" s="32" t="s">
        <v>313</v>
      </c>
      <c r="E23" s="32" t="s">
        <v>21</v>
      </c>
      <c r="F23" s="25" t="s">
        <v>328</v>
      </c>
      <c r="G23" s="33">
        <f>2*2.1*2.1</f>
        <v>8.82</v>
      </c>
    </row>
    <row r="24" spans="1:7" ht="25.5" x14ac:dyDescent="0.2">
      <c r="A24" s="32" t="s">
        <v>419</v>
      </c>
      <c r="B24" s="32"/>
      <c r="C24" s="25" t="s">
        <v>173</v>
      </c>
      <c r="D24" s="25" t="s">
        <v>170</v>
      </c>
      <c r="E24" s="25" t="s">
        <v>21</v>
      </c>
      <c r="F24" s="25" t="s">
        <v>248</v>
      </c>
      <c r="G24" s="33">
        <f>22.57*0.9*1.32</f>
        <v>26.813160000000003</v>
      </c>
    </row>
    <row r="25" spans="1:7" ht="25.5" x14ac:dyDescent="0.2">
      <c r="A25" s="32" t="s">
        <v>419</v>
      </c>
      <c r="B25" s="32"/>
      <c r="C25" s="25" t="s">
        <v>173</v>
      </c>
      <c r="D25" s="25" t="s">
        <v>170</v>
      </c>
      <c r="E25" s="25" t="s">
        <v>21</v>
      </c>
      <c r="F25" s="25" t="s">
        <v>171</v>
      </c>
      <c r="G25" s="33">
        <f>29.9*0.9</f>
        <v>26.91</v>
      </c>
    </row>
    <row r="26" spans="1:7" ht="25.5" x14ac:dyDescent="0.2">
      <c r="A26" s="32" t="s">
        <v>25</v>
      </c>
      <c r="B26" s="32"/>
      <c r="C26" s="32" t="s">
        <v>191</v>
      </c>
      <c r="D26" s="25" t="s">
        <v>190</v>
      </c>
      <c r="E26" s="32" t="s">
        <v>21</v>
      </c>
      <c r="F26" s="25" t="s">
        <v>195</v>
      </c>
      <c r="G26" s="33">
        <f>2.84*0.2*3+3.65*0.3*0.8+3.5*0.3*0.8</f>
        <v>3.42</v>
      </c>
    </row>
    <row r="27" spans="1:7" ht="25.5" x14ac:dyDescent="0.2">
      <c r="A27" s="32" t="s">
        <v>25</v>
      </c>
      <c r="B27" s="32"/>
      <c r="C27" s="32" t="s">
        <v>191</v>
      </c>
      <c r="D27" s="25" t="s">
        <v>190</v>
      </c>
      <c r="E27" s="32" t="s">
        <v>21</v>
      </c>
      <c r="F27" s="25" t="s">
        <v>222</v>
      </c>
      <c r="G27" s="33">
        <f>5.19*0.3+2.8*0.3+3.6*0.3+0.8*0.3</f>
        <v>3.7170000000000005</v>
      </c>
    </row>
    <row r="28" spans="1:7" x14ac:dyDescent="0.2">
      <c r="A28" s="32" t="s">
        <v>25</v>
      </c>
      <c r="B28" s="32"/>
      <c r="C28" s="32" t="s">
        <v>191</v>
      </c>
      <c r="D28" s="25" t="s">
        <v>190</v>
      </c>
      <c r="E28" s="32" t="s">
        <v>21</v>
      </c>
      <c r="F28" s="25" t="s">
        <v>234</v>
      </c>
      <c r="G28" s="33">
        <f>0.42*0.2+0.71*0.2</f>
        <v>0.22599999999999998</v>
      </c>
    </row>
    <row r="29" spans="1:7" x14ac:dyDescent="0.2">
      <c r="A29" s="32" t="s">
        <v>25</v>
      </c>
      <c r="B29" s="32"/>
      <c r="C29" s="25" t="s">
        <v>191</v>
      </c>
      <c r="D29" s="25" t="s">
        <v>190</v>
      </c>
      <c r="E29" s="25" t="s">
        <v>21</v>
      </c>
      <c r="F29" s="32" t="s">
        <v>184</v>
      </c>
      <c r="G29" s="33">
        <v>0.54</v>
      </c>
    </row>
    <row r="30" spans="1:7" s="30" customFormat="1" x14ac:dyDescent="0.2">
      <c r="A30" s="32" t="s">
        <v>14</v>
      </c>
      <c r="B30" s="27"/>
      <c r="C30" s="27" t="s">
        <v>174</v>
      </c>
      <c r="D30" s="27" t="s">
        <v>104</v>
      </c>
      <c r="E30" s="27" t="s">
        <v>21</v>
      </c>
      <c r="F30" s="28" t="s">
        <v>105</v>
      </c>
      <c r="G30" s="29">
        <v>2062</v>
      </c>
    </row>
    <row r="31" spans="1:7" x14ac:dyDescent="0.2">
      <c r="A31" s="32" t="s">
        <v>14</v>
      </c>
      <c r="B31" s="32"/>
      <c r="C31" s="32" t="s">
        <v>174</v>
      </c>
      <c r="D31" s="32" t="s">
        <v>104</v>
      </c>
      <c r="E31" s="32" t="s">
        <v>21</v>
      </c>
      <c r="F31" s="25" t="s">
        <v>181</v>
      </c>
      <c r="G31" s="33">
        <f>(29.9*0.9)-8.32*0.9+2.74*1.9</f>
        <v>24.628</v>
      </c>
    </row>
    <row r="32" spans="1:7" x14ac:dyDescent="0.2">
      <c r="A32" s="32" t="s">
        <v>14</v>
      </c>
      <c r="B32" s="32"/>
      <c r="C32" s="32" t="s">
        <v>174</v>
      </c>
      <c r="D32" s="32" t="s">
        <v>104</v>
      </c>
      <c r="E32" s="32" t="s">
        <v>21</v>
      </c>
      <c r="F32" s="25" t="s">
        <v>196</v>
      </c>
      <c r="G32" s="33">
        <f>93.3+3.42</f>
        <v>96.72</v>
      </c>
    </row>
    <row r="33" spans="1:8" x14ac:dyDescent="0.2">
      <c r="A33" s="32" t="s">
        <v>14</v>
      </c>
      <c r="B33" s="32"/>
      <c r="C33" s="32" t="s">
        <v>174</v>
      </c>
      <c r="D33" s="32" t="s">
        <v>104</v>
      </c>
      <c r="E33" s="32" t="s">
        <v>21</v>
      </c>
      <c r="F33" s="25" t="s">
        <v>223</v>
      </c>
      <c r="G33" s="33">
        <f>57.03+3.72</f>
        <v>60.75</v>
      </c>
    </row>
    <row r="34" spans="1:8" ht="25.5" x14ac:dyDescent="0.2">
      <c r="A34" s="32" t="s">
        <v>14</v>
      </c>
      <c r="B34" s="32"/>
      <c r="C34" s="32" t="s">
        <v>174</v>
      </c>
      <c r="D34" s="32" t="s">
        <v>104</v>
      </c>
      <c r="E34" s="32" t="s">
        <v>21</v>
      </c>
      <c r="F34" s="25" t="s">
        <v>329</v>
      </c>
      <c r="G34" s="33">
        <f>8.82+14.82+26.81</f>
        <v>50.45</v>
      </c>
    </row>
    <row r="35" spans="1:8" x14ac:dyDescent="0.2">
      <c r="A35" s="32" t="s">
        <v>14</v>
      </c>
      <c r="B35" s="32"/>
      <c r="C35" s="32" t="s">
        <v>174</v>
      </c>
      <c r="D35" s="32" t="s">
        <v>104</v>
      </c>
      <c r="E35" s="32" t="s">
        <v>21</v>
      </c>
      <c r="F35" s="25" t="s">
        <v>249</v>
      </c>
      <c r="G35" s="33">
        <f>4.19+8.5+8.1+2.52+13.87</f>
        <v>37.18</v>
      </c>
    </row>
    <row r="36" spans="1:8" x14ac:dyDescent="0.2">
      <c r="A36" s="32" t="s">
        <v>17</v>
      </c>
      <c r="B36" s="32"/>
      <c r="C36" s="32" t="s">
        <v>346</v>
      </c>
      <c r="D36" s="32" t="s">
        <v>344</v>
      </c>
      <c r="E36" s="32" t="s">
        <v>21</v>
      </c>
      <c r="F36" s="25" t="s">
        <v>343</v>
      </c>
      <c r="G36" s="33">
        <f>648.21-301.57</f>
        <v>346.64000000000004</v>
      </c>
      <c r="H36" s="35"/>
    </row>
    <row r="37" spans="1:8" x14ac:dyDescent="0.2">
      <c r="A37" s="32" t="s">
        <v>23</v>
      </c>
      <c r="B37" s="12"/>
      <c r="C37" s="12" t="s">
        <v>287</v>
      </c>
      <c r="D37" s="12" t="s">
        <v>286</v>
      </c>
      <c r="E37" s="32" t="s">
        <v>21</v>
      </c>
      <c r="F37" s="13" t="s">
        <v>341</v>
      </c>
      <c r="G37" s="14">
        <v>648.21</v>
      </c>
    </row>
    <row r="38" spans="1:8" x14ac:dyDescent="0.2">
      <c r="A38" s="32" t="s">
        <v>437</v>
      </c>
      <c r="B38" s="32"/>
      <c r="C38" s="32" t="s">
        <v>287</v>
      </c>
      <c r="D38" s="32" t="s">
        <v>286</v>
      </c>
      <c r="E38" s="32" t="s">
        <v>21</v>
      </c>
      <c r="F38" s="25" t="s">
        <v>285</v>
      </c>
      <c r="G38" s="33">
        <f>1142.52+100</f>
        <v>1242.52</v>
      </c>
    </row>
    <row r="39" spans="1:8" ht="25.5" x14ac:dyDescent="0.2">
      <c r="A39" s="32" t="s">
        <v>438</v>
      </c>
      <c r="B39" s="32"/>
      <c r="C39" s="32" t="s">
        <v>378</v>
      </c>
      <c r="D39" s="32" t="s">
        <v>342</v>
      </c>
      <c r="E39" s="32" t="s">
        <v>21</v>
      </c>
      <c r="F39" s="25" t="s">
        <v>340</v>
      </c>
      <c r="G39" s="33">
        <f>648.21-(2498.63+883.33+42.82+41.65)*0.1</f>
        <v>301.56700000000001</v>
      </c>
    </row>
    <row r="40" spans="1:8" ht="25.5" x14ac:dyDescent="0.2">
      <c r="A40" s="32" t="s">
        <v>26</v>
      </c>
      <c r="B40" s="32"/>
      <c r="C40" s="32" t="s">
        <v>283</v>
      </c>
      <c r="D40" s="32" t="s">
        <v>282</v>
      </c>
      <c r="E40" s="32" t="s">
        <v>21</v>
      </c>
      <c r="F40" s="25" t="s">
        <v>284</v>
      </c>
      <c r="G40" s="33">
        <f>1142.52+100</f>
        <v>1242.52</v>
      </c>
    </row>
    <row r="41" spans="1:8" s="22" customFormat="1" x14ac:dyDescent="0.2">
      <c r="A41" s="32" t="s">
        <v>27</v>
      </c>
      <c r="B41" s="21"/>
      <c r="C41" s="27" t="s">
        <v>292</v>
      </c>
      <c r="D41" s="32" t="s">
        <v>291</v>
      </c>
      <c r="E41" s="32" t="s">
        <v>21</v>
      </c>
      <c r="F41" s="25" t="s">
        <v>278</v>
      </c>
      <c r="G41" s="33">
        <f>1998.23+70.23</f>
        <v>2068.46</v>
      </c>
    </row>
    <row r="42" spans="1:8" ht="25.5" x14ac:dyDescent="0.2">
      <c r="A42" s="32" t="s">
        <v>28</v>
      </c>
      <c r="B42" s="32"/>
      <c r="C42" s="32" t="s">
        <v>309</v>
      </c>
      <c r="D42" s="32" t="s">
        <v>134</v>
      </c>
      <c r="E42" s="32" t="s">
        <v>21</v>
      </c>
      <c r="F42" s="25" t="s">
        <v>135</v>
      </c>
      <c r="G42" s="33">
        <f>5.97*0.2+0.95*0.47</f>
        <v>1.6404999999999998</v>
      </c>
    </row>
    <row r="43" spans="1:8" ht="25.5" x14ac:dyDescent="0.2">
      <c r="A43" s="32" t="s">
        <v>28</v>
      </c>
      <c r="B43" s="32"/>
      <c r="C43" s="32" t="s">
        <v>309</v>
      </c>
      <c r="D43" s="32" t="s">
        <v>134</v>
      </c>
      <c r="E43" s="32" t="s">
        <v>21</v>
      </c>
      <c r="F43" s="25" t="s">
        <v>136</v>
      </c>
      <c r="G43" s="33">
        <f>0.62*2.9</f>
        <v>1.798</v>
      </c>
    </row>
    <row r="44" spans="1:8" x14ac:dyDescent="0.2">
      <c r="A44" s="32" t="s">
        <v>439</v>
      </c>
      <c r="B44" s="32"/>
      <c r="C44" s="25" t="s">
        <v>176</v>
      </c>
      <c r="D44" s="25" t="s">
        <v>175</v>
      </c>
      <c r="E44" s="25" t="s">
        <v>21</v>
      </c>
      <c r="F44" s="25" t="s">
        <v>177</v>
      </c>
      <c r="G44" s="33">
        <f>0.63*12.71</f>
        <v>8.0073000000000008</v>
      </c>
    </row>
    <row r="45" spans="1:8" ht="25.5" x14ac:dyDescent="0.2">
      <c r="A45" s="32" t="s">
        <v>439</v>
      </c>
      <c r="B45" s="32"/>
      <c r="C45" s="25" t="s">
        <v>176</v>
      </c>
      <c r="D45" s="25" t="s">
        <v>175</v>
      </c>
      <c r="E45" s="25" t="s">
        <v>21</v>
      </c>
      <c r="F45" s="25" t="s">
        <v>251</v>
      </c>
      <c r="G45" s="33">
        <f>0.6*0.9*12.9-(3.14*0.2*0.2*12.9)</f>
        <v>5.3457600000000003</v>
      </c>
    </row>
    <row r="46" spans="1:8" x14ac:dyDescent="0.2">
      <c r="A46" s="32" t="s">
        <v>440</v>
      </c>
      <c r="B46" s="32"/>
      <c r="C46" s="25" t="s">
        <v>179</v>
      </c>
      <c r="D46" s="25" t="s">
        <v>178</v>
      </c>
      <c r="E46" s="25" t="s">
        <v>21</v>
      </c>
      <c r="F46" s="25" t="s">
        <v>180</v>
      </c>
      <c r="G46" s="33">
        <f>8.32*0.9</f>
        <v>7.4880000000000004</v>
      </c>
    </row>
    <row r="47" spans="1:8" x14ac:dyDescent="0.2">
      <c r="A47" s="32" t="s">
        <v>440</v>
      </c>
      <c r="B47" s="32"/>
      <c r="C47" s="25" t="s">
        <v>179</v>
      </c>
      <c r="D47" s="25" t="s">
        <v>178</v>
      </c>
      <c r="E47" s="25" t="s">
        <v>21</v>
      </c>
      <c r="F47" s="25" t="s">
        <v>259</v>
      </c>
      <c r="G47" s="33">
        <f>13.1*0.9*0.3</f>
        <v>3.5369999999999995</v>
      </c>
    </row>
    <row r="48" spans="1:8" x14ac:dyDescent="0.2">
      <c r="A48" s="32" t="s">
        <v>441</v>
      </c>
      <c r="B48" s="32"/>
      <c r="C48" s="32" t="s">
        <v>297</v>
      </c>
      <c r="D48" s="32" t="s">
        <v>296</v>
      </c>
      <c r="E48" s="32" t="s">
        <v>21</v>
      </c>
      <c r="F48" s="25" t="s">
        <v>279</v>
      </c>
      <c r="G48" s="33">
        <f>1142.52+100</f>
        <v>1242.52</v>
      </c>
    </row>
    <row r="49" spans="1:8" x14ac:dyDescent="0.2">
      <c r="A49" s="32" t="s">
        <v>442</v>
      </c>
      <c r="B49" s="32"/>
      <c r="C49" s="32" t="s">
        <v>293</v>
      </c>
      <c r="D49" s="32" t="s">
        <v>96</v>
      </c>
      <c r="E49" s="32" t="s">
        <v>15</v>
      </c>
      <c r="F49" s="25" t="s">
        <v>98</v>
      </c>
      <c r="G49" s="33">
        <f>19.5*6+29.5*2</f>
        <v>176</v>
      </c>
      <c r="H49" s="35"/>
    </row>
    <row r="50" spans="1:8" x14ac:dyDescent="0.2">
      <c r="A50" s="25" t="s">
        <v>442</v>
      </c>
      <c r="B50" s="25"/>
      <c r="C50" s="25" t="s">
        <v>293</v>
      </c>
      <c r="D50" s="25" t="s">
        <v>96</v>
      </c>
      <c r="E50" s="25" t="s">
        <v>15</v>
      </c>
      <c r="F50" s="25" t="s">
        <v>232</v>
      </c>
      <c r="G50" s="33">
        <f>1.3*11.9*2+5.94*2</f>
        <v>42.82</v>
      </c>
    </row>
    <row r="51" spans="1:8" x14ac:dyDescent="0.2">
      <c r="A51" s="25" t="s">
        <v>442</v>
      </c>
      <c r="B51" s="25"/>
      <c r="C51" s="25" t="s">
        <v>293</v>
      </c>
      <c r="D51" s="25" t="s">
        <v>96</v>
      </c>
      <c r="E51" s="25" t="s">
        <v>15</v>
      </c>
      <c r="F51" s="25" t="s">
        <v>229</v>
      </c>
      <c r="G51" s="33">
        <f>3.8*2+2.7*2+1.3*7*2+6.13*1.3*2</f>
        <v>47.137999999999998</v>
      </c>
    </row>
    <row r="52" spans="1:8" x14ac:dyDescent="0.2">
      <c r="A52" s="32" t="s">
        <v>442</v>
      </c>
      <c r="B52" s="32"/>
      <c r="C52" s="32" t="s">
        <v>293</v>
      </c>
      <c r="D52" s="32" t="s">
        <v>96</v>
      </c>
      <c r="E52" s="32" t="s">
        <v>15</v>
      </c>
      <c r="F52" s="25" t="s">
        <v>97</v>
      </c>
      <c r="G52" s="33">
        <f>115*2</f>
        <v>230</v>
      </c>
    </row>
    <row r="53" spans="1:8" x14ac:dyDescent="0.2">
      <c r="A53" s="32" t="s">
        <v>30</v>
      </c>
      <c r="B53" s="21"/>
      <c r="C53" s="32" t="s">
        <v>294</v>
      </c>
      <c r="D53" s="32" t="s">
        <v>99</v>
      </c>
      <c r="E53" s="32" t="s">
        <v>15</v>
      </c>
      <c r="F53" s="25" t="s">
        <v>280</v>
      </c>
      <c r="G53" s="33">
        <v>2074.25</v>
      </c>
      <c r="H53" s="35"/>
    </row>
    <row r="54" spans="1:8" x14ac:dyDescent="0.2">
      <c r="A54" s="32" t="s">
        <v>30</v>
      </c>
      <c r="B54" s="12"/>
      <c r="C54" s="32" t="s">
        <v>294</v>
      </c>
      <c r="D54" s="32" t="s">
        <v>99</v>
      </c>
      <c r="E54" s="32" t="s">
        <v>15</v>
      </c>
      <c r="F54" s="25" t="s">
        <v>100</v>
      </c>
      <c r="G54" s="33">
        <v>921.9</v>
      </c>
    </row>
    <row r="55" spans="1:8" ht="25.5" x14ac:dyDescent="0.2">
      <c r="A55" s="32" t="s">
        <v>30</v>
      </c>
      <c r="B55" s="32"/>
      <c r="C55" s="32" t="s">
        <v>294</v>
      </c>
      <c r="D55" s="32" t="s">
        <v>99</v>
      </c>
      <c r="E55" s="32" t="s">
        <v>15</v>
      </c>
      <c r="F55" s="25" t="s">
        <v>101</v>
      </c>
      <c r="G55" s="33">
        <f>(4.84*16.3)/2+(4.84*16.3)/2</f>
        <v>78.891999999999996</v>
      </c>
    </row>
    <row r="56" spans="1:8" x14ac:dyDescent="0.2">
      <c r="A56" s="32" t="s">
        <v>30</v>
      </c>
      <c r="B56" s="32"/>
      <c r="C56" s="32" t="s">
        <v>294</v>
      </c>
      <c r="D56" s="32" t="s">
        <v>99</v>
      </c>
      <c r="E56" s="32" t="s">
        <v>15</v>
      </c>
      <c r="F56" s="25" t="s">
        <v>103</v>
      </c>
      <c r="G56" s="33">
        <f>23.75*1.53</f>
        <v>36.337499999999999</v>
      </c>
    </row>
    <row r="57" spans="1:8" x14ac:dyDescent="0.2">
      <c r="A57" s="32" t="s">
        <v>30</v>
      </c>
      <c r="B57" s="32"/>
      <c r="C57" s="32" t="s">
        <v>294</v>
      </c>
      <c r="D57" s="32" t="s">
        <v>99</v>
      </c>
      <c r="E57" s="32" t="s">
        <v>15</v>
      </c>
      <c r="F57" s="25" t="s">
        <v>102</v>
      </c>
      <c r="G57" s="33">
        <v>436.1</v>
      </c>
    </row>
    <row r="58" spans="1:8" x14ac:dyDescent="0.2">
      <c r="A58" s="32" t="s">
        <v>31</v>
      </c>
      <c r="B58" s="32"/>
      <c r="C58" s="32" t="s">
        <v>295</v>
      </c>
      <c r="D58" s="32" t="s">
        <v>94</v>
      </c>
      <c r="E58" s="32" t="s">
        <v>15</v>
      </c>
      <c r="F58" s="25" t="s">
        <v>95</v>
      </c>
      <c r="G58" s="33">
        <f>181*3</f>
        <v>543</v>
      </c>
    </row>
    <row r="59" spans="1:8" x14ac:dyDescent="0.2">
      <c r="A59" s="32" t="s">
        <v>443</v>
      </c>
      <c r="B59" s="32"/>
      <c r="C59" s="32" t="s">
        <v>228</v>
      </c>
      <c r="D59" s="32" t="s">
        <v>226</v>
      </c>
      <c r="E59" s="32" t="s">
        <v>15</v>
      </c>
      <c r="F59" s="25" t="s">
        <v>230</v>
      </c>
      <c r="G59" s="33">
        <f>11.9*3.5</f>
        <v>41.65</v>
      </c>
    </row>
    <row r="60" spans="1:8" x14ac:dyDescent="0.2">
      <c r="A60" s="32" t="s">
        <v>32</v>
      </c>
      <c r="B60" s="32"/>
      <c r="C60" s="32" t="s">
        <v>227</v>
      </c>
      <c r="D60" s="32" t="s">
        <v>231</v>
      </c>
      <c r="E60" s="32" t="s">
        <v>15</v>
      </c>
      <c r="F60" s="25" t="s">
        <v>232</v>
      </c>
      <c r="G60" s="33">
        <f>1.3*11.9*2+5.94*2</f>
        <v>42.82</v>
      </c>
    </row>
    <row r="61" spans="1:8" ht="25.5" x14ac:dyDescent="0.2">
      <c r="A61" s="32" t="s">
        <v>444</v>
      </c>
      <c r="B61" s="32"/>
      <c r="C61" s="32" t="s">
        <v>298</v>
      </c>
      <c r="D61" s="32" t="s">
        <v>106</v>
      </c>
      <c r="E61" s="32" t="s">
        <v>15</v>
      </c>
      <c r="F61" s="25" t="s">
        <v>277</v>
      </c>
      <c r="G61" s="33">
        <f>761+6*7.5+38+24+15</f>
        <v>883</v>
      </c>
    </row>
    <row r="62" spans="1:8" x14ac:dyDescent="0.2">
      <c r="A62" s="32" t="s">
        <v>445</v>
      </c>
      <c r="B62" s="32"/>
      <c r="C62" s="32" t="s">
        <v>354</v>
      </c>
      <c r="D62" s="32" t="s">
        <v>353</v>
      </c>
      <c r="E62" s="32" t="s">
        <v>15</v>
      </c>
      <c r="F62" s="25" t="s">
        <v>356</v>
      </c>
      <c r="G62" s="33">
        <f>883+2498.63+84.47</f>
        <v>3466.1</v>
      </c>
    </row>
    <row r="63" spans="1:8" x14ac:dyDescent="0.2">
      <c r="A63" s="32" t="s">
        <v>446</v>
      </c>
      <c r="B63" s="32"/>
      <c r="C63" s="32" t="s">
        <v>393</v>
      </c>
      <c r="D63" s="32" t="s">
        <v>380</v>
      </c>
      <c r="E63" s="32" t="s">
        <v>86</v>
      </c>
      <c r="F63" s="25"/>
      <c r="G63" s="33">
        <v>8</v>
      </c>
    </row>
    <row r="64" spans="1:8" x14ac:dyDescent="0.2">
      <c r="A64" s="32" t="s">
        <v>447</v>
      </c>
      <c r="B64" s="32"/>
      <c r="C64" s="32" t="s">
        <v>394</v>
      </c>
      <c r="D64" s="32" t="s">
        <v>381</v>
      </c>
      <c r="E64" s="32" t="s">
        <v>86</v>
      </c>
      <c r="F64" s="25"/>
      <c r="G64" s="33">
        <v>8</v>
      </c>
    </row>
    <row r="65" spans="1:7" x14ac:dyDescent="0.2">
      <c r="A65" s="32" t="s">
        <v>448</v>
      </c>
      <c r="B65" s="32"/>
      <c r="C65" s="32" t="s">
        <v>395</v>
      </c>
      <c r="D65" s="32" t="s">
        <v>382</v>
      </c>
      <c r="E65" s="32" t="s">
        <v>86</v>
      </c>
      <c r="F65" s="25"/>
      <c r="G65" s="33">
        <v>8</v>
      </c>
    </row>
    <row r="66" spans="1:7" x14ac:dyDescent="0.2">
      <c r="A66" s="32" t="s">
        <v>33</v>
      </c>
      <c r="B66" s="32"/>
      <c r="C66" s="32" t="s">
        <v>397</v>
      </c>
      <c r="D66" s="32" t="s">
        <v>383</v>
      </c>
      <c r="E66" s="32" t="s">
        <v>384</v>
      </c>
      <c r="F66" s="25" t="s">
        <v>385</v>
      </c>
      <c r="G66" s="33">
        <f>24</f>
        <v>24</v>
      </c>
    </row>
    <row r="67" spans="1:7" x14ac:dyDescent="0.2">
      <c r="A67" s="32" t="s">
        <v>35</v>
      </c>
      <c r="B67" s="32"/>
      <c r="C67" s="32" t="s">
        <v>398</v>
      </c>
      <c r="D67" s="32" t="s">
        <v>386</v>
      </c>
      <c r="E67" s="32" t="s">
        <v>391</v>
      </c>
      <c r="F67" s="25" t="s">
        <v>409</v>
      </c>
      <c r="G67" s="33">
        <v>1.2</v>
      </c>
    </row>
    <row r="68" spans="1:7" x14ac:dyDescent="0.2">
      <c r="A68" s="32" t="s">
        <v>449</v>
      </c>
      <c r="B68" s="32"/>
      <c r="C68" s="32" t="s">
        <v>404</v>
      </c>
      <c r="D68" s="32" t="s">
        <v>396</v>
      </c>
      <c r="E68" s="32" t="s">
        <v>21</v>
      </c>
      <c r="F68" s="25" t="s">
        <v>392</v>
      </c>
      <c r="G68" s="33">
        <v>0.08</v>
      </c>
    </row>
    <row r="69" spans="1:7" x14ac:dyDescent="0.2">
      <c r="A69" s="32" t="s">
        <v>450</v>
      </c>
      <c r="B69" s="32"/>
      <c r="C69" s="32" t="s">
        <v>399</v>
      </c>
      <c r="D69" s="32" t="s">
        <v>387</v>
      </c>
      <c r="E69" s="32" t="s">
        <v>21</v>
      </c>
      <c r="F69" s="25" t="s">
        <v>392</v>
      </c>
      <c r="G69" s="33">
        <f>0.08</f>
        <v>0.08</v>
      </c>
    </row>
    <row r="70" spans="1:7" ht="25.5" x14ac:dyDescent="0.2">
      <c r="A70" s="32" t="s">
        <v>37</v>
      </c>
      <c r="B70" s="32"/>
      <c r="C70" s="32" t="s">
        <v>299</v>
      </c>
      <c r="D70" s="32" t="s">
        <v>107</v>
      </c>
      <c r="E70" s="32" t="s">
        <v>15</v>
      </c>
      <c r="F70" s="25" t="s">
        <v>281</v>
      </c>
      <c r="G70" s="33">
        <f>2118.63+25*7+92+66+47</f>
        <v>2498.63</v>
      </c>
    </row>
    <row r="71" spans="1:7" x14ac:dyDescent="0.2">
      <c r="A71" s="32" t="s">
        <v>38</v>
      </c>
      <c r="B71" s="32"/>
      <c r="C71" s="32" t="s">
        <v>474</v>
      </c>
      <c r="D71" s="32" t="s">
        <v>472</v>
      </c>
      <c r="E71" s="32" t="s">
        <v>473</v>
      </c>
      <c r="F71" s="25" t="s">
        <v>476</v>
      </c>
      <c r="G71" s="33">
        <v>0.37</v>
      </c>
    </row>
    <row r="72" spans="1:7" x14ac:dyDescent="0.2">
      <c r="A72" s="32" t="s">
        <v>39</v>
      </c>
      <c r="B72" s="32"/>
      <c r="C72" s="32" t="s">
        <v>301</v>
      </c>
      <c r="D72" s="32" t="s">
        <v>300</v>
      </c>
      <c r="E72" s="32" t="s">
        <v>15</v>
      </c>
      <c r="F72" s="25" t="s">
        <v>109</v>
      </c>
      <c r="G72" s="33">
        <f>SUM(G73:G76)</f>
        <v>50.471999999999994</v>
      </c>
    </row>
    <row r="73" spans="1:7" x14ac:dyDescent="0.2">
      <c r="A73" s="32"/>
      <c r="B73" s="32"/>
      <c r="C73" s="32"/>
      <c r="D73" s="32"/>
      <c r="E73" s="32"/>
      <c r="F73" s="25" t="s">
        <v>110</v>
      </c>
      <c r="G73" s="33">
        <f>(1.9*2*3)+(0.8*2*3)</f>
        <v>16.2</v>
      </c>
    </row>
    <row r="74" spans="1:7" x14ac:dyDescent="0.2">
      <c r="A74" s="32"/>
      <c r="B74" s="32"/>
      <c r="C74" s="32"/>
      <c r="D74" s="32"/>
      <c r="E74" s="32"/>
      <c r="F74" s="25" t="s">
        <v>108</v>
      </c>
      <c r="G74" s="33">
        <f>2.37*2*0.8</f>
        <v>3.7920000000000003</v>
      </c>
    </row>
    <row r="75" spans="1:7" x14ac:dyDescent="0.2">
      <c r="A75" s="32"/>
      <c r="B75" s="32"/>
      <c r="C75" s="32"/>
      <c r="D75" s="32"/>
      <c r="E75" s="32"/>
      <c r="F75" s="25" t="s">
        <v>111</v>
      </c>
      <c r="G75" s="33">
        <f>(2.5*2*3)+(1.4*2*3)</f>
        <v>23.4</v>
      </c>
    </row>
    <row r="76" spans="1:7" x14ac:dyDescent="0.2">
      <c r="A76" s="32"/>
      <c r="B76" s="32"/>
      <c r="C76" s="32"/>
      <c r="D76" s="32"/>
      <c r="E76" s="32"/>
      <c r="F76" s="25" t="s">
        <v>126</v>
      </c>
      <c r="G76" s="33">
        <f>0.6*(2*3.5+2*2.4)</f>
        <v>7.08</v>
      </c>
    </row>
    <row r="77" spans="1:7" x14ac:dyDescent="0.2">
      <c r="A77" s="32" t="s">
        <v>39</v>
      </c>
      <c r="B77" s="32"/>
      <c r="C77" s="32" t="s">
        <v>301</v>
      </c>
      <c r="D77" s="32" t="s">
        <v>300</v>
      </c>
      <c r="E77" s="32" t="s">
        <v>15</v>
      </c>
      <c r="F77" s="25" t="s">
        <v>113</v>
      </c>
      <c r="G77" s="33">
        <f>SUM(G78:G80)</f>
        <v>12.472</v>
      </c>
    </row>
    <row r="78" spans="1:7" x14ac:dyDescent="0.2">
      <c r="A78" s="32"/>
      <c r="B78" s="32"/>
      <c r="C78" s="32"/>
      <c r="D78" s="32"/>
      <c r="E78" s="32"/>
      <c r="F78" s="25" t="s">
        <v>114</v>
      </c>
      <c r="G78" s="33">
        <f>1.1*2*1.25+1.25*0.8</f>
        <v>3.75</v>
      </c>
    </row>
    <row r="79" spans="1:7" x14ac:dyDescent="0.2">
      <c r="A79" s="32"/>
      <c r="B79" s="32"/>
      <c r="C79" s="32"/>
      <c r="D79" s="32"/>
      <c r="E79" s="32"/>
      <c r="F79" s="25" t="s">
        <v>115</v>
      </c>
      <c r="G79" s="33">
        <f>1.25*1.4*3</f>
        <v>5.25</v>
      </c>
    </row>
    <row r="80" spans="1:7" x14ac:dyDescent="0.2">
      <c r="A80" s="32"/>
      <c r="B80" s="32"/>
      <c r="C80" s="32"/>
      <c r="D80" s="32"/>
      <c r="E80" s="32"/>
      <c r="F80" s="25" t="s">
        <v>116</v>
      </c>
      <c r="G80" s="33">
        <f>0.62*1.4*4</f>
        <v>3.472</v>
      </c>
    </row>
    <row r="81" spans="1:7" x14ac:dyDescent="0.2">
      <c r="A81" s="32" t="s">
        <v>39</v>
      </c>
      <c r="B81" s="32"/>
      <c r="C81" s="32" t="s">
        <v>301</v>
      </c>
      <c r="D81" s="32" t="s">
        <v>300</v>
      </c>
      <c r="E81" s="32" t="s">
        <v>15</v>
      </c>
      <c r="F81" s="25" t="s">
        <v>239</v>
      </c>
      <c r="G81" s="33">
        <f>SUM(G82:G84)</f>
        <v>18.84</v>
      </c>
    </row>
    <row r="82" spans="1:7" x14ac:dyDescent="0.2">
      <c r="A82" s="32"/>
      <c r="B82" s="32"/>
      <c r="C82" s="32"/>
      <c r="D82" s="32"/>
      <c r="E82" s="32"/>
      <c r="F82" s="25" t="s">
        <v>240</v>
      </c>
      <c r="G82" s="33">
        <f>0.3*8.4</f>
        <v>2.52</v>
      </c>
    </row>
    <row r="83" spans="1:7" x14ac:dyDescent="0.2">
      <c r="A83" s="32"/>
      <c r="B83" s="32"/>
      <c r="C83" s="32"/>
      <c r="D83" s="32"/>
      <c r="E83" s="32"/>
      <c r="F83" s="25" t="s">
        <v>241</v>
      </c>
      <c r="G83" s="33">
        <f>0.9*1.7*4</f>
        <v>6.12</v>
      </c>
    </row>
    <row r="84" spans="1:7" x14ac:dyDescent="0.2">
      <c r="A84" s="32"/>
      <c r="B84" s="32"/>
      <c r="C84" s="32"/>
      <c r="D84" s="32"/>
      <c r="E84" s="32"/>
      <c r="F84" s="25" t="s">
        <v>242</v>
      </c>
      <c r="G84" s="33">
        <f>1.5*1.7*4</f>
        <v>10.199999999999999</v>
      </c>
    </row>
    <row r="85" spans="1:7" x14ac:dyDescent="0.2">
      <c r="A85" s="32" t="s">
        <v>39</v>
      </c>
      <c r="B85" s="32"/>
      <c r="C85" s="32" t="s">
        <v>301</v>
      </c>
      <c r="D85" s="32" t="s">
        <v>300</v>
      </c>
      <c r="E85" s="32" t="s">
        <v>15</v>
      </c>
      <c r="F85" s="25" t="s">
        <v>118</v>
      </c>
      <c r="G85" s="33">
        <f>0.6*2.7*2+0.6*0.3*2</f>
        <v>3.6</v>
      </c>
    </row>
    <row r="86" spans="1:7" x14ac:dyDescent="0.2">
      <c r="A86" s="32" t="s">
        <v>39</v>
      </c>
      <c r="B86" s="32"/>
      <c r="C86" s="32" t="s">
        <v>301</v>
      </c>
      <c r="D86" s="32" t="s">
        <v>300</v>
      </c>
      <c r="E86" s="32" t="s">
        <v>15</v>
      </c>
      <c r="F86" s="25" t="s">
        <v>123</v>
      </c>
      <c r="G86" s="33">
        <f>0.8*2*1.3+0.8*2*0.3</f>
        <v>2.56</v>
      </c>
    </row>
    <row r="87" spans="1:7" ht="25.5" x14ac:dyDescent="0.2">
      <c r="A87" s="32" t="s">
        <v>39</v>
      </c>
      <c r="B87" s="32"/>
      <c r="C87" s="32" t="s">
        <v>301</v>
      </c>
      <c r="D87" s="32" t="s">
        <v>300</v>
      </c>
      <c r="E87" s="32" t="s">
        <v>15</v>
      </c>
      <c r="F87" s="25" t="s">
        <v>132</v>
      </c>
      <c r="G87" s="33">
        <v>0.6</v>
      </c>
    </row>
    <row r="88" spans="1:7" ht="25.5" x14ac:dyDescent="0.2">
      <c r="A88" s="32" t="s">
        <v>39</v>
      </c>
      <c r="B88" s="32"/>
      <c r="C88" s="32" t="s">
        <v>301</v>
      </c>
      <c r="D88" s="32" t="s">
        <v>300</v>
      </c>
      <c r="E88" s="32" t="s">
        <v>15</v>
      </c>
      <c r="F88" s="25" t="s">
        <v>197</v>
      </c>
      <c r="G88" s="33">
        <f>5.22*6+0.3*0.8*10+0.8*3.5*2+0.8*3.65*2</f>
        <v>45.16</v>
      </c>
    </row>
    <row r="89" spans="1:7" ht="25.5" x14ac:dyDescent="0.2">
      <c r="A89" s="32" t="s">
        <v>39</v>
      </c>
      <c r="B89" s="32"/>
      <c r="C89" s="32" t="s">
        <v>301</v>
      </c>
      <c r="D89" s="32" t="s">
        <v>300</v>
      </c>
      <c r="E89" s="32" t="s">
        <v>15</v>
      </c>
      <c r="F89" s="25" t="s">
        <v>224</v>
      </c>
      <c r="G89" s="33">
        <f>10.42+0.48+5.6+0.48+7.2+0.48+1.6+0.48</f>
        <v>26.740000000000002</v>
      </c>
    </row>
    <row r="90" spans="1:7" x14ac:dyDescent="0.2">
      <c r="A90" s="32" t="s">
        <v>39</v>
      </c>
      <c r="B90" s="32"/>
      <c r="C90" s="32" t="s">
        <v>301</v>
      </c>
      <c r="D90" s="32" t="s">
        <v>300</v>
      </c>
      <c r="E90" s="32" t="s">
        <v>15</v>
      </c>
      <c r="F90" s="25" t="s">
        <v>235</v>
      </c>
      <c r="G90" s="33">
        <f>0.71*2+0.2*0.5*2+1.05*2+0.5*0.2*2</f>
        <v>3.92</v>
      </c>
    </row>
    <row r="91" spans="1:7" x14ac:dyDescent="0.2">
      <c r="A91" s="32" t="s">
        <v>39</v>
      </c>
      <c r="B91" s="32"/>
      <c r="C91" s="32" t="s">
        <v>301</v>
      </c>
      <c r="D91" s="32" t="s">
        <v>300</v>
      </c>
      <c r="E91" s="32" t="s">
        <v>15</v>
      </c>
      <c r="F91" s="32" t="s">
        <v>192</v>
      </c>
      <c r="G91" s="33">
        <f>0.6*0.3*2+3*0.8*2</f>
        <v>5.160000000000001</v>
      </c>
    </row>
    <row r="92" spans="1:7" ht="25.5" x14ac:dyDescent="0.2">
      <c r="A92" s="32" t="s">
        <v>39</v>
      </c>
      <c r="B92" s="32"/>
      <c r="C92" s="32" t="s">
        <v>301</v>
      </c>
      <c r="D92" s="32" t="s">
        <v>300</v>
      </c>
      <c r="E92" s="32" t="s">
        <v>15</v>
      </c>
      <c r="F92" s="25" t="s">
        <v>272</v>
      </c>
      <c r="G92" s="33">
        <f>1.1*2*0.33+0.33*0.2*2+0.4*0.2*2+0.45*0.4*2</f>
        <v>1.3780000000000003</v>
      </c>
    </row>
    <row r="93" spans="1:7" x14ac:dyDescent="0.2">
      <c r="A93" s="32" t="s">
        <v>40</v>
      </c>
      <c r="B93" s="32"/>
      <c r="C93" s="32" t="s">
        <v>302</v>
      </c>
      <c r="D93" s="32" t="s">
        <v>303</v>
      </c>
      <c r="E93" s="32" t="s">
        <v>15</v>
      </c>
      <c r="F93" s="25" t="s">
        <v>112</v>
      </c>
      <c r="G93" s="33">
        <v>50.47</v>
      </c>
    </row>
    <row r="94" spans="1:7" x14ac:dyDescent="0.2">
      <c r="A94" s="32" t="s">
        <v>40</v>
      </c>
      <c r="B94" s="32"/>
      <c r="C94" s="32" t="s">
        <v>302</v>
      </c>
      <c r="D94" s="32" t="s">
        <v>303</v>
      </c>
      <c r="E94" s="32" t="s">
        <v>15</v>
      </c>
      <c r="F94" s="25" t="s">
        <v>117</v>
      </c>
      <c r="G94" s="33">
        <v>12.47</v>
      </c>
    </row>
    <row r="95" spans="1:7" x14ac:dyDescent="0.2">
      <c r="A95" s="32" t="s">
        <v>40</v>
      </c>
      <c r="B95" s="32"/>
      <c r="C95" s="32" t="s">
        <v>302</v>
      </c>
      <c r="D95" s="32" t="s">
        <v>303</v>
      </c>
      <c r="E95" s="32" t="s">
        <v>15</v>
      </c>
      <c r="F95" s="25" t="s">
        <v>119</v>
      </c>
      <c r="G95" s="33">
        <v>3.6</v>
      </c>
    </row>
    <row r="96" spans="1:7" x14ac:dyDescent="0.2">
      <c r="A96" s="32" t="s">
        <v>40</v>
      </c>
      <c r="B96" s="32"/>
      <c r="C96" s="32" t="s">
        <v>302</v>
      </c>
      <c r="D96" s="32" t="s">
        <v>303</v>
      </c>
      <c r="E96" s="32" t="s">
        <v>15</v>
      </c>
      <c r="F96" s="25" t="s">
        <v>124</v>
      </c>
      <c r="G96" s="33">
        <v>2.56</v>
      </c>
    </row>
    <row r="97" spans="1:7" ht="25.5" x14ac:dyDescent="0.2">
      <c r="A97" s="32" t="s">
        <v>40</v>
      </c>
      <c r="B97" s="32"/>
      <c r="C97" s="32" t="s">
        <v>302</v>
      </c>
      <c r="D97" s="32" t="s">
        <v>303</v>
      </c>
      <c r="E97" s="32" t="s">
        <v>15</v>
      </c>
      <c r="F97" s="25" t="s">
        <v>133</v>
      </c>
      <c r="G97" s="33">
        <v>0.6</v>
      </c>
    </row>
    <row r="98" spans="1:7" x14ac:dyDescent="0.2">
      <c r="A98" s="32" t="s">
        <v>40</v>
      </c>
      <c r="B98" s="32"/>
      <c r="C98" s="32" t="s">
        <v>302</v>
      </c>
      <c r="D98" s="32" t="s">
        <v>303</v>
      </c>
      <c r="E98" s="32" t="s">
        <v>15</v>
      </c>
      <c r="F98" s="32" t="s">
        <v>192</v>
      </c>
      <c r="G98" s="33">
        <v>5.16</v>
      </c>
    </row>
    <row r="99" spans="1:7" x14ac:dyDescent="0.2">
      <c r="A99" s="32" t="s">
        <v>40</v>
      </c>
      <c r="B99" s="32"/>
      <c r="C99" s="32" t="s">
        <v>302</v>
      </c>
      <c r="D99" s="32" t="s">
        <v>303</v>
      </c>
      <c r="E99" s="32" t="s">
        <v>15</v>
      </c>
      <c r="F99" s="25" t="s">
        <v>205</v>
      </c>
      <c r="G99" s="33">
        <v>45.16</v>
      </c>
    </row>
    <row r="100" spans="1:7" x14ac:dyDescent="0.2">
      <c r="A100" s="32" t="s">
        <v>40</v>
      </c>
      <c r="B100" s="32"/>
      <c r="C100" s="32" t="s">
        <v>302</v>
      </c>
      <c r="D100" s="32" t="s">
        <v>303</v>
      </c>
      <c r="E100" s="32" t="s">
        <v>15</v>
      </c>
      <c r="F100" s="25" t="s">
        <v>225</v>
      </c>
      <c r="G100" s="33">
        <v>26.74</v>
      </c>
    </row>
    <row r="101" spans="1:7" x14ac:dyDescent="0.2">
      <c r="A101" s="32" t="s">
        <v>40</v>
      </c>
      <c r="B101" s="32"/>
      <c r="C101" s="32" t="s">
        <v>302</v>
      </c>
      <c r="D101" s="32" t="s">
        <v>303</v>
      </c>
      <c r="E101" s="32" t="s">
        <v>15</v>
      </c>
      <c r="F101" s="25" t="s">
        <v>236</v>
      </c>
      <c r="G101" s="33">
        <v>3.92</v>
      </c>
    </row>
    <row r="102" spans="1:7" x14ac:dyDescent="0.2">
      <c r="A102" s="32" t="s">
        <v>40</v>
      </c>
      <c r="B102" s="32"/>
      <c r="C102" s="32" t="s">
        <v>302</v>
      </c>
      <c r="D102" s="32" t="s">
        <v>303</v>
      </c>
      <c r="E102" s="32" t="s">
        <v>15</v>
      </c>
      <c r="F102" s="25" t="s">
        <v>243</v>
      </c>
      <c r="G102" s="33">
        <v>18.84</v>
      </c>
    </row>
    <row r="103" spans="1:7" x14ac:dyDescent="0.2">
      <c r="A103" s="32" t="s">
        <v>40</v>
      </c>
      <c r="B103" s="32"/>
      <c r="C103" s="32" t="s">
        <v>302</v>
      </c>
      <c r="D103" s="32" t="s">
        <v>303</v>
      </c>
      <c r="E103" s="32" t="s">
        <v>15</v>
      </c>
      <c r="F103" s="25" t="s">
        <v>273</v>
      </c>
      <c r="G103" s="33">
        <v>1.38</v>
      </c>
    </row>
    <row r="104" spans="1:7" x14ac:dyDescent="0.2">
      <c r="A104" s="32" t="s">
        <v>41</v>
      </c>
      <c r="B104" s="32"/>
      <c r="C104" s="32" t="s">
        <v>200</v>
      </c>
      <c r="D104" s="32" t="s">
        <v>139</v>
      </c>
      <c r="E104" s="32" t="s">
        <v>21</v>
      </c>
      <c r="F104" s="25" t="s">
        <v>113</v>
      </c>
      <c r="G104" s="33">
        <f>SUM(G105:G106)</f>
        <v>1.3108500000000001</v>
      </c>
    </row>
    <row r="105" spans="1:7" ht="25.5" x14ac:dyDescent="0.2">
      <c r="A105" s="32" t="s">
        <v>41</v>
      </c>
      <c r="B105" s="32"/>
      <c r="C105" s="32" t="s">
        <v>200</v>
      </c>
      <c r="D105" s="32" t="s">
        <v>139</v>
      </c>
      <c r="E105" s="32" t="s">
        <v>21</v>
      </c>
      <c r="F105" s="25" t="s">
        <v>149</v>
      </c>
      <c r="G105" s="33">
        <f>0.3*0.9</f>
        <v>0.27</v>
      </c>
    </row>
    <row r="106" spans="1:7" x14ac:dyDescent="0.2">
      <c r="A106" s="32" t="s">
        <v>41</v>
      </c>
      <c r="B106" s="32"/>
      <c r="C106" s="25" t="s">
        <v>200</v>
      </c>
      <c r="D106" s="25" t="s">
        <v>139</v>
      </c>
      <c r="E106" s="32" t="s">
        <v>21</v>
      </c>
      <c r="F106" s="25" t="s">
        <v>199</v>
      </c>
      <c r="G106" s="33">
        <f>2.57*2.7*0.15</f>
        <v>1.0408500000000001</v>
      </c>
    </row>
    <row r="107" spans="1:7" x14ac:dyDescent="0.2">
      <c r="A107" s="32" t="s">
        <v>41</v>
      </c>
      <c r="B107" s="32"/>
      <c r="C107" s="25" t="s">
        <v>200</v>
      </c>
      <c r="D107" s="32" t="s">
        <v>139</v>
      </c>
      <c r="E107" s="32" t="s">
        <v>21</v>
      </c>
      <c r="F107" s="25" t="s">
        <v>306</v>
      </c>
      <c r="G107" s="33">
        <f>4.41*0.2</f>
        <v>0.88200000000000012</v>
      </c>
    </row>
    <row r="108" spans="1:7" x14ac:dyDescent="0.2">
      <c r="A108" s="32" t="s">
        <v>41</v>
      </c>
      <c r="B108" s="32"/>
      <c r="C108" s="32" t="s">
        <v>200</v>
      </c>
      <c r="D108" s="32" t="s">
        <v>139</v>
      </c>
      <c r="E108" s="32" t="s">
        <v>21</v>
      </c>
      <c r="F108" s="25" t="s">
        <v>109</v>
      </c>
      <c r="G108" s="33">
        <f>SUM(G109:G111)</f>
        <v>9.9391999999999996</v>
      </c>
    </row>
    <row r="109" spans="1:7" s="24" customFormat="1" x14ac:dyDescent="0.2">
      <c r="A109" s="32"/>
      <c r="B109" s="23"/>
      <c r="C109" s="23"/>
      <c r="D109" s="23"/>
      <c r="E109" s="23"/>
      <c r="F109" s="25" t="s">
        <v>140</v>
      </c>
      <c r="G109" s="33">
        <f>2.4*3.5*0.5</f>
        <v>4.2</v>
      </c>
    </row>
    <row r="110" spans="1:7" s="24" customFormat="1" ht="25.5" x14ac:dyDescent="0.2">
      <c r="A110" s="32"/>
      <c r="B110" s="23"/>
      <c r="C110" s="23"/>
      <c r="D110" s="23"/>
      <c r="E110" s="23"/>
      <c r="F110" s="25" t="s">
        <v>141</v>
      </c>
      <c r="G110" s="33">
        <f>0.99*2*3-2*(0.2*0.2*3.14)-0.06*(2.5*2+1.4)</f>
        <v>5.3047999999999993</v>
      </c>
    </row>
    <row r="111" spans="1:7" s="24" customFormat="1" x14ac:dyDescent="0.2">
      <c r="A111" s="32"/>
      <c r="B111" s="23"/>
      <c r="C111" s="23"/>
      <c r="D111" s="23"/>
      <c r="E111" s="23"/>
      <c r="F111" s="25" t="s">
        <v>150</v>
      </c>
      <c r="G111" s="33">
        <f>0.7*0.8-(0.2*0.2*3.14)</f>
        <v>0.4343999999999999</v>
      </c>
    </row>
    <row r="112" spans="1:7" x14ac:dyDescent="0.2">
      <c r="A112" s="32" t="s">
        <v>41</v>
      </c>
      <c r="B112" s="32"/>
      <c r="C112" s="25" t="s">
        <v>200</v>
      </c>
      <c r="D112" s="32" t="s">
        <v>139</v>
      </c>
      <c r="E112" s="32" t="s">
        <v>21</v>
      </c>
      <c r="F112" s="25" t="s">
        <v>244</v>
      </c>
      <c r="G112" s="33">
        <f>0.36*4*1.7-3*(0.2*0.2*3.14)</f>
        <v>2.0712000000000002</v>
      </c>
    </row>
    <row r="113" spans="1:7" x14ac:dyDescent="0.2">
      <c r="A113" s="32" t="s">
        <v>42</v>
      </c>
      <c r="B113" s="32"/>
      <c r="C113" s="32" t="s">
        <v>202</v>
      </c>
      <c r="D113" s="32" t="s">
        <v>147</v>
      </c>
      <c r="E113" s="32" t="s">
        <v>21</v>
      </c>
      <c r="F113" s="25" t="s">
        <v>305</v>
      </c>
      <c r="G113" s="33">
        <f>4.41*0.1</f>
        <v>0.44100000000000006</v>
      </c>
    </row>
    <row r="114" spans="1:7" x14ac:dyDescent="0.2">
      <c r="A114" s="32" t="s">
        <v>42</v>
      </c>
      <c r="B114" s="32"/>
      <c r="C114" s="32" t="s">
        <v>202</v>
      </c>
      <c r="D114" s="25" t="s">
        <v>147</v>
      </c>
      <c r="E114" s="25" t="s">
        <v>21</v>
      </c>
      <c r="F114" s="25" t="s">
        <v>258</v>
      </c>
      <c r="G114" s="33">
        <f>0.18*0.33</f>
        <v>5.9400000000000001E-2</v>
      </c>
    </row>
    <row r="115" spans="1:7" x14ac:dyDescent="0.2">
      <c r="A115" s="32" t="s">
        <v>42</v>
      </c>
      <c r="B115" s="32"/>
      <c r="C115" s="32" t="s">
        <v>202</v>
      </c>
      <c r="D115" s="25" t="s">
        <v>147</v>
      </c>
      <c r="E115" s="25" t="s">
        <v>21</v>
      </c>
      <c r="F115" s="25" t="s">
        <v>274</v>
      </c>
      <c r="G115" s="33">
        <f>0.2*0.4*0.45</f>
        <v>3.6000000000000011E-2</v>
      </c>
    </row>
    <row r="116" spans="1:7" x14ac:dyDescent="0.2">
      <c r="A116" s="32" t="s">
        <v>42</v>
      </c>
      <c r="B116" s="32"/>
      <c r="C116" s="32" t="s">
        <v>202</v>
      </c>
      <c r="D116" s="32" t="s">
        <v>203</v>
      </c>
      <c r="E116" s="32" t="s">
        <v>21</v>
      </c>
      <c r="F116" s="25" t="s">
        <v>237</v>
      </c>
      <c r="G116" s="33">
        <f>0.71*2*0.2+1.05*2*0.2</f>
        <v>0.70399999999999996</v>
      </c>
    </row>
    <row r="117" spans="1:7" x14ac:dyDescent="0.2">
      <c r="A117" s="32" t="s">
        <v>42</v>
      </c>
      <c r="B117" s="32"/>
      <c r="C117" s="32" t="s">
        <v>202</v>
      </c>
      <c r="D117" s="32" t="s">
        <v>147</v>
      </c>
      <c r="E117" s="32" t="s">
        <v>21</v>
      </c>
      <c r="F117" s="25" t="s">
        <v>307</v>
      </c>
      <c r="G117" s="33">
        <f>(8.39+1.96)*0.1</f>
        <v>1.0350000000000001</v>
      </c>
    </row>
    <row r="118" spans="1:7" x14ac:dyDescent="0.2">
      <c r="A118" s="32" t="s">
        <v>42</v>
      </c>
      <c r="B118" s="32"/>
      <c r="C118" s="32" t="s">
        <v>202</v>
      </c>
      <c r="D118" s="32" t="s">
        <v>147</v>
      </c>
      <c r="E118" s="32" t="s">
        <v>21</v>
      </c>
      <c r="F118" s="25" t="s">
        <v>148</v>
      </c>
      <c r="G118" s="33">
        <f>2.7*0.3*0.6</f>
        <v>0.48599999999999999</v>
      </c>
    </row>
    <row r="119" spans="1:7" ht="25.5" x14ac:dyDescent="0.2">
      <c r="A119" s="32" t="s">
        <v>42</v>
      </c>
      <c r="B119" s="32"/>
      <c r="C119" s="32" t="s">
        <v>202</v>
      </c>
      <c r="D119" s="25" t="s">
        <v>147</v>
      </c>
      <c r="E119" s="25" t="s">
        <v>21</v>
      </c>
      <c r="F119" s="25" t="s">
        <v>163</v>
      </c>
      <c r="G119" s="33">
        <f>0.06*0.9</f>
        <v>5.3999999999999999E-2</v>
      </c>
    </row>
    <row r="120" spans="1:7" x14ac:dyDescent="0.2">
      <c r="A120" s="32" t="s">
        <v>42</v>
      </c>
      <c r="B120" s="32"/>
      <c r="C120" s="32" t="s">
        <v>202</v>
      </c>
      <c r="D120" s="32" t="s">
        <v>147</v>
      </c>
      <c r="E120" s="32" t="s">
        <v>21</v>
      </c>
      <c r="F120" s="32" t="s">
        <v>184</v>
      </c>
      <c r="G120" s="33">
        <v>0.54</v>
      </c>
    </row>
    <row r="121" spans="1:7" x14ac:dyDescent="0.2">
      <c r="A121" s="32" t="s">
        <v>42</v>
      </c>
      <c r="B121" s="32"/>
      <c r="C121" s="32" t="s">
        <v>202</v>
      </c>
      <c r="D121" s="32" t="s">
        <v>203</v>
      </c>
      <c r="E121" s="32" t="s">
        <v>21</v>
      </c>
      <c r="F121" s="25" t="s">
        <v>201</v>
      </c>
      <c r="G121" s="33">
        <f>0.64*(4.46+3.02+3.47)</f>
        <v>7.0080000000000009</v>
      </c>
    </row>
    <row r="122" spans="1:7" ht="25.5" x14ac:dyDescent="0.2">
      <c r="A122" s="32" t="s">
        <v>42</v>
      </c>
      <c r="B122" s="32"/>
      <c r="C122" s="32" t="s">
        <v>202</v>
      </c>
      <c r="D122" s="32" t="s">
        <v>203</v>
      </c>
      <c r="E122" s="32" t="s">
        <v>21</v>
      </c>
      <c r="F122" s="25" t="s">
        <v>204</v>
      </c>
      <c r="G122" s="33">
        <f>5.19*0.3*3+0.8*0.3*3.5+0.8*0.3*3.65</f>
        <v>6.3870000000000005</v>
      </c>
    </row>
    <row r="123" spans="1:7" x14ac:dyDescent="0.2">
      <c r="A123" s="32" t="s">
        <v>42</v>
      </c>
      <c r="B123" s="32"/>
      <c r="C123" s="32" t="s">
        <v>202</v>
      </c>
      <c r="D123" s="32" t="s">
        <v>203</v>
      </c>
      <c r="E123" s="32" t="s">
        <v>21</v>
      </c>
      <c r="F123" s="25" t="s">
        <v>213</v>
      </c>
      <c r="G123" s="33">
        <f>SUM(G124:G126)</f>
        <v>9.6884000000000015</v>
      </c>
    </row>
    <row r="124" spans="1:7" x14ac:dyDescent="0.2">
      <c r="A124" s="32"/>
      <c r="B124" s="12"/>
      <c r="C124" s="12"/>
      <c r="D124" s="12"/>
      <c r="E124" s="12"/>
      <c r="F124" s="25" t="s">
        <v>214</v>
      </c>
      <c r="G124" s="33">
        <f>0.64*6.13</f>
        <v>3.9232</v>
      </c>
    </row>
    <row r="125" spans="1:7" x14ac:dyDescent="0.2">
      <c r="A125" s="32"/>
      <c r="B125" s="12"/>
      <c r="C125" s="12"/>
      <c r="D125" s="12"/>
      <c r="E125" s="12"/>
      <c r="F125" s="25" t="s">
        <v>215</v>
      </c>
      <c r="G125" s="33">
        <f>((0.64+0.43)/2)*6.92</f>
        <v>3.7022000000000004</v>
      </c>
    </row>
    <row r="126" spans="1:7" x14ac:dyDescent="0.2">
      <c r="A126" s="32"/>
      <c r="B126" s="12"/>
      <c r="C126" s="12"/>
      <c r="D126" s="12"/>
      <c r="E126" s="12"/>
      <c r="F126" s="25" t="s">
        <v>218</v>
      </c>
      <c r="G126" s="33">
        <f>(3.8*2+2.7*2+7.63)*0.1</f>
        <v>2.0630000000000002</v>
      </c>
    </row>
    <row r="127" spans="1:7" x14ac:dyDescent="0.2">
      <c r="A127" s="32" t="s">
        <v>43</v>
      </c>
      <c r="B127" s="32"/>
      <c r="C127" s="32" t="s">
        <v>314</v>
      </c>
      <c r="D127" s="32" t="s">
        <v>142</v>
      </c>
      <c r="E127" s="32" t="s">
        <v>50</v>
      </c>
      <c r="F127" s="25" t="s">
        <v>245</v>
      </c>
      <c r="G127" s="33">
        <f>(4.41*2+1.36*1.7*8)*0.0079</f>
        <v>0.21579640000000003</v>
      </c>
    </row>
    <row r="128" spans="1:7" ht="38.25" x14ac:dyDescent="0.2">
      <c r="A128" s="32" t="s">
        <v>43</v>
      </c>
      <c r="B128" s="32"/>
      <c r="C128" s="32" t="s">
        <v>314</v>
      </c>
      <c r="D128" s="32" t="s">
        <v>142</v>
      </c>
      <c r="E128" s="32" t="s">
        <v>50</v>
      </c>
      <c r="F128" s="25" t="s">
        <v>143</v>
      </c>
      <c r="G128" s="33">
        <f>(7.51*2+4.2*2+3.54+6.77*2+1.84*2+1.96*2*1.67+1.64*2*1.67)*0.0079</f>
        <v>0.44401160000000006</v>
      </c>
    </row>
    <row r="129" spans="1:7" ht="25.5" x14ac:dyDescent="0.2">
      <c r="A129" s="32" t="s">
        <v>43</v>
      </c>
      <c r="B129" s="32"/>
      <c r="C129" s="32" t="s">
        <v>314</v>
      </c>
      <c r="D129" s="32" t="s">
        <v>142</v>
      </c>
      <c r="E129" s="32" t="s">
        <v>50</v>
      </c>
      <c r="F129" s="25" t="s">
        <v>144</v>
      </c>
      <c r="G129" s="33">
        <f>(8.39*2+1.96*2+6.94)*0.0079</f>
        <v>0.21835600000000005</v>
      </c>
    </row>
    <row r="130" spans="1:7" x14ac:dyDescent="0.2">
      <c r="A130" s="32" t="s">
        <v>43</v>
      </c>
      <c r="B130" s="32"/>
      <c r="C130" s="32" t="s">
        <v>314</v>
      </c>
      <c r="D130" s="32" t="s">
        <v>142</v>
      </c>
      <c r="E130" s="32" t="s">
        <v>50</v>
      </c>
      <c r="F130" s="25" t="s">
        <v>146</v>
      </c>
      <c r="G130" s="33">
        <f>6.94*0.0079</f>
        <v>5.4826000000000007E-2</v>
      </c>
    </row>
    <row r="131" spans="1:7" x14ac:dyDescent="0.2">
      <c r="A131" s="32" t="s">
        <v>451</v>
      </c>
      <c r="B131" s="32"/>
      <c r="C131" s="32" t="s">
        <v>315</v>
      </c>
      <c r="D131" s="32" t="s">
        <v>145</v>
      </c>
      <c r="E131" s="32" t="s">
        <v>50</v>
      </c>
      <c r="F131" s="25" t="s">
        <v>246</v>
      </c>
      <c r="G131" s="33">
        <f>48*0.00064</f>
        <v>3.0720000000000004E-2</v>
      </c>
    </row>
    <row r="132" spans="1:7" x14ac:dyDescent="0.2">
      <c r="A132" s="32" t="s">
        <v>451</v>
      </c>
      <c r="B132" s="32"/>
      <c r="C132" s="32" t="s">
        <v>315</v>
      </c>
      <c r="D132" s="32" t="s">
        <v>145</v>
      </c>
      <c r="E132" s="32" t="s">
        <v>50</v>
      </c>
      <c r="F132" s="25" t="s">
        <v>533</v>
      </c>
      <c r="G132" s="33">
        <f>(64+36+8)*0.00064</f>
        <v>6.9120000000000001E-2</v>
      </c>
    </row>
    <row r="133" spans="1:7" x14ac:dyDescent="0.2">
      <c r="A133" s="32" t="s">
        <v>44</v>
      </c>
      <c r="B133" s="32"/>
      <c r="C133" s="32" t="s">
        <v>316</v>
      </c>
      <c r="D133" s="32" t="s">
        <v>151</v>
      </c>
      <c r="E133" s="32" t="s">
        <v>21</v>
      </c>
      <c r="F133" s="25" t="s">
        <v>152</v>
      </c>
      <c r="G133" s="33">
        <f>0.06*(2.5*2+1.4)</f>
        <v>0.38400000000000001</v>
      </c>
    </row>
    <row r="134" spans="1:7" x14ac:dyDescent="0.2">
      <c r="A134" s="32" t="s">
        <v>45</v>
      </c>
      <c r="B134" s="32"/>
      <c r="C134" s="32" t="s">
        <v>304</v>
      </c>
      <c r="D134" s="32" t="s">
        <v>120</v>
      </c>
      <c r="E134" s="32" t="s">
        <v>15</v>
      </c>
      <c r="F134" s="25" t="s">
        <v>121</v>
      </c>
      <c r="G134" s="33">
        <v>6.93</v>
      </c>
    </row>
    <row r="135" spans="1:7" x14ac:dyDescent="0.2">
      <c r="A135" s="32" t="s">
        <v>45</v>
      </c>
      <c r="B135" s="32"/>
      <c r="C135" s="32" t="s">
        <v>304</v>
      </c>
      <c r="D135" s="32" t="s">
        <v>120</v>
      </c>
      <c r="E135" s="32" t="s">
        <v>15</v>
      </c>
      <c r="F135" s="25" t="s">
        <v>122</v>
      </c>
      <c r="G135" s="33">
        <f>5.72*1.3</f>
        <v>7.4359999999999999</v>
      </c>
    </row>
    <row r="136" spans="1:7" x14ac:dyDescent="0.2">
      <c r="A136" s="32" t="s">
        <v>47</v>
      </c>
      <c r="B136" s="32"/>
      <c r="C136" s="25" t="s">
        <v>317</v>
      </c>
      <c r="D136" s="25" t="s">
        <v>159</v>
      </c>
      <c r="E136" s="25" t="s">
        <v>15</v>
      </c>
      <c r="F136" s="25" t="s">
        <v>253</v>
      </c>
      <c r="G136" s="33">
        <f>0.2*2*14.45</f>
        <v>5.78</v>
      </c>
    </row>
    <row r="137" spans="1:7" x14ac:dyDescent="0.2">
      <c r="A137" s="32" t="s">
        <v>47</v>
      </c>
      <c r="B137" s="32"/>
      <c r="C137" s="25" t="s">
        <v>317</v>
      </c>
      <c r="D137" s="25" t="s">
        <v>159</v>
      </c>
      <c r="E137" s="25" t="s">
        <v>15</v>
      </c>
      <c r="F137" s="25" t="s">
        <v>255</v>
      </c>
      <c r="G137" s="33">
        <f>0.2*2*11.9</f>
        <v>4.7600000000000007</v>
      </c>
    </row>
    <row r="138" spans="1:7" x14ac:dyDescent="0.2">
      <c r="A138" s="32" t="s">
        <v>48</v>
      </c>
      <c r="B138" s="32"/>
      <c r="C138" s="25" t="s">
        <v>319</v>
      </c>
      <c r="D138" s="25" t="s">
        <v>318</v>
      </c>
      <c r="E138" s="25" t="s">
        <v>50</v>
      </c>
      <c r="F138" s="25" t="s">
        <v>256</v>
      </c>
      <c r="G138" s="33">
        <f>(11.9*0.9*2)*0.0079</f>
        <v>0.16921800000000004</v>
      </c>
    </row>
    <row r="139" spans="1:7" ht="25.5" x14ac:dyDescent="0.2">
      <c r="A139" s="32" t="s">
        <v>48</v>
      </c>
      <c r="B139" s="32"/>
      <c r="C139" s="25" t="s">
        <v>319</v>
      </c>
      <c r="D139" s="25" t="s">
        <v>318</v>
      </c>
      <c r="E139" s="25" t="s">
        <v>50</v>
      </c>
      <c r="F139" s="25" t="s">
        <v>254</v>
      </c>
      <c r="G139" s="33">
        <f>(14.45*0.9*2+1.5*0.9*2)*0.0079</f>
        <v>0.22680900000000001</v>
      </c>
    </row>
    <row r="140" spans="1:7" x14ac:dyDescent="0.2">
      <c r="A140" s="32" t="s">
        <v>49</v>
      </c>
      <c r="B140" s="32"/>
      <c r="C140" s="25" t="s">
        <v>320</v>
      </c>
      <c r="D140" s="25" t="s">
        <v>169</v>
      </c>
      <c r="E140" s="25" t="s">
        <v>21</v>
      </c>
      <c r="F140" s="25" t="s">
        <v>198</v>
      </c>
      <c r="G140" s="33">
        <f>0.18*14.45</f>
        <v>2.601</v>
      </c>
    </row>
    <row r="141" spans="1:7" x14ac:dyDescent="0.2">
      <c r="A141" s="32" t="s">
        <v>49</v>
      </c>
      <c r="B141" s="32"/>
      <c r="C141" s="25" t="s">
        <v>320</v>
      </c>
      <c r="D141" s="25" t="s">
        <v>169</v>
      </c>
      <c r="E141" s="25" t="s">
        <v>21</v>
      </c>
      <c r="F141" s="25" t="s">
        <v>257</v>
      </c>
      <c r="G141" s="33">
        <f>0.9*0.2*11.9</f>
        <v>2.1420000000000003</v>
      </c>
    </row>
    <row r="142" spans="1:7" x14ac:dyDescent="0.2">
      <c r="A142" s="32" t="s">
        <v>51</v>
      </c>
      <c r="B142" s="32"/>
      <c r="C142" s="25" t="s">
        <v>183</v>
      </c>
      <c r="D142" s="32" t="s">
        <v>364</v>
      </c>
      <c r="E142" s="25" t="s">
        <v>21</v>
      </c>
      <c r="F142" s="25" t="s">
        <v>250</v>
      </c>
      <c r="G142" s="33">
        <f>0.1*0.9*12.9</f>
        <v>1.1610000000000003</v>
      </c>
    </row>
    <row r="143" spans="1:7" x14ac:dyDescent="0.2">
      <c r="A143" s="32" t="s">
        <v>51</v>
      </c>
      <c r="B143" s="32"/>
      <c r="C143" s="25" t="s">
        <v>363</v>
      </c>
      <c r="D143" s="32" t="s">
        <v>364</v>
      </c>
      <c r="E143" s="25" t="s">
        <v>21</v>
      </c>
      <c r="F143" s="25" t="s">
        <v>182</v>
      </c>
      <c r="G143" s="33">
        <f>0.1*0.9*13.8</f>
        <v>1.2420000000000002</v>
      </c>
    </row>
    <row r="144" spans="1:7" ht="25.5" x14ac:dyDescent="0.2">
      <c r="A144" s="32" t="s">
        <v>52</v>
      </c>
      <c r="B144" s="32"/>
      <c r="C144" s="32" t="s">
        <v>351</v>
      </c>
      <c r="D144" s="32" t="s">
        <v>350</v>
      </c>
      <c r="E144" s="32" t="s">
        <v>15</v>
      </c>
      <c r="F144" s="25" t="s">
        <v>357</v>
      </c>
      <c r="G144" s="33">
        <f>(693.2+25.6*3.2+11.36+8)*1.08</f>
        <v>858.03840000000025</v>
      </c>
    </row>
    <row r="145" spans="1:7" x14ac:dyDescent="0.2">
      <c r="A145" s="32" t="s">
        <v>53</v>
      </c>
      <c r="B145" s="32"/>
      <c r="C145" s="32" t="s">
        <v>308</v>
      </c>
      <c r="D145" s="32" t="s">
        <v>137</v>
      </c>
      <c r="E145" s="32" t="s">
        <v>15</v>
      </c>
      <c r="F145" s="25" t="s">
        <v>138</v>
      </c>
      <c r="G145" s="33">
        <f>1.3*5.9</f>
        <v>7.6700000000000008</v>
      </c>
    </row>
    <row r="146" spans="1:7" x14ac:dyDescent="0.2">
      <c r="A146" s="32" t="s">
        <v>54</v>
      </c>
      <c r="B146" s="32"/>
      <c r="C146" s="25" t="s">
        <v>189</v>
      </c>
      <c r="D146" s="25" t="s">
        <v>188</v>
      </c>
      <c r="E146" s="25" t="s">
        <v>21</v>
      </c>
      <c r="F146" s="25" t="s">
        <v>331</v>
      </c>
      <c r="G146" s="33">
        <v>3.5</v>
      </c>
    </row>
    <row r="147" spans="1:7" s="22" customFormat="1" x14ac:dyDescent="0.2">
      <c r="A147" s="32" t="s">
        <v>452</v>
      </c>
      <c r="B147" s="32"/>
      <c r="C147" s="25" t="s">
        <v>333</v>
      </c>
      <c r="D147" s="25" t="s">
        <v>332</v>
      </c>
      <c r="E147" s="25" t="s">
        <v>15</v>
      </c>
      <c r="F147" s="25" t="s">
        <v>339</v>
      </c>
      <c r="G147" s="33">
        <f>6*7.9</f>
        <v>47.400000000000006</v>
      </c>
    </row>
    <row r="148" spans="1:7" x14ac:dyDescent="0.2">
      <c r="A148" s="32" t="s">
        <v>452</v>
      </c>
      <c r="B148" s="32"/>
      <c r="C148" s="25" t="s">
        <v>333</v>
      </c>
      <c r="D148" s="25" t="s">
        <v>332</v>
      </c>
      <c r="E148" s="25" t="s">
        <v>15</v>
      </c>
      <c r="F148" s="25" t="s">
        <v>338</v>
      </c>
      <c r="G148" s="33">
        <f>6*5.8+5*7.3+2.5*6.7</f>
        <v>88.05</v>
      </c>
    </row>
    <row r="149" spans="1:7" x14ac:dyDescent="0.2">
      <c r="A149" s="32" t="s">
        <v>453</v>
      </c>
      <c r="B149" s="32"/>
      <c r="C149" s="32" t="s">
        <v>349</v>
      </c>
      <c r="D149" s="32" t="s">
        <v>347</v>
      </c>
      <c r="E149" s="32" t="s">
        <v>21</v>
      </c>
      <c r="F149" s="25" t="s">
        <v>352</v>
      </c>
      <c r="G149" s="33">
        <f>665.8*0.3</f>
        <v>199.73999999999998</v>
      </c>
    </row>
    <row r="150" spans="1:7" x14ac:dyDescent="0.2">
      <c r="A150" s="32" t="s">
        <v>453</v>
      </c>
      <c r="B150" s="32"/>
      <c r="C150" s="32" t="s">
        <v>349</v>
      </c>
      <c r="D150" s="32" t="s">
        <v>347</v>
      </c>
      <c r="E150" s="32" t="s">
        <v>21</v>
      </c>
      <c r="F150" s="25" t="s">
        <v>348</v>
      </c>
      <c r="G150" s="33">
        <f>25.6*3.2*0.3</f>
        <v>24.576000000000004</v>
      </c>
    </row>
    <row r="151" spans="1:7" ht="25.5" x14ac:dyDescent="0.2">
      <c r="A151" s="32" t="s">
        <v>55</v>
      </c>
      <c r="B151" s="32"/>
      <c r="C151" s="25" t="s">
        <v>187</v>
      </c>
      <c r="D151" s="25" t="s">
        <v>185</v>
      </c>
      <c r="E151" s="32" t="s">
        <v>21</v>
      </c>
      <c r="F151" s="25" t="s">
        <v>209</v>
      </c>
      <c r="G151" s="33">
        <f>(3.5*3.5+3.5*1.3)*0.3</f>
        <v>5.04</v>
      </c>
    </row>
    <row r="152" spans="1:7" ht="25.5" x14ac:dyDescent="0.2">
      <c r="A152" s="32" t="s">
        <v>55</v>
      </c>
      <c r="B152" s="32"/>
      <c r="C152" s="25" t="s">
        <v>187</v>
      </c>
      <c r="D152" s="25" t="s">
        <v>185</v>
      </c>
      <c r="E152" s="25" t="s">
        <v>21</v>
      </c>
      <c r="F152" s="25" t="s">
        <v>186</v>
      </c>
      <c r="G152" s="33">
        <f>7.2*0.45</f>
        <v>3.24</v>
      </c>
    </row>
    <row r="153" spans="1:7" x14ac:dyDescent="0.2">
      <c r="A153" s="32" t="s">
        <v>56</v>
      </c>
      <c r="B153" s="32"/>
      <c r="C153" s="32" t="s">
        <v>337</v>
      </c>
      <c r="D153" s="32" t="s">
        <v>336</v>
      </c>
      <c r="E153" s="32" t="s">
        <v>15</v>
      </c>
      <c r="F153" s="25" t="s">
        <v>125</v>
      </c>
      <c r="G153" s="33">
        <f>6.93+0.88</f>
        <v>7.81</v>
      </c>
    </row>
    <row r="154" spans="1:7" ht="25.5" x14ac:dyDescent="0.2">
      <c r="A154" s="32" t="s">
        <v>57</v>
      </c>
      <c r="B154" s="32"/>
      <c r="C154" s="32" t="s">
        <v>208</v>
      </c>
      <c r="D154" s="25" t="s">
        <v>207</v>
      </c>
      <c r="E154" s="32" t="s">
        <v>21</v>
      </c>
      <c r="F154" s="25" t="s">
        <v>206</v>
      </c>
      <c r="G154" s="33">
        <f>0.88*2*(3+4.46)</f>
        <v>13.1296</v>
      </c>
    </row>
    <row r="155" spans="1:7" ht="25.5" x14ac:dyDescent="0.2">
      <c r="A155" s="32" t="s">
        <v>57</v>
      </c>
      <c r="B155" s="32"/>
      <c r="C155" s="32" t="s">
        <v>208</v>
      </c>
      <c r="D155" s="25" t="s">
        <v>207</v>
      </c>
      <c r="E155" s="32" t="s">
        <v>21</v>
      </c>
      <c r="F155" s="25" t="s">
        <v>216</v>
      </c>
      <c r="G155" s="33">
        <f>SUM(G156:G158)</f>
        <v>26.532299999999999</v>
      </c>
    </row>
    <row r="156" spans="1:7" x14ac:dyDescent="0.2">
      <c r="A156" s="32"/>
      <c r="B156" s="32"/>
      <c r="C156" s="32"/>
      <c r="D156" s="32"/>
      <c r="E156" s="32"/>
      <c r="F156" s="25" t="s">
        <v>219</v>
      </c>
      <c r="G156" s="33">
        <f>1.71*6.13</f>
        <v>10.4823</v>
      </c>
    </row>
    <row r="157" spans="1:7" x14ac:dyDescent="0.2">
      <c r="A157" s="32"/>
      <c r="B157" s="32"/>
      <c r="C157" s="32"/>
      <c r="D157" s="32"/>
      <c r="E157" s="32"/>
      <c r="F157" s="25" t="s">
        <v>220</v>
      </c>
      <c r="G157" s="33">
        <f>((1.71+1.14)/2)*6.92</f>
        <v>9.8609999999999989</v>
      </c>
    </row>
    <row r="158" spans="1:7" x14ac:dyDescent="0.2">
      <c r="A158" s="32"/>
      <c r="B158" s="32"/>
      <c r="C158" s="32"/>
      <c r="D158" s="32"/>
      <c r="E158" s="32"/>
      <c r="F158" s="25" t="s">
        <v>221</v>
      </c>
      <c r="G158" s="33">
        <f>(3.8*2+2.7*2+7.63)*0.3</f>
        <v>6.1889999999999992</v>
      </c>
    </row>
    <row r="159" spans="1:7" ht="25.5" x14ac:dyDescent="0.2">
      <c r="A159" s="32" t="s">
        <v>57</v>
      </c>
      <c r="B159" s="32"/>
      <c r="C159" s="32" t="s">
        <v>208</v>
      </c>
      <c r="D159" s="25" t="s">
        <v>207</v>
      </c>
      <c r="E159" s="32" t="s">
        <v>21</v>
      </c>
      <c r="F159" s="25" t="s">
        <v>238</v>
      </c>
      <c r="G159" s="33">
        <f>3.21*0.3*1.5+(0.11*1.7)/2+(0.11*1.5)/2</f>
        <v>1.6204999999999998</v>
      </c>
    </row>
    <row r="160" spans="1:7" ht="25.5" x14ac:dyDescent="0.2">
      <c r="A160" s="32" t="s">
        <v>57</v>
      </c>
      <c r="B160" s="32"/>
      <c r="C160" s="32" t="s">
        <v>208</v>
      </c>
      <c r="D160" s="25" t="s">
        <v>207</v>
      </c>
      <c r="E160" s="32" t="s">
        <v>21</v>
      </c>
      <c r="F160" s="25" t="s">
        <v>275</v>
      </c>
      <c r="G160" s="33">
        <f>0.86*0.45+0.43*0.33*2</f>
        <v>0.67080000000000006</v>
      </c>
    </row>
    <row r="161" spans="1:7" ht="25.5" x14ac:dyDescent="0.2">
      <c r="A161" s="12" t="s">
        <v>58</v>
      </c>
      <c r="B161" s="32"/>
      <c r="C161" s="12" t="s">
        <v>531</v>
      </c>
      <c r="D161" s="13" t="s">
        <v>532</v>
      </c>
      <c r="E161" s="12" t="s">
        <v>15</v>
      </c>
      <c r="F161" s="25" t="s">
        <v>535</v>
      </c>
      <c r="G161" s="33">
        <v>3.1</v>
      </c>
    </row>
    <row r="162" spans="1:7" x14ac:dyDescent="0.2">
      <c r="A162" s="32" t="s">
        <v>59</v>
      </c>
      <c r="B162" s="32"/>
      <c r="C162" s="32" t="s">
        <v>321</v>
      </c>
      <c r="D162" s="32" t="s">
        <v>322</v>
      </c>
      <c r="E162" s="32" t="s">
        <v>16</v>
      </c>
      <c r="F162" s="25" t="s">
        <v>160</v>
      </c>
      <c r="G162" s="33">
        <f>28.49+2.1</f>
        <v>30.59</v>
      </c>
    </row>
    <row r="163" spans="1:7" x14ac:dyDescent="0.2">
      <c r="A163" s="32" t="s">
        <v>59</v>
      </c>
      <c r="B163" s="32"/>
      <c r="C163" s="32" t="s">
        <v>321</v>
      </c>
      <c r="D163" s="32" t="s">
        <v>322</v>
      </c>
      <c r="E163" s="32" t="s">
        <v>16</v>
      </c>
      <c r="F163" s="25" t="s">
        <v>266</v>
      </c>
      <c r="G163" s="33">
        <f>11.9+12.9</f>
        <v>24.8</v>
      </c>
    </row>
    <row r="164" spans="1:7" x14ac:dyDescent="0.2">
      <c r="A164" s="32" t="s">
        <v>60</v>
      </c>
      <c r="B164" s="32"/>
      <c r="C164" s="32" t="s">
        <v>261</v>
      </c>
      <c r="D164" s="32" t="s">
        <v>468</v>
      </c>
      <c r="E164" s="32" t="s">
        <v>86</v>
      </c>
      <c r="F164" s="25" t="s">
        <v>262</v>
      </c>
      <c r="G164" s="33">
        <v>1</v>
      </c>
    </row>
    <row r="165" spans="1:7" x14ac:dyDescent="0.2">
      <c r="A165" s="32" t="s">
        <v>454</v>
      </c>
      <c r="B165" s="32"/>
      <c r="C165" s="25" t="s">
        <v>323</v>
      </c>
      <c r="D165" s="25" t="s">
        <v>77</v>
      </c>
      <c r="E165" s="25" t="s">
        <v>15</v>
      </c>
      <c r="F165" s="25" t="s">
        <v>324</v>
      </c>
      <c r="G165" s="33">
        <f>(11.9)*0.56*2</f>
        <v>13.328000000000001</v>
      </c>
    </row>
    <row r="166" spans="1:7" x14ac:dyDescent="0.2">
      <c r="A166" s="32" t="s">
        <v>454</v>
      </c>
      <c r="B166" s="32"/>
      <c r="C166" s="25" t="s">
        <v>323</v>
      </c>
      <c r="D166" s="25" t="s">
        <v>77</v>
      </c>
      <c r="E166" s="25" t="s">
        <v>15</v>
      </c>
      <c r="F166" s="25" t="s">
        <v>172</v>
      </c>
      <c r="G166" s="33">
        <f>(14.44+1.5)*0.56*2</f>
        <v>17.852800000000002</v>
      </c>
    </row>
    <row r="167" spans="1:7" x14ac:dyDescent="0.2">
      <c r="A167" s="32" t="s">
        <v>61</v>
      </c>
      <c r="B167" s="32"/>
      <c r="C167" s="25" t="s">
        <v>325</v>
      </c>
      <c r="D167" s="25" t="s">
        <v>164</v>
      </c>
      <c r="E167" s="25" t="s">
        <v>21</v>
      </c>
      <c r="F167" s="25" t="s">
        <v>165</v>
      </c>
      <c r="G167" s="33">
        <f>(14.43+1.5)*0.55</f>
        <v>8.7614999999999998</v>
      </c>
    </row>
    <row r="168" spans="1:7" x14ac:dyDescent="0.2">
      <c r="A168" s="32" t="s">
        <v>61</v>
      </c>
      <c r="B168" s="32"/>
      <c r="C168" s="25" t="s">
        <v>325</v>
      </c>
      <c r="D168" s="25" t="s">
        <v>164</v>
      </c>
      <c r="E168" s="25" t="s">
        <v>21</v>
      </c>
      <c r="F168" s="25" t="s">
        <v>252</v>
      </c>
      <c r="G168" s="33">
        <f>0.55*11.9</f>
        <v>6.5450000000000008</v>
      </c>
    </row>
    <row r="169" spans="1:7" x14ac:dyDescent="0.2">
      <c r="A169" s="32" t="s">
        <v>455</v>
      </c>
      <c r="B169" s="32"/>
      <c r="C169" s="32" t="s">
        <v>420</v>
      </c>
      <c r="D169" s="25" t="s">
        <v>166</v>
      </c>
      <c r="E169" s="32" t="s">
        <v>86</v>
      </c>
      <c r="F169" s="25" t="s">
        <v>379</v>
      </c>
      <c r="G169" s="33">
        <v>5</v>
      </c>
    </row>
    <row r="170" spans="1:7" x14ac:dyDescent="0.2">
      <c r="A170" s="32" t="s">
        <v>455</v>
      </c>
      <c r="B170" s="32"/>
      <c r="C170" s="25" t="s">
        <v>420</v>
      </c>
      <c r="D170" s="25" t="s">
        <v>166</v>
      </c>
      <c r="E170" s="32" t="s">
        <v>86</v>
      </c>
      <c r="F170" s="25" t="s">
        <v>153</v>
      </c>
      <c r="G170" s="33">
        <v>20</v>
      </c>
    </row>
    <row r="171" spans="1:7" x14ac:dyDescent="0.2">
      <c r="A171" s="32" t="s">
        <v>62</v>
      </c>
      <c r="B171" s="32"/>
      <c r="C171" s="32" t="s">
        <v>370</v>
      </c>
      <c r="D171" s="32" t="s">
        <v>374</v>
      </c>
      <c r="E171" s="32" t="s">
        <v>15</v>
      </c>
      <c r="F171" s="25" t="s">
        <v>154</v>
      </c>
      <c r="G171" s="33">
        <f>7.52*2+4.2*2</f>
        <v>23.439999999999998</v>
      </c>
    </row>
    <row r="172" spans="1:7" x14ac:dyDescent="0.2">
      <c r="A172" s="32" t="s">
        <v>456</v>
      </c>
      <c r="B172" s="32"/>
      <c r="C172" s="32" t="s">
        <v>377</v>
      </c>
      <c r="D172" s="32" t="s">
        <v>375</v>
      </c>
      <c r="E172" s="32" t="s">
        <v>15</v>
      </c>
      <c r="F172" s="25" t="s">
        <v>154</v>
      </c>
      <c r="G172" s="33">
        <f>7.52*2+4.2*2</f>
        <v>23.439999999999998</v>
      </c>
    </row>
    <row r="173" spans="1:7" x14ac:dyDescent="0.2">
      <c r="A173" s="32" t="s">
        <v>457</v>
      </c>
      <c r="B173" s="32"/>
      <c r="C173" s="32" t="s">
        <v>372</v>
      </c>
      <c r="D173" s="32" t="s">
        <v>371</v>
      </c>
      <c r="E173" s="32" t="s">
        <v>15</v>
      </c>
      <c r="F173" s="25" t="s">
        <v>373</v>
      </c>
      <c r="G173" s="33">
        <f>23.44*14</f>
        <v>328.16</v>
      </c>
    </row>
    <row r="174" spans="1:7" x14ac:dyDescent="0.2">
      <c r="A174" s="32" t="s">
        <v>458</v>
      </c>
      <c r="B174" s="32"/>
      <c r="C174" s="32" t="s">
        <v>432</v>
      </c>
      <c r="D174" s="32" t="s">
        <v>155</v>
      </c>
      <c r="E174" s="32" t="s">
        <v>86</v>
      </c>
      <c r="F174" s="25" t="s">
        <v>435</v>
      </c>
      <c r="G174" s="33">
        <v>1</v>
      </c>
    </row>
    <row r="175" spans="1:7" x14ac:dyDescent="0.2">
      <c r="A175" s="32" t="s">
        <v>64</v>
      </c>
      <c r="B175" s="32"/>
      <c r="C175" s="32" t="s">
        <v>432</v>
      </c>
      <c r="D175" s="32" t="s">
        <v>430</v>
      </c>
      <c r="E175" s="32" t="s">
        <v>86</v>
      </c>
      <c r="F175" s="25" t="s">
        <v>431</v>
      </c>
      <c r="G175" s="33">
        <v>10</v>
      </c>
    </row>
    <row r="176" spans="1:7" x14ac:dyDescent="0.2">
      <c r="A176" s="32" t="s">
        <v>64</v>
      </c>
      <c r="B176" s="32"/>
      <c r="C176" s="32" t="s">
        <v>432</v>
      </c>
      <c r="D176" s="32" t="s">
        <v>430</v>
      </c>
      <c r="E176" s="32" t="s">
        <v>86</v>
      </c>
      <c r="F176" s="25" t="s">
        <v>433</v>
      </c>
      <c r="G176" s="33">
        <v>1</v>
      </c>
    </row>
    <row r="177" spans="1:7" x14ac:dyDescent="0.2">
      <c r="A177" s="32" t="s">
        <v>64</v>
      </c>
      <c r="B177" s="32"/>
      <c r="C177" s="32" t="s">
        <v>432</v>
      </c>
      <c r="D177" s="32" t="s">
        <v>430</v>
      </c>
      <c r="E177" s="32" t="s">
        <v>86</v>
      </c>
      <c r="F177" s="25" t="s">
        <v>433</v>
      </c>
      <c r="G177" s="33">
        <v>1</v>
      </c>
    </row>
    <row r="178" spans="1:7" x14ac:dyDescent="0.2">
      <c r="A178" s="32" t="s">
        <v>64</v>
      </c>
      <c r="B178" s="32"/>
      <c r="C178" s="32" t="s">
        <v>432</v>
      </c>
      <c r="D178" s="32" t="s">
        <v>430</v>
      </c>
      <c r="E178" s="32" t="s">
        <v>86</v>
      </c>
      <c r="F178" s="25" t="s">
        <v>434</v>
      </c>
      <c r="G178" s="33">
        <v>2</v>
      </c>
    </row>
    <row r="179" spans="1:7" s="24" customFormat="1" x14ac:dyDescent="0.2">
      <c r="A179" s="32" t="s">
        <v>65</v>
      </c>
      <c r="B179" s="23"/>
      <c r="C179" s="32" t="s">
        <v>424</v>
      </c>
      <c r="D179" s="32" t="s">
        <v>423</v>
      </c>
      <c r="E179" s="32" t="s">
        <v>86</v>
      </c>
      <c r="F179" s="25" t="s">
        <v>427</v>
      </c>
      <c r="G179" s="33">
        <v>1</v>
      </c>
    </row>
    <row r="180" spans="1:7" s="24" customFormat="1" x14ac:dyDescent="0.2">
      <c r="A180" s="32" t="s">
        <v>66</v>
      </c>
      <c r="B180" s="23"/>
      <c r="C180" s="32" t="s">
        <v>422</v>
      </c>
      <c r="D180" s="32" t="s">
        <v>85</v>
      </c>
      <c r="E180" s="32" t="s">
        <v>86</v>
      </c>
      <c r="F180" s="25" t="s">
        <v>426</v>
      </c>
      <c r="G180" s="33">
        <v>1</v>
      </c>
    </row>
    <row r="181" spans="1:7" s="24" customFormat="1" x14ac:dyDescent="0.2">
      <c r="A181" s="32" t="s">
        <v>67</v>
      </c>
      <c r="B181" s="23"/>
      <c r="C181" s="32" t="s">
        <v>421</v>
      </c>
      <c r="D181" s="32" t="s">
        <v>85</v>
      </c>
      <c r="E181" s="32" t="s">
        <v>86</v>
      </c>
      <c r="F181" s="25" t="s">
        <v>425</v>
      </c>
      <c r="G181" s="33">
        <v>1</v>
      </c>
    </row>
    <row r="182" spans="1:7" x14ac:dyDescent="0.2">
      <c r="A182" s="32" t="s">
        <v>459</v>
      </c>
      <c r="B182" s="32"/>
      <c r="C182" s="32" t="s">
        <v>369</v>
      </c>
      <c r="D182" s="32" t="s">
        <v>156</v>
      </c>
      <c r="E182" s="32" t="s">
        <v>16</v>
      </c>
      <c r="F182" s="25" t="s">
        <v>428</v>
      </c>
      <c r="G182" s="33">
        <v>10</v>
      </c>
    </row>
    <row r="183" spans="1:7" x14ac:dyDescent="0.2">
      <c r="A183" s="32" t="s">
        <v>460</v>
      </c>
      <c r="B183" s="32"/>
      <c r="C183" s="32" t="s">
        <v>87</v>
      </c>
      <c r="D183" s="32" t="s">
        <v>88</v>
      </c>
      <c r="E183" s="32" t="s">
        <v>86</v>
      </c>
      <c r="F183" s="25" t="s">
        <v>157</v>
      </c>
      <c r="G183" s="33">
        <v>1</v>
      </c>
    </row>
    <row r="184" spans="1:7" x14ac:dyDescent="0.2">
      <c r="A184" s="32" t="s">
        <v>461</v>
      </c>
      <c r="B184" s="32"/>
      <c r="C184" s="32" t="s">
        <v>355</v>
      </c>
      <c r="D184" s="32" t="s">
        <v>470</v>
      </c>
      <c r="E184" s="32" t="s">
        <v>15</v>
      </c>
      <c r="F184" s="25" t="s">
        <v>471</v>
      </c>
      <c r="G184" s="33">
        <v>858.04</v>
      </c>
    </row>
    <row r="185" spans="1:7" x14ac:dyDescent="0.2">
      <c r="A185" s="32" t="s">
        <v>462</v>
      </c>
      <c r="B185" s="32"/>
      <c r="C185" s="32" t="s">
        <v>89</v>
      </c>
      <c r="D185" s="32" t="s">
        <v>359</v>
      </c>
      <c r="E185" s="32" t="s">
        <v>86</v>
      </c>
      <c r="F185" s="25" t="s">
        <v>167</v>
      </c>
      <c r="G185" s="33">
        <v>5</v>
      </c>
    </row>
    <row r="186" spans="1:7" x14ac:dyDescent="0.2">
      <c r="A186" s="32" t="s">
        <v>462</v>
      </c>
      <c r="B186" s="32"/>
      <c r="C186" s="32" t="s">
        <v>89</v>
      </c>
      <c r="D186" s="32" t="s">
        <v>359</v>
      </c>
      <c r="E186" s="32" t="s">
        <v>86</v>
      </c>
      <c r="F186" s="25" t="s">
        <v>263</v>
      </c>
      <c r="G186" s="33">
        <v>4</v>
      </c>
    </row>
    <row r="187" spans="1:7" x14ac:dyDescent="0.2">
      <c r="A187" s="32" t="s">
        <v>463</v>
      </c>
      <c r="B187" s="32"/>
      <c r="C187" s="32" t="s">
        <v>469</v>
      </c>
      <c r="D187" s="32" t="s">
        <v>362</v>
      </c>
      <c r="E187" s="32" t="s">
        <v>86</v>
      </c>
      <c r="F187" s="25" t="s">
        <v>168</v>
      </c>
      <c r="G187" s="33">
        <v>1</v>
      </c>
    </row>
    <row r="188" spans="1:7" x14ac:dyDescent="0.2">
      <c r="A188" s="32" t="s">
        <v>464</v>
      </c>
      <c r="B188" s="32"/>
      <c r="C188" s="32" t="s">
        <v>361</v>
      </c>
      <c r="D188" s="32" t="s">
        <v>247</v>
      </c>
      <c r="E188" s="32" t="s">
        <v>86</v>
      </c>
      <c r="F188" s="25" t="s">
        <v>260</v>
      </c>
      <c r="G188" s="33">
        <v>2</v>
      </c>
    </row>
    <row r="189" spans="1:7" x14ac:dyDescent="0.2">
      <c r="A189" s="32" t="s">
        <v>464</v>
      </c>
      <c r="B189" s="32"/>
      <c r="C189" s="32" t="s">
        <v>361</v>
      </c>
      <c r="D189" s="32" t="s">
        <v>247</v>
      </c>
      <c r="E189" s="32" t="s">
        <v>86</v>
      </c>
      <c r="F189" s="25" t="s">
        <v>366</v>
      </c>
      <c r="G189" s="33">
        <v>1</v>
      </c>
    </row>
    <row r="190" spans="1:7" x14ac:dyDescent="0.2">
      <c r="A190" s="32" t="s">
        <v>465</v>
      </c>
      <c r="B190" s="32"/>
      <c r="C190" s="32" t="s">
        <v>538</v>
      </c>
      <c r="D190" s="32" t="s">
        <v>264</v>
      </c>
      <c r="E190" s="32" t="s">
        <v>86</v>
      </c>
      <c r="F190" s="25" t="s">
        <v>265</v>
      </c>
      <c r="G190" s="33">
        <v>1</v>
      </c>
    </row>
    <row r="191" spans="1:7" x14ac:dyDescent="0.2">
      <c r="A191" s="32" t="s">
        <v>466</v>
      </c>
      <c r="B191" s="32"/>
      <c r="C191" s="32" t="s">
        <v>365</v>
      </c>
      <c r="D191" s="32" t="s">
        <v>158</v>
      </c>
      <c r="E191" s="32" t="s">
        <v>86</v>
      </c>
      <c r="F191" s="25" t="s">
        <v>366</v>
      </c>
      <c r="G191" s="33">
        <v>1</v>
      </c>
    </row>
    <row r="192" spans="1:7" ht="12" customHeight="1" x14ac:dyDescent="0.2">
      <c r="A192" s="32" t="s">
        <v>70</v>
      </c>
      <c r="B192" s="32"/>
      <c r="C192" s="32" t="s">
        <v>368</v>
      </c>
      <c r="D192" s="32" t="s">
        <v>367</v>
      </c>
      <c r="E192" s="32" t="s">
        <v>86</v>
      </c>
      <c r="F192" s="25" t="s">
        <v>366</v>
      </c>
      <c r="G192" s="33">
        <v>1</v>
      </c>
    </row>
    <row r="193" spans="1:7" ht="12" customHeight="1" x14ac:dyDescent="0.2">
      <c r="A193" s="32" t="s">
        <v>70</v>
      </c>
      <c r="B193" s="32"/>
      <c r="C193" s="32" t="s">
        <v>368</v>
      </c>
      <c r="D193" s="32" t="s">
        <v>367</v>
      </c>
      <c r="E193" s="32" t="s">
        <v>86</v>
      </c>
      <c r="F193" s="25" t="s">
        <v>260</v>
      </c>
      <c r="G193" s="33">
        <v>2</v>
      </c>
    </row>
    <row r="194" spans="1:7" x14ac:dyDescent="0.2">
      <c r="A194" s="32" t="s">
        <v>71</v>
      </c>
      <c r="B194" s="32"/>
      <c r="C194" s="32" t="s">
        <v>401</v>
      </c>
      <c r="D194" s="32" t="s">
        <v>389</v>
      </c>
      <c r="E194" s="32" t="s">
        <v>86</v>
      </c>
      <c r="F194" s="25" t="s">
        <v>408</v>
      </c>
      <c r="G194" s="33">
        <v>8</v>
      </c>
    </row>
    <row r="195" spans="1:7" x14ac:dyDescent="0.2">
      <c r="A195" s="32" t="s">
        <v>534</v>
      </c>
      <c r="B195" s="32"/>
      <c r="C195" s="32" t="s">
        <v>403</v>
      </c>
      <c r="D195" s="32" t="s">
        <v>390</v>
      </c>
      <c r="E195" s="32" t="s">
        <v>86</v>
      </c>
      <c r="F195" s="25" t="s">
        <v>408</v>
      </c>
      <c r="G195" s="33">
        <v>8</v>
      </c>
    </row>
    <row r="196" spans="1:7" x14ac:dyDescent="0.2">
      <c r="A196" s="32" t="s">
        <v>536</v>
      </c>
      <c r="B196" s="32"/>
      <c r="C196" s="32" t="s">
        <v>407</v>
      </c>
      <c r="D196" s="32" t="s">
        <v>406</v>
      </c>
      <c r="E196" s="32" t="s">
        <v>411</v>
      </c>
      <c r="F196" s="25" t="s">
        <v>409</v>
      </c>
      <c r="G196" s="33">
        <v>1.2</v>
      </c>
    </row>
    <row r="197" spans="1:7" x14ac:dyDescent="0.2">
      <c r="A197" s="32" t="s">
        <v>475</v>
      </c>
      <c r="B197" s="12"/>
      <c r="C197" s="12" t="s">
        <v>405</v>
      </c>
      <c r="D197" s="12" t="s">
        <v>402</v>
      </c>
      <c r="E197" s="12" t="s">
        <v>86</v>
      </c>
      <c r="F197" s="13" t="s">
        <v>408</v>
      </c>
      <c r="G197" s="14">
        <v>8</v>
      </c>
    </row>
    <row r="198" spans="1:7" ht="12" customHeight="1" x14ac:dyDescent="0.2">
      <c r="A198" s="32" t="s">
        <v>544</v>
      </c>
      <c r="B198" s="32"/>
      <c r="C198" t="s">
        <v>413</v>
      </c>
      <c r="D198" s="13" t="s">
        <v>335</v>
      </c>
      <c r="E198" s="32" t="s">
        <v>50</v>
      </c>
      <c r="F198" s="59" t="s">
        <v>545</v>
      </c>
      <c r="G198" s="33">
        <v>797.95</v>
      </c>
    </row>
    <row r="199" spans="1:7" x14ac:dyDescent="0.2">
      <c r="A199" s="32" t="s">
        <v>543</v>
      </c>
      <c r="C199" t="s">
        <v>400</v>
      </c>
      <c r="D199" s="13" t="s">
        <v>388</v>
      </c>
      <c r="E199" t="s">
        <v>50</v>
      </c>
      <c r="F199" s="60">
        <v>0.14000000000000001</v>
      </c>
      <c r="G199">
        <v>0.14000000000000001</v>
      </c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scale="94" firstPageNumber="0" orientation="landscape" horizontalDpi="300" verticalDpi="300" r:id="rId1"/>
  <headerFooter alignWithMargins="0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workbookViewId="0">
      <selection activeCell="I15" sqref="I15"/>
    </sheetView>
  </sheetViews>
  <sheetFormatPr defaultColWidth="11.42578125" defaultRowHeight="12.75" x14ac:dyDescent="0.2"/>
  <cols>
    <col min="1" max="1" width="11.42578125" customWidth="1"/>
    <col min="2" max="2" width="11.85546875" customWidth="1"/>
    <col min="3" max="3" width="21.7109375" customWidth="1"/>
    <col min="4" max="4" width="8.85546875" customWidth="1"/>
    <col min="5" max="5" width="14" customWidth="1"/>
    <col min="6" max="6" width="22.5703125" customWidth="1"/>
    <col min="7" max="7" width="11.42578125" customWidth="1"/>
    <col min="8" max="8" width="11.85546875" customWidth="1"/>
    <col min="9" max="9" width="22.42578125" customWidth="1"/>
  </cols>
  <sheetData>
    <row r="1" spans="1:10" ht="28.7" customHeight="1" x14ac:dyDescent="0.2">
      <c r="A1" s="92" t="s">
        <v>528</v>
      </c>
      <c r="B1" s="92"/>
      <c r="C1" s="92"/>
      <c r="D1" s="92"/>
      <c r="E1" s="92"/>
      <c r="F1" s="92"/>
      <c r="G1" s="92"/>
      <c r="H1" s="92"/>
      <c r="I1" s="92"/>
    </row>
    <row r="2" spans="1:10" x14ac:dyDescent="0.2">
      <c r="A2" s="93" t="s">
        <v>527</v>
      </c>
      <c r="B2" s="93"/>
      <c r="C2" s="94" t="s">
        <v>541</v>
      </c>
      <c r="D2" s="94"/>
      <c r="E2" s="95" t="s">
        <v>526</v>
      </c>
      <c r="F2" s="96" t="s">
        <v>542</v>
      </c>
      <c r="G2" s="96"/>
      <c r="H2" s="95" t="s">
        <v>520</v>
      </c>
      <c r="I2" s="97"/>
      <c r="J2" s="42"/>
    </row>
    <row r="3" spans="1:10" x14ac:dyDescent="0.2">
      <c r="A3" s="93"/>
      <c r="B3" s="93"/>
      <c r="C3" s="94"/>
      <c r="D3" s="94"/>
      <c r="E3" s="95"/>
      <c r="F3" s="96"/>
      <c r="G3" s="96"/>
      <c r="H3" s="95"/>
      <c r="I3" s="97"/>
      <c r="J3" s="42"/>
    </row>
    <row r="4" spans="1:10" x14ac:dyDescent="0.2">
      <c r="A4" s="88" t="s">
        <v>525</v>
      </c>
      <c r="B4" s="88"/>
      <c r="C4" s="90"/>
      <c r="D4" s="90"/>
      <c r="E4" s="90" t="s">
        <v>524</v>
      </c>
      <c r="F4" s="90" t="s">
        <v>478</v>
      </c>
      <c r="G4" s="90"/>
      <c r="H4" s="90" t="s">
        <v>520</v>
      </c>
      <c r="I4" s="87" t="s">
        <v>523</v>
      </c>
      <c r="J4" s="42"/>
    </row>
    <row r="5" spans="1:10" x14ac:dyDescent="0.2">
      <c r="A5" s="88"/>
      <c r="B5" s="88"/>
      <c r="C5" s="90"/>
      <c r="D5" s="90"/>
      <c r="E5" s="90"/>
      <c r="F5" s="90"/>
      <c r="G5" s="90"/>
      <c r="H5" s="90"/>
      <c r="I5" s="87"/>
      <c r="J5" s="42"/>
    </row>
    <row r="6" spans="1:10" x14ac:dyDescent="0.2">
      <c r="A6" s="88" t="s">
        <v>522</v>
      </c>
      <c r="B6" s="88"/>
      <c r="C6" s="90" t="s">
        <v>540</v>
      </c>
      <c r="D6" s="90"/>
      <c r="E6" s="90" t="s">
        <v>521</v>
      </c>
      <c r="F6" s="90"/>
      <c r="G6" s="90"/>
      <c r="H6" s="90" t="s">
        <v>520</v>
      </c>
      <c r="I6" s="87"/>
      <c r="J6" s="42"/>
    </row>
    <row r="7" spans="1:10" x14ac:dyDescent="0.2">
      <c r="A7" s="88"/>
      <c r="B7" s="88"/>
      <c r="C7" s="90"/>
      <c r="D7" s="90"/>
      <c r="E7" s="90"/>
      <c r="F7" s="90"/>
      <c r="G7" s="90"/>
      <c r="H7" s="90"/>
      <c r="I7" s="87"/>
      <c r="J7" s="42"/>
    </row>
    <row r="8" spans="1:10" x14ac:dyDescent="0.2">
      <c r="A8" s="88" t="s">
        <v>519</v>
      </c>
      <c r="B8" s="88"/>
      <c r="C8" s="89"/>
      <c r="D8" s="89"/>
      <c r="E8" s="90" t="s">
        <v>518</v>
      </c>
      <c r="F8" s="91"/>
      <c r="G8" s="91"/>
      <c r="H8" s="90" t="s">
        <v>517</v>
      </c>
      <c r="I8" s="87" t="s">
        <v>543</v>
      </c>
      <c r="J8" s="42"/>
    </row>
    <row r="9" spans="1:10" x14ac:dyDescent="0.2">
      <c r="A9" s="88"/>
      <c r="B9" s="88"/>
      <c r="C9" s="89"/>
      <c r="D9" s="89"/>
      <c r="E9" s="90"/>
      <c r="F9" s="90"/>
      <c r="G9" s="91"/>
      <c r="H9" s="90"/>
      <c r="I9" s="87"/>
      <c r="J9" s="42"/>
    </row>
    <row r="10" spans="1:10" x14ac:dyDescent="0.2">
      <c r="A10" s="85" t="s">
        <v>516</v>
      </c>
      <c r="B10" s="85"/>
      <c r="C10" s="86"/>
      <c r="D10" s="86"/>
      <c r="E10" s="86" t="s">
        <v>515</v>
      </c>
      <c r="F10" s="86" t="s">
        <v>514</v>
      </c>
      <c r="G10" s="86"/>
      <c r="H10" s="86" t="s">
        <v>513</v>
      </c>
      <c r="I10" s="82"/>
      <c r="J10" s="42"/>
    </row>
    <row r="11" spans="1:10" x14ac:dyDescent="0.2">
      <c r="A11" s="85"/>
      <c r="B11" s="85"/>
      <c r="C11" s="86"/>
      <c r="D11" s="86"/>
      <c r="E11" s="86"/>
      <c r="F11" s="86"/>
      <c r="G11" s="86"/>
      <c r="H11" s="86"/>
      <c r="I11" s="82"/>
      <c r="J11" s="42"/>
    </row>
    <row r="12" spans="1:10" ht="23.45" customHeight="1" x14ac:dyDescent="0.2">
      <c r="A12" s="83" t="s">
        <v>512</v>
      </c>
      <c r="B12" s="83"/>
      <c r="C12" s="83"/>
      <c r="D12" s="83"/>
      <c r="E12" s="83"/>
      <c r="F12" s="83"/>
      <c r="G12" s="83"/>
      <c r="H12" s="83"/>
      <c r="I12" s="83"/>
    </row>
    <row r="13" spans="1:10" ht="26.45" customHeight="1" x14ac:dyDescent="0.2">
      <c r="A13" s="53" t="s">
        <v>511</v>
      </c>
      <c r="B13" s="84" t="s">
        <v>510</v>
      </c>
      <c r="C13" s="84"/>
      <c r="D13" s="53" t="s">
        <v>509</v>
      </c>
      <c r="E13" s="84" t="s">
        <v>508</v>
      </c>
      <c r="F13" s="84"/>
      <c r="G13" s="53" t="s">
        <v>507</v>
      </c>
      <c r="H13" s="84" t="s">
        <v>506</v>
      </c>
      <c r="I13" s="84"/>
      <c r="J13" s="42"/>
    </row>
    <row r="14" spans="1:10" ht="15.2" customHeight="1" x14ac:dyDescent="0.2">
      <c r="A14" s="80" t="s">
        <v>505</v>
      </c>
      <c r="B14" s="78" t="s">
        <v>539</v>
      </c>
      <c r="C14" s="76">
        <f>'Stavební rozpočet'!J4+'Stavební rozpočet'!J11+'Stavební rozpočet'!J16+'Stavební rozpočet'!J23+'Stavební rozpočet'!J29+'Stavební rozpočet'!J46+'Stavební rozpočet'!J54+'Stavební rozpočet'!J61+'Stavební rozpočet'!J71+'Stavební rozpočet'!J74+'Stavební rozpočet'!J78+'Stavební rozpočet'!J82</f>
        <v>1688002.57</v>
      </c>
      <c r="D14" s="74" t="s">
        <v>504</v>
      </c>
      <c r="E14" s="74"/>
      <c r="F14" s="48">
        <v>0</v>
      </c>
      <c r="G14" s="74" t="s">
        <v>503</v>
      </c>
      <c r="H14" s="74"/>
      <c r="I14" s="48">
        <v>0</v>
      </c>
      <c r="J14" s="42"/>
    </row>
    <row r="15" spans="1:10" ht="15.2" customHeight="1" x14ac:dyDescent="0.2">
      <c r="A15" s="81"/>
      <c r="B15" s="79"/>
      <c r="C15" s="77"/>
      <c r="D15" s="74" t="s">
        <v>502</v>
      </c>
      <c r="E15" s="74"/>
      <c r="F15" s="48">
        <v>0</v>
      </c>
      <c r="G15" s="74" t="s">
        <v>501</v>
      </c>
      <c r="H15" s="74"/>
      <c r="I15" s="48">
        <v>0</v>
      </c>
      <c r="J15" s="42"/>
    </row>
    <row r="16" spans="1:10" ht="15.2" customHeight="1" x14ac:dyDescent="0.2">
      <c r="A16" s="80" t="s">
        <v>500</v>
      </c>
      <c r="B16" s="78" t="s">
        <v>539</v>
      </c>
      <c r="C16" s="76">
        <f>'Stavební rozpočet'!J69</f>
        <v>1212.1000000000001</v>
      </c>
      <c r="D16" s="74" t="s">
        <v>499</v>
      </c>
      <c r="E16" s="74"/>
      <c r="F16" s="48">
        <v>0</v>
      </c>
      <c r="G16" s="74" t="s">
        <v>498</v>
      </c>
      <c r="H16" s="74"/>
      <c r="I16" s="48">
        <v>0</v>
      </c>
      <c r="J16" s="42"/>
    </row>
    <row r="17" spans="1:10" ht="15.2" customHeight="1" x14ac:dyDescent="0.2">
      <c r="A17" s="81"/>
      <c r="B17" s="79"/>
      <c r="C17" s="77"/>
      <c r="D17" s="74"/>
      <c r="E17" s="74"/>
      <c r="F17" s="49"/>
      <c r="G17" s="74" t="s">
        <v>497</v>
      </c>
      <c r="H17" s="74"/>
      <c r="I17" s="48">
        <v>0</v>
      </c>
      <c r="J17" s="42"/>
    </row>
    <row r="18" spans="1:10" ht="15.2" customHeight="1" x14ac:dyDescent="0.2">
      <c r="A18" s="52" t="s">
        <v>496</v>
      </c>
      <c r="B18" s="50" t="s">
        <v>495</v>
      </c>
      <c r="C18" s="48">
        <v>0</v>
      </c>
      <c r="D18" s="74"/>
      <c r="E18" s="74"/>
      <c r="F18" s="49"/>
      <c r="G18" s="74" t="s">
        <v>494</v>
      </c>
      <c r="H18" s="74"/>
      <c r="I18" s="48">
        <v>0</v>
      </c>
      <c r="J18" s="42"/>
    </row>
    <row r="19" spans="1:10" ht="15.2" customHeight="1" x14ac:dyDescent="0.2">
      <c r="A19" s="51"/>
      <c r="B19" s="50" t="s">
        <v>12</v>
      </c>
      <c r="C19" s="48">
        <v>0</v>
      </c>
      <c r="D19" s="74"/>
      <c r="E19" s="74"/>
      <c r="F19" s="49"/>
      <c r="G19" s="74" t="s">
        <v>493</v>
      </c>
      <c r="H19" s="74"/>
      <c r="I19" s="48">
        <v>0</v>
      </c>
      <c r="J19" s="42"/>
    </row>
    <row r="20" spans="1:10" ht="15.2" customHeight="1" x14ac:dyDescent="0.2">
      <c r="A20" s="73" t="s">
        <v>84</v>
      </c>
      <c r="B20" s="73"/>
      <c r="C20" s="48">
        <f>'Stavební rozpočet'!J85</f>
        <v>202101.88</v>
      </c>
      <c r="D20" s="74"/>
      <c r="E20" s="74"/>
      <c r="F20" s="49"/>
      <c r="G20" s="74"/>
      <c r="H20" s="74"/>
      <c r="I20" s="49"/>
      <c r="J20" s="42"/>
    </row>
    <row r="21" spans="1:10" ht="15.2" customHeight="1" x14ac:dyDescent="0.2">
      <c r="A21" s="73" t="s">
        <v>492</v>
      </c>
      <c r="B21" s="73"/>
      <c r="C21" s="48">
        <f>'Stavební rozpočet'!J102</f>
        <v>36036.123679500008</v>
      </c>
      <c r="D21" s="74"/>
      <c r="E21" s="74"/>
      <c r="F21" s="49"/>
      <c r="G21" s="74"/>
      <c r="H21" s="74"/>
      <c r="I21" s="49"/>
      <c r="J21" s="42"/>
    </row>
    <row r="22" spans="1:10" ht="39.950000000000003" customHeight="1" x14ac:dyDescent="0.2">
      <c r="A22" s="73" t="s">
        <v>491</v>
      </c>
      <c r="B22" s="73"/>
      <c r="C22" s="48">
        <f>SUM(C14:C21)</f>
        <v>1927352.6736795004</v>
      </c>
      <c r="D22" s="73" t="s">
        <v>490</v>
      </c>
      <c r="E22" s="73"/>
      <c r="F22" s="48">
        <v>0</v>
      </c>
      <c r="G22" s="73" t="s">
        <v>489</v>
      </c>
      <c r="H22" s="73"/>
      <c r="I22" s="48">
        <f>I14</f>
        <v>0</v>
      </c>
      <c r="J22" s="42"/>
    </row>
    <row r="23" spans="1:10" ht="14.25" x14ac:dyDescent="0.2">
      <c r="A23" s="47"/>
      <c r="B23" s="47"/>
      <c r="C23" s="47"/>
      <c r="D23" s="46"/>
      <c r="E23" s="46"/>
      <c r="F23" s="46"/>
      <c r="G23" s="46"/>
      <c r="H23" s="46"/>
      <c r="I23" s="46"/>
    </row>
    <row r="24" spans="1:10" ht="15.2" customHeight="1" x14ac:dyDescent="0.2">
      <c r="A24" s="75" t="s">
        <v>488</v>
      </c>
      <c r="B24" s="75"/>
      <c r="C24" s="43">
        <v>0</v>
      </c>
      <c r="D24" s="45"/>
      <c r="E24" s="44"/>
      <c r="F24" s="44"/>
      <c r="G24" s="44"/>
      <c r="H24" s="44"/>
      <c r="I24" s="44"/>
    </row>
    <row r="25" spans="1:10" ht="15.2" customHeight="1" x14ac:dyDescent="0.2">
      <c r="A25" s="75" t="s">
        <v>487</v>
      </c>
      <c r="B25" s="75"/>
      <c r="C25" s="43">
        <v>0</v>
      </c>
      <c r="D25" s="75" t="s">
        <v>486</v>
      </c>
      <c r="E25" s="75"/>
      <c r="F25" s="43">
        <v>0</v>
      </c>
      <c r="G25" s="75" t="s">
        <v>485</v>
      </c>
      <c r="H25" s="75"/>
      <c r="I25" s="43">
        <f>C26</f>
        <v>1927352.6736795004</v>
      </c>
      <c r="J25" s="42"/>
    </row>
    <row r="26" spans="1:10" ht="15.2" customHeight="1" x14ac:dyDescent="0.2">
      <c r="A26" s="75" t="s">
        <v>484</v>
      </c>
      <c r="B26" s="75"/>
      <c r="C26" s="43">
        <f>C22+I22</f>
        <v>1927352.6736795004</v>
      </c>
      <c r="D26" s="75" t="s">
        <v>483</v>
      </c>
      <c r="E26" s="75"/>
      <c r="F26" s="43">
        <f>C26*0.21</f>
        <v>404744.06147269509</v>
      </c>
      <c r="G26" s="75" t="s">
        <v>482</v>
      </c>
      <c r="H26" s="75"/>
      <c r="I26" s="43">
        <f>C26+F26</f>
        <v>2332096.7351521952</v>
      </c>
      <c r="J26" s="42"/>
    </row>
    <row r="27" spans="1:10" ht="15" thickBot="1" x14ac:dyDescent="0.25">
      <c r="A27" s="41"/>
      <c r="B27" s="41"/>
      <c r="C27" s="41"/>
      <c r="D27" s="41"/>
      <c r="E27" s="41"/>
      <c r="F27" s="41"/>
      <c r="G27" s="41"/>
      <c r="H27" s="41"/>
      <c r="I27" s="41"/>
    </row>
    <row r="28" spans="1:10" ht="14.45" customHeight="1" x14ac:dyDescent="0.2">
      <c r="A28" s="71" t="s">
        <v>481</v>
      </c>
      <c r="B28" s="71"/>
      <c r="C28" s="71"/>
      <c r="D28" s="71" t="s">
        <v>480</v>
      </c>
      <c r="E28" s="71"/>
      <c r="F28" s="71"/>
      <c r="G28" s="71" t="s">
        <v>479</v>
      </c>
      <c r="H28" s="71"/>
      <c r="I28" s="71"/>
      <c r="J28" s="4"/>
    </row>
    <row r="29" spans="1:10" ht="14.45" customHeight="1" x14ac:dyDescent="0.2">
      <c r="A29" s="70" t="s">
        <v>478</v>
      </c>
      <c r="B29" s="70"/>
      <c r="C29" s="70"/>
      <c r="D29" s="72"/>
      <c r="E29" s="72"/>
      <c r="F29" s="72"/>
      <c r="G29" s="70"/>
      <c r="H29" s="70"/>
      <c r="I29" s="70"/>
      <c r="J29" s="4"/>
    </row>
    <row r="30" spans="1:10" ht="14.45" customHeight="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4"/>
    </row>
    <row r="31" spans="1:10" ht="14.4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4"/>
    </row>
    <row r="32" spans="1:10" ht="14.45" customHeight="1" thickBot="1" x14ac:dyDescent="0.25">
      <c r="A32" s="69" t="s">
        <v>477</v>
      </c>
      <c r="B32" s="69"/>
      <c r="C32" s="69"/>
      <c r="D32" s="69" t="s">
        <v>477</v>
      </c>
      <c r="E32" s="69"/>
      <c r="F32" s="69"/>
      <c r="G32" s="69" t="s">
        <v>477</v>
      </c>
      <c r="H32" s="69"/>
      <c r="I32" s="69"/>
      <c r="J32" s="4"/>
    </row>
    <row r="33" spans="1:9" x14ac:dyDescent="0.2">
      <c r="A33" s="40"/>
      <c r="B33" s="40"/>
      <c r="C33" s="40"/>
      <c r="D33" s="40"/>
      <c r="E33" s="40"/>
      <c r="F33" s="40"/>
      <c r="G33" s="40"/>
      <c r="H33" s="40"/>
      <c r="I33" s="40"/>
    </row>
  </sheetData>
  <mergeCells count="84">
    <mergeCell ref="C16:C17"/>
    <mergeCell ref="B16:B17"/>
    <mergeCell ref="A16:A17"/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I6:I7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10:I11"/>
    <mergeCell ref="A12:I12"/>
    <mergeCell ref="B13:C13"/>
    <mergeCell ref="E13:F13"/>
    <mergeCell ref="H13:I13"/>
    <mergeCell ref="A10:B11"/>
    <mergeCell ref="C10:D11"/>
    <mergeCell ref="E10:E11"/>
    <mergeCell ref="F10:G11"/>
    <mergeCell ref="H10:H11"/>
    <mergeCell ref="D14:E14"/>
    <mergeCell ref="G14:H14"/>
    <mergeCell ref="C14:C15"/>
    <mergeCell ref="B14:B15"/>
    <mergeCell ref="A14:A15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D31:F31"/>
    <mergeCell ref="G31:I3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</mergeCells>
  <pageMargins left="0.74791666666666667" right="0.74791666666666667" top="0.98402777777777783" bottom="0.98402777777777783" header="0.51180555555555562" footer="0.51180555555555562"/>
  <pageSetup paperSize="9" scale="88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Stavební rozpočet</vt:lpstr>
      <vt:lpstr>Výkaz výměr</vt:lpstr>
      <vt:lpstr>Krycí list rozpočtu</vt:lpstr>
      <vt:lpstr>Excel_BuiltIn_Print_Area_1_1</vt:lpstr>
      <vt:lpstr>'Stavební rozpočet'!Názvy_tisku</vt:lpstr>
      <vt:lpstr>'Krycí list rozpočtu'!Oblast_tisku</vt:lpstr>
      <vt:lpstr>'Stavební rozpočet'!Oblast_tisku</vt:lpstr>
      <vt:lpstr>'Výkaz výměr'!Oblast_tisku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Příprava Tufír</dc:creator>
  <cp:lastModifiedBy>ZASTUPCE</cp:lastModifiedBy>
  <cp:lastPrinted>2018-06-11T08:41:13Z</cp:lastPrinted>
  <dcterms:created xsi:type="dcterms:W3CDTF">2016-07-07T12:15:07Z</dcterms:created>
  <dcterms:modified xsi:type="dcterms:W3CDTF">2018-07-09T09:12:26Z</dcterms:modified>
</cp:coreProperties>
</file>