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47c2bb8d2b7bfd2/Práce/01_PROJEKTY VLASTNI/240002_OZP Hlaváčova/05_REALIZACE/REALIZACNI DOK_FINAL ZIVA DATA/"/>
    </mc:Choice>
  </mc:AlternateContent>
  <xr:revisionPtr revIDLastSave="28" documentId="8_{607EC11D-0E9E-43D7-BB39-FBF3C6FA2069}" xr6:coauthVersionLast="47" xr6:coauthVersionMax="47" xr10:uidLastSave="{B20CA971-6261-4CC1-BB1D-880C6A47591C}"/>
  <bookViews>
    <workbookView xWindow="11628" yWindow="912" windowWidth="17508" windowHeight="15924" xr2:uid="{5DD419AD-6B02-42B4-B941-7D39D2E2A586}"/>
  </bookViews>
  <sheets>
    <sheet name="D_VV_polozkovy soupis" sheetId="1" r:id="rId1"/>
    <sheet name="VV_SU_sadove upravy" sheetId="3" r:id="rId2"/>
    <sheet name="VV_rozvojova pece" sheetId="4" r:id="rId3"/>
    <sheet name="VN_vedlejsi naklady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" i="4" l="1"/>
  <c r="I133" i="4" s="1"/>
  <c r="H131" i="4"/>
  <c r="I131" i="4" s="1"/>
  <c r="H130" i="4"/>
  <c r="I130" i="4" s="1"/>
  <c r="F129" i="4"/>
  <c r="H129" i="4" s="1"/>
  <c r="I129" i="4" s="1"/>
  <c r="H128" i="4"/>
  <c r="I128" i="4" s="1"/>
  <c r="F127" i="4"/>
  <c r="H127" i="4" s="1"/>
  <c r="I127" i="4" s="1"/>
  <c r="H126" i="4"/>
  <c r="I126" i="4" s="1"/>
  <c r="H125" i="4"/>
  <c r="I125" i="4" s="1"/>
  <c r="F125" i="4"/>
  <c r="F123" i="4"/>
  <c r="H123" i="4" s="1"/>
  <c r="I123" i="4" s="1"/>
  <c r="H122" i="4"/>
  <c r="I122" i="4" s="1"/>
  <c r="F122" i="4"/>
  <c r="F121" i="4"/>
  <c r="H121" i="4" s="1"/>
  <c r="I121" i="4" s="1"/>
  <c r="F120" i="4"/>
  <c r="H120" i="4" s="1"/>
  <c r="I120" i="4" s="1"/>
  <c r="F119" i="4"/>
  <c r="H119" i="4" s="1"/>
  <c r="I119" i="4" s="1"/>
  <c r="F118" i="4"/>
  <c r="H118" i="4" s="1"/>
  <c r="I118" i="4" s="1"/>
  <c r="F117" i="4"/>
  <c r="H117" i="4" s="1"/>
  <c r="I117" i="4" s="1"/>
  <c r="F116" i="4"/>
  <c r="H116" i="4" s="1"/>
  <c r="I116" i="4" s="1"/>
  <c r="F115" i="4"/>
  <c r="H115" i="4" s="1"/>
  <c r="I115" i="4" s="1"/>
  <c r="F114" i="4"/>
  <c r="H114" i="4" s="1"/>
  <c r="I114" i="4" s="1"/>
  <c r="F113" i="4"/>
  <c r="H113" i="4" s="1"/>
  <c r="I113" i="4" s="1"/>
  <c r="F112" i="4"/>
  <c r="H112" i="4" s="1"/>
  <c r="I112" i="4" s="1"/>
  <c r="F111" i="4"/>
  <c r="H111" i="4" s="1"/>
  <c r="I111" i="4" s="1"/>
  <c r="F110" i="4"/>
  <c r="H110" i="4" s="1"/>
  <c r="I110" i="4" s="1"/>
  <c r="F109" i="4"/>
  <c r="H109" i="4" s="1"/>
  <c r="I109" i="4" s="1"/>
  <c r="F108" i="4"/>
  <c r="H108" i="4" s="1"/>
  <c r="I108" i="4" s="1"/>
  <c r="H107" i="4"/>
  <c r="H102" i="4"/>
  <c r="I102" i="4" s="1"/>
  <c r="H100" i="4"/>
  <c r="I100" i="4" s="1"/>
  <c r="I99" i="4"/>
  <c r="H99" i="4"/>
  <c r="F98" i="4"/>
  <c r="H98" i="4" s="1"/>
  <c r="I98" i="4" s="1"/>
  <c r="H97" i="4"/>
  <c r="I97" i="4" s="1"/>
  <c r="F96" i="4"/>
  <c r="H96" i="4" s="1"/>
  <c r="I96" i="4" s="1"/>
  <c r="F95" i="4"/>
  <c r="H95" i="4" s="1"/>
  <c r="I95" i="4" s="1"/>
  <c r="F94" i="4"/>
  <c r="H94" i="4" s="1"/>
  <c r="I94" i="4" s="1"/>
  <c r="F93" i="4"/>
  <c r="H93" i="4" s="1"/>
  <c r="I93" i="4" s="1"/>
  <c r="H92" i="4"/>
  <c r="I92" i="4" s="1"/>
  <c r="F92" i="4"/>
  <c r="F91" i="4"/>
  <c r="H91" i="4" s="1"/>
  <c r="I91" i="4" s="1"/>
  <c r="F90" i="4"/>
  <c r="H90" i="4" s="1"/>
  <c r="I90" i="4" s="1"/>
  <c r="H89" i="4"/>
  <c r="I89" i="4" s="1"/>
  <c r="F89" i="4"/>
  <c r="F88" i="4"/>
  <c r="H88" i="4" s="1"/>
  <c r="I88" i="4" s="1"/>
  <c r="F87" i="4"/>
  <c r="H87" i="4" s="1"/>
  <c r="I87" i="4" s="1"/>
  <c r="F86" i="4"/>
  <c r="H86" i="4" s="1"/>
  <c r="I86" i="4" s="1"/>
  <c r="F85" i="4"/>
  <c r="H85" i="4" s="1"/>
  <c r="I85" i="4" s="1"/>
  <c r="F84" i="4"/>
  <c r="H84" i="4" s="1"/>
  <c r="I84" i="4" s="1"/>
  <c r="F83" i="4"/>
  <c r="H83" i="4" s="1"/>
  <c r="I83" i="4" s="1"/>
  <c r="F82" i="4"/>
  <c r="H82" i="4" s="1"/>
  <c r="I82" i="4" s="1"/>
  <c r="F81" i="4"/>
  <c r="H81" i="4" s="1"/>
  <c r="I81" i="4" s="1"/>
  <c r="F80" i="4"/>
  <c r="H80" i="4" s="1"/>
  <c r="I80" i="4" s="1"/>
  <c r="F79" i="4"/>
  <c r="H79" i="4" s="1"/>
  <c r="I79" i="4" s="1"/>
  <c r="F78" i="4"/>
  <c r="H78" i="4" s="1"/>
  <c r="I78" i="4" s="1"/>
  <c r="F77" i="4"/>
  <c r="H77" i="4" s="1"/>
  <c r="H76" i="4"/>
  <c r="I76" i="4" s="1"/>
  <c r="H71" i="4"/>
  <c r="I71" i="4" s="1"/>
  <c r="H65" i="4"/>
  <c r="I65" i="4" s="1"/>
  <c r="H63" i="4"/>
  <c r="I63" i="4" s="1"/>
  <c r="H62" i="4"/>
  <c r="I62" i="4" s="1"/>
  <c r="H61" i="4"/>
  <c r="I61" i="4" s="1"/>
  <c r="F60" i="4"/>
  <c r="H60" i="4" s="1"/>
  <c r="I60" i="4" s="1"/>
  <c r="H59" i="4"/>
  <c r="I59" i="4" s="1"/>
  <c r="F58" i="4"/>
  <c r="H58" i="4" s="1"/>
  <c r="I58" i="4" s="1"/>
  <c r="F57" i="4"/>
  <c r="H57" i="4" s="1"/>
  <c r="I57" i="4" s="1"/>
  <c r="F56" i="4"/>
  <c r="H56" i="4" s="1"/>
  <c r="I56" i="4" s="1"/>
  <c r="F55" i="4"/>
  <c r="H55" i="4" s="1"/>
  <c r="I55" i="4" s="1"/>
  <c r="F54" i="4"/>
  <c r="H54" i="4" s="1"/>
  <c r="I54" i="4" s="1"/>
  <c r="F53" i="4"/>
  <c r="H53" i="4" s="1"/>
  <c r="I53" i="4" s="1"/>
  <c r="F52" i="4"/>
  <c r="H52" i="4" s="1"/>
  <c r="I52" i="4" s="1"/>
  <c r="F51" i="4"/>
  <c r="H51" i="4" s="1"/>
  <c r="I51" i="4" s="1"/>
  <c r="F50" i="4"/>
  <c r="H50" i="4" s="1"/>
  <c r="I50" i="4" s="1"/>
  <c r="F49" i="4"/>
  <c r="H49" i="4" s="1"/>
  <c r="I49" i="4" s="1"/>
  <c r="F48" i="4"/>
  <c r="H48" i="4" s="1"/>
  <c r="I48" i="4" s="1"/>
  <c r="H47" i="4"/>
  <c r="I47" i="4" s="1"/>
  <c r="F47" i="4"/>
  <c r="F46" i="4"/>
  <c r="H46" i="4" s="1"/>
  <c r="I46" i="4" s="1"/>
  <c r="F45" i="4"/>
  <c r="H45" i="4" s="1"/>
  <c r="I45" i="4" s="1"/>
  <c r="H44" i="4"/>
  <c r="I44" i="4" s="1"/>
  <c r="F44" i="4"/>
  <c r="F43" i="4"/>
  <c r="H43" i="4" s="1"/>
  <c r="I43" i="4" s="1"/>
  <c r="F42" i="4"/>
  <c r="H42" i="4" s="1"/>
  <c r="I42" i="4" s="1"/>
  <c r="F41" i="4"/>
  <c r="H41" i="4" s="1"/>
  <c r="I41" i="4" s="1"/>
  <c r="F40" i="4"/>
  <c r="H40" i="4" s="1"/>
  <c r="I40" i="4" s="1"/>
  <c r="F39" i="4"/>
  <c r="H39" i="4" s="1"/>
  <c r="I39" i="4" s="1"/>
  <c r="F38" i="4"/>
  <c r="H38" i="4" s="1"/>
  <c r="I38" i="4" s="1"/>
  <c r="F37" i="4"/>
  <c r="H37" i="4" s="1"/>
  <c r="I37" i="4" s="1"/>
  <c r="F36" i="4"/>
  <c r="H36" i="4" s="1"/>
  <c r="I36" i="4" s="1"/>
  <c r="F35" i="4"/>
  <c r="H35" i="4" s="1"/>
  <c r="I35" i="4" s="1"/>
  <c r="H34" i="4"/>
  <c r="I34" i="4" s="1"/>
  <c r="I33" i="4"/>
  <c r="H33" i="4"/>
  <c r="H27" i="4"/>
  <c r="I27" i="4" s="1"/>
  <c r="H25" i="4"/>
  <c r="I25" i="4" s="1"/>
  <c r="F24" i="4"/>
  <c r="H24" i="4" s="1"/>
  <c r="I24" i="4" s="1"/>
  <c r="F23" i="4"/>
  <c r="H23" i="4" s="1"/>
  <c r="I23" i="4" s="1"/>
  <c r="F22" i="4"/>
  <c r="H22" i="4" s="1"/>
  <c r="I22" i="4" s="1"/>
  <c r="F21" i="4"/>
  <c r="H21" i="4" s="1"/>
  <c r="I21" i="4" s="1"/>
  <c r="H20" i="4"/>
  <c r="I20" i="4" s="1"/>
  <c r="F20" i="4"/>
  <c r="F18" i="4"/>
  <c r="H18" i="4" s="1"/>
  <c r="I18" i="4" s="1"/>
  <c r="F17" i="4"/>
  <c r="H17" i="4" s="1"/>
  <c r="I17" i="4" s="1"/>
  <c r="H16" i="4"/>
  <c r="I16" i="4" s="1"/>
  <c r="F15" i="4"/>
  <c r="H15" i="4" s="1"/>
  <c r="I15" i="4" s="1"/>
  <c r="F14" i="4"/>
  <c r="H14" i="4" s="1"/>
  <c r="I14" i="4" s="1"/>
  <c r="F13" i="4"/>
  <c r="H13" i="4" s="1"/>
  <c r="I13" i="4" s="1"/>
  <c r="H12" i="4"/>
  <c r="I12" i="4" s="1"/>
  <c r="F12" i="4"/>
  <c r="F11" i="4"/>
  <c r="H11" i="4" s="1"/>
  <c r="I11" i="4" s="1"/>
  <c r="F10" i="4"/>
  <c r="H10" i="4" s="1"/>
  <c r="I10" i="4" s="1"/>
  <c r="H9" i="4"/>
  <c r="F9" i="4"/>
  <c r="H248" i="3"/>
  <c r="J248" i="3" s="1"/>
  <c r="H247" i="3"/>
  <c r="J247" i="3" s="1"/>
  <c r="H253" i="3" s="1"/>
  <c r="F246" i="3"/>
  <c r="H246" i="3" s="1"/>
  <c r="I246" i="3" s="1"/>
  <c r="F245" i="3"/>
  <c r="H245" i="3" s="1"/>
  <c r="I245" i="3" s="1"/>
  <c r="F244" i="3"/>
  <c r="H244" i="3" s="1"/>
  <c r="I244" i="3" s="1"/>
  <c r="F243" i="3"/>
  <c r="H243" i="3" s="1"/>
  <c r="I243" i="3" s="1"/>
  <c r="F242" i="3"/>
  <c r="H242" i="3" s="1"/>
  <c r="I242" i="3" s="1"/>
  <c r="H239" i="3"/>
  <c r="I239" i="3" s="1"/>
  <c r="H235" i="3"/>
  <c r="I235" i="3" s="1"/>
  <c r="H234" i="3"/>
  <c r="I234" i="3" s="1"/>
  <c r="H233" i="3"/>
  <c r="I233" i="3" s="1"/>
  <c r="H232" i="3"/>
  <c r="I232" i="3" s="1"/>
  <c r="H231" i="3"/>
  <c r="I231" i="3" s="1"/>
  <c r="H230" i="3"/>
  <c r="I230" i="3" s="1"/>
  <c r="H229" i="3"/>
  <c r="I229" i="3" s="1"/>
  <c r="H226" i="3"/>
  <c r="I226" i="3" s="1"/>
  <c r="H225" i="3"/>
  <c r="I225" i="3" s="1"/>
  <c r="H224" i="3"/>
  <c r="I224" i="3" s="1"/>
  <c r="H223" i="3"/>
  <c r="I223" i="3" s="1"/>
  <c r="H222" i="3"/>
  <c r="I222" i="3" s="1"/>
  <c r="H221" i="3"/>
  <c r="I221" i="3" s="1"/>
  <c r="H220" i="3"/>
  <c r="I220" i="3" s="1"/>
  <c r="H219" i="3"/>
  <c r="I219" i="3" s="1"/>
  <c r="H218" i="3"/>
  <c r="I218" i="3" s="1"/>
  <c r="H217" i="3"/>
  <c r="I217" i="3" s="1"/>
  <c r="H216" i="3"/>
  <c r="I216" i="3" s="1"/>
  <c r="H215" i="3"/>
  <c r="I215" i="3" s="1"/>
  <c r="H214" i="3"/>
  <c r="I214" i="3" s="1"/>
  <c r="H213" i="3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I205" i="3" s="1"/>
  <c r="H204" i="3"/>
  <c r="I204" i="3" s="1"/>
  <c r="H203" i="3"/>
  <c r="I203" i="3" s="1"/>
  <c r="H202" i="3"/>
  <c r="I202" i="3" s="1"/>
  <c r="H201" i="3"/>
  <c r="I201" i="3" s="1"/>
  <c r="H200" i="3"/>
  <c r="I200" i="3" s="1"/>
  <c r="H199" i="3"/>
  <c r="I199" i="3" s="1"/>
  <c r="H198" i="3"/>
  <c r="I198" i="3" s="1"/>
  <c r="H197" i="3"/>
  <c r="I197" i="3" s="1"/>
  <c r="H196" i="3"/>
  <c r="I196" i="3" s="1"/>
  <c r="H195" i="3"/>
  <c r="I195" i="3" s="1"/>
  <c r="H194" i="3"/>
  <c r="I194" i="3" s="1"/>
  <c r="H193" i="3"/>
  <c r="I193" i="3" s="1"/>
  <c r="H192" i="3"/>
  <c r="I192" i="3" s="1"/>
  <c r="H191" i="3"/>
  <c r="I191" i="3" s="1"/>
  <c r="H190" i="3"/>
  <c r="I190" i="3" s="1"/>
  <c r="H189" i="3"/>
  <c r="I189" i="3" s="1"/>
  <c r="H188" i="3"/>
  <c r="I188" i="3" s="1"/>
  <c r="H187" i="3"/>
  <c r="I187" i="3" s="1"/>
  <c r="H186" i="3"/>
  <c r="I186" i="3" s="1"/>
  <c r="H185" i="3"/>
  <c r="I185" i="3" s="1"/>
  <c r="H184" i="3"/>
  <c r="I184" i="3" s="1"/>
  <c r="H183" i="3"/>
  <c r="I183" i="3" s="1"/>
  <c r="H182" i="3"/>
  <c r="I182" i="3" s="1"/>
  <c r="H181" i="3"/>
  <c r="I181" i="3" s="1"/>
  <c r="H180" i="3"/>
  <c r="I180" i="3" s="1"/>
  <c r="H179" i="3"/>
  <c r="I179" i="3" s="1"/>
  <c r="H178" i="3"/>
  <c r="I178" i="3" s="1"/>
  <c r="H177" i="3"/>
  <c r="I177" i="3" s="1"/>
  <c r="H176" i="3"/>
  <c r="I176" i="3" s="1"/>
  <c r="H175" i="3"/>
  <c r="I175" i="3" s="1"/>
  <c r="H173" i="3"/>
  <c r="I173" i="3" s="1"/>
  <c r="H172" i="3"/>
  <c r="I172" i="3" s="1"/>
  <c r="H171" i="3"/>
  <c r="I171" i="3" s="1"/>
  <c r="H170" i="3"/>
  <c r="I170" i="3" s="1"/>
  <c r="H169" i="3"/>
  <c r="I169" i="3" s="1"/>
  <c r="H168" i="3"/>
  <c r="I168" i="3" s="1"/>
  <c r="H167" i="3"/>
  <c r="I167" i="3" s="1"/>
  <c r="H166" i="3"/>
  <c r="H165" i="3"/>
  <c r="I165" i="3" s="1"/>
  <c r="H164" i="3"/>
  <c r="I164" i="3" s="1"/>
  <c r="H162" i="3"/>
  <c r="I162" i="3" s="1"/>
  <c r="F156" i="3"/>
  <c r="F157" i="3" s="1"/>
  <c r="H157" i="3" s="1"/>
  <c r="I157" i="3" s="1"/>
  <c r="F154" i="3"/>
  <c r="H154" i="3" s="1"/>
  <c r="I154" i="3" s="1"/>
  <c r="H153" i="3"/>
  <c r="I153" i="3" s="1"/>
  <c r="F150" i="3"/>
  <c r="H150" i="3" s="1"/>
  <c r="I150" i="3" s="1"/>
  <c r="F149" i="3"/>
  <c r="H149" i="3" s="1"/>
  <c r="I149" i="3" s="1"/>
  <c r="F148" i="3"/>
  <c r="H148" i="3" s="1"/>
  <c r="I148" i="3" s="1"/>
  <c r="F147" i="3"/>
  <c r="H147" i="3" s="1"/>
  <c r="I147" i="3" s="1"/>
  <c r="F146" i="3"/>
  <c r="H146" i="3" s="1"/>
  <c r="I146" i="3" s="1"/>
  <c r="F144" i="3"/>
  <c r="H144" i="3" s="1"/>
  <c r="I144" i="3" s="1"/>
  <c r="I143" i="3"/>
  <c r="H143" i="3"/>
  <c r="F142" i="3"/>
  <c r="H142" i="3" s="1"/>
  <c r="I142" i="3" s="1"/>
  <c r="F141" i="3"/>
  <c r="H141" i="3" s="1"/>
  <c r="I141" i="3" s="1"/>
  <c r="F140" i="3"/>
  <c r="H140" i="3" s="1"/>
  <c r="I140" i="3" s="1"/>
  <c r="H139" i="3"/>
  <c r="I139" i="3" s="1"/>
  <c r="F139" i="3"/>
  <c r="F137" i="3"/>
  <c r="F138" i="3" s="1"/>
  <c r="F136" i="3"/>
  <c r="H136" i="3" s="1"/>
  <c r="I136" i="3" s="1"/>
  <c r="F135" i="3"/>
  <c r="H135" i="3" s="1"/>
  <c r="I135" i="3" s="1"/>
  <c r="F134" i="3"/>
  <c r="F153" i="3" s="1"/>
  <c r="H131" i="3"/>
  <c r="I131" i="3" s="1"/>
  <c r="F129" i="3"/>
  <c r="H129" i="3" s="1"/>
  <c r="I129" i="3" s="1"/>
  <c r="F127" i="3"/>
  <c r="H127" i="3" s="1"/>
  <c r="I127" i="3" s="1"/>
  <c r="F126" i="3"/>
  <c r="H126" i="3" s="1"/>
  <c r="I126" i="3" s="1"/>
  <c r="I125" i="3"/>
  <c r="H125" i="3"/>
  <c r="H124" i="3"/>
  <c r="I124" i="3" s="1"/>
  <c r="H123" i="3"/>
  <c r="I123" i="3" s="1"/>
  <c r="H121" i="3"/>
  <c r="I121" i="3" s="1"/>
  <c r="F119" i="3"/>
  <c r="H119" i="3" s="1"/>
  <c r="I119" i="3" s="1"/>
  <c r="F118" i="3"/>
  <c r="H118" i="3" s="1"/>
  <c r="I118" i="3" s="1"/>
  <c r="F117" i="3"/>
  <c r="H117" i="3" s="1"/>
  <c r="I117" i="3" s="1"/>
  <c r="F116" i="3"/>
  <c r="H114" i="3"/>
  <c r="I114" i="3" s="1"/>
  <c r="F109" i="3"/>
  <c r="H109" i="3" s="1"/>
  <c r="I109" i="3" s="1"/>
  <c r="F107" i="3"/>
  <c r="H107" i="3" s="1"/>
  <c r="I107" i="3" s="1"/>
  <c r="F100" i="3"/>
  <c r="F101" i="3" s="1"/>
  <c r="H101" i="3" s="1"/>
  <c r="I101" i="3" s="1"/>
  <c r="F92" i="3"/>
  <c r="H92" i="3" s="1"/>
  <c r="I92" i="3" s="1"/>
  <c r="F91" i="3"/>
  <c r="H91" i="3" s="1"/>
  <c r="I91" i="3" s="1"/>
  <c r="H89" i="3"/>
  <c r="I89" i="3" s="1"/>
  <c r="F89" i="3"/>
  <c r="F88" i="3"/>
  <c r="H88" i="3" s="1"/>
  <c r="I88" i="3" s="1"/>
  <c r="F87" i="3"/>
  <c r="H87" i="3" s="1"/>
  <c r="I87" i="3" s="1"/>
  <c r="F86" i="3"/>
  <c r="H86" i="3" s="1"/>
  <c r="I86" i="3" s="1"/>
  <c r="F83" i="3"/>
  <c r="H83" i="3" s="1"/>
  <c r="I83" i="3" s="1"/>
  <c r="F82" i="3"/>
  <c r="H82" i="3" s="1"/>
  <c r="I82" i="3" s="1"/>
  <c r="F81" i="3"/>
  <c r="H81" i="3" s="1"/>
  <c r="I81" i="3" s="1"/>
  <c r="I80" i="3"/>
  <c r="F80" i="3"/>
  <c r="H80" i="3" s="1"/>
  <c r="H78" i="3"/>
  <c r="I78" i="3" s="1"/>
  <c r="H77" i="3"/>
  <c r="I77" i="3" s="1"/>
  <c r="H68" i="3"/>
  <c r="I68" i="3" s="1"/>
  <c r="F68" i="3"/>
  <c r="F64" i="3"/>
  <c r="L61" i="3"/>
  <c r="F61" i="3"/>
  <c r="H61" i="3" s="1"/>
  <c r="I61" i="3" s="1"/>
  <c r="F60" i="3"/>
  <c r="H60" i="3" s="1"/>
  <c r="I60" i="3" s="1"/>
  <c r="F57" i="3"/>
  <c r="H57" i="3" s="1"/>
  <c r="I57" i="3" s="1"/>
  <c r="F56" i="3"/>
  <c r="F59" i="3" s="1"/>
  <c r="H59" i="3" s="1"/>
  <c r="I59" i="3" s="1"/>
  <c r="F54" i="3"/>
  <c r="F52" i="3"/>
  <c r="H52" i="3" s="1"/>
  <c r="I52" i="3" s="1"/>
  <c r="I51" i="3"/>
  <c r="H51" i="3"/>
  <c r="F51" i="3"/>
  <c r="H49" i="3"/>
  <c r="I49" i="3" s="1"/>
  <c r="F47" i="3"/>
  <c r="F45" i="3"/>
  <c r="F46" i="3" s="1"/>
  <c r="H46" i="3" s="1"/>
  <c r="I46" i="3" s="1"/>
  <c r="F40" i="3"/>
  <c r="H40" i="3" s="1"/>
  <c r="I40" i="3" s="1"/>
  <c r="F39" i="3"/>
  <c r="H39" i="3" s="1"/>
  <c r="I39" i="3" s="1"/>
  <c r="F38" i="3"/>
  <c r="H38" i="3" s="1"/>
  <c r="I38" i="3" s="1"/>
  <c r="F37" i="3"/>
  <c r="F36" i="3"/>
  <c r="H36" i="3" s="1"/>
  <c r="I36" i="3" s="1"/>
  <c r="H35" i="3"/>
  <c r="I35" i="3" s="1"/>
  <c r="H34" i="3"/>
  <c r="I34" i="3" s="1"/>
  <c r="F34" i="3"/>
  <c r="F33" i="3"/>
  <c r="H33" i="3" s="1"/>
  <c r="I33" i="3" s="1"/>
  <c r="F30" i="3"/>
  <c r="F29" i="3"/>
  <c r="H29" i="3" s="1"/>
  <c r="I29" i="3" s="1"/>
  <c r="F26" i="3"/>
  <c r="H26" i="3" s="1"/>
  <c r="I26" i="3" s="1"/>
  <c r="I25" i="3"/>
  <c r="H25" i="3"/>
  <c r="I23" i="3"/>
  <c r="H23" i="3"/>
  <c r="I22" i="3"/>
  <c r="H22" i="3"/>
  <c r="H21" i="3"/>
  <c r="I21" i="3" s="1"/>
  <c r="H20" i="3"/>
  <c r="I20" i="3" s="1"/>
  <c r="F17" i="3"/>
  <c r="H17" i="3" s="1"/>
  <c r="I17" i="3" s="1"/>
  <c r="H16" i="3"/>
  <c r="I16" i="3" s="1"/>
  <c r="F14" i="3"/>
  <c r="H14" i="3" s="1"/>
  <c r="I14" i="3" s="1"/>
  <c r="F13" i="3"/>
  <c r="H13" i="3" s="1"/>
  <c r="I13" i="3" s="1"/>
  <c r="F12" i="3"/>
  <c r="H12" i="3" s="1"/>
  <c r="I12" i="3" s="1"/>
  <c r="F11" i="3"/>
  <c r="H11" i="3" s="1"/>
  <c r="I11" i="3" s="1"/>
  <c r="H10" i="3"/>
  <c r="I10" i="3" s="1"/>
  <c r="H9" i="3"/>
  <c r="I9" i="3" s="1"/>
  <c r="H8" i="3"/>
  <c r="E21" i="2"/>
  <c r="H18" i="2"/>
  <c r="H21" i="2" s="1"/>
  <c r="H14" i="2"/>
  <c r="H12" i="2"/>
  <c r="H10" i="2"/>
  <c r="I86" i="1"/>
  <c r="I85" i="1"/>
  <c r="H79" i="1"/>
  <c r="I79" i="1" s="1"/>
  <c r="F71" i="1"/>
  <c r="H71" i="1" s="1"/>
  <c r="I71" i="1" s="1"/>
  <c r="H70" i="1"/>
  <c r="I70" i="1" s="1"/>
  <c r="H69" i="1"/>
  <c r="I69" i="1" s="1"/>
  <c r="F64" i="1"/>
  <c r="F65" i="1" s="1"/>
  <c r="H65" i="1" s="1"/>
  <c r="I65" i="1" s="1"/>
  <c r="H62" i="1"/>
  <c r="I62" i="1" s="1"/>
  <c r="H57" i="1"/>
  <c r="I57" i="1" s="1"/>
  <c r="F52" i="1"/>
  <c r="H52" i="1" s="1"/>
  <c r="I52" i="1" s="1"/>
  <c r="F50" i="1"/>
  <c r="H49" i="1"/>
  <c r="I49" i="1" s="1"/>
  <c r="H45" i="1"/>
  <c r="I45" i="1" s="1"/>
  <c r="F43" i="1"/>
  <c r="H43" i="1" s="1"/>
  <c r="I43" i="1" s="1"/>
  <c r="F41" i="1"/>
  <c r="F46" i="1" s="1"/>
  <c r="H46" i="1" s="1"/>
  <c r="I46" i="1" s="1"/>
  <c r="F33" i="1"/>
  <c r="H33" i="1" s="1"/>
  <c r="I33" i="1" s="1"/>
  <c r="F28" i="1"/>
  <c r="F32" i="1" s="1"/>
  <c r="I77" i="4" l="1"/>
  <c r="G103" i="4"/>
  <c r="G29" i="4"/>
  <c r="I107" i="4"/>
  <c r="G66" i="4"/>
  <c r="G72" i="4" s="1"/>
  <c r="I9" i="4"/>
  <c r="F124" i="4"/>
  <c r="H124" i="4" s="1"/>
  <c r="I124" i="4" s="1"/>
  <c r="F158" i="3"/>
  <c r="H158" i="3" s="1"/>
  <c r="I158" i="3" s="1"/>
  <c r="H138" i="3"/>
  <c r="I138" i="3" s="1"/>
  <c r="H45" i="3"/>
  <c r="I45" i="3" s="1"/>
  <c r="H137" i="3"/>
  <c r="I137" i="3" s="1"/>
  <c r="F48" i="3"/>
  <c r="H48" i="3" s="1"/>
  <c r="I48" i="3" s="1"/>
  <c r="H47" i="3"/>
  <c r="I47" i="3" s="1"/>
  <c r="H237" i="3"/>
  <c r="I8" i="3"/>
  <c r="I166" i="3"/>
  <c r="F66" i="3"/>
  <c r="H66" i="3" s="1"/>
  <c r="I66" i="3" s="1"/>
  <c r="F65" i="3"/>
  <c r="H64" i="3"/>
  <c r="I64" i="3" s="1"/>
  <c r="F97" i="3"/>
  <c r="H97" i="3" s="1"/>
  <c r="I97" i="3" s="1"/>
  <c r="H54" i="3"/>
  <c r="I54" i="3" s="1"/>
  <c r="F32" i="3"/>
  <c r="H32" i="3" s="1"/>
  <c r="I32" i="3" s="1"/>
  <c r="F55" i="3"/>
  <c r="H55" i="3" s="1"/>
  <c r="I55" i="3" s="1"/>
  <c r="F69" i="3"/>
  <c r="H69" i="3" s="1"/>
  <c r="I69" i="3" s="1"/>
  <c r="H156" i="3"/>
  <c r="I156" i="3" s="1"/>
  <c r="H30" i="3"/>
  <c r="I30" i="3" s="1"/>
  <c r="H100" i="3"/>
  <c r="I100" i="3" s="1"/>
  <c r="H56" i="3"/>
  <c r="I56" i="3" s="1"/>
  <c r="F58" i="3"/>
  <c r="H58" i="3" s="1"/>
  <c r="I58" i="3" s="1"/>
  <c r="F71" i="3"/>
  <c r="H71" i="3" s="1"/>
  <c r="I71" i="3" s="1"/>
  <c r="F73" i="3"/>
  <c r="F42" i="3"/>
  <c r="H37" i="3"/>
  <c r="I37" i="3" s="1"/>
  <c r="F98" i="3"/>
  <c r="F110" i="3"/>
  <c r="H110" i="3" s="1"/>
  <c r="I110" i="3" s="1"/>
  <c r="H134" i="3"/>
  <c r="I134" i="3" s="1"/>
  <c r="H32" i="1"/>
  <c r="I32" i="1" s="1"/>
  <c r="H64" i="1"/>
  <c r="I64" i="1" s="1"/>
  <c r="F74" i="1"/>
  <c r="H74" i="1" s="1"/>
  <c r="I74" i="1" s="1"/>
  <c r="F29" i="1"/>
  <c r="H29" i="1" s="1"/>
  <c r="I29" i="1" s="1"/>
  <c r="F53" i="1"/>
  <c r="H53" i="1" s="1"/>
  <c r="I53" i="1" s="1"/>
  <c r="H41" i="1"/>
  <c r="I41" i="1" s="1"/>
  <c r="H28" i="1"/>
  <c r="F30" i="1"/>
  <c r="H30" i="1" s="1"/>
  <c r="I30" i="1" s="1"/>
  <c r="G134" i="4" l="1"/>
  <c r="G139" i="4" s="1"/>
  <c r="H65" i="3"/>
  <c r="I65" i="3" s="1"/>
  <c r="F94" i="3"/>
  <c r="H98" i="3"/>
  <c r="I98" i="3" s="1"/>
  <c r="F104" i="3"/>
  <c r="F43" i="3"/>
  <c r="H43" i="3" s="1"/>
  <c r="I43" i="3" s="1"/>
  <c r="H42" i="3"/>
  <c r="I42" i="3" s="1"/>
  <c r="H73" i="3"/>
  <c r="I73" i="3" s="1"/>
  <c r="F74" i="3"/>
  <c r="H74" i="3" s="1"/>
  <c r="I74" i="3" s="1"/>
  <c r="F35" i="1"/>
  <c r="F37" i="1" s="1"/>
  <c r="H37" i="1" s="1"/>
  <c r="F36" i="1"/>
  <c r="H36" i="1" s="1"/>
  <c r="I36" i="1" s="1"/>
  <c r="H35" i="1"/>
  <c r="I35" i="1" s="1"/>
  <c r="I28" i="1"/>
  <c r="F95" i="3" l="1"/>
  <c r="H95" i="3" s="1"/>
  <c r="I95" i="3" s="1"/>
  <c r="H94" i="3"/>
  <c r="I94" i="3" s="1"/>
  <c r="H252" i="3" s="1"/>
  <c r="H251" i="3"/>
  <c r="H104" i="3"/>
  <c r="I104" i="3" s="1"/>
  <c r="F103" i="3"/>
  <c r="H103" i="3" s="1"/>
  <c r="I103" i="3" s="1"/>
  <c r="I37" i="1"/>
  <c r="G88" i="1"/>
  <c r="G90" i="1"/>
  <c r="H25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<sst xmlns="http://schemas.openxmlformats.org/spreadsheetml/2006/main" count="1336" uniqueCount="448">
  <si>
    <t>p.č.</t>
  </si>
  <si>
    <t>Zařazení</t>
  </si>
  <si>
    <t>Kód položky</t>
  </si>
  <si>
    <t>Název</t>
  </si>
  <si>
    <t>MJ</t>
  </si>
  <si>
    <t>Množství</t>
  </si>
  <si>
    <t>Jednotková cena - základ DPH</t>
  </si>
  <si>
    <t>Cena celkem</t>
  </si>
  <si>
    <t>Hodnota DPH 21%</t>
  </si>
  <si>
    <t>Hodnota DPH 12%</t>
  </si>
  <si>
    <t>poznámky</t>
  </si>
  <si>
    <t>D. VÝKAZ VÝMĚR - POLOŽKOVÝ SOUPIS PRACÍ A DODÁVEK</t>
  </si>
  <si>
    <t>Stavba:</t>
  </si>
  <si>
    <t xml:space="preserve">REVITALIZACE ULIČNÍ ZELENĚ – HLAVÁČOVA </t>
  </si>
  <si>
    <t>k.ú.:</t>
  </si>
  <si>
    <t>Brno - Maloměřice a Obřany</t>
  </si>
  <si>
    <t>09/2024, Ing. Jitka Zejbrdlichová</t>
  </si>
  <si>
    <t>ZPEVNĚNÉ PLOCHY, SADOVÉ ÚPRAVY, MOBILIÁŘ</t>
  </si>
  <si>
    <t>P.č.</t>
  </si>
  <si>
    <t>Cena celkem bez DPH</t>
  </si>
  <si>
    <t>Poznámka</t>
  </si>
  <si>
    <t>Poznámka - nenaceňovat</t>
  </si>
  <si>
    <t xml:space="preserve">Pro rozpočet byla použita Cenová soustava ÚRS - K07 - krajinářské, terénní a zemní práce. </t>
  </si>
  <si>
    <t>POKUD NENÍ UVEDENO JINAK, VÝMĚRY JSOU ODMĚŘENY KRESLÍCÍM PROGRAMEM Z VÝKRESOVÉ DOKUMENTACE</t>
  </si>
  <si>
    <t xml:space="preserve">Položky "nezatříděno" vytvořeny individuální kalkulací dle kvalifikovaného odhadu  s individuálními vstupy materiálů a výkonů. </t>
  </si>
  <si>
    <t>Platí pro celou stavbu:</t>
  </si>
  <si>
    <t>a.) veškeré položky na přípomoce, dopravu, montáž, zpevněné montážní plochy, atd… zahrnout do jednotlivých jednotkových cen</t>
  </si>
  <si>
    <t xml:space="preserve">b.) součástí prací jsou veškeré zkoušky, potřebná měření, inspekce, uvedení zařízení do provozu, zaškolení obsluhy, provozní řády, manuály a revize v čj. </t>
  </si>
  <si>
    <t>c.) v rozsahu prací zhotovitele jsou rovněž jakékoliv prvky, zařízení, práce a pomocné materiálu, neuvedené v tomto soupisu výkonů, které jsou ale nezbytně nutné k dodání, instalaci, dokončení a provozování díla, včetně ztratného a prořezů aj.</t>
  </si>
  <si>
    <t>d.) součástí dodávky jsou i náklady na případná potřebná opatření související s ochranou stávajících sítí, kominukací či staveb</t>
  </si>
  <si>
    <t>e.) součástí dodávky je případně i kompletní dokladová část díla nutná k získání kolaudačního souhlasu stavby</t>
  </si>
  <si>
    <t xml:space="preserve">f.) součástí jednotkových cen jsou i vícenáklady povisející s výstavbou v zimním období, průběžný úklid staveniště a přilehlých komunikací, likvidací odpadů, dočasná dopravní omezení atd. </t>
  </si>
  <si>
    <t>h.) pokud se v dokumentaci vyskytují obchodní názvy, jedná se pouze o vymezení minimálních požadovaných standardů výrobku, technologie či materiálu a zadavatelpřipouští použití i jiného, kvalitativně či technologicky obdobného řešení</t>
  </si>
  <si>
    <t>Nedílnou součástí výkazu výměr (slepého rozpočtu) je projektová dokumentace!</t>
  </si>
  <si>
    <t>Zpracovitel nabídky je povinen prověřit specifikace a výměry uvedené ve výkazu výměr.</t>
  </si>
  <si>
    <t>V případě zjištěných rozdílů má na tyto rozdíly upozornit ve lhůtě pro podání nabídek prostřednictvím žádosti o dodatečné informace k zadávacím podmínkám. Následné změny výměry v průběhu realizace nebudou akceptovány.</t>
  </si>
  <si>
    <t>Puruplastové desky - cesty</t>
  </si>
  <si>
    <t>HSV</t>
  </si>
  <si>
    <t>nezatříděno</t>
  </si>
  <si>
    <t>Puruplast E50 (černá barva 101 E50 S) - započítáno 25% navýšení plochy na prořezy šikmých cest vč. dopravy</t>
  </si>
  <si>
    <r>
      <t>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</si>
  <si>
    <r>
      <t xml:space="preserve">Uložení Puruplastových desek </t>
    </r>
    <r>
      <rPr>
        <i/>
        <sz val="7"/>
        <rFont val="Aptos Narrow"/>
        <family val="2"/>
        <charset val="238"/>
        <scheme val="minor"/>
      </rPr>
      <t>- kvalifikovaný odhad</t>
    </r>
  </si>
  <si>
    <r>
      <t>kamenivo drcené hrubé frakce 16/32 -</t>
    </r>
    <r>
      <rPr>
        <i/>
        <sz val="7"/>
        <rFont val="Aptos Narrow"/>
        <family val="2"/>
        <charset val="238"/>
        <scheme val="minor"/>
      </rPr>
      <t xml:space="preserve">(podsyp puruplastových desek - 130mm) </t>
    </r>
  </si>
  <si>
    <t>t</t>
  </si>
  <si>
    <t>Desky budou uloženy na štěrkovou plochu tak, aby vznikl šikmý průchod trvalkovými záhony o šířce 666 mm. Štěrk bude položen na stávající substrát a uhutněn .</t>
  </si>
  <si>
    <t xml:space="preserve">	58343810</t>
  </si>
  <si>
    <r>
      <t>kamenivo drcené hrubé frakce 4/8 -</t>
    </r>
    <r>
      <rPr>
        <i/>
        <sz val="7"/>
        <color theme="1"/>
        <rFont val="Aptos Narrow"/>
        <family val="2"/>
        <charset val="238"/>
        <scheme val="minor"/>
      </rPr>
      <t xml:space="preserve"> vyrovnávací vrstva 20mm pro uložení puruplastových desek</t>
    </r>
  </si>
  <si>
    <r>
      <t>kamenivo drcené hrubé frakce 8/32 (</t>
    </r>
    <r>
      <rPr>
        <i/>
        <sz val="7"/>
        <color theme="1"/>
        <rFont val="Aptos Narrow"/>
        <family val="2"/>
        <charset val="238"/>
        <scheme val="minor"/>
      </rPr>
      <t>na vysypání puruplastových desek - frakce 16/32 s přimíchanou jemnější složkou pro lepší vyplnění mezer desek)</t>
    </r>
  </si>
  <si>
    <t>Doprava:</t>
  </si>
  <si>
    <t>Vodorovná doprava suti bez naložení, ale se složením a s hrubým urovnáním ze sypkých materiálů, na vzdálenost do 1 km</t>
  </si>
  <si>
    <r>
      <t xml:space="preserve">Příplatek ZKD 1 km u vodorovné dopravy suti ze sypkých materiálů </t>
    </r>
    <r>
      <rPr>
        <i/>
        <sz val="7"/>
        <rFont val="Aptos Narrow"/>
        <family val="2"/>
        <charset val="238"/>
        <scheme val="minor"/>
      </rPr>
      <t>(doprava celkem cca 11km - zohledněno v celkových tunách)</t>
    </r>
  </si>
  <si>
    <t>Vodorovná doprava suti ze sypkých materiálů stavebním kolečkem do 50 m</t>
  </si>
  <si>
    <t>Štěrková pochozí plocha "drenážní mlat"</t>
  </si>
  <si>
    <r>
      <t xml:space="preserve">Pochozí prostor v ploše č.7. </t>
    </r>
    <r>
      <rPr>
        <sz val="7"/>
        <color theme="1"/>
        <rFont val="Aptos Narrow"/>
        <family val="2"/>
        <charset val="238"/>
        <scheme val="minor"/>
      </rPr>
      <t xml:space="preserve">Jedná se o prostor nad kořenovým systémem stávajícího stromu, jehož kořeny budou odhaleny supersonickým rýčem Airpade a obsypány novou směsí strukturálního substrátu, který bude citlivě hutněn  s přihlédnutím k nejlepší možné variantě po odhalení kořenů. </t>
    </r>
    <r>
      <rPr>
        <u/>
        <sz val="7"/>
        <color theme="1"/>
        <rFont val="Aptos Narrow"/>
        <family val="2"/>
        <charset val="238"/>
        <scheme val="minor"/>
      </rPr>
      <t>Cílem je, aby došlo následně k co nejmenšímu sesedání, ale k maximální ochraně kořenů.</t>
    </r>
    <r>
      <rPr>
        <sz val="7"/>
        <color theme="1"/>
        <rFont val="Aptos Narrow"/>
        <family val="2"/>
        <charset val="238"/>
        <scheme val="minor"/>
      </rPr>
      <t xml:space="preserve"> (viz. položky sadových úprav). Nad tímto substrátem bude vytvořena štěrková vrstvená pochozí plocha z níže uvedených vrstev kameniva. Při zakládání je nutné vlhčení vodou a citlivé hutnění s ohledem na kořenový systém stromu. </t>
    </r>
    <r>
      <rPr>
        <b/>
        <sz val="7"/>
        <color theme="1"/>
        <rFont val="Aptos Narrow"/>
        <family val="2"/>
        <charset val="238"/>
        <scheme val="minor"/>
      </rPr>
      <t>Výška finálního terénu bude přizpůsobena po odhalení kořenů. Bude jen o malinko vyšší než původní terén - maximální navýšení o 50mm.</t>
    </r>
  </si>
  <si>
    <t>Podklad ze štěrkodrti s rozprostřením a zhutněním plochy jednotlivě do 100 m2, po zhutnění tl. 100 mm</t>
  </si>
  <si>
    <r>
      <rPr>
        <b/>
        <i/>
        <sz val="7"/>
        <rFont val="Aptos Narrow"/>
        <family val="2"/>
        <charset val="238"/>
        <scheme val="minor"/>
      </rPr>
      <t>*SPODNÍ VRSTVA -</t>
    </r>
    <r>
      <rPr>
        <i/>
        <sz val="7"/>
        <rFont val="Aptos Narrow"/>
        <family val="2"/>
        <charset val="238"/>
        <scheme val="minor"/>
      </rPr>
      <t xml:space="preserve"> Použito drcené kamenivo ve složení  </t>
    </r>
    <r>
      <rPr>
        <b/>
        <i/>
        <sz val="7"/>
        <rFont val="Aptos Narrow"/>
        <family val="2"/>
        <charset val="238"/>
        <scheme val="minor"/>
      </rPr>
      <t>50% frakce 2/8 + 50%frakce  8/16 mm,</t>
    </r>
    <r>
      <rPr>
        <i/>
        <sz val="7"/>
        <rFont val="Aptos Narrow"/>
        <family val="2"/>
        <charset val="238"/>
        <scheme val="minor"/>
      </rPr>
      <t xml:space="preserve"> zhutněná (jemně zavibrovaná či válcem) s ohledem na kořeny smrku, dle možností po odhalení kořenů,  tl. 80 mm. Spotřeba cca 1,9 t pro danou plochu. Vlhčené.</t>
    </r>
  </si>
  <si>
    <t>Podklad ze štěrkodrti ŠD s rozprostřením a zhutněním plochy jednotlivě do 100 m2, po zhutnění tl. 50 mm (cena vč. materiálu)*</t>
  </si>
  <si>
    <r>
      <rPr>
        <b/>
        <i/>
        <sz val="7"/>
        <rFont val="Aptos Narrow"/>
        <family val="2"/>
        <charset val="238"/>
        <scheme val="minor"/>
      </rPr>
      <t>*HORNÍ VRSTVA</t>
    </r>
    <r>
      <rPr>
        <i/>
        <sz val="7"/>
        <rFont val="Aptos Narrow"/>
        <family val="2"/>
        <charset val="238"/>
        <scheme val="minor"/>
      </rPr>
      <t xml:space="preserve"> - Homogenně promíchané </t>
    </r>
    <r>
      <rPr>
        <b/>
        <i/>
        <sz val="7"/>
        <rFont val="Aptos Narrow"/>
        <family val="2"/>
        <charset val="238"/>
        <scheme val="minor"/>
      </rPr>
      <t xml:space="preserve"> fr. 0/8 mm (50%) + fr. 2/8 mm - barva béžová/písková, tl. 50 mm</t>
    </r>
    <r>
      <rPr>
        <i/>
        <sz val="7"/>
        <rFont val="Aptos Narrow"/>
        <family val="2"/>
        <charset val="238"/>
        <scheme val="minor"/>
      </rPr>
      <t>, jemně hutněná válcem. Potřeba cca 1,2 t pro danou plochu. Vlhčené.</t>
    </r>
  </si>
  <si>
    <t>Přesun materiálu - Vodorovná doprava suti ze sypkých materiálů stavebním kolečkem do 50 m</t>
  </si>
  <si>
    <t>Míchání štěrkodrti ručně *</t>
  </si>
  <si>
    <r>
      <t>m</t>
    </r>
    <r>
      <rPr>
        <vertAlign val="superscript"/>
        <sz val="7"/>
        <color theme="1"/>
        <rFont val="Aptos Narrow"/>
        <family val="2"/>
        <charset val="238"/>
        <scheme val="minor"/>
      </rPr>
      <t>3</t>
    </r>
  </si>
  <si>
    <t>*ŠD je nutné při promíchávání a před pokládkou rovnoměrně navlhčit a promíchat. Hmota musí být homogenní. Odhalené kořeny stromu je nutné udržovat vlhké  a chránit.</t>
  </si>
  <si>
    <t>Štěrkové napojení cesty k bráně v ploše č. 12:</t>
  </si>
  <si>
    <t xml:space="preserve">	564841012</t>
  </si>
  <si>
    <t>Podklad ze štěrkodrti ŠD s rozprostřením a zhutněním plochy jednotlivě do 100 m2, po zhutnění tl. 130 mm (cena vč. materiálu)*</t>
  </si>
  <si>
    <t xml:space="preserve">Odkopávky a prokopávky v hornině třídy těžitelnosti I, skupiny 3 ručně </t>
  </si>
  <si>
    <t xml:space="preserve">	997221551</t>
  </si>
  <si>
    <t>Bourání konstrukcí - obrubníky</t>
  </si>
  <si>
    <t>Odstranění stávající betonové zídky navazující na plochu č. 7 v předprostoru školy. Celková délka zídky cca 6 m, výška cca 300 mm, vyhloubení pro štěrkový podsyp cca 150 mm. Objem betonových profilů nad povrchem cca 0,36 m3, pod povrchem cca 0,2 m3. V místě bude místo zdiva usazen dubový kvádr ve štěrkovém loži - viz mobiliář (bude sloužit zároveň jako posezení).</t>
  </si>
  <si>
    <t xml:space="preserve">Bourání zdiva - Odstranění stávající betonové zídky navazující na plochu č. 7 v předprostoru školy. </t>
  </si>
  <si>
    <t>OBRUBA PLOCHY č. 6</t>
  </si>
  <si>
    <t>Oprava betonového obrubníku okolo plochy č. 6 a jeho ponížení do úrovní terénu. Obrubník je velmi zarostlý vegetací a částečně překrytý zeminou, ale viditelné části jsou v dezolátním stavu. Po vyčištění plochy a jeho odkrytí bude upřesněno nejvhodnější řešení. Je ale nutné obrubník ponížit na úroveň cest. Pokuc bude betonový základ držící přilehlé cesty v pořádku, lze jen odstranit zbytky obrub nad terénem a ponechat betonový základ držící cestu. Pokud nebude obruba po odhalení funkční, bude třeba usadit nový obrubník do úrovni terénu. Úzký rovný betonový obrubník, variantně ocelovou pásovinu (dle konkrétní situace a stavu základu). Cílem je vyhnout se pracím v chodníku a rozebírání zámkové dlažby.</t>
  </si>
  <si>
    <t xml:space="preserve">	916131112</t>
  </si>
  <si>
    <t>Osazení silničního obrubníku betonového ležatého bez boční opěry do lože z betonu prostého</t>
  </si>
  <si>
    <t>m</t>
  </si>
  <si>
    <t>Doprava - odvoz odpadu na skládku: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</si>
  <si>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</si>
  <si>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VRN</t>
  </si>
  <si>
    <r>
      <t>uložení na skládce -</t>
    </r>
    <r>
      <rPr>
        <i/>
        <sz val="7"/>
        <rFont val="Aptos Narrow"/>
        <family val="2"/>
        <charset val="238"/>
        <scheme val="minor"/>
      </rPr>
      <t xml:space="preserve"> kvalifikovaný odhad</t>
    </r>
  </si>
  <si>
    <t>Mobilinář</t>
  </si>
  <si>
    <t>LAVIČKA MASIVNÍ DŘEVĚNÁ - KVÁDR</t>
  </si>
  <si>
    <t xml:space="preserve">2x Dubový sedák z jediného kusu masivního dřeva - rozměry 4500x400x430 mm (může být složen ze 2 různě dlouhých ks aby bylo dosaženo požadované délky)  a 3000x400x430 mm </t>
  </si>
  <si>
    <t>3x dubový sedák držící svah záhonu v ploše č.7  - přibližně 2580x350x330mm, 1690x350x330mm a 1940x350x330 mm (nutná kontrola před realizací v terénu)</t>
  </si>
  <si>
    <r>
      <t xml:space="preserve">1x dubový lem záhonu v ploše č.6 (roh)  - přibližně 3400x250x250mm (nutná kontrola před realizací), 740x250xcca výška 130mm </t>
    </r>
    <r>
      <rPr>
        <i/>
        <sz val="7"/>
        <color theme="1"/>
        <rFont val="Aptos Narrow"/>
        <family val="2"/>
        <charset val="238"/>
        <scheme val="minor"/>
      </rPr>
      <t>(v případě usazování nového obrubníku (viz sekce 3) je možné variantně vyřešit spolu s obrubníky - nebo usadit žulovou obrubu navazující přímo na kamenný schod mezi záhonem a školou)</t>
    </r>
  </si>
  <si>
    <t>* Ceny jsou včetně kotvení, opracování dřeva, dopravy a uložení do štěrkového lože vč. štěrku (kvalifikovaný odhad)</t>
  </si>
  <si>
    <t>Doprava do 5 km</t>
  </si>
  <si>
    <t xml:space="preserve">	998231311</t>
  </si>
  <si>
    <t>lavička</t>
  </si>
  <si>
    <t>Plůtek proti vstupu</t>
  </si>
  <si>
    <t>NÍZKÉ OPLOCENÍ PLOCH č. 6 a 7</t>
  </si>
  <si>
    <r>
      <t xml:space="preserve">Lanový plůtek s dřevěnými kůly (celkem 34,5 m délky plůtku, cca 23 ks sloupků), cena včetně materilu a práce - </t>
    </r>
    <r>
      <rPr>
        <i/>
        <sz val="8"/>
        <color theme="1"/>
        <rFont val="Aptos Narrow"/>
        <family val="2"/>
        <charset val="238"/>
        <scheme val="minor"/>
      </rPr>
      <t>odhad</t>
    </r>
  </si>
  <si>
    <t>bm</t>
  </si>
  <si>
    <t>Oplocení bude tvořeno dřevěnými hranatými sloupky o hraně cca 60x60mm výšky 600 mm, které budou kotveny kovovými patkami se zemními vruty do terénu. Na dvou místech cca 60 mm a 200 mm od horního okraje bude dřevěný hranol navrtán a bude jím protaženo lano průměru cca 15 mm. Sloupky budou rozmístěny pravidelně okolo záhonů (místa dle projektu), přibližně v rozestupech 1000-1900mm dle délky strany záhonu. Lano bude v mírném průvěsu, viz vzorová fotografie.  Plůtek musí být umístěn v záhonu 500mm od chodníku. Trvalky budou předsazeny i před ním.</t>
  </si>
  <si>
    <t>Vzorový příklad (realizovaný plůtek bude mít pouze 2 lana), Zdroj foto: https://closler.org/wp-content/uploads/2020/07/curb.jpg</t>
  </si>
  <si>
    <t>Sadové úpravy</t>
  </si>
  <si>
    <t>realizační práce - viz. samostatná část rozpočtu</t>
  </si>
  <si>
    <t>ks</t>
  </si>
  <si>
    <t>následná péče rozvojová a po dobu 5 let - viz. samostatná část rozpočtu</t>
  </si>
  <si>
    <t>Celkem bez DPH:</t>
  </si>
  <si>
    <t>DPH 21%</t>
  </si>
  <si>
    <t>Celkem s DPH:</t>
  </si>
  <si>
    <t>POLOŽKOVÝ SOUPIS PRACÍ A DODÁVEK</t>
  </si>
  <si>
    <t>VEDLEJŠÍ A OSTATNÍ NÁKALDY</t>
  </si>
  <si>
    <t>Díl: VN</t>
  </si>
  <si>
    <t>VEDLJŠÍ NÁKLADY</t>
  </si>
  <si>
    <t>Vybudování zařízení staveniště</t>
  </si>
  <si>
    <t>sada</t>
  </si>
  <si>
    <t>Náklady spojené s případným vypracováním projektové dokumentace zařízení staveniště, zřízení přípojek energií k objektům zařízení staveniště, vybudování případných měřících odběrných míst a zařízení, případná příprava území pro objekty zařízení staveniště a vlastní vybudování objektů zařízení staveniště.</t>
  </si>
  <si>
    <t>Provoz zařízení staveniště</t>
  </si>
  <si>
    <t>Náklady na vybavení objektů zařízení staveniště, ostraha staveniště, nákaldy na energie spotřebované dodavatelem v rámci provozu zařízení staveniště, náklady na potřebný úklid v prostorách zařízení staveniště, na nutnou údržbu a opravy na objektech zařízení staveniště a na přípojkách energií.</t>
  </si>
  <si>
    <t>ODSTRANĚNÍ zařízení staveniště</t>
  </si>
  <si>
    <t>Odstranění objektů zařízení staveništěvčetně přípojek energií a jejich odvoz. Položk azahrnuje i náklady na pravu povrchů po odstranění zařízení staveniště a úklid ploch, na kterých bylo zařízení staveniště provozováno.</t>
  </si>
  <si>
    <t>Díl: ON</t>
  </si>
  <si>
    <t>OSTATNÍ NÁKLADY</t>
  </si>
  <si>
    <t>Bezpečnostní a hygienická opatření na staveništi</t>
  </si>
  <si>
    <t>Náklady na ochranu staveniště před vstupem nepovolaných osob, včetně příslušného označení, náklady na oplocení staveniště či na jeho osvětlení, náklady na vypracování potřebné dokumentace pro provoz staveniště z hlediska požární ochrany (požární řád a poplachová směrnice) a z hlediska provozu staveniště (provozně dopravní řád), náklady na označení výkopu a ostrahu</t>
  </si>
  <si>
    <t>CELKEM</t>
  </si>
  <si>
    <t>VÝKAZ VÝMĚR - SADOVÉ ÚPRAVY</t>
  </si>
  <si>
    <t>09/2024</t>
  </si>
  <si>
    <t>Všechny zde uvedené standardy respektují platné české technické normy, které přejímají evropské normy, evropské normy, evropská technická schválení, technické specifikace zveřejněné v Úředním věstníku Evropské unie, české technické normy, stavební technická osvědčení, technické specifikace obsažené v jiných veřejně přístupných dokumentech, uplatňovaných běžně v odborné technické praxi, není-li výslovně uvedeno jinak.</t>
  </si>
  <si>
    <t>Kácení a odstraňování dřevin</t>
  </si>
  <si>
    <t xml:space="preserve">	112151014</t>
  </si>
  <si>
    <r>
      <t xml:space="preserve">Pokácení stromu volné v celku s odřezáním kmene a s odvětvením průměru kmene přes 400 do 500 mm - </t>
    </r>
    <r>
      <rPr>
        <i/>
        <sz val="7"/>
        <color theme="1"/>
        <rFont val="Aptos Narrow"/>
        <family val="2"/>
        <charset val="238"/>
        <scheme val="minor"/>
      </rPr>
      <t>Juniperus sp. na ploše č. 6</t>
    </r>
  </si>
  <si>
    <r>
      <t>Pokácení stromu postupné se spouštěním částí kmene a koruny o průměru na řezné ploše pařezu přes 200 do 300 mm -</t>
    </r>
    <r>
      <rPr>
        <i/>
        <sz val="7"/>
        <color theme="1"/>
        <rFont val="Aptos Narrow"/>
        <family val="2"/>
        <charset val="238"/>
        <scheme val="minor"/>
      </rPr>
      <t xml:space="preserve"> Picea sp. na ploše č. 6</t>
    </r>
  </si>
  <si>
    <r>
      <t>Odstranění pařezu odfrézováním nebo odvrtáním hloubky přes 200 do 500 mm v rovině nebo na svahu do 1:5 -</t>
    </r>
    <r>
      <rPr>
        <i/>
        <sz val="7"/>
        <color theme="1"/>
        <rFont val="Aptos Narrow"/>
        <family val="2"/>
        <charset val="238"/>
        <scheme val="minor"/>
      </rPr>
      <t xml:space="preserve"> co nejhlubší odstranění pařezu (500mm)</t>
    </r>
  </si>
  <si>
    <t>Odstranění vyfrézované dřevní hmoty hl přes 0,2 do 0,5 m v rovině nebo na svahu do 1:5</t>
  </si>
  <si>
    <r>
      <t>Odstranění nevhodných dřevin průměru kmene do 100 mm výšky do 1 m s odstraněním pařezu do 100 m2 v rovině nebo na svahu do 1:5 -</t>
    </r>
    <r>
      <rPr>
        <i/>
        <sz val="7"/>
        <color theme="1"/>
        <rFont val="Aptos Narrow"/>
        <family val="2"/>
        <charset val="238"/>
        <scheme val="minor"/>
      </rPr>
      <t xml:space="preserve"> dřeviny v úzkých záhonech</t>
    </r>
  </si>
  <si>
    <r>
      <t xml:space="preserve">Odstranění nevhodných dřevin průměru kmene do 100 mm výšky přes 1 m s odstraněním pařezu do 100 m2 v rovině nebo na svahu do 1:5 </t>
    </r>
    <r>
      <rPr>
        <i/>
        <sz val="7"/>
        <color theme="1"/>
        <rFont val="Aptos Narrow"/>
        <family val="2"/>
        <charset val="238"/>
        <scheme val="minor"/>
      </rPr>
      <t>- plochy č. 8 a 10 + Rosa sp. v ploše č. 7</t>
    </r>
  </si>
  <si>
    <r>
      <t xml:space="preserve">Odstranění nevhodných dřevin do 100 m2 v přes 1 m s odstraněním pařezů ve svahu přes 1:2 do 1:1 - </t>
    </r>
    <r>
      <rPr>
        <i/>
        <sz val="7"/>
        <color theme="1"/>
        <rFont val="Aptos Narrow"/>
        <family val="2"/>
        <charset val="238"/>
        <scheme val="minor"/>
      </rPr>
      <t>část dřevin na ploše č. 30</t>
    </r>
  </si>
  <si>
    <t>Likvidace dřevního materiálu do 5 km:</t>
  </si>
  <si>
    <r>
      <t>odstraněná dřevní hmota</t>
    </r>
    <r>
      <rPr>
        <i/>
        <sz val="7"/>
        <color theme="1"/>
        <rFont val="Aptos Narrow"/>
        <family val="2"/>
        <charset val="238"/>
        <scheme val="minor"/>
      </rPr>
      <t xml:space="preserve"> - odhad</t>
    </r>
  </si>
  <si>
    <r>
      <t xml:space="preserve">uložení rostlinného materiálu na skládce - </t>
    </r>
    <r>
      <rPr>
        <i/>
        <sz val="7"/>
        <color theme="1"/>
        <rFont val="Aptos Narrow"/>
        <family val="2"/>
        <charset val="238"/>
        <scheme val="minor"/>
      </rPr>
      <t>kvalifikovaný odhad</t>
    </r>
  </si>
  <si>
    <t>Pěstební opatření</t>
  </si>
  <si>
    <r>
      <t xml:space="preserve">Řez stromu zdravotní o ploše koruny do 30 m2 lezeckou technikou - </t>
    </r>
    <r>
      <rPr>
        <i/>
        <sz val="7"/>
        <color theme="1"/>
        <rFont val="Aptos Narrow"/>
        <family val="2"/>
        <charset val="238"/>
        <scheme val="minor"/>
      </rPr>
      <t xml:space="preserve">stromy na ploše č.7 </t>
    </r>
  </si>
  <si>
    <t xml:space="preserve">	184806111</t>
  </si>
  <si>
    <r>
      <t xml:space="preserve">	Řez stromů, keřů nebo růží průklestem stromů netrnitých, o průměru koruny do 2 m - </t>
    </r>
    <r>
      <rPr>
        <i/>
        <sz val="7"/>
        <color theme="1"/>
        <rFont val="Aptos Narrow"/>
        <family val="2"/>
        <charset val="238"/>
        <scheme val="minor"/>
      </rPr>
      <t>plocha č.1</t>
    </r>
  </si>
  <si>
    <r>
      <t xml:space="preserve">Řez stromů netrnitých průklestem D koruny přes 2 do 4 m - </t>
    </r>
    <r>
      <rPr>
        <i/>
        <sz val="7"/>
        <color theme="1"/>
        <rFont val="Aptos Narrow"/>
        <family val="2"/>
        <charset val="238"/>
        <scheme val="minor"/>
      </rPr>
      <t>plocha č.1</t>
    </r>
  </si>
  <si>
    <r>
      <t xml:space="preserve">Řez stromů, keřů nebo růží zmlazením keřů netrnitých o průměru koruny přes 3 do 5 m - </t>
    </r>
    <r>
      <rPr>
        <i/>
        <sz val="7"/>
        <color theme="1"/>
        <rFont val="Aptos Narrow"/>
        <family val="2"/>
        <charset val="238"/>
        <scheme val="minor"/>
      </rPr>
      <t xml:space="preserve"> ponechané keře na ploše č. 30 (odhad - zapojená skupina) a 7 </t>
    </r>
  </si>
  <si>
    <t>Příprava stanoviště</t>
  </si>
  <si>
    <t>Chemické odplevelení před založením kultury postřikem na široko v rovině a svahu do 1:5 ručně</t>
  </si>
  <si>
    <r>
      <t xml:space="preserve">Chemické odplevelení před založením kultury postřikem na široko ve svahu přes 1:2 do 1:1 ručně . </t>
    </r>
    <r>
      <rPr>
        <i/>
        <sz val="7"/>
        <color theme="1"/>
        <rFont val="Aptos Narrow"/>
        <family val="2"/>
        <charset val="238"/>
        <scheme val="minor"/>
      </rPr>
      <t>Plocha č.30</t>
    </r>
  </si>
  <si>
    <t>herbicid:</t>
  </si>
  <si>
    <t xml:space="preserve">	25234001</t>
  </si>
  <si>
    <t>herbicid totální systémový neselektivní (množství stanoveno odhadem)</t>
  </si>
  <si>
    <t>l</t>
  </si>
  <si>
    <r>
      <t xml:space="preserve">	Obdělání půdy kultivátorováním v rovině a svahu do 1:5 </t>
    </r>
    <r>
      <rPr>
        <i/>
        <sz val="7"/>
        <color theme="1"/>
        <rFont val="Aptos Narrow"/>
        <family val="2"/>
        <charset val="238"/>
        <scheme val="minor"/>
      </rPr>
      <t>(plochy č. 3-5 , 31, část plochy 1,2,7)</t>
    </r>
  </si>
  <si>
    <t xml:space="preserve">	183403115</t>
  </si>
  <si>
    <r>
      <t>Obdělání půdy kultivátorováním ve svahu přes 1:5 do 1:2</t>
    </r>
    <r>
      <rPr>
        <i/>
        <sz val="7"/>
        <color theme="1"/>
        <rFont val="Aptos Narrow"/>
        <family val="2"/>
        <charset val="238"/>
        <scheme val="minor"/>
      </rPr>
      <t xml:space="preserve"> (část plochy č. 30)</t>
    </r>
  </si>
  <si>
    <r>
      <t xml:space="preserve">Obdělání půdy rytím starého trávníku ve svahu přes 1:2 do 1:1 </t>
    </r>
    <r>
      <rPr>
        <i/>
        <sz val="7"/>
        <color theme="1"/>
        <rFont val="Aptos Narrow"/>
        <family val="2"/>
        <charset val="238"/>
        <scheme val="minor"/>
      </rPr>
      <t>(nejprudší část plochy č.30)</t>
    </r>
  </si>
  <si>
    <r>
      <t xml:space="preserve">Obdělání půdy rytím půdy hl. do 200 mm v zemině skupiny 1 až 2 v rovině nebo na svahu do 1:5 </t>
    </r>
    <r>
      <rPr>
        <i/>
        <sz val="7"/>
        <color theme="1"/>
        <rFont val="Aptos Narrow"/>
        <family val="2"/>
        <charset val="238"/>
        <scheme val="minor"/>
      </rPr>
      <t>(všechny úzké plochy mezi obrubníky - variantně úzký kultivátor s porytím okrajů)</t>
    </r>
  </si>
  <si>
    <t xml:space="preserve">	122111101</t>
  </si>
  <si>
    <r>
      <t xml:space="preserve">Odkopávky a prokopávky v hornině třídy těžitelnosti I, skupiny 1 a 2 ručně  - vč. naložení na dopravní prostředek </t>
    </r>
    <r>
      <rPr>
        <i/>
        <sz val="7"/>
        <color theme="1"/>
        <rFont val="Aptos Narrow"/>
        <family val="2"/>
        <charset val="238"/>
        <scheme val="minor"/>
      </rPr>
      <t>(SNÍŽENÍ výšky trvalkových záhonů pro možnost zapravení kompostu a  zamulčování) průměrně cca 80(90)mm na plochách 1, 7-29, plocha č.6 cca 200mm dle stávající situace po odfrézování pařezů - nutné ponížit terén pod stávající obrubníky</t>
    </r>
    <r>
      <rPr>
        <sz val="7"/>
        <color theme="1"/>
        <rFont val="Aptos Narrow"/>
        <family val="2"/>
        <charset val="238"/>
        <scheme val="minor"/>
      </rPr>
      <t>)</t>
    </r>
  </si>
  <si>
    <r>
      <t xml:space="preserve">Odkopávky a prokopávky v hornině třídy těžitelnosti I, skupiny 1 a 2 ručně  - vč. naložení na dopravní prostředek </t>
    </r>
    <r>
      <rPr>
        <i/>
        <sz val="7"/>
        <color theme="1"/>
        <rFont val="Aptos Narrow"/>
        <family val="2"/>
        <charset val="238"/>
        <scheme val="minor"/>
      </rPr>
      <t>(SNÍŽENÍ výšky trvalkových záhonů pro možnost zapravení kompostu a  zamulčování) průměrně cca 30-40mm na plochách 2-5 (zhodnoceno během realizace)</t>
    </r>
  </si>
  <si>
    <t xml:space="preserve">	181111121</t>
  </si>
  <si>
    <r>
      <t>Plošná úprava terénu v zemině skupiny 1 až 4 s urovnáním povrchu bez doplnění ornice souvislé plochy do 500 m2 při nerovnostech terénu přes 100 do 150 mm v rovině nebo na svahu do 1:5 -</t>
    </r>
    <r>
      <rPr>
        <i/>
        <sz val="7"/>
        <color theme="1"/>
        <rFont val="Aptos Narrow"/>
        <family val="2"/>
        <charset val="238"/>
        <scheme val="minor"/>
      </rPr>
      <t xml:space="preserve"> plochy 1-7, 12, 31</t>
    </r>
  </si>
  <si>
    <r>
      <t xml:space="preserve">Plošná úprava terénu do 500 m2 zemina skupiny 1 až 4 nerovnosti přes 100 do 150 mm ve svahu přes 1:2 do 1:1 - </t>
    </r>
    <r>
      <rPr>
        <i/>
        <sz val="7"/>
        <color theme="1"/>
        <rFont val="Aptos Narrow"/>
        <family val="2"/>
        <charset val="238"/>
        <scheme val="minor"/>
      </rPr>
      <t>plocha č. 30</t>
    </r>
  </si>
  <si>
    <t>Doprava - odvoz přebytečné zeminy po ponížení záhonů:</t>
  </si>
  <si>
    <t>ODVOZ - Vodorovné přemístění výkopku nebo sypaniny po suchu na obvyklém dopravním prostředku, bez naložení výkopku, avšak se složením bez rozhrnutí z horniny třídy těžitelnosti I skupiny 1 až 3 na vzdálenost přes 9 000 do 10 000 m</t>
  </si>
  <si>
    <r>
      <t>uložení zemin na skládce -</t>
    </r>
    <r>
      <rPr>
        <i/>
        <sz val="7"/>
        <rFont val="Aptos Narrow"/>
        <family val="2"/>
        <charset val="238"/>
        <scheme val="minor"/>
      </rPr>
      <t xml:space="preserve"> kvalifikovaný odhad</t>
    </r>
  </si>
  <si>
    <t>VÝKOPY A PROTIKOŘENOVÉ BARIÉRY - plocha č. 6:</t>
  </si>
  <si>
    <r>
      <t xml:space="preserve">Hloubení rýh š cca 400 mm v hornině třídy těžitelnosti I skupiny 1 a 2 ručně - </t>
    </r>
    <r>
      <rPr>
        <i/>
        <sz val="7"/>
        <color theme="1"/>
        <rFont val="Aptos Narrow"/>
        <family val="2"/>
        <charset val="238"/>
        <scheme val="minor"/>
      </rPr>
      <t>OPTICKÝ KABEL v ploše č. 6</t>
    </r>
  </si>
  <si>
    <t xml:space="preserve">	139001101</t>
  </si>
  <si>
    <t>Příplatek za ztížení vykopávky v blízkosti podzemního vedení</t>
  </si>
  <si>
    <r>
      <t xml:space="preserve">Hloubení rýh š cca 500 mm v hornině třídy těžitelnosti I skupiny 1 a 2 ručně - </t>
    </r>
    <r>
      <rPr>
        <i/>
        <sz val="7"/>
        <color theme="1"/>
        <rFont val="Aptos Narrow"/>
        <family val="2"/>
        <charset val="238"/>
        <scheme val="minor"/>
      </rPr>
      <t>vytyčení vedení NN v ploše č. 6</t>
    </r>
    <r>
      <rPr>
        <sz val="7"/>
        <color theme="1"/>
        <rFont val="Aptos Narrow"/>
        <family val="2"/>
        <charset val="238"/>
        <scheme val="minor"/>
      </rPr>
      <t xml:space="preserve"> - celkem cca 11,5m délky</t>
    </r>
  </si>
  <si>
    <r>
      <t>Instalace protikořenových bariér do předem vyhloubené rýhy, včetně zásypu a hutnění v rovině nebo na svahu do 1:5, hloubky přes 500 do 700 mm</t>
    </r>
    <r>
      <rPr>
        <i/>
        <sz val="7"/>
        <color theme="1"/>
        <rFont val="Aptos Narrow"/>
        <family val="2"/>
        <charset val="238"/>
        <scheme val="minor"/>
      </rPr>
      <t xml:space="preserve"> (optické kabely v ploše č. 6)</t>
    </r>
  </si>
  <si>
    <t>* Instalace dalších protikořenových bariér vedení NN pouze v případě, že bude uloženo níže než 700mm. (11,5m)</t>
  </si>
  <si>
    <t>protikořenová folie</t>
  </si>
  <si>
    <r>
      <t xml:space="preserve">Hloubení jam nezapažených v hornině třídy těžitelnosti I skupiny 1 a 2 objem do 20 m3 strojně - </t>
    </r>
    <r>
      <rPr>
        <i/>
        <sz val="7"/>
        <color theme="1"/>
        <rFont val="Aptos Narrow"/>
        <family val="2"/>
        <charset val="238"/>
        <scheme val="minor"/>
      </rPr>
      <t>hloubkové prokypření zeminy cca 15m2 do hloubky 700 mm a promíchání půdy s biouhlem a kompostem - v ploše č. 6 (trojůhelník mezi inženýrskými sítěmi obkopanými ručně)</t>
    </r>
  </si>
  <si>
    <t>Zúrodnění ploch pro travobylinné výsadby:</t>
  </si>
  <si>
    <r>
      <t xml:space="preserve">Zahradní kompost pro vylepšení půdy </t>
    </r>
    <r>
      <rPr>
        <i/>
        <sz val="7"/>
        <color theme="1"/>
        <rFont val="Aptos Narrow"/>
        <family val="2"/>
        <charset val="238"/>
        <scheme val="minor"/>
      </rPr>
      <t>(vrstva cca 40 mm na každou trvalkovou plochu) + 10% ztratné</t>
    </r>
    <r>
      <rPr>
        <sz val="7"/>
        <color theme="1"/>
        <rFont val="Aptos Narrow"/>
        <family val="2"/>
        <charset val="238"/>
        <scheme val="minor"/>
      </rPr>
      <t xml:space="preserve">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  <r>
      <rPr>
        <sz val="7"/>
        <color theme="1"/>
        <rFont val="Aptos Narrow"/>
        <family val="2"/>
        <charset val="238"/>
        <scheme val="minor"/>
      </rPr>
      <t>, zapravit do půdy do hloubky cca 300mm</t>
    </r>
  </si>
  <si>
    <r>
      <t xml:space="preserve">Hnojení půdy kompostem v rovině a svahu do 1:5 - </t>
    </r>
    <r>
      <rPr>
        <i/>
        <sz val="7"/>
        <color theme="1"/>
        <rFont val="Aptos Narrow"/>
        <family val="2"/>
        <charset val="238"/>
        <scheme val="minor"/>
      </rPr>
      <t>plochy s trvalkovými záhony</t>
    </r>
  </si>
  <si>
    <r>
      <t xml:space="preserve">Biouhel 2-30 mm - 20 l/m2 zapracovaných do horních 20 cm substrátu - </t>
    </r>
    <r>
      <rPr>
        <i/>
        <sz val="7"/>
        <color theme="1"/>
        <rFont val="Aptos Narrow"/>
        <family val="2"/>
        <charset val="238"/>
        <scheme val="minor"/>
      </rPr>
      <t>kvalifikovaný odhad - plochy s trvalkovými záhony</t>
    </r>
  </si>
  <si>
    <r>
      <t>Biouhel 2-30 mm - v ploše č. 6 bude min. na 15m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aplikován biouhel při hloubkovéím kypření v celkovém profilu do 70cm v množství 10% objemu) </t>
    </r>
    <r>
      <rPr>
        <i/>
        <sz val="7"/>
        <color theme="1"/>
        <rFont val="Aptos Narrow"/>
        <family val="2"/>
        <charset val="238"/>
        <scheme val="minor"/>
      </rPr>
      <t xml:space="preserve">kvalifikovaný odhad (naceněné množství  pro spodních 50cm) </t>
    </r>
  </si>
  <si>
    <t>Vylepšení půdy biouhlem</t>
  </si>
  <si>
    <r>
      <t>Vodorovné přemístění přes 50 do 500 m nového materiálu  -</t>
    </r>
    <r>
      <rPr>
        <i/>
        <sz val="7"/>
        <color theme="1"/>
        <rFont val="Aptos Narrow"/>
        <family val="2"/>
        <charset val="238"/>
        <scheme val="minor"/>
      </rPr>
      <t xml:space="preserve"> rozvezení na výsadbové plochy (kompost a biouhel)</t>
    </r>
  </si>
  <si>
    <t>výkopku/sypaniny z horniny třídy těžitelnosti I skupiny 1 až 3</t>
  </si>
  <si>
    <t xml:space="preserve">	Obdělání půdy kultivátorováním v rovině a svahu do 1:5 (zapravení zlepšujících prvků do půdy - romíchání do hloubky min. 200mm)</t>
  </si>
  <si>
    <r>
      <t xml:space="preserve">Obdělání půdy rytím půdy hl. do 200 mm v zemině skupiny 1 až 2 v rovině nebo na svahu do 1:5 </t>
    </r>
    <r>
      <rPr>
        <i/>
        <sz val="7"/>
        <color theme="1"/>
        <rFont val="Aptos Narrow"/>
        <family val="2"/>
        <charset val="238"/>
        <scheme val="minor"/>
      </rPr>
      <t>(zapravení zlepšujících prvků v úzkých záhonech)</t>
    </r>
  </si>
  <si>
    <t>Příprava pro ŠTĚRKOVÝ TRÁVNÍK:</t>
  </si>
  <si>
    <r>
      <t xml:space="preserve">Odkopávky a prokopávky nezapažené v hornině třídy těžitelnosti I skupiny 1 a 2 objem do 20 m3 strojně </t>
    </r>
    <r>
      <rPr>
        <i/>
        <sz val="7"/>
        <color theme="1"/>
        <rFont val="Aptos Narrow"/>
        <family val="2"/>
        <charset val="238"/>
        <scheme val="minor"/>
      </rPr>
      <t>(část plochy č.31)</t>
    </r>
    <r>
      <rPr>
        <sz val="7"/>
        <color theme="1"/>
        <rFont val="Aptos Narrow"/>
        <family val="2"/>
        <charset val="238"/>
        <scheme val="minor"/>
      </rPr>
      <t xml:space="preserve"> -</t>
    </r>
    <r>
      <rPr>
        <i/>
        <sz val="7"/>
        <color theme="1"/>
        <rFont val="Aptos Narrow"/>
        <family val="2"/>
        <charset val="238"/>
        <scheme val="minor"/>
      </rPr>
      <t xml:space="preserve"> hloubka 200mm</t>
    </r>
  </si>
  <si>
    <r>
      <t>kamenivo drcené hrubé frakce 16/32 -</t>
    </r>
    <r>
      <rPr>
        <i/>
        <sz val="7"/>
        <color theme="1"/>
        <rFont val="Aptos Narrow"/>
        <family val="2"/>
        <charset val="238"/>
        <scheme val="minor"/>
      </rPr>
      <t xml:space="preserve"> 80%</t>
    </r>
    <r>
      <rPr>
        <sz val="7"/>
        <color theme="1"/>
        <rFont val="Aptos Narrow"/>
        <family val="2"/>
        <charset val="238"/>
        <scheme val="minor"/>
      </rPr>
      <t xml:space="preserve"> kameniva z celkového objemu substrátu</t>
    </r>
  </si>
  <si>
    <r>
      <t xml:space="preserve">zahradní kompost pro vylepšení půdy 5%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</si>
  <si>
    <t>15% původní ornice -- nenaceňovat</t>
  </si>
  <si>
    <t>Hnojení půdy silikátovým půdním kondicionérem - 100-150g/m2</t>
  </si>
  <si>
    <t>kg</t>
  </si>
  <si>
    <t>Míchání vegetačních substrátů v homogenizačním zařízení v množství do 10 m3*</t>
  </si>
  <si>
    <t xml:space="preserve">*Pro založení štěrkového trávníku bude namíchán substrát tvořený z 80% (objemových) štěrkem 5% kompostu, 15% původního substrátu s přidáním půdního kondicionéru. </t>
  </si>
  <si>
    <t>Uložení sypanin do násypů strojně s rozprostřením sypaniny ve vrstvách a s hrubým urovnáním nezhutněných jakékoliv třídy těžitelnosti</t>
  </si>
  <si>
    <t>Doprava - odvoz přebytečné zeminy (štěrkový trávník)*:</t>
  </si>
  <si>
    <t>*Bude-li to možné z hlediska objemu, bude materiál použit na dorovnání budoucí louky</t>
  </si>
  <si>
    <t xml:space="preserve">PRÁCE V KOŘENOVÉM PROSTORU - Airspade: </t>
  </si>
  <si>
    <r>
      <t>Plošné sejmutí zeminy v kořenové zóně stromu pneumatickým rýčem hl přes 150 do 300 mm v rovině nebo svahu do 1:5 -</t>
    </r>
    <r>
      <rPr>
        <i/>
        <sz val="7"/>
        <color theme="1"/>
        <rFont val="Aptos Narrow"/>
        <family val="2"/>
        <charset val="238"/>
        <scheme val="minor"/>
      </rPr>
      <t xml:space="preserve"> plocha č. 7 prostor pro založení štěrkové pochozí plochy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(hloubka cca 23cm)</t>
    </r>
  </si>
  <si>
    <r>
      <t xml:space="preserve">Plošné sejmutí zeminy v kořenové zóně stromu pneumatickým rýčem hl do 150 mm v rovině nebo svahu do 1:5 </t>
    </r>
    <r>
      <rPr>
        <i/>
        <sz val="7"/>
        <color theme="1"/>
        <rFont val="Aptos Narrow"/>
        <family val="2"/>
        <charset val="238"/>
        <scheme val="minor"/>
      </rPr>
      <t>- plocha č. 7 zbytek kořenového prostoru určený k výsadbě (hloubka 10 cm)</t>
    </r>
  </si>
  <si>
    <r>
      <t>Mixovaný substrát pro kořenový systén stromu (po airsade) pod POCHOZÍ PLOCHU (pod "drenážní malt")</t>
    </r>
    <r>
      <rPr>
        <i/>
        <sz val="8"/>
        <color theme="1"/>
        <rFont val="Aptos Narrow"/>
        <family val="2"/>
        <charset val="238"/>
        <scheme val="minor"/>
      </rPr>
      <t xml:space="preserve"> (počítáno 10% navíc - slehnutí, ztratné):</t>
    </r>
  </si>
  <si>
    <r>
      <t>kamenivo drcené hrubé frakce 16/32 -</t>
    </r>
    <r>
      <rPr>
        <i/>
        <sz val="7"/>
        <color theme="1"/>
        <rFont val="Aptos Narrow"/>
        <family val="2"/>
        <charset val="238"/>
        <scheme val="minor"/>
      </rPr>
      <t xml:space="preserve"> 70%</t>
    </r>
  </si>
  <si>
    <r>
      <t xml:space="preserve">zahradní kompost  20%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</si>
  <si>
    <r>
      <t xml:space="preserve">Biouhel katrovaný do velikost 10mm - 10% - </t>
    </r>
    <r>
      <rPr>
        <i/>
        <sz val="7"/>
        <color theme="1"/>
        <rFont val="Aptos Narrow"/>
        <family val="2"/>
        <charset val="238"/>
        <scheme val="minor"/>
      </rPr>
      <t>kvalifikovaný odhad</t>
    </r>
  </si>
  <si>
    <t>Míchání vegetačních substrátů ručně *</t>
  </si>
  <si>
    <t>*Substrát je nutné při promíchávání a před pokládkou rovnoměrně navlhčit a promíchat. Substrá musí být vlhký a homogenní. Odhalené kořeny stromu je nutné udržovat vlhké  a chránit.</t>
  </si>
  <si>
    <r>
      <t xml:space="preserve">Mixovaný substrát pro kořenový systém stromu (po airsade) pod VÝSADBU  </t>
    </r>
    <r>
      <rPr>
        <i/>
        <sz val="8"/>
        <color theme="1"/>
        <rFont val="Aptos Narrow"/>
        <family val="2"/>
        <charset val="238"/>
        <scheme val="minor"/>
      </rPr>
      <t>(počítáno 10% navíc - slehnutí,  ztratné)::</t>
    </r>
  </si>
  <si>
    <r>
      <t>stávající ornice (doporučuji nahradit či doplnit ornicí z ponížených záhonů č. 1-6 a 12 pokud bude kvalitnější) - 7</t>
    </r>
    <r>
      <rPr>
        <i/>
        <sz val="7"/>
        <color theme="1"/>
        <rFont val="Aptos Narrow"/>
        <family val="2"/>
        <charset val="238"/>
        <scheme val="minor"/>
      </rPr>
      <t>0%</t>
    </r>
    <r>
      <rPr>
        <sz val="7"/>
        <color theme="1"/>
        <rFont val="Aptos Narrow"/>
        <family val="2"/>
        <charset val="238"/>
        <scheme val="minor"/>
      </rPr>
      <t xml:space="preserve"> - </t>
    </r>
    <r>
      <rPr>
        <b/>
        <sz val="7"/>
        <color theme="1"/>
        <rFont val="Aptos Narrow"/>
        <family val="2"/>
        <charset val="238"/>
        <scheme val="minor"/>
      </rPr>
      <t>nenacenovat</t>
    </r>
  </si>
  <si>
    <r>
      <t xml:space="preserve">Biouhel 2-30 mm - 10% - </t>
    </r>
    <r>
      <rPr>
        <i/>
        <sz val="7"/>
        <color theme="1"/>
        <rFont val="Aptos Narrow"/>
        <family val="2"/>
        <charset val="238"/>
        <scheme val="minor"/>
      </rPr>
      <t>kvalifikovaný odhad</t>
    </r>
  </si>
  <si>
    <r>
      <t xml:space="preserve">Uložení mixovaných substrátů s rozprostřením sypaniny s hrubým urovnáním - </t>
    </r>
    <r>
      <rPr>
        <b/>
        <i/>
        <sz val="7"/>
        <color theme="1"/>
        <rFont val="Aptos Narrow"/>
        <family val="2"/>
        <charset val="238"/>
        <scheme val="minor"/>
      </rPr>
      <t>DŮLEŽITÉ!!! - Šetrné obsypání odhalených kořenů s citlivým hutněním sešlapem</t>
    </r>
  </si>
  <si>
    <t>DOPRAVA</t>
  </si>
  <si>
    <t>*Dopravu frakce 8/16 možné spojit s dopravou štěrkového mulče</t>
  </si>
  <si>
    <r>
      <rPr>
        <b/>
        <sz val="7"/>
        <rFont val="Aptos Narrow"/>
        <family val="2"/>
        <charset val="238"/>
        <scheme val="minor"/>
      </rPr>
      <t>Doprava kompostu:</t>
    </r>
    <r>
      <rPr>
        <sz val="7"/>
        <rFont val="Aptos Narrow"/>
        <family val="2"/>
        <charset val="238"/>
        <scheme val="minor"/>
      </rPr>
      <t xml:space="preserve"> Vodorovné přemístění výkopku nebo sypaniny po suchu na obvyklém dopravním prostředku, bez naložení výkopku, avšak se složením bez rozhrnutí z horniny třídy těžitelnosti I skupiny 1 až 3 na vzdálenost přes 9 000 do 10 000 m - </t>
    </r>
    <r>
      <rPr>
        <i/>
        <sz val="7"/>
        <rFont val="Aptos Narrow"/>
        <family val="2"/>
        <charset val="238"/>
        <scheme val="minor"/>
      </rPr>
      <t>započítán i kompost na míchané substráty (Airspade) a štěrkový trávník</t>
    </r>
  </si>
  <si>
    <r>
      <rPr>
        <b/>
        <sz val="7"/>
        <rFont val="Aptos Narrow"/>
        <family val="2"/>
        <charset val="238"/>
        <scheme val="minor"/>
      </rPr>
      <t>Doprava biouhlu:</t>
    </r>
    <r>
      <rPr>
        <sz val="7"/>
        <rFont val="Aptos Narrow"/>
        <family val="2"/>
        <charset val="238"/>
        <scheme val="minor"/>
      </rPr>
      <t xml:space="preserve"> Vodorovné přemístění výkopku nebo sypaniny po suchu na obvyklém dopravním prostředku, bez naložení výkopku, avšak se složením bez rozhrnutí z horniny třídy těžitelnosti I skupiny 1 až 3 na vzdálenost přes 9 000 do 10 000 m </t>
    </r>
  </si>
  <si>
    <t>Doprava - odvoz přebytečné zeminy na skládku:</t>
  </si>
  <si>
    <t>VODA - odhad</t>
  </si>
  <si>
    <t>Apliakce vody</t>
  </si>
  <si>
    <t xml:space="preserve">	185851121</t>
  </si>
  <si>
    <r>
      <t>Dovoz vody na nasáknutí biouhlu, míchání substrátů a vlhčení kořenů stromu vč. štěrkové plochy na vzdálenost do 1000 m (</t>
    </r>
    <r>
      <rPr>
        <i/>
        <sz val="7"/>
        <color theme="1"/>
        <rFont val="Aptos Narrow"/>
        <family val="2"/>
        <charset val="238"/>
        <scheme val="minor"/>
      </rPr>
      <t>odhad)</t>
    </r>
  </si>
  <si>
    <t>OBRUBY A LEMY:</t>
  </si>
  <si>
    <r>
      <t>Osazení ocelové pásoviny jakožto skrytého zahradního obrubníku 5x100mm - ukotvení navařením na roxorové tyče průměru 10-12 mm, délky 300-400mm, (cca 3 ks/m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>) vč. materiálu a dopravy + ztratné 10% * - plocha č.7 a 12</t>
    </r>
  </si>
  <si>
    <t>*Osazování probíhá v kořenovém prostoru stávajícího stromu a primárně musí být chráněny kořeny stromu. Nebude-li možné osadit kvůli kořenovým náběhům celý oblouk okolo štěrkové plochy, může být pásovina vyříznuta v místě kořenového náběhu.</t>
  </si>
  <si>
    <r>
      <rPr>
        <sz val="7"/>
        <color theme="1"/>
        <rFont val="Aptos Narrow"/>
        <family val="2"/>
        <charset val="238"/>
        <scheme val="minor"/>
      </rPr>
      <t>Osazení skrytého flexibilního zahradního obrubníku plastového jednostranným odkopáním, + ztratné 10%</t>
    </r>
    <r>
      <rPr>
        <i/>
        <sz val="7"/>
        <color theme="1"/>
        <rFont val="Aptos Narrow"/>
        <family val="2"/>
        <charset val="238"/>
        <scheme val="minor"/>
      </rPr>
      <t xml:space="preserve">  - plocha č. 4 a 12</t>
    </r>
  </si>
  <si>
    <t>plastový obrubník tvaru "L" - tzv. "neviditelný obrubník", délka 1000mm, výška  80mm vč. plastový hřeb k neviditelnému obrubníku - 3ks/bm a dopravy</t>
  </si>
  <si>
    <t>Výsadba stromu</t>
  </si>
  <si>
    <t>Hloubení jam pro výsadbu dřevin strojně v rovině nebo ve svahu do 1:5, objem přes 2,00 do 3,00 m3*</t>
  </si>
  <si>
    <t>* Část jámy bude už vykopána díky hlubokému vyfrézování pařezů a obvodové části výsadbové jámy budou kopány ručně pro uložení protikořenové ochrany okolo podzemních vedení. Díky přítomnosti vedení je nutné výkop provádět s maximální opatrností.</t>
  </si>
  <si>
    <t>Výsadba dřeviny s balem D přes 0,8 do 1 m do jamky se zalitím v rovině a svahu do 1:5</t>
  </si>
  <si>
    <t>Substráty (výsadbová jáma cca 2x2m, hloubka cca 50 cm), hloubkově prokypřený okolní substrát předem nutností:</t>
  </si>
  <si>
    <r>
      <t>stávající ornice -</t>
    </r>
    <r>
      <rPr>
        <b/>
        <sz val="7"/>
        <color theme="1"/>
        <rFont val="Aptos Narrow"/>
        <family val="2"/>
        <charset val="238"/>
        <scheme val="minor"/>
      </rPr>
      <t xml:space="preserve"> nenacenovat</t>
    </r>
    <r>
      <rPr>
        <sz val="7"/>
        <color theme="1"/>
        <rFont val="Aptos Narrow"/>
        <family val="2"/>
        <charset val="238"/>
        <scheme val="minor"/>
      </rPr>
      <t xml:space="preserve"> - 82%</t>
    </r>
  </si>
  <si>
    <r>
      <t xml:space="preserve">zahradní kompost pro vylepšení půdy 8%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  <r>
      <rPr>
        <sz val="7"/>
        <color theme="1"/>
        <rFont val="Aptos Narrow"/>
        <family val="2"/>
        <charset val="238"/>
        <scheme val="minor"/>
      </rPr>
      <t xml:space="preserve"> (vrstva 400mm)</t>
    </r>
  </si>
  <si>
    <r>
      <t xml:space="preserve">Biouhel 2-20mm - 10% - </t>
    </r>
    <r>
      <rPr>
        <i/>
        <sz val="7"/>
        <color theme="1"/>
        <rFont val="Aptos Narrow"/>
        <family val="2"/>
        <charset val="238"/>
        <scheme val="minor"/>
      </rPr>
      <t>kvalifikovaný odhad</t>
    </r>
    <r>
      <rPr>
        <sz val="7"/>
        <color theme="1"/>
        <rFont val="Aptos Narrow"/>
        <family val="2"/>
        <charset val="238"/>
        <scheme val="minor"/>
      </rPr>
      <t xml:space="preserve"> </t>
    </r>
  </si>
  <si>
    <t>*Substrá musí být vlhký a homogenní. Biouhel je nutné před přimícháním nechat nasáknout vodou.</t>
  </si>
  <si>
    <t xml:space="preserve">	184215136</t>
  </si>
  <si>
    <t>Ukotvení dřeviny kůly na svahu přes 1:5 do 1:2 třemi kůly, délky přes 2 do 3 m</t>
  </si>
  <si>
    <t>Zamulčování proběhne v rámci zamulčování celého záhonu s trvalkami štěpkou (naceněno v dalším oddílu) - ke stromu  tl. štěpky cca 100mm</t>
  </si>
  <si>
    <t xml:space="preserve">	184215412</t>
  </si>
  <si>
    <t>Zhotovení závlahové mísy u solitérních dřevin v rovině nebo na svahu do 1:5, o průměru mísy přes 0,5 do 1 m - stávající stromy v ploše č.1 a nový strom plocha č. 6</t>
  </si>
  <si>
    <t>Zřízení ochranného nátěru kmene stromu do výšky 1 m obvodu přes 180 do 250 mm (př. Arbo--flex)</t>
  </si>
  <si>
    <t>ZÁLIVKA:</t>
  </si>
  <si>
    <r>
      <t xml:space="preserve">Zalití rostlin vodou - 100l /ks </t>
    </r>
    <r>
      <rPr>
        <b/>
        <sz val="7"/>
        <color theme="1"/>
        <rFont val="Aptos Narrow"/>
        <family val="2"/>
        <charset val="238"/>
        <scheme val="minor"/>
      </rPr>
      <t>(opakováno 3x)</t>
    </r>
  </si>
  <si>
    <t>Dovoz vody pro zálivku rostlin za vzdálenost do 1000 m</t>
  </si>
  <si>
    <r>
      <t xml:space="preserve">DOVOZ </t>
    </r>
    <r>
      <rPr>
        <b/>
        <sz val="7"/>
        <rFont val="Aptos Narrow"/>
        <family val="2"/>
        <charset val="238"/>
        <scheme val="minor"/>
      </rPr>
      <t>zahradního substrátu, kompostu a biouhlu</t>
    </r>
    <r>
      <rPr>
        <sz val="7"/>
        <rFont val="Aptos Narrow"/>
        <family val="2"/>
        <charset val="238"/>
        <scheme val="minor"/>
      </rPr>
      <t xml:space="preserve"> po suchu na obvyklém dopravním prostředku, bez naložení , avšak se složením bez rozhrnutí z horniny třídy těžitelnosti I skupiny 1 až 3 na vzdálenost přes 9 000 do 10 000 m</t>
    </r>
  </si>
  <si>
    <t>Doprava do 5 km:</t>
  </si>
  <si>
    <t>doprava stromu</t>
  </si>
  <si>
    <t>Výsadba keřů, trvalek a travin</t>
  </si>
  <si>
    <t xml:space="preserve">	119005131</t>
  </si>
  <si>
    <t>Vytyčení výsadeb s rozmístěním rostlin dle projektové dokumentace zapojených nebo v záhonu, plochy přes 100 m2 ve sponu</t>
  </si>
  <si>
    <r>
      <t xml:space="preserve">Hloubení jamek bez výměny půdy zeminy skupiny 1 až 4 obj do 0,002 m3 v rovině a svahu do 1:5 </t>
    </r>
    <r>
      <rPr>
        <i/>
        <sz val="7"/>
        <color theme="1"/>
        <rFont val="Aptos Narrow"/>
        <family val="2"/>
        <charset val="238"/>
        <scheme val="minor"/>
      </rPr>
      <t>(trvalky a trávy)</t>
    </r>
  </si>
  <si>
    <r>
      <t xml:space="preserve">Hloubení jamek bez výměny půdy zeminy skupiny 1 až 4 obj přes 0,002 do 0,005 m3 v rovině a svahu do 1:5 </t>
    </r>
    <r>
      <rPr>
        <i/>
        <sz val="7"/>
        <color theme="1"/>
        <rFont val="Aptos Narrow"/>
        <family val="2"/>
        <charset val="238"/>
        <scheme val="minor"/>
      </rPr>
      <t>(keře)</t>
    </r>
  </si>
  <si>
    <t xml:space="preserve">	183105213</t>
  </si>
  <si>
    <r>
      <t>Hloubení jamek pro vysazování rostlin v zemině skupiny 1 až 4 s výměnou půdy z 50% na svahu přes 1:2 do 1:1, objemu přes 0,02 do 0,05 m3 -</t>
    </r>
    <r>
      <rPr>
        <i/>
        <sz val="7"/>
        <color theme="1"/>
        <rFont val="Aptos Narrow"/>
        <family val="2"/>
        <charset val="238"/>
        <scheme val="minor"/>
      </rPr>
      <t xml:space="preserve"> plocha č.30</t>
    </r>
  </si>
  <si>
    <r>
      <t xml:space="preserve">zahradní kompost 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</si>
  <si>
    <t>Výsadba cibulí nebo hlíz do připravené půdy se zalitím</t>
  </si>
  <si>
    <t xml:space="preserve">	183211322</t>
  </si>
  <si>
    <t xml:space="preserve">Výsadba květin krytokořenných o průměru kontejneru přes 80 do 120 mm  do připravené půdy se zalitím </t>
  </si>
  <si>
    <t>Výsadba dřeviny s balem do předem vyhloubené jamky se zalitím v rovině nebo na svahu do 1:5, při průměru balu do 200 mm</t>
  </si>
  <si>
    <t>Výsadba dřeviny s balem do předem vyhloubené jamky se zalitím v rovině nebo na svahu do 1:5, při průměru balu do 300 mm</t>
  </si>
  <si>
    <r>
      <t>Výsadba dřeviny s balem do předem vyhloubené jamky se zalitím na svahu přes 1:2 do 1:1, při průměru balu  do 300 mm</t>
    </r>
    <r>
      <rPr>
        <i/>
        <sz val="7"/>
        <color theme="1"/>
        <rFont val="Aptos Narrow"/>
        <family val="2"/>
        <charset val="238"/>
        <scheme val="minor"/>
      </rPr>
      <t>(plocha č. 30)</t>
    </r>
  </si>
  <si>
    <t>Hnojení půdy umělým hnojivem k jednotlivým rostlinám - 100g/m2 (vč. hnojiva)</t>
  </si>
  <si>
    <t>MULČOVÁNÍ:</t>
  </si>
  <si>
    <t>Mulčování záhonů kačírkem tl vrstvy přes 0,05 do 0,1 m v rovině a svahu do 1:5</t>
  </si>
  <si>
    <t xml:space="preserve">	58343872</t>
  </si>
  <si>
    <r>
      <t>kamenivo drcené hrubé frakce 8/16 -</t>
    </r>
    <r>
      <rPr>
        <i/>
        <sz val="7"/>
        <color theme="1"/>
        <rFont val="Aptos Narrow"/>
        <family val="2"/>
        <charset val="238"/>
        <scheme val="minor"/>
      </rPr>
      <t xml:space="preserve"> </t>
    </r>
    <r>
      <rPr>
        <sz val="7"/>
        <color theme="1"/>
        <rFont val="Aptos Narrow"/>
        <family val="2"/>
        <charset val="238"/>
        <scheme val="minor"/>
      </rPr>
      <t>mulč vrstva 50mm</t>
    </r>
  </si>
  <si>
    <t xml:space="preserve">	184911421</t>
  </si>
  <si>
    <t>Mulčování rostlin (zde štěpkou) tl do 0,1 m v rovině a svahu do 1:5*</t>
  </si>
  <si>
    <t>Mulčování rostlin štěpkou tl do 0,1 m ve svahu přes 1:2 do 1:1*</t>
  </si>
  <si>
    <r>
      <t xml:space="preserve">mulčovací štěpka jemně kompostovaná (včetně 5% ztratné) - </t>
    </r>
    <r>
      <rPr>
        <i/>
        <sz val="7"/>
        <color theme="1"/>
        <rFont val="Aptos Narrow"/>
        <family val="2"/>
        <charset val="238"/>
        <scheme val="minor"/>
      </rPr>
      <t>kvalifikovaný odhad ceny</t>
    </r>
    <r>
      <rPr>
        <sz val="7"/>
        <color theme="1"/>
        <rFont val="Aptos Narrow"/>
        <family val="2"/>
        <charset val="238"/>
        <scheme val="minor"/>
      </rPr>
      <t xml:space="preserve"> </t>
    </r>
  </si>
  <si>
    <t>*Trvalky mulčovány vrstvou 6 cm, keře vrstvou 10 cm</t>
  </si>
  <si>
    <r>
      <t>Zalití rostlin vodou (trvalky a keře) - 25l na 1 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b/>
        <sz val="7"/>
        <color theme="1"/>
        <rFont val="Aptos Narrow"/>
        <family val="2"/>
        <charset val="238"/>
        <scheme val="minor"/>
      </rPr>
      <t>(opakováno 3x)</t>
    </r>
  </si>
  <si>
    <t>Vodorovná doprava KAČÍRKU NA MULČ bez naložení, ale se složením a s hrubým urovnáním ze sypkých materiálů, na vzdálenost do 1 km</t>
  </si>
  <si>
    <t xml:space="preserve">Vodorovné přemístění ŠTĚPKY a KOMPOSTU po suchu na obvyklém dopravním prostředku, bez naložení výkopku, avšak se složením bez rozhrnutí na vzdálenost přes 9 000 do 10 000 m </t>
  </si>
  <si>
    <t>Rostlinný materiál</t>
  </si>
  <si>
    <r>
      <t>STROM -</t>
    </r>
    <r>
      <rPr>
        <i/>
        <sz val="7"/>
        <color theme="1"/>
        <rFont val="Aptos Narrow"/>
        <family val="2"/>
        <charset val="238"/>
        <scheme val="minor"/>
      </rPr>
      <t xml:space="preserve"> vysokokmen s balem, koruna zapěstována v podchozí výšce min. 2,2m</t>
    </r>
  </si>
  <si>
    <t>Styphnolobium japonicum (jerlín), bal. Vel. 18-20</t>
  </si>
  <si>
    <t>KEŘE</t>
  </si>
  <si>
    <t>Viburnum farreri vel. 100-125</t>
  </si>
  <si>
    <t>Euonymus alatus 'Compactus', vel. 60-80</t>
  </si>
  <si>
    <t>Viburnum opulus 'Compactum' , vel. 60-80</t>
  </si>
  <si>
    <t>Spiraea x vanhouttei, vel. 40-80</t>
  </si>
  <si>
    <t>Hydrangea arborescens  'Annabelle', vel. 40-60</t>
  </si>
  <si>
    <t>Hydrangea serrata, vel. 40-60</t>
  </si>
  <si>
    <t>Rosa hugonis, vel. 40-80</t>
  </si>
  <si>
    <t>Caryopteris clandonensis, vel. 40-60</t>
  </si>
  <si>
    <t>Pachistima canbyi, vel. 20-40</t>
  </si>
  <si>
    <t>Rosa 'The Fairy', vel. 20-40</t>
  </si>
  <si>
    <r>
      <t xml:space="preserve">TRVALKY </t>
    </r>
    <r>
      <rPr>
        <i/>
        <sz val="7"/>
        <color theme="1"/>
        <rFont val="Aptos Narrow"/>
        <family val="2"/>
        <charset val="238"/>
        <scheme val="minor"/>
      </rPr>
      <t>(odhad průměrné ceny sazenice - počítáno s nákupem cca  65% sazenik K9 a 38% K11)</t>
    </r>
  </si>
  <si>
    <t>Achillea filipendulina</t>
  </si>
  <si>
    <t>Agastache rugosa 'Blue Fortune'</t>
  </si>
  <si>
    <t>Allium millenium</t>
  </si>
  <si>
    <t>Amsonia tabernaemontana 'Blue Ice'</t>
  </si>
  <si>
    <t>Amsonia hubrichtii</t>
  </si>
  <si>
    <t>Anemone sylvestris</t>
  </si>
  <si>
    <t>Anaphalis triplinervis 'Neuschnee' (25-30cm)  či 'Silver Wave' (35cm) (šedozelený l.)</t>
  </si>
  <si>
    <t>Aster ageratoides 'Ashvi'</t>
  </si>
  <si>
    <t>Aster ageratoides 'Asran'</t>
  </si>
  <si>
    <t>Aster dumosus ‘Prof. A. Kippenberg’</t>
  </si>
  <si>
    <t>Aster ericoides ´Schneetanne´</t>
  </si>
  <si>
    <t>Bouteloua gracilis</t>
  </si>
  <si>
    <t>Campanula alliariifolia</t>
  </si>
  <si>
    <t>Calamagrostis acutiflora 'Karl Foerster'</t>
  </si>
  <si>
    <t>Calamintha nepeta 'Triumphator'</t>
  </si>
  <si>
    <t>Centranthus ruber 'Coccineus'</t>
  </si>
  <si>
    <t>Coreopsis verticillata " Zagreb "</t>
  </si>
  <si>
    <t>Dianthus deltoides ´Brilliant´</t>
  </si>
  <si>
    <t>Dianthus carthusianorum</t>
  </si>
  <si>
    <t xml:space="preserve"> Dianthus gratianopolitanus </t>
  </si>
  <si>
    <t>Echinacea pallida</t>
  </si>
  <si>
    <t>Echinacea purpurea př. 'Magnus'</t>
  </si>
  <si>
    <t>Epimedium rubrum</t>
  </si>
  <si>
    <t xml:space="preserve">Gaura lindheimeri  </t>
  </si>
  <si>
    <t>Geranium x cantabrigiense 'Cambridge'</t>
  </si>
  <si>
    <t>Geranium macrorrhizum</t>
  </si>
  <si>
    <t>Helleborus foetidus</t>
  </si>
  <si>
    <t>Hemerocallis 'Mini Stella' - velmi raná, remontantní</t>
  </si>
  <si>
    <t>Helleborus orientalis</t>
  </si>
  <si>
    <t>Hemerocallis 'Stella d'Oro'</t>
  </si>
  <si>
    <t>Liriope muscari ´Ingwersen (polosuchá)</t>
  </si>
  <si>
    <t>MIscanthus sinensis 'Purpurascens'</t>
  </si>
  <si>
    <t>Miscanthus sinensis ´Red Chief</t>
  </si>
  <si>
    <t>Monardella odoratissima</t>
  </si>
  <si>
    <t>Nepeta x faassenii</t>
  </si>
  <si>
    <t>Pennisetum alopecuroides 'Hameln'</t>
  </si>
  <si>
    <t>Phlomis tuberosa</t>
  </si>
  <si>
    <t>Salvia nemorosa 'Caradonna' (tm. Fial, fial stonky)</t>
  </si>
  <si>
    <t>Salvia officinalis</t>
  </si>
  <si>
    <t>Salvia sclarea</t>
  </si>
  <si>
    <t>Schyzachirium scoparium</t>
  </si>
  <si>
    <t>Sesleria autumnalis</t>
  </si>
  <si>
    <t>Sedum floriferum</t>
  </si>
  <si>
    <t>Sedum telephium 'Herbstfreude'</t>
  </si>
  <si>
    <t>Sedum kamtschaticum</t>
  </si>
  <si>
    <t xml:space="preserve">Sedum spurium </t>
  </si>
  <si>
    <t>sideritis cypria</t>
  </si>
  <si>
    <t>Sideritis scardica</t>
  </si>
  <si>
    <t>Teucrium chamaedrys</t>
  </si>
  <si>
    <t>Thymus serpyllum 'Albus'</t>
  </si>
  <si>
    <t>Thymus praecox ´Pseudolanuginosus'</t>
  </si>
  <si>
    <t>Vinca minor</t>
  </si>
  <si>
    <t>CIBULOVINY</t>
  </si>
  <si>
    <t>Allium aflatunense 'Purple Sensation'</t>
  </si>
  <si>
    <t>Narcissus 'Thalia'</t>
  </si>
  <si>
    <t>Narcissus 'Tete  a tete'</t>
  </si>
  <si>
    <t>Narcissus pseudonarcissus (50%) + Narcissus Dutch Master (50%) - sázeny do hnízd po cca 5 ks v různém poměru</t>
  </si>
  <si>
    <t>Tulipa tarda</t>
  </si>
  <si>
    <t>Galanthus nivalis</t>
  </si>
  <si>
    <t>Crocus mix barev (fialová, žlutá, bílá)</t>
  </si>
  <si>
    <t>Ztratné rostlinný materiál - 5%</t>
  </si>
  <si>
    <r>
      <t xml:space="preserve">doprava výsadbového materiálu </t>
    </r>
    <r>
      <rPr>
        <i/>
        <sz val="7"/>
        <color theme="1"/>
        <rFont val="Aptos Narrow"/>
        <family val="2"/>
        <charset val="238"/>
        <scheme val="minor"/>
      </rPr>
      <t>- hrubý odhad</t>
    </r>
  </si>
  <si>
    <t>Luční a štěrkový trávník</t>
  </si>
  <si>
    <r>
      <t xml:space="preserve">Obdělání půdy frézováním v rovině a svahu do 1:5 - </t>
    </r>
    <r>
      <rPr>
        <i/>
        <sz val="7"/>
        <color theme="1"/>
        <rFont val="Aptos Narrow"/>
        <family val="2"/>
        <charset val="238"/>
        <scheme val="minor"/>
      </rPr>
      <t>plocha č. 31</t>
    </r>
  </si>
  <si>
    <r>
      <t xml:space="preserve">Obdělání půdy frézováním ve svahu přes 1:5 do 1:2 - </t>
    </r>
    <r>
      <rPr>
        <i/>
        <sz val="7"/>
        <color theme="1"/>
        <rFont val="Aptos Narrow"/>
        <family val="2"/>
        <charset val="238"/>
        <scheme val="minor"/>
      </rPr>
      <t>plocha č. 30</t>
    </r>
  </si>
  <si>
    <t>Obdělání půdy hrabáním v rovině a svahu do 1:5</t>
  </si>
  <si>
    <t>Obdělání půdy hrabáním ve svahu přes 1:2 do 1:1</t>
  </si>
  <si>
    <r>
      <t>Výsev trávníku hydroosevem na ornici</t>
    </r>
    <r>
      <rPr>
        <i/>
        <sz val="7"/>
        <color theme="1"/>
        <rFont val="Aptos Narrow"/>
        <family val="2"/>
        <charset val="238"/>
        <scheme val="minor"/>
      </rPr>
      <t xml:space="preserve"> </t>
    </r>
  </si>
  <si>
    <r>
      <t xml:space="preserve">travní osivo PAPRSEK - travobylinná směs přírodního charakteru vhodná do sucha (výsevek  5-8 g/m2) vč. dopravy - </t>
    </r>
    <r>
      <rPr>
        <i/>
        <sz val="7"/>
        <color theme="1"/>
        <rFont val="Aptos Narrow"/>
        <family val="2"/>
        <charset val="238"/>
        <scheme val="minor"/>
      </rPr>
      <t>cca 2,5kg (zaokrouhleno na celá kg - započítáno ztratné osiva)</t>
    </r>
  </si>
  <si>
    <r>
      <t>travní osivo pro štěrkový trávník s řebříčkem (Lolium perenne 40%, Festuca rubra rubra 15%..) - výsevek 20-30g/m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, vč. dopravy - </t>
    </r>
    <r>
      <rPr>
        <i/>
        <sz val="7"/>
        <color theme="1"/>
        <rFont val="Aptos Narrow"/>
        <family val="2"/>
        <charset val="238"/>
        <scheme val="minor"/>
      </rPr>
      <t xml:space="preserve"> (zaokrouhleno na celá kg - započítáno ztratné osiva)</t>
    </r>
  </si>
  <si>
    <t>Sadové úpravy - celkem:</t>
  </si>
  <si>
    <t>DPH základní 21%:</t>
  </si>
  <si>
    <t>DPH 12%:</t>
  </si>
  <si>
    <t>Pro rozpočet byla použita Cenová soustava ÚRS - K07 - krajinářské, terénní a zemní práce.
práce) z roku 2024.</t>
  </si>
  <si>
    <t>Do rozpočtu jsou zahrnuty náklady na dopravu dřevní hmoty a sadovnického materiálu na vzdálenost pouze 5 km.</t>
  </si>
  <si>
    <t>Dovoz vody pro zálivku je naceněn pouze na vzdálenost do 1 km. Delší vzdálenosti nejsou zahrnuty.</t>
  </si>
  <si>
    <t>Dovoz kameniva naceněn pro vzdálenost lomu 11 km.</t>
  </si>
  <si>
    <t>Dovoz substrátu a kompostu naceněn pro vzdálenost 10 km.</t>
  </si>
  <si>
    <t>ROZVOJOVÁ A NÁSLEDNÁ PÉČE</t>
  </si>
  <si>
    <t>Dokončovací péče v roce výsadby (předpoklad jarní výsadby)</t>
  </si>
  <si>
    <t xml:space="preserve">V rámci provádění údržby bude vždy provedeno vyčištění ploch od odpadků a budou likvidovány odpady vzniklé při údržbě v zařízení k tomu určeném v souladu se zákonem č. 185/20014 Sb., o odpadech v platném znění. Ceny jsou vždy za práce i materiál potřebný k údržbě a úklidu, vč. rostlinného materiálu a vody a vč. likvidace odpadů. </t>
  </si>
  <si>
    <r>
      <t>Zálivka nového stromu - 7</t>
    </r>
    <r>
      <rPr>
        <i/>
        <sz val="7"/>
        <color theme="1"/>
        <rFont val="Aptos Narrow"/>
        <family val="2"/>
        <charset val="238"/>
        <scheme val="minor"/>
      </rPr>
      <t>0l/m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14x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dle výsadby (zde zálivka od 1.4.-30.10. každých 14 dní)</t>
    </r>
  </si>
  <si>
    <t>naložení větví na dopravní prostředek v ceně</t>
  </si>
  <si>
    <r>
      <t>Zálivka stromů stávajících - 80</t>
    </r>
    <r>
      <rPr>
        <i/>
        <sz val="7"/>
        <color theme="1"/>
        <rFont val="Aptos Narrow"/>
        <family val="2"/>
        <charset val="238"/>
        <scheme val="minor"/>
      </rPr>
      <t>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12x 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- stromy v ploš č. 1 a 7 (celkem 9ks -  zálivka od 1.4.-30.10.)</t>
    </r>
  </si>
  <si>
    <r>
      <t xml:space="preserve">Zalití rostlin vodou plochy záhonů jednotlivě do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č.3, 8-29)</t>
    </r>
    <r>
      <rPr>
        <sz val="7"/>
        <color theme="1"/>
        <rFont val="Aptos Narrow"/>
        <family val="2"/>
        <charset val="238"/>
        <scheme val="minor"/>
      </rPr>
      <t xml:space="preserve"> - </t>
    </r>
    <r>
      <rPr>
        <i/>
        <sz val="7"/>
        <color theme="1"/>
        <rFont val="Aptos Narrow"/>
        <family val="2"/>
        <charset val="238"/>
        <scheme val="minor"/>
      </rPr>
      <t>opakováno 9x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</t>
    </r>
  </si>
  <si>
    <r>
      <t xml:space="preserve">Zalití rostlin vodou plochy záhonů jednotlivě přes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1-2, 4-7, keře z plochy č.30 - opakováno 10x (zohledněno v m3))</t>
    </r>
  </si>
  <si>
    <r>
      <t xml:space="preserve">Zalití louky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č. 30 a 31) - opakováno 5x (zohledněno v m3)</t>
    </r>
    <r>
      <rPr>
        <sz val="7"/>
        <color theme="1"/>
        <rFont val="Aptos Narrow"/>
        <family val="2"/>
        <charset val="238"/>
        <scheme val="minor"/>
      </rPr>
      <t xml:space="preserve"> -</t>
    </r>
    <r>
      <rPr>
        <i/>
        <sz val="7"/>
        <color theme="1"/>
        <rFont val="Aptos Narrow"/>
        <family val="2"/>
        <charset val="238"/>
        <scheme val="minor"/>
      </rPr>
      <t>dle potřeby</t>
    </r>
  </si>
  <si>
    <r>
      <t xml:space="preserve">Zalití štěrkového trávníku </t>
    </r>
    <r>
      <rPr>
        <i/>
        <sz val="7"/>
        <color theme="1"/>
        <rFont val="Aptos Narrow"/>
        <family val="2"/>
        <charset val="238"/>
        <scheme val="minor"/>
      </rPr>
      <t>- opakováno 8x (zohledněno v m3) - během suchých period (25l/m2- spolu s trvalkami či loukou)</t>
    </r>
  </si>
  <si>
    <t>20-40l/m2</t>
  </si>
  <si>
    <t xml:space="preserve">	111151121</t>
  </si>
  <si>
    <t>Pokosení štěrkového trávníku v rovině- včetně shrabání, naložení a odvozu do 20 km - 4x (zohledněno v ploše)</t>
  </si>
  <si>
    <t xml:space="preserve">	185802113</t>
  </si>
  <si>
    <t>Hnojení štěrkového trávníku N hnojivem v rovině nebo na svahu do 1:5 - po první seči</t>
  </si>
  <si>
    <t>Pokosení lučního trávníku v rovině - včetně shrabání, naložení a odvozu do 20 km - 2x (zohledněno v ploše)</t>
  </si>
  <si>
    <t>1. V cenách jsou započteny i náklady na shrabání a naložení shrabu na dopravní prostředek, odvozem do 20 km a se složením.</t>
  </si>
  <si>
    <t xml:space="preserve">	Pokosení trávníku lučního pl do 1000 m2 s odvozem do 20 km ve svahu přes 1:2 do 1:1 - včetně shrabání, naložení a odvozu do 20 km -2x (zohledněno v ploše)</t>
  </si>
  <si>
    <t>*po založení je nutné včas provést odplevelovací seč!, vychází-li odplevelovací seč do letního období NEPROVÁDÍ SE!</t>
  </si>
  <si>
    <t>Odplevelení záhonu květin v rovině a svahu do 1:5 - 2x (zohledněno v ploše)</t>
  </si>
  <si>
    <t>V cenách jsou započteny i náklady spojené s nakypřením, s případným naložením odpadu na dopravní prostředek, odvozem do 20 km a se složením</t>
  </si>
  <si>
    <t>Odplevelení záhonu růží v rovině a svahu do 1:5 - 2x (zohledněno v ploše)</t>
  </si>
  <si>
    <t xml:space="preserve">	185804513</t>
  </si>
  <si>
    <t>Odplevelení dřevin solitérních v rovině a svahu do 1:5 -2x (zohledněno v ploše)</t>
  </si>
  <si>
    <t>Odplevelení souvislých keřových skupin v rovině a svahu do 1:5 -2x</t>
  </si>
  <si>
    <t>Odplevelení keřových skupin ve svahu do 1:1 *2</t>
  </si>
  <si>
    <r>
      <t>m</t>
    </r>
    <r>
      <rPr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/>
    </r>
  </si>
  <si>
    <t>sledování zdravotního stavu stromu a keřů a jejich okamžité ošetření příslušnými ochrannými prostředky v případě výskytu chorob a škůdců - kontrola a případná aplikace 3x ročně</t>
  </si>
  <si>
    <t>Skládka:</t>
  </si>
  <si>
    <r>
      <t>uložení rostlinného materiálu na skládce - hrubý</t>
    </r>
    <r>
      <rPr>
        <i/>
        <sz val="7"/>
        <color theme="1"/>
        <rFont val="Aptos Narrow"/>
        <family val="2"/>
        <charset val="238"/>
        <scheme val="minor"/>
      </rPr>
      <t xml:space="preserve"> odhad</t>
    </r>
  </si>
  <si>
    <t>DOKONČOVACÍ PÉČE CELKEM bez DPH:</t>
  </si>
  <si>
    <t>Rozvojová péče - 1 rok po výsadbě</t>
  </si>
  <si>
    <t xml:space="preserve">Opravný řez stromů průklestem </t>
  </si>
  <si>
    <t>Odstranění ukotvení kmene dřevin třemi kůly D do 0,1 m dl přes 2 do 3 m - stromy v ploše č. 1 (jaro)</t>
  </si>
  <si>
    <r>
      <t>Zálivka stromů (nově vysazených) - 10</t>
    </r>
    <r>
      <rPr>
        <i/>
        <sz val="7"/>
        <color theme="1"/>
        <rFont val="Aptos Narrow"/>
        <family val="2"/>
        <charset val="238"/>
        <scheme val="minor"/>
      </rPr>
      <t>0l/m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10x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cca od 1.4. - 30.10.</t>
    </r>
    <r>
      <rPr>
        <sz val="7"/>
        <color theme="1"/>
        <rFont val="Aptos Narrow"/>
        <family val="2"/>
        <charset val="238"/>
        <scheme val="minor"/>
      </rPr>
      <t xml:space="preserve"> </t>
    </r>
  </si>
  <si>
    <r>
      <t>Zálivka stromů stávajících - 8</t>
    </r>
    <r>
      <rPr>
        <i/>
        <sz val="7"/>
        <color theme="1"/>
        <rFont val="Aptos Narrow"/>
        <family val="2"/>
        <charset val="238"/>
        <scheme val="minor"/>
      </rPr>
      <t>0l/m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10x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- stromy v ploš č. 1 a 7 (celkem 9ks)</t>
    </r>
  </si>
  <si>
    <r>
      <t xml:space="preserve">Zalití rostlin vodou plochy záhonů jednotlivě přes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1-2, 4-7, keře z plochy č.30 - opakováno 11x (zohledněno v m3))</t>
    </r>
  </si>
  <si>
    <r>
      <t xml:space="preserve">Zalití rostlin vodou plochy záhonů jednotlivě do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č.3, 8-29)</t>
    </r>
    <r>
      <rPr>
        <sz val="7"/>
        <color theme="1"/>
        <rFont val="Aptos Narrow"/>
        <family val="2"/>
        <charset val="238"/>
        <scheme val="minor"/>
      </rPr>
      <t xml:space="preserve"> - </t>
    </r>
    <r>
      <rPr>
        <i/>
        <sz val="7"/>
        <color theme="1"/>
        <rFont val="Aptos Narrow"/>
        <family val="2"/>
        <charset val="238"/>
        <scheme val="minor"/>
      </rPr>
      <t>opakováno 11x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</t>
    </r>
  </si>
  <si>
    <r>
      <t xml:space="preserve">Zalití louky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č. 30 a 31) - opakováno 5x v případě potřeby (zohledněno v m3)</t>
    </r>
  </si>
  <si>
    <r>
      <t xml:space="preserve">Zalití štěrkového trávníku </t>
    </r>
    <r>
      <rPr>
        <i/>
        <sz val="7"/>
        <color theme="1"/>
        <rFont val="Aptos Narrow"/>
        <family val="2"/>
        <charset val="238"/>
        <scheme val="minor"/>
      </rPr>
      <t>- opakováno 10x (zohledněno v m3) - během suchých period (25l/m2- spolu s trvalkami)</t>
    </r>
  </si>
  <si>
    <t>Obnova závlahové mísy u solitérních dřevin v rovině nebo na svahu do 1:5, o průměru mísy přes 0,5 do 1 m - stávající stromy v ploše č.1 a plocha č.6, 3x ročně spolu s vypletím stromu</t>
  </si>
  <si>
    <t>Znovuuvázání dřeviny ke kůlům (1 strom 3 ks úvazů - kontrola provedena 2x ročně - do 50%)</t>
  </si>
  <si>
    <t xml:space="preserve">	Pokosení trávníku lučního pl do 1000 m2 s odvozem do 20 km ve svahu přes 1:2 do 1:1 - včetně shrabání, naložení a odvozu do 20 km - 2x (zohledněno v ploše)</t>
  </si>
  <si>
    <t>Odplevelení záhonu květin v rovině a svahu do 1:5 - 3x (zohledněno v ploše)</t>
  </si>
  <si>
    <t>Odplevelení záhonu růží v rovině a svahu do 1:5 - 3x (zohledněno v ploše)</t>
  </si>
  <si>
    <t>Odplevelení dřevin solitérních v rovině a svahu do 1:5 -3x (zohledněno v ploše)</t>
  </si>
  <si>
    <t>Odplevelení souvislých keřových skupin v rovině a svahu do 1:5 -3x</t>
  </si>
  <si>
    <t>Odplevelení keřových skupin ve svahu do 1:1 3x</t>
  </si>
  <si>
    <t xml:space="preserve">Řez trvalek ve vegetačním období v rovině nebo ve svahu do 1:5 jarní řez, včetně vyhrabání rostliných zbytků a naložení </t>
  </si>
  <si>
    <t>Řez trvalek ve vegetačním období v rovině nebo ve svahu do 1:5 odstranění odkvetlých květenství plošně -1x</t>
  </si>
  <si>
    <t xml:space="preserve">Dosadba trvalek (průběžná kontrola porostů a dosadba uhynulých výsadeb - předpoklad do 5%) </t>
  </si>
  <si>
    <t>sortiment na dosadby</t>
  </si>
  <si>
    <t>Odstranění odkvetlých a odumřelých částí letniček, cibulovin s odklizením odpadu do 20 km</t>
  </si>
  <si>
    <t>Odstranění odkvetlých a odumřelých částí růží s odklizením odpadu do 20 km</t>
  </si>
  <si>
    <t>doplnění mulčovací štěpky - 10% objemu (cena mulče)</t>
  </si>
  <si>
    <t>sledování zdravotního stavu stromů a keřů a jejich okamžité ošetření příslušnými ochrannými prostředky v případě výskytu chorob a škůdců - kontrola a případná aplikace 6x ročně</t>
  </si>
  <si>
    <t xml:space="preserve">	185811151</t>
  </si>
  <si>
    <t>Podzimní shrabání listí s pokryvnými rostlinami vrstvy do 50 mm pl do 1000 m2 v rovině a svahu do 1:5 - z trvalkových záhonů - opakováno 2x - plochy 1-7</t>
  </si>
  <si>
    <t>Hnojení půdy nebo trávníku v rovině nebo na svahu do 1:5 umělým hnojivem na široko</t>
  </si>
  <si>
    <t>Hnojení půdy umělým hnojivem k jednotlivým rostlinám v rovině a svahu do 1:5 (dle potřeby 3x ročně)</t>
  </si>
  <si>
    <t>jarní úprava štěrkové plochy s doplněním materiálu a uhutněním</t>
  </si>
  <si>
    <t>1 rok CELKEM bez DPH:</t>
  </si>
  <si>
    <t>Následná péče - 2. rok po výsadbě</t>
  </si>
  <si>
    <t>udržba je stejná jako 1. rok po výsadbě</t>
  </si>
  <si>
    <t>Odstranění ukotvení kmene dřevin třemi kůly D do 0,1 m dl přes 2 do 3 m - na podzim odstranění kotvení v ploše č. 6</t>
  </si>
  <si>
    <t>2. rok CELKEM bez DPH:</t>
  </si>
  <si>
    <t>Následná péče - 3. rok po výsadbě</t>
  </si>
  <si>
    <r>
      <t>Zálivka stromu - 8</t>
    </r>
    <r>
      <rPr>
        <i/>
        <sz val="7"/>
        <color theme="1"/>
        <rFont val="Aptos Narrow"/>
        <family val="2"/>
        <charset val="238"/>
        <scheme val="minor"/>
      </rPr>
      <t>0l/m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7x přibližně 1 x měsíčně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 xml:space="preserve">) </t>
    </r>
  </si>
  <si>
    <r>
      <t>Zálivka stromů stávajících - 8</t>
    </r>
    <r>
      <rPr>
        <i/>
        <sz val="7"/>
        <color theme="1"/>
        <rFont val="Aptos Narrow"/>
        <family val="2"/>
        <charset val="238"/>
        <scheme val="minor"/>
      </rPr>
      <t>0(100)l/m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7x přibližně 1 x měsíčně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- stromy v ploš č. 1 a 7 (celkem 9ks)</t>
    </r>
  </si>
  <si>
    <r>
      <t xml:space="preserve">Zalití rostlin vodou plochy záhonů jednotlivě přes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1-2, 4-7, keře z plochy č.30 - opakováno 7x (zohledněno v m3))</t>
    </r>
  </si>
  <si>
    <r>
      <t xml:space="preserve">Zalití rostlin vodou plochy záhonů jednotlivě do 20 m2 - </t>
    </r>
    <r>
      <rPr>
        <i/>
        <sz val="7"/>
        <color theme="1"/>
        <rFont val="Aptos Narrow"/>
        <family val="2"/>
        <charset val="238"/>
        <scheme val="minor"/>
      </rPr>
      <t>25l/m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</t>
    </r>
    <r>
      <rPr>
        <i/>
        <sz val="7"/>
        <color theme="1"/>
        <rFont val="Aptos Narrow"/>
        <family val="2"/>
        <charset val="238"/>
        <scheme val="minor"/>
      </rPr>
      <t>(plochy č.3, 8-29)</t>
    </r>
    <r>
      <rPr>
        <sz val="7"/>
        <color theme="1"/>
        <rFont val="Aptos Narrow"/>
        <family val="2"/>
        <charset val="238"/>
        <scheme val="minor"/>
      </rPr>
      <t xml:space="preserve"> - </t>
    </r>
    <r>
      <rPr>
        <i/>
        <sz val="7"/>
        <color theme="1"/>
        <rFont val="Aptos Narrow"/>
        <family val="2"/>
        <charset val="238"/>
        <scheme val="minor"/>
      </rPr>
      <t>opakováno 7x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</t>
    </r>
  </si>
  <si>
    <r>
      <t xml:space="preserve">Zalití štěrkového trávníku </t>
    </r>
    <r>
      <rPr>
        <i/>
        <sz val="7"/>
        <color theme="1"/>
        <rFont val="Aptos Narrow"/>
        <family val="2"/>
        <charset val="238"/>
        <scheme val="minor"/>
      </rPr>
      <t>- opakováno 5x (zohledněno v m3) - během suchých period (25l/m2- spolu s trvalkami)</t>
    </r>
  </si>
  <si>
    <t>Odplevelení záhonu trvalek v rovině a svahu do 1:5 - 2x (zohledněno v ploše)</t>
  </si>
  <si>
    <t>Odplevelení souvislých keřových skupin v rovině a svahu do 1:5 -1x</t>
  </si>
  <si>
    <t>Odplevelení keřových skupin ve svahu do 1:1 *1</t>
  </si>
  <si>
    <t>doplnění mulčovací štěpky - 10% objemu</t>
  </si>
  <si>
    <t>sledování zdravotního stavu stromů</t>
  </si>
  <si>
    <t>jarní úprava štěrkové plochy (drenážního mlatu) s doplněním materiálu a zaválcováním</t>
  </si>
  <si>
    <t>3. rok CELKEM bez DPH:</t>
  </si>
  <si>
    <t>Následná péče - 4. rok po výsadbě</t>
  </si>
  <si>
    <r>
      <t>Zálivka stromu - 100</t>
    </r>
    <r>
      <rPr>
        <i/>
        <sz val="7"/>
        <color theme="1"/>
        <rFont val="Aptos Narrow"/>
        <family val="2"/>
        <charset val="238"/>
        <scheme val="minor"/>
      </rPr>
      <t>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4x v suché periodě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</t>
    </r>
  </si>
  <si>
    <r>
      <t>Zálivka stromů stávajících - 8</t>
    </r>
    <r>
      <rPr>
        <i/>
        <sz val="7"/>
        <color theme="1"/>
        <rFont val="Aptos Narrow"/>
        <family val="2"/>
        <charset val="238"/>
        <scheme val="minor"/>
      </rPr>
      <t>0(100)l/m</t>
    </r>
    <r>
      <rPr>
        <i/>
        <vertAlign val="superscript"/>
        <sz val="7"/>
        <color theme="1"/>
        <rFont val="Aptos Narrow"/>
        <family val="2"/>
        <charset val="238"/>
        <scheme val="minor"/>
      </rPr>
      <t>2</t>
    </r>
    <r>
      <rPr>
        <sz val="7"/>
        <color theme="1"/>
        <rFont val="Aptos Narrow"/>
        <family val="2"/>
        <charset val="238"/>
        <scheme val="minor"/>
      </rPr>
      <t xml:space="preserve">  - </t>
    </r>
    <r>
      <rPr>
        <i/>
        <sz val="7"/>
        <color theme="1"/>
        <rFont val="Aptos Narrow"/>
        <family val="2"/>
        <charset val="238"/>
        <scheme val="minor"/>
      </rPr>
      <t>opakováno 4x (zohledněno v m</t>
    </r>
    <r>
      <rPr>
        <i/>
        <vertAlign val="superscript"/>
        <sz val="7"/>
        <color theme="1"/>
        <rFont val="Abadi Extra Light"/>
        <family val="2"/>
      </rPr>
      <t>3</t>
    </r>
    <r>
      <rPr>
        <i/>
        <sz val="7"/>
        <color theme="1"/>
        <rFont val="Aptos Narrow"/>
        <family val="2"/>
        <charset val="238"/>
        <scheme val="minor"/>
      </rPr>
      <t>) - stromy v ploš č. 1 a 7 (celkem 9ks)</t>
    </r>
  </si>
  <si>
    <r>
      <t xml:space="preserve">Zalití štěrkového trávníku </t>
    </r>
    <r>
      <rPr>
        <i/>
        <sz val="7"/>
        <color theme="1"/>
        <rFont val="Aptos Narrow"/>
        <family val="2"/>
        <charset val="238"/>
        <scheme val="minor"/>
      </rPr>
      <t>- opakováno 5x (zohledněno v m3)</t>
    </r>
  </si>
  <si>
    <t xml:space="preserve">Obnova závlahové mísy u solitérních dřevin v rovině nebo na svahu do 1:5, o průměru mísy přes 0,5 do 1 m - stávající stromy v ploše č.1 a č.6, 2x ročně </t>
  </si>
  <si>
    <t>Odplevelení záhonu růží v rovině a svahu do 1:5 - 1x (zohledněno v ploše)</t>
  </si>
  <si>
    <t>doplnění mulčovací štěpky - 10% objemu (dřeviny a stromy)</t>
  </si>
  <si>
    <t>4. rok CELKEM bez DPH:</t>
  </si>
  <si>
    <t>Následná péče -  5. rok po výsadbě</t>
  </si>
  <si>
    <t>udržba je stejná jako 4. rok po výsadbě</t>
  </si>
  <si>
    <t>5. rok CELKEM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</si>
</sst>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\ &quot;Kč&quot;"/>
  </numFmts>
  <fonts count="3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6"/>
      <color theme="1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6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7"/>
      <color theme="1"/>
      <name val="Aptos Narrow"/>
      <family val="2"/>
      <charset val="238"/>
      <scheme val="minor"/>
    </font>
    <font>
      <u/>
      <sz val="7"/>
      <color theme="1"/>
      <name val="Aptos Narrow"/>
      <family val="2"/>
      <charset val="238"/>
      <scheme val="minor"/>
    </font>
    <font>
      <sz val="6.5"/>
      <color theme="1"/>
      <name val="Aptos Narrow"/>
      <family val="2"/>
      <charset val="238"/>
      <scheme val="minor"/>
    </font>
    <font>
      <vertAlign val="superscript"/>
      <sz val="7"/>
      <color theme="1"/>
      <name val="Aptos Narrow"/>
      <family val="2"/>
      <charset val="238"/>
      <scheme val="minor"/>
    </font>
    <font>
      <sz val="7"/>
      <name val="Aptos Narrow"/>
      <family val="2"/>
      <charset val="238"/>
      <scheme val="minor"/>
    </font>
    <font>
      <i/>
      <sz val="7"/>
      <name val="Aptos Narrow"/>
      <family val="2"/>
      <charset val="238"/>
      <scheme val="minor"/>
    </font>
    <font>
      <sz val="8"/>
      <color rgb="FFFF0000"/>
      <name val="Aptos Narrow"/>
      <family val="2"/>
      <charset val="238"/>
      <scheme val="minor"/>
    </font>
    <font>
      <i/>
      <sz val="7"/>
      <color theme="1"/>
      <name val="Aptos Narrow"/>
      <family val="2"/>
      <charset val="238"/>
      <scheme val="minor"/>
    </font>
    <font>
      <b/>
      <i/>
      <sz val="7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7"/>
      <name val="Aptos Narrow"/>
      <family val="2"/>
      <charset val="238"/>
      <scheme val="minor"/>
    </font>
    <font>
      <i/>
      <sz val="8"/>
      <color theme="1"/>
      <name val="Aptos Narrow"/>
      <family val="2"/>
      <charset val="238"/>
      <scheme val="minor"/>
    </font>
    <font>
      <b/>
      <sz val="6.5"/>
      <color theme="1"/>
      <name val="Aptos Narrow"/>
      <family val="2"/>
      <charset val="238"/>
      <scheme val="minor"/>
    </font>
    <font>
      <sz val="9"/>
      <color rgb="FFFF0000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i/>
      <sz val="6.5"/>
      <color theme="1"/>
      <name val="Aptos Narrow"/>
      <family val="2"/>
      <charset val="238"/>
      <scheme val="minor"/>
    </font>
    <font>
      <i/>
      <sz val="8"/>
      <color rgb="FFFF0000"/>
      <name val="Aptos Narrow"/>
      <family val="2"/>
      <charset val="238"/>
      <scheme val="minor"/>
    </font>
    <font>
      <b/>
      <i/>
      <sz val="7"/>
      <color theme="1"/>
      <name val="Aptos Narrow"/>
      <family val="2"/>
      <charset val="238"/>
      <scheme val="minor"/>
    </font>
    <font>
      <b/>
      <sz val="8"/>
      <name val="Aptos Narrow"/>
      <family val="2"/>
      <charset val="238"/>
      <scheme val="minor"/>
    </font>
    <font>
      <i/>
      <sz val="6"/>
      <color theme="1"/>
      <name val="Aptos Narrow"/>
      <family val="2"/>
      <charset val="238"/>
      <scheme val="minor"/>
    </font>
    <font>
      <i/>
      <vertAlign val="superscript"/>
      <sz val="7"/>
      <color theme="1"/>
      <name val="Aptos Narrow"/>
      <family val="2"/>
      <charset val="238"/>
      <scheme val="minor"/>
    </font>
    <font>
      <i/>
      <vertAlign val="superscript"/>
      <sz val="7"/>
      <color theme="1"/>
      <name val="Abadi Ext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0" fontId="0" fillId="2" borderId="4" xfId="0" applyFill="1" applyBorder="1"/>
    <xf numFmtId="0" fontId="3" fillId="0" borderId="0" xfId="0" applyFont="1"/>
    <xf numFmtId="0" fontId="8" fillId="0" borderId="0" xfId="0" applyFont="1" applyAlignment="1">
      <alignment horizontal="left"/>
    </xf>
    <xf numFmtId="0" fontId="5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" fontId="5" fillId="0" borderId="0" xfId="0" quotePrefix="1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 wrapText="1"/>
    </xf>
    <xf numFmtId="165" fontId="11" fillId="2" borderId="4" xfId="0" applyNumberFormat="1" applyFont="1" applyFill="1" applyBorder="1" applyAlignment="1">
      <alignment horizontal="center" wrapText="1"/>
    </xf>
    <xf numFmtId="0" fontId="1" fillId="0" borderId="4" xfId="0" applyFont="1" applyBorder="1"/>
    <xf numFmtId="0" fontId="3" fillId="0" borderId="4" xfId="0" applyFont="1" applyBorder="1"/>
    <xf numFmtId="0" fontId="0" fillId="0" borderId="4" xfId="0" applyBorder="1"/>
    <xf numFmtId="0" fontId="7" fillId="0" borderId="4" xfId="0" applyFont="1" applyBorder="1"/>
    <xf numFmtId="0" fontId="12" fillId="0" borderId="4" xfId="0" applyFont="1" applyBorder="1"/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" fillId="2" borderId="4" xfId="0" applyFont="1" applyFill="1" applyBorder="1"/>
    <xf numFmtId="0" fontId="5" fillId="0" borderId="4" xfId="0" applyFont="1" applyBorder="1"/>
    <xf numFmtId="0" fontId="15" fillId="0" borderId="4" xfId="0" applyFont="1" applyBorder="1"/>
    <xf numFmtId="0" fontId="7" fillId="0" borderId="4" xfId="0" applyFont="1" applyBorder="1" applyAlignment="1">
      <alignment horizontal="left"/>
    </xf>
    <xf numFmtId="0" fontId="13" fillId="0" borderId="4" xfId="0" applyFont="1" applyBorder="1" applyAlignment="1">
      <alignment wrapText="1"/>
    </xf>
    <xf numFmtId="0" fontId="13" fillId="0" borderId="4" xfId="0" applyFont="1" applyBorder="1"/>
    <xf numFmtId="2" fontId="13" fillId="0" borderId="4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5" fontId="15" fillId="0" borderId="4" xfId="0" applyNumberFormat="1" applyFont="1" applyBorder="1"/>
    <xf numFmtId="165" fontId="15" fillId="0" borderId="7" xfId="0" applyNumberFormat="1" applyFont="1" applyBorder="1"/>
    <xf numFmtId="0" fontId="5" fillId="2" borderId="4" xfId="0" applyFont="1" applyFill="1" applyBorder="1"/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0" fontId="19" fillId="2" borderId="4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0" fillId="2" borderId="0" xfId="0" applyFill="1"/>
    <xf numFmtId="0" fontId="7" fillId="2" borderId="4" xfId="0" applyFont="1" applyFill="1" applyBorder="1"/>
    <xf numFmtId="0" fontId="20" fillId="2" borderId="4" xfId="0" applyFont="1" applyFill="1" applyBorder="1" applyAlignment="1">
      <alignment wrapText="1"/>
    </xf>
    <xf numFmtId="0" fontId="13" fillId="0" borderId="4" xfId="0" applyFont="1" applyBorder="1" applyAlignment="1">
      <alignment horizontal="center"/>
    </xf>
    <xf numFmtId="0" fontId="19" fillId="2" borderId="0" xfId="0" applyFont="1" applyFill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15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wrapText="1"/>
    </xf>
    <xf numFmtId="0" fontId="13" fillId="2" borderId="4" xfId="0" applyFont="1" applyFill="1" applyBorder="1"/>
    <xf numFmtId="2" fontId="13" fillId="2" borderId="4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5" fillId="2" borderId="4" xfId="0" applyNumberFormat="1" applyFont="1" applyFill="1" applyBorder="1"/>
    <xf numFmtId="165" fontId="15" fillId="2" borderId="4" xfId="0" applyNumberFormat="1" applyFont="1" applyFill="1" applyBorder="1"/>
    <xf numFmtId="0" fontId="5" fillId="2" borderId="0" xfId="0" applyFont="1" applyFill="1"/>
    <xf numFmtId="164" fontId="13" fillId="2" borderId="4" xfId="0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9" fillId="2" borderId="8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2" fillId="0" borderId="0" xfId="0" applyFont="1"/>
    <xf numFmtId="0" fontId="22" fillId="2" borderId="0" xfId="0" applyFont="1" applyFill="1" applyAlignment="1">
      <alignment wrapText="1"/>
    </xf>
    <xf numFmtId="0" fontId="23" fillId="0" borderId="4" xfId="0" applyFont="1" applyBorder="1" applyAlignment="1">
      <alignment wrapText="1"/>
    </xf>
    <xf numFmtId="0" fontId="0" fillId="0" borderId="7" xfId="0" applyBorder="1"/>
    <xf numFmtId="0" fontId="8" fillId="0" borderId="0" xfId="0" applyFont="1"/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0" xfId="0" applyFont="1" applyAlignment="1">
      <alignment wrapText="1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5" fillId="0" borderId="0" xfId="0" applyNumberFormat="1" applyFont="1"/>
    <xf numFmtId="165" fontId="15" fillId="0" borderId="0" xfId="0" applyNumberFormat="1" applyFont="1"/>
    <xf numFmtId="0" fontId="24" fillId="0" borderId="0" xfId="0" applyFont="1" applyAlignment="1">
      <alignment wrapText="1"/>
    </xf>
    <xf numFmtId="164" fontId="7" fillId="0" borderId="4" xfId="0" applyNumberFormat="1" applyFont="1" applyBorder="1"/>
    <xf numFmtId="165" fontId="7" fillId="0" borderId="4" xfId="0" applyNumberFormat="1" applyFont="1" applyBorder="1"/>
    <xf numFmtId="0" fontId="0" fillId="3" borderId="4" xfId="0" applyFill="1" applyBorder="1"/>
    <xf numFmtId="0" fontId="7" fillId="3" borderId="4" xfId="0" applyFont="1" applyFill="1" applyBorder="1"/>
    <xf numFmtId="0" fontId="1" fillId="3" borderId="4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center" wrapText="1"/>
    </xf>
    <xf numFmtId="165" fontId="2" fillId="2" borderId="4" xfId="0" applyNumberFormat="1" applyFont="1" applyFill="1" applyBorder="1" applyAlignment="1">
      <alignment wrapText="1"/>
    </xf>
    <xf numFmtId="164" fontId="5" fillId="4" borderId="4" xfId="0" applyNumberFormat="1" applyFont="1" applyFill="1" applyBorder="1"/>
    <xf numFmtId="0" fontId="12" fillId="0" borderId="6" xfId="0" applyFont="1" applyBorder="1" applyAlignment="1">
      <alignment horizontal="left" wrapText="1"/>
    </xf>
    <xf numFmtId="0" fontId="1" fillId="4" borderId="4" xfId="0" applyFont="1" applyFill="1" applyBorder="1"/>
    <xf numFmtId="0" fontId="3" fillId="4" borderId="4" xfId="0" applyFont="1" applyFill="1" applyBorder="1"/>
    <xf numFmtId="164" fontId="0" fillId="4" borderId="7" xfId="0" applyNumberFormat="1" applyFill="1" applyBorder="1" applyAlignment="1">
      <alignment horizontal="right"/>
    </xf>
    <xf numFmtId="164" fontId="0" fillId="4" borderId="9" xfId="0" applyNumberFormat="1" applyFill="1" applyBorder="1" applyAlignment="1">
      <alignment horizontal="right"/>
    </xf>
    <xf numFmtId="164" fontId="0" fillId="4" borderId="8" xfId="0" applyNumberFormat="1" applyFill="1" applyBorder="1" applyAlignment="1">
      <alignment horizontal="right"/>
    </xf>
    <xf numFmtId="165" fontId="10" fillId="4" borderId="4" xfId="0" applyNumberFormat="1" applyFont="1" applyFill="1" applyBorder="1"/>
    <xf numFmtId="0" fontId="11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25" fillId="0" borderId="11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wrapText="1"/>
    </xf>
    <xf numFmtId="0" fontId="11" fillId="0" borderId="11" xfId="0" applyFont="1" applyBorder="1"/>
    <xf numFmtId="2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11" xfId="0" applyFont="1" applyBorder="1"/>
    <xf numFmtId="165" fontId="1" fillId="0" borderId="11" xfId="0" applyNumberFormat="1" applyFont="1" applyBorder="1"/>
    <xf numFmtId="165" fontId="1" fillId="0" borderId="12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3" fillId="0" borderId="0" xfId="0" applyFont="1" applyAlignment="1">
      <alignment wrapText="1"/>
    </xf>
    <xf numFmtId="165" fontId="8" fillId="0" borderId="0" xfId="0" quotePrefix="1" applyNumberFormat="1" applyFont="1" applyAlignment="1">
      <alignment horizontal="center"/>
    </xf>
    <xf numFmtId="165" fontId="8" fillId="0" borderId="13" xfId="0" quotePrefix="1" applyNumberFormat="1" applyFont="1" applyBorder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/>
    </xf>
    <xf numFmtId="165" fontId="15" fillId="0" borderId="13" xfId="0" applyNumberFormat="1" applyFont="1" applyBorder="1"/>
    <xf numFmtId="0" fontId="13" fillId="0" borderId="14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2" fontId="13" fillId="5" borderId="4" xfId="0" applyNumberFormat="1" applyFont="1" applyFill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13" fillId="5" borderId="4" xfId="0" applyFont="1" applyFill="1" applyBorder="1" applyAlignment="1">
      <alignment wrapText="1"/>
    </xf>
    <xf numFmtId="0" fontId="2" fillId="4" borderId="4" xfId="0" applyFont="1" applyFill="1" applyBorder="1"/>
    <xf numFmtId="0" fontId="25" fillId="4" borderId="4" xfId="0" applyFont="1" applyFill="1" applyBorder="1"/>
    <xf numFmtId="0" fontId="3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wrapText="1"/>
    </xf>
    <xf numFmtId="0" fontId="11" fillId="4" borderId="4" xfId="0" applyFont="1" applyFill="1" applyBorder="1"/>
    <xf numFmtId="2" fontId="11" fillId="4" borderId="4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164" fontId="2" fillId="4" borderId="4" xfId="0" applyNumberFormat="1" applyFont="1" applyFill="1" applyBorder="1"/>
    <xf numFmtId="165" fontId="25" fillId="4" borderId="4" xfId="0" applyNumberFormat="1" applyFont="1" applyFill="1" applyBorder="1"/>
    <xf numFmtId="0" fontId="27" fillId="0" borderId="0" xfId="0" applyFont="1" applyAlignment="1">
      <alignment wrapText="1"/>
    </xf>
    <xf numFmtId="165" fontId="25" fillId="0" borderId="4" xfId="0" applyNumberFormat="1" applyFont="1" applyBorder="1"/>
    <xf numFmtId="0" fontId="20" fillId="0" borderId="4" xfId="0" applyFont="1" applyBorder="1"/>
    <xf numFmtId="165" fontId="28" fillId="0" borderId="4" xfId="0" applyNumberFormat="1" applyFont="1" applyBorder="1"/>
    <xf numFmtId="0" fontId="29" fillId="0" borderId="0" xfId="0" applyFont="1" applyAlignment="1">
      <alignment wrapText="1"/>
    </xf>
    <xf numFmtId="0" fontId="24" fillId="0" borderId="0" xfId="0" applyFont="1"/>
    <xf numFmtId="0" fontId="24" fillId="2" borderId="4" xfId="0" applyFont="1" applyFill="1" applyBorder="1"/>
    <xf numFmtId="0" fontId="28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20" fillId="2" borderId="4" xfId="0" applyFont="1" applyFill="1" applyBorder="1"/>
    <xf numFmtId="164" fontId="20" fillId="2" borderId="4" xfId="0" applyNumberFormat="1" applyFont="1" applyFill="1" applyBorder="1" applyAlignment="1">
      <alignment horizontal="center"/>
    </xf>
    <xf numFmtId="0" fontId="24" fillId="0" borderId="4" xfId="0" applyFont="1" applyBorder="1"/>
    <xf numFmtId="164" fontId="20" fillId="0" borderId="4" xfId="0" applyNumberFormat="1" applyFont="1" applyBorder="1" applyAlignment="1">
      <alignment horizontal="center"/>
    </xf>
    <xf numFmtId="0" fontId="5" fillId="4" borderId="4" xfId="0" applyFont="1" applyFill="1" applyBorder="1"/>
    <xf numFmtId="0" fontId="15" fillId="4" borderId="4" xfId="0" applyFont="1" applyFill="1" applyBorder="1"/>
    <xf numFmtId="0" fontId="13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13" fillId="4" borderId="4" xfId="0" applyFont="1" applyFill="1" applyBorder="1"/>
    <xf numFmtId="2" fontId="13" fillId="4" borderId="4" xfId="0" applyNumberFormat="1" applyFont="1" applyFill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/>
    </xf>
    <xf numFmtId="165" fontId="15" fillId="4" borderId="4" xfId="0" applyNumberFormat="1" applyFont="1" applyFill="1" applyBorder="1"/>
    <xf numFmtId="0" fontId="19" fillId="4" borderId="0" xfId="0" applyFont="1" applyFill="1" applyAlignment="1">
      <alignment wrapText="1"/>
    </xf>
    <xf numFmtId="0" fontId="5" fillId="4" borderId="0" xfId="0" applyFont="1" applyFill="1"/>
    <xf numFmtId="0" fontId="15" fillId="5" borderId="4" xfId="0" applyFont="1" applyFill="1" applyBorder="1"/>
    <xf numFmtId="0" fontId="13" fillId="5" borderId="4" xfId="0" applyFont="1" applyFill="1" applyBorder="1" applyAlignment="1">
      <alignment horizontal="center"/>
    </xf>
    <xf numFmtId="2" fontId="5" fillId="0" borderId="0" xfId="0" applyNumberFormat="1" applyFont="1"/>
    <xf numFmtId="0" fontId="13" fillId="4" borderId="4" xfId="0" applyFont="1" applyFill="1" applyBorder="1" applyAlignment="1">
      <alignment horizontal="center"/>
    </xf>
    <xf numFmtId="0" fontId="5" fillId="5" borderId="4" xfId="0" applyFont="1" applyFill="1" applyBorder="1"/>
    <xf numFmtId="0" fontId="13" fillId="5" borderId="2" xfId="0" applyFont="1" applyFill="1" applyBorder="1" applyAlignment="1">
      <alignment horizontal="center"/>
    </xf>
    <xf numFmtId="165" fontId="15" fillId="5" borderId="4" xfId="0" applyNumberFormat="1" applyFont="1" applyFill="1" applyBorder="1"/>
    <xf numFmtId="0" fontId="19" fillId="5" borderId="0" xfId="0" applyFont="1" applyFill="1" applyAlignment="1">
      <alignment wrapText="1"/>
    </xf>
    <xf numFmtId="0" fontId="5" fillId="5" borderId="0" xfId="0" applyFont="1" applyFill="1"/>
    <xf numFmtId="0" fontId="13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7" fillId="5" borderId="4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/>
    </xf>
    <xf numFmtId="0" fontId="23" fillId="4" borderId="4" xfId="0" applyFont="1" applyFill="1" applyBorder="1" applyAlignment="1">
      <alignment wrapText="1"/>
    </xf>
    <xf numFmtId="0" fontId="31" fillId="4" borderId="4" xfId="0" applyFont="1" applyFill="1" applyBorder="1" applyAlignment="1">
      <alignment horizontal="left" vertical="center"/>
    </xf>
    <xf numFmtId="0" fontId="31" fillId="4" borderId="7" xfId="0" applyFont="1" applyFill="1" applyBorder="1" applyAlignment="1">
      <alignment horizontal="left" vertical="center" wrapText="1"/>
    </xf>
    <xf numFmtId="0" fontId="31" fillId="4" borderId="9" xfId="0" applyFont="1" applyFill="1" applyBorder="1" applyAlignment="1">
      <alignment horizontal="left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wrapText="1"/>
    </xf>
    <xf numFmtId="0" fontId="31" fillId="4" borderId="0" xfId="0" applyFont="1" applyFill="1"/>
    <xf numFmtId="0" fontId="7" fillId="5" borderId="2" xfId="0" applyFont="1" applyFill="1" applyBorder="1" applyAlignment="1">
      <alignment horizontal="center" wrapText="1"/>
    </xf>
    <xf numFmtId="1" fontId="13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wrapText="1"/>
    </xf>
    <xf numFmtId="0" fontId="32" fillId="2" borderId="2" xfId="0" applyFont="1" applyFill="1" applyBorder="1" applyAlignment="1">
      <alignment horizontal="center" wrapText="1"/>
    </xf>
    <xf numFmtId="2" fontId="20" fillId="2" borderId="4" xfId="0" applyNumberFormat="1" applyFont="1" applyFill="1" applyBorder="1" applyAlignment="1">
      <alignment horizontal="center"/>
    </xf>
    <xf numFmtId="164" fontId="24" fillId="2" borderId="4" xfId="0" applyNumberFormat="1" applyFont="1" applyFill="1" applyBorder="1"/>
    <xf numFmtId="165" fontId="28" fillId="2" borderId="4" xfId="0" applyNumberFormat="1" applyFont="1" applyFill="1" applyBorder="1"/>
    <xf numFmtId="0" fontId="29" fillId="2" borderId="0" xfId="0" applyFont="1" applyFill="1" applyAlignment="1">
      <alignment wrapText="1"/>
    </xf>
    <xf numFmtId="0" fontId="24" fillId="2" borderId="0" xfId="0" applyFont="1" applyFill="1"/>
    <xf numFmtId="1" fontId="13" fillId="5" borderId="4" xfId="0" applyNumberFormat="1" applyFont="1" applyFill="1" applyBorder="1" applyAlignment="1">
      <alignment horizontal="center"/>
    </xf>
    <xf numFmtId="0" fontId="15" fillId="0" borderId="8" xfId="0" applyFont="1" applyBorder="1"/>
    <xf numFmtId="0" fontId="11" fillId="0" borderId="4" xfId="0" applyFont="1" applyBorder="1" applyAlignment="1">
      <alignment horizontal="center"/>
    </xf>
    <xf numFmtId="0" fontId="30" fillId="0" borderId="4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2" fontId="13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164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/>
    </xf>
    <xf numFmtId="0" fontId="31" fillId="0" borderId="0" xfId="0" applyFont="1"/>
    <xf numFmtId="0" fontId="12" fillId="3" borderId="4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wrapText="1"/>
    </xf>
    <xf numFmtId="2" fontId="12" fillId="3" borderId="4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/>
    <xf numFmtId="0" fontId="26" fillId="3" borderId="0" xfId="0" applyFont="1" applyFill="1" applyAlignment="1">
      <alignment wrapText="1"/>
    </xf>
    <xf numFmtId="0" fontId="12" fillId="3" borderId="0" xfId="0" applyFont="1" applyFill="1"/>
    <xf numFmtId="164" fontId="12" fillId="3" borderId="4" xfId="0" applyNumberFormat="1" applyFont="1" applyFill="1" applyBorder="1"/>
    <xf numFmtId="165" fontId="12" fillId="3" borderId="7" xfId="0" applyNumberFormat="1" applyFont="1" applyFill="1" applyBorder="1"/>
    <xf numFmtId="0" fontId="1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11" fillId="5" borderId="1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13" fillId="5" borderId="0" xfId="0" applyNumberFormat="1" applyFont="1" applyFill="1" applyAlignment="1">
      <alignment horizontal="center"/>
    </xf>
    <xf numFmtId="165" fontId="8" fillId="0" borderId="13" xfId="0" quotePrefix="1" applyNumberFormat="1" applyFont="1" applyBorder="1"/>
    <xf numFmtId="0" fontId="13" fillId="0" borderId="5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16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8" xfId="0" applyFont="1" applyBorder="1"/>
    <xf numFmtId="0" fontId="13" fillId="0" borderId="7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2" fillId="0" borderId="0" xfId="0" applyFont="1"/>
    <xf numFmtId="0" fontId="2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164" fontId="13" fillId="5" borderId="4" xfId="0" applyNumberFormat="1" applyFont="1" applyFill="1" applyBorder="1" applyAlignment="1">
      <alignment horizontal="center"/>
    </xf>
    <xf numFmtId="165" fontId="15" fillId="0" borderId="8" xfId="0" applyNumberFormat="1" applyFont="1" applyBorder="1"/>
    <xf numFmtId="0" fontId="13" fillId="2" borderId="0" xfId="0" applyFont="1" applyFill="1" applyAlignment="1">
      <alignment horizontal="center"/>
    </xf>
    <xf numFmtId="0" fontId="15" fillId="2" borderId="0" xfId="0" applyFont="1" applyFill="1"/>
    <xf numFmtId="0" fontId="20" fillId="2" borderId="0" xfId="0" applyFont="1" applyFill="1" applyAlignment="1">
      <alignment wrapText="1"/>
    </xf>
    <xf numFmtId="0" fontId="13" fillId="2" borderId="0" xfId="0" applyFont="1" applyFill="1"/>
    <xf numFmtId="0" fontId="5" fillId="2" borderId="0" xfId="0" applyFont="1" applyFill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9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0" fillId="5" borderId="0" xfId="0" applyFill="1"/>
    <xf numFmtId="0" fontId="13" fillId="3" borderId="4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165" fontId="15" fillId="3" borderId="4" xfId="0" applyNumberFormat="1" applyFont="1" applyFill="1" applyBorder="1"/>
    <xf numFmtId="0" fontId="2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wrapText="1"/>
    </xf>
    <xf numFmtId="164" fontId="2" fillId="3" borderId="4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57</xdr:row>
      <xdr:rowOff>0</xdr:rowOff>
    </xdr:from>
    <xdr:to>
      <xdr:col>3</xdr:col>
      <xdr:colOff>2356696</xdr:colOff>
      <xdr:row>57</xdr:row>
      <xdr:rowOff>1332027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26AE340-3672-406C-A73C-C17BE33A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6870680"/>
          <a:ext cx="2356696" cy="133202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2171700</xdr:colOff>
      <xdr:row>61</xdr:row>
      <xdr:rowOff>2381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135F404-3DD0-440B-9E57-4D814849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994880"/>
          <a:ext cx="2171700" cy="1221581"/>
        </a:xfrm>
        <a:prstGeom prst="rect">
          <a:avLst/>
        </a:prstGeom>
      </xdr:spPr>
    </xdr:pic>
    <xdr:clientData/>
  </xdr:twoCellAnchor>
  <xdr:twoCellAnchor editAs="oneCell">
    <xdr:from>
      <xdr:col>3</xdr:col>
      <xdr:colOff>2269066</xdr:colOff>
      <xdr:row>60</xdr:row>
      <xdr:rowOff>3440</xdr:rowOff>
    </xdr:from>
    <xdr:to>
      <xdr:col>7</xdr:col>
      <xdr:colOff>102549</xdr:colOff>
      <xdr:row>61</xdr:row>
      <xdr:rowOff>4234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7D74A6E8-31FE-47C6-B27E-F0D464767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546" y="19998320"/>
          <a:ext cx="2093063" cy="12199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7c2bb8d2b7bfd2/Pr&#225;ce/01_PROJEKTY%20VLASTNI/240002_OZP%20Hlav&#225;&#269;ova/03_PRACOVNI%20DATA/OZPMalomerice_TL_241009.xlsx" TargetMode="External"/><Relationship Id="rId1" Type="http://schemas.openxmlformats.org/officeDocument/2006/relationships/externalLinkPath" Target="/f47c2bb8d2b7bfd2/Pr&#225;ce/01_PROJEKTY%20VLASTNI/240002_OZP%20Hlav&#225;&#269;ova/03_PRACOVNI%20DATA/OZPMalomerice_TL_241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pis ploch"/>
      <sheetName val="VV"/>
      <sheetName val="položkový rozpočet"/>
      <sheetName val="VV_polozkovy"/>
      <sheetName val="VN"/>
      <sheetName val="rozpočet SU"/>
      <sheetName val="VV_SU"/>
      <sheetName val="rozvojová péče"/>
      <sheetName val="vv_rozvojova pece"/>
      <sheetName val="List6"/>
      <sheetName val="sortiment"/>
      <sheetName val="sortiment komplet"/>
    </sheetNames>
    <sheetDataSet>
      <sheetData sheetId="0">
        <row r="5">
          <cell r="D5">
            <v>90</v>
          </cell>
          <cell r="K5">
            <v>90</v>
          </cell>
        </row>
        <row r="6">
          <cell r="D6">
            <v>36</v>
          </cell>
          <cell r="K6">
            <v>17</v>
          </cell>
        </row>
        <row r="7">
          <cell r="D7">
            <v>11</v>
          </cell>
          <cell r="K7">
            <v>10</v>
          </cell>
        </row>
        <row r="8">
          <cell r="D8">
            <v>76</v>
          </cell>
          <cell r="K8">
            <v>76</v>
          </cell>
        </row>
        <row r="9">
          <cell r="D9">
            <v>25.2</v>
          </cell>
        </row>
        <row r="10">
          <cell r="D10">
            <v>32.5</v>
          </cell>
        </row>
        <row r="11">
          <cell r="D11">
            <v>79</v>
          </cell>
          <cell r="K11">
            <v>23</v>
          </cell>
        </row>
        <row r="12">
          <cell r="D12">
            <v>8.1</v>
          </cell>
          <cell r="K12">
            <v>8.1</v>
          </cell>
        </row>
        <row r="13">
          <cell r="D13">
            <v>4.5999999999999996</v>
          </cell>
          <cell r="K13">
            <v>4.5999999999999996</v>
          </cell>
        </row>
        <row r="14">
          <cell r="D14">
            <v>8.6</v>
          </cell>
          <cell r="K14">
            <v>8.6</v>
          </cell>
        </row>
        <row r="15">
          <cell r="D15">
            <v>5.7</v>
          </cell>
          <cell r="K15">
            <v>5.7</v>
          </cell>
        </row>
        <row r="16">
          <cell r="D16">
            <v>34</v>
          </cell>
          <cell r="K16">
            <v>28</v>
          </cell>
        </row>
        <row r="17">
          <cell r="D17">
            <v>5.6</v>
          </cell>
          <cell r="K17">
            <v>5.6</v>
          </cell>
        </row>
        <row r="18">
          <cell r="D18">
            <v>3.7</v>
          </cell>
          <cell r="K18">
            <v>3.7</v>
          </cell>
        </row>
        <row r="19">
          <cell r="D19">
            <v>11.5</v>
          </cell>
          <cell r="K19">
            <v>11.5</v>
          </cell>
        </row>
        <row r="20">
          <cell r="D20">
            <v>14.2</v>
          </cell>
          <cell r="K20">
            <v>14.2</v>
          </cell>
        </row>
        <row r="21">
          <cell r="D21">
            <v>9.6999999999999993</v>
          </cell>
          <cell r="K21">
            <v>9.6999999999999993</v>
          </cell>
        </row>
        <row r="22">
          <cell r="D22">
            <v>4.7</v>
          </cell>
          <cell r="K22">
            <v>4.7</v>
          </cell>
        </row>
        <row r="23">
          <cell r="D23">
            <v>19.600000000000001</v>
          </cell>
          <cell r="K23">
            <v>19.600000000000001</v>
          </cell>
        </row>
        <row r="24">
          <cell r="D24">
            <v>14.2</v>
          </cell>
          <cell r="K24">
            <v>14.2</v>
          </cell>
        </row>
        <row r="25">
          <cell r="D25">
            <v>6.3</v>
          </cell>
          <cell r="K25">
            <v>6.3</v>
          </cell>
        </row>
        <row r="26">
          <cell r="D26">
            <v>3</v>
          </cell>
          <cell r="K26">
            <v>3</v>
          </cell>
        </row>
        <row r="27">
          <cell r="D27">
            <v>11</v>
          </cell>
          <cell r="K27">
            <v>11</v>
          </cell>
        </row>
        <row r="28">
          <cell r="D28">
            <v>11.7</v>
          </cell>
          <cell r="K28">
            <v>11.7</v>
          </cell>
        </row>
        <row r="29">
          <cell r="D29">
            <v>16.8</v>
          </cell>
          <cell r="K29">
            <v>16.8</v>
          </cell>
        </row>
        <row r="30">
          <cell r="D30">
            <v>3.9</v>
          </cell>
          <cell r="K30">
            <v>3.9</v>
          </cell>
        </row>
        <row r="31">
          <cell r="D31">
            <v>12.5</v>
          </cell>
          <cell r="K31">
            <v>12.5</v>
          </cell>
        </row>
        <row r="32">
          <cell r="D32">
            <v>10</v>
          </cell>
          <cell r="K32">
            <v>10</v>
          </cell>
        </row>
        <row r="33">
          <cell r="D33">
            <v>12.3</v>
          </cell>
          <cell r="K33">
            <v>12.3</v>
          </cell>
        </row>
        <row r="34">
          <cell r="D34">
            <v>158</v>
          </cell>
          <cell r="I34">
            <v>122</v>
          </cell>
          <cell r="L34">
            <v>122</v>
          </cell>
          <cell r="N34">
            <v>18</v>
          </cell>
          <cell r="U34">
            <v>48</v>
          </cell>
        </row>
        <row r="35">
          <cell r="D35">
            <v>225</v>
          </cell>
          <cell r="I35">
            <v>225</v>
          </cell>
        </row>
        <row r="37">
          <cell r="D37">
            <v>964.4</v>
          </cell>
        </row>
      </sheetData>
      <sheetData sheetId="1">
        <row r="3">
          <cell r="B3">
            <v>435.49999999999983</v>
          </cell>
        </row>
        <row r="6">
          <cell r="B6">
            <v>12.5</v>
          </cell>
        </row>
        <row r="9">
          <cell r="B9">
            <v>12.6</v>
          </cell>
        </row>
        <row r="10">
          <cell r="B10">
            <v>15</v>
          </cell>
        </row>
        <row r="12">
          <cell r="B12">
            <v>50</v>
          </cell>
        </row>
        <row r="15">
          <cell r="B15">
            <v>32.799999999999997</v>
          </cell>
        </row>
        <row r="16">
          <cell r="B16">
            <v>30</v>
          </cell>
        </row>
        <row r="18">
          <cell r="B18">
            <v>201</v>
          </cell>
        </row>
        <row r="19">
          <cell r="B19">
            <v>113</v>
          </cell>
        </row>
        <row r="20">
          <cell r="B20">
            <v>24</v>
          </cell>
        </row>
        <row r="21">
          <cell r="B21">
            <v>12.4</v>
          </cell>
        </row>
        <row r="27">
          <cell r="B27">
            <v>457.2</v>
          </cell>
        </row>
        <row r="28">
          <cell r="B28">
            <v>457.2</v>
          </cell>
        </row>
        <row r="29">
          <cell r="B29">
            <v>224.80000000000004</v>
          </cell>
        </row>
        <row r="30">
          <cell r="B30">
            <v>108</v>
          </cell>
          <cell r="D30">
            <v>10.8</v>
          </cell>
        </row>
        <row r="31">
          <cell r="B31">
            <v>252.1</v>
          </cell>
          <cell r="D31">
            <v>15.125999999999999</v>
          </cell>
        </row>
        <row r="32">
          <cell r="B32">
            <v>536.5</v>
          </cell>
        </row>
        <row r="33">
          <cell r="B33">
            <v>280.7</v>
          </cell>
        </row>
        <row r="34">
          <cell r="B34">
            <v>844.7</v>
          </cell>
        </row>
        <row r="35">
          <cell r="B35">
            <v>12.4</v>
          </cell>
        </row>
        <row r="36">
          <cell r="B36">
            <v>27</v>
          </cell>
        </row>
        <row r="38">
          <cell r="B38">
            <v>45.3</v>
          </cell>
        </row>
        <row r="39">
          <cell r="B39">
            <v>21.7</v>
          </cell>
        </row>
        <row r="40">
          <cell r="B40">
            <v>37</v>
          </cell>
        </row>
        <row r="52">
          <cell r="B52">
            <v>24.1</v>
          </cell>
        </row>
        <row r="53">
          <cell r="B53">
            <v>23</v>
          </cell>
        </row>
        <row r="54">
          <cell r="B54">
            <v>12</v>
          </cell>
        </row>
      </sheetData>
      <sheetData sheetId="2"/>
      <sheetData sheetId="3"/>
      <sheetData sheetId="4"/>
      <sheetData sheetId="5">
        <row r="140">
          <cell r="F140">
            <v>2050</v>
          </cell>
        </row>
        <row r="150">
          <cell r="F150">
            <v>27.222300000000004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B24B-E804-4DB7-8F67-D6AF03907E79}">
  <dimension ref="A1:J90"/>
  <sheetViews>
    <sheetView tabSelected="1" workbookViewId="0">
      <selection activeCell="G75" sqref="G75"/>
    </sheetView>
  </sheetViews>
  <sheetFormatPr defaultRowHeight="14.4" x14ac:dyDescent="0.3"/>
  <cols>
    <col min="1" max="1" width="2.5546875" customWidth="1"/>
    <col min="2" max="2" width="2.6640625" customWidth="1"/>
    <col min="3" max="3" width="6.33203125" style="13" customWidth="1"/>
    <col min="4" max="4" width="45" customWidth="1"/>
    <col min="5" max="5" width="3.109375" customWidth="1"/>
    <col min="6" max="6" width="6.33203125" customWidth="1"/>
    <col min="7" max="7" width="7.6640625" customWidth="1"/>
    <col min="8" max="8" width="8.6640625" customWidth="1"/>
    <col min="9" max="9" width="7.109375" customWidth="1"/>
  </cols>
  <sheetData>
    <row r="1" spans="1:10" s="10" customFormat="1" ht="34.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6" t="s">
        <v>8</v>
      </c>
      <c r="J1" s="7" t="s">
        <v>9</v>
      </c>
    </row>
    <row r="2" spans="1:10" ht="25.8" customHeight="1" x14ac:dyDescent="0.3">
      <c r="A2" s="11" t="s">
        <v>11</v>
      </c>
      <c r="B2" s="12"/>
    </row>
    <row r="3" spans="1:10" x14ac:dyDescent="0.3">
      <c r="A3" s="12" t="s">
        <v>12</v>
      </c>
      <c r="B3" s="12"/>
      <c r="C3" s="15"/>
      <c r="D3" s="16" t="s">
        <v>13</v>
      </c>
    </row>
    <row r="4" spans="1:10" x14ac:dyDescent="0.3">
      <c r="A4" s="17" t="s">
        <v>14</v>
      </c>
      <c r="B4" s="9"/>
      <c r="C4" s="18"/>
      <c r="D4" s="19" t="s">
        <v>15</v>
      </c>
    </row>
    <row r="5" spans="1:10" x14ac:dyDescent="0.3">
      <c r="A5" s="9"/>
      <c r="B5" s="9"/>
      <c r="C5" s="18"/>
      <c r="D5" s="20" t="s">
        <v>16</v>
      </c>
    </row>
    <row r="6" spans="1:10" s="22" customFormat="1" ht="21" customHeight="1" x14ac:dyDescent="0.3">
      <c r="A6" s="21" t="s">
        <v>17</v>
      </c>
      <c r="B6" s="21"/>
    </row>
    <row r="7" spans="1:10" ht="4.05" customHeight="1" x14ac:dyDescent="0.3"/>
    <row r="8" spans="1:10" ht="30.6" customHeight="1" x14ac:dyDescent="0.3">
      <c r="A8" s="24" t="s">
        <v>18</v>
      </c>
      <c r="B8" s="24"/>
      <c r="C8" s="24" t="s">
        <v>2</v>
      </c>
      <c r="D8" s="24" t="s">
        <v>3</v>
      </c>
      <c r="E8" s="24" t="s">
        <v>4</v>
      </c>
      <c r="F8" s="25" t="s">
        <v>5</v>
      </c>
      <c r="G8" s="26" t="s">
        <v>6</v>
      </c>
      <c r="H8" s="24" t="s">
        <v>19</v>
      </c>
      <c r="I8" s="27" t="s">
        <v>8</v>
      </c>
      <c r="J8" s="7" t="s">
        <v>9</v>
      </c>
    </row>
    <row r="10" spans="1:10" x14ac:dyDescent="0.3">
      <c r="A10" s="28"/>
      <c r="B10" s="28"/>
      <c r="C10" s="29"/>
      <c r="D10" s="28" t="s">
        <v>20</v>
      </c>
      <c r="E10" s="30"/>
      <c r="F10" s="30"/>
      <c r="G10" s="30"/>
      <c r="H10" s="30"/>
      <c r="I10" s="30"/>
      <c r="J10" s="30"/>
    </row>
    <row r="11" spans="1:10" x14ac:dyDescent="0.3">
      <c r="A11" s="30"/>
      <c r="B11" s="30"/>
      <c r="C11" s="31"/>
      <c r="D11" s="32" t="s">
        <v>21</v>
      </c>
      <c r="E11" s="30"/>
      <c r="F11" s="30"/>
      <c r="G11" s="30"/>
      <c r="H11" s="30"/>
      <c r="I11" s="30"/>
      <c r="J11" s="30"/>
    </row>
    <row r="12" spans="1:10" ht="18" customHeight="1" x14ac:dyDescent="0.3">
      <c r="B12" s="33"/>
      <c r="C12" s="34"/>
      <c r="D12" s="35" t="s">
        <v>22</v>
      </c>
      <c r="E12" s="35"/>
      <c r="F12" s="35"/>
      <c r="G12" s="35"/>
      <c r="H12" s="35"/>
    </row>
    <row r="13" spans="1:10" ht="24.6" customHeight="1" x14ac:dyDescent="0.3">
      <c r="C13" s="34"/>
      <c r="D13" s="36" t="s">
        <v>23</v>
      </c>
      <c r="E13" s="36"/>
      <c r="F13" s="36"/>
      <c r="G13" s="36"/>
      <c r="H13" s="36"/>
    </row>
    <row r="14" spans="1:10" ht="22.8" customHeight="1" x14ac:dyDescent="0.3">
      <c r="C14" s="34"/>
      <c r="D14" s="37" t="s">
        <v>24</v>
      </c>
      <c r="E14" s="37"/>
      <c r="F14" s="37"/>
      <c r="G14" s="37"/>
      <c r="H14" s="37"/>
    </row>
    <row r="15" spans="1:10" ht="13.8" customHeight="1" x14ac:dyDescent="0.3">
      <c r="C15" s="34"/>
      <c r="D15" s="38" t="s">
        <v>25</v>
      </c>
      <c r="E15" s="37"/>
      <c r="F15" s="37"/>
      <c r="G15" s="37"/>
      <c r="H15" s="37"/>
    </row>
    <row r="16" spans="1:10" ht="22.8" customHeight="1" x14ac:dyDescent="0.3">
      <c r="C16" s="34"/>
      <c r="D16" s="37" t="s">
        <v>26</v>
      </c>
      <c r="E16" s="37"/>
      <c r="F16" s="37"/>
      <c r="G16" s="37"/>
      <c r="H16" s="37"/>
    </row>
    <row r="17" spans="1:10" ht="20.399999999999999" customHeight="1" x14ac:dyDescent="0.3">
      <c r="C17" s="34"/>
      <c r="D17" s="37" t="s">
        <v>27</v>
      </c>
      <c r="E17" s="37"/>
      <c r="F17" s="37"/>
      <c r="G17" s="37"/>
      <c r="H17" s="37"/>
    </row>
    <row r="18" spans="1:10" ht="22.2" customHeight="1" x14ac:dyDescent="0.3">
      <c r="C18" s="34"/>
      <c r="D18" s="37" t="s">
        <v>28</v>
      </c>
      <c r="E18" s="37"/>
      <c r="F18" s="37"/>
      <c r="G18" s="37"/>
      <c r="H18" s="37"/>
    </row>
    <row r="19" spans="1:10" ht="14.4" customHeight="1" x14ac:dyDescent="0.3">
      <c r="C19" s="34"/>
      <c r="D19" s="37" t="s">
        <v>29</v>
      </c>
      <c r="E19" s="37"/>
      <c r="F19" s="37"/>
      <c r="G19" s="37"/>
      <c r="H19" s="37"/>
    </row>
    <row r="20" spans="1:10" ht="14.4" customHeight="1" x14ac:dyDescent="0.3">
      <c r="C20" s="34"/>
      <c r="D20" s="37" t="s">
        <v>30</v>
      </c>
      <c r="E20" s="37"/>
      <c r="F20" s="37"/>
      <c r="G20" s="37"/>
      <c r="H20" s="37"/>
    </row>
    <row r="21" spans="1:10" ht="22.2" customHeight="1" x14ac:dyDescent="0.3">
      <c r="C21" s="34"/>
      <c r="D21" s="37" t="s">
        <v>31</v>
      </c>
      <c r="E21" s="37"/>
      <c r="F21" s="37"/>
      <c r="G21" s="37"/>
      <c r="H21" s="37"/>
    </row>
    <row r="22" spans="1:10" ht="22.2" customHeight="1" x14ac:dyDescent="0.3">
      <c r="C22" s="34"/>
      <c r="D22" s="37" t="s">
        <v>32</v>
      </c>
      <c r="E22" s="37"/>
      <c r="F22" s="37"/>
      <c r="G22" s="37"/>
      <c r="H22" s="37"/>
    </row>
    <row r="23" spans="1:10" ht="18" customHeight="1" x14ac:dyDescent="0.3">
      <c r="B23" s="33"/>
      <c r="C23" s="34"/>
      <c r="D23" s="36" t="s">
        <v>33</v>
      </c>
      <c r="E23" s="36"/>
      <c r="F23" s="36"/>
      <c r="G23" s="36"/>
      <c r="H23" s="36"/>
    </row>
    <row r="24" spans="1:10" ht="14.4" customHeight="1" x14ac:dyDescent="0.3">
      <c r="B24" s="33"/>
      <c r="C24" s="34"/>
      <c r="D24" s="36" t="s">
        <v>34</v>
      </c>
      <c r="E24" s="36"/>
      <c r="F24" s="36"/>
      <c r="G24" s="36"/>
      <c r="H24" s="36"/>
    </row>
    <row r="25" spans="1:10" ht="33.6" customHeight="1" x14ac:dyDescent="0.3">
      <c r="B25" s="33"/>
      <c r="C25" s="34"/>
      <c r="D25" s="36" t="s">
        <v>35</v>
      </c>
      <c r="E25" s="36"/>
      <c r="F25" s="36"/>
      <c r="G25" s="36"/>
      <c r="H25" s="36"/>
    </row>
    <row r="26" spans="1:10" ht="13.8" customHeight="1" x14ac:dyDescent="0.3"/>
    <row r="27" spans="1:10" s="12" customFormat="1" x14ac:dyDescent="0.3">
      <c r="A27" s="21">
        <v>1</v>
      </c>
      <c r="B27" s="21"/>
      <c r="C27" s="15"/>
      <c r="D27" s="21" t="s">
        <v>36</v>
      </c>
    </row>
    <row r="28" spans="1:10" s="9" customFormat="1" ht="24" customHeight="1" x14ac:dyDescent="0.25">
      <c r="A28" s="40"/>
      <c r="B28" s="41" t="s">
        <v>37</v>
      </c>
      <c r="C28" s="42" t="s">
        <v>38</v>
      </c>
      <c r="D28" s="43" t="s">
        <v>39</v>
      </c>
      <c r="E28" s="44" t="s">
        <v>40</v>
      </c>
      <c r="F28" s="45">
        <f>[1]VV!B54</f>
        <v>12</v>
      </c>
      <c r="G28" s="46">
        <v>0</v>
      </c>
      <c r="H28" s="47">
        <f>G28*F28</f>
        <v>0</v>
      </c>
      <c r="I28" s="48">
        <f>H28*0.21</f>
        <v>0</v>
      </c>
      <c r="J28" s="49"/>
    </row>
    <row r="29" spans="1:10" s="9" customFormat="1" ht="15" customHeight="1" x14ac:dyDescent="0.25">
      <c r="A29" s="40"/>
      <c r="B29" s="41" t="s">
        <v>37</v>
      </c>
      <c r="C29" s="51"/>
      <c r="D29" s="52" t="s">
        <v>41</v>
      </c>
      <c r="E29" s="44" t="s">
        <v>40</v>
      </c>
      <c r="F29" s="45">
        <f>F28</f>
        <v>12</v>
      </c>
      <c r="G29" s="46">
        <v>0</v>
      </c>
      <c r="H29" s="47">
        <f>G29*F29</f>
        <v>0</v>
      </c>
      <c r="I29" s="48">
        <f>H29*0.21</f>
        <v>0</v>
      </c>
      <c r="J29" s="49"/>
    </row>
    <row r="30" spans="1:10" s="9" customFormat="1" ht="22.2" customHeight="1" x14ac:dyDescent="0.25">
      <c r="A30" s="40"/>
      <c r="B30" s="41" t="s">
        <v>37</v>
      </c>
      <c r="C30" s="51">
        <v>58343930</v>
      </c>
      <c r="D30" s="52" t="s">
        <v>42</v>
      </c>
      <c r="E30" s="44" t="s">
        <v>43</v>
      </c>
      <c r="F30" s="45">
        <f>(($F$28*0.13)*1.1*1.6)</f>
        <v>2.7456000000000005</v>
      </c>
      <c r="G30" s="46">
        <v>0</v>
      </c>
      <c r="H30" s="47">
        <f>G30*F30</f>
        <v>0</v>
      </c>
      <c r="I30" s="48">
        <f>H30*0.21</f>
        <v>0</v>
      </c>
      <c r="J30" s="49"/>
    </row>
    <row r="31" spans="1:10" s="55" customFormat="1" ht="33.75" customHeight="1" x14ac:dyDescent="0.3">
      <c r="B31" s="14"/>
      <c r="C31" s="56"/>
      <c r="D31" s="57" t="s">
        <v>44</v>
      </c>
    </row>
    <row r="32" spans="1:10" s="9" customFormat="1" ht="21" customHeight="1" x14ac:dyDescent="0.25">
      <c r="A32" s="40"/>
      <c r="B32" s="41" t="s">
        <v>37</v>
      </c>
      <c r="C32" s="58" t="s">
        <v>45</v>
      </c>
      <c r="D32" s="43" t="s">
        <v>46</v>
      </c>
      <c r="E32" s="44" t="s">
        <v>43</v>
      </c>
      <c r="F32" s="45">
        <f>(($F$28*0.02)*1.1*1.6)</f>
        <v>0.42240000000000005</v>
      </c>
      <c r="G32" s="46">
        <v>0</v>
      </c>
      <c r="H32" s="47">
        <f>G32*F32</f>
        <v>0</v>
      </c>
      <c r="I32" s="48">
        <f>H32*0.21</f>
        <v>0</v>
      </c>
      <c r="J32" s="48"/>
    </row>
    <row r="33" spans="1:10" s="9" customFormat="1" ht="23.4" customHeight="1" x14ac:dyDescent="0.25">
      <c r="A33" s="40"/>
      <c r="B33" s="41" t="s">
        <v>37</v>
      </c>
      <c r="C33" s="58" t="s">
        <v>38</v>
      </c>
      <c r="D33" s="43" t="s">
        <v>47</v>
      </c>
      <c r="E33" s="44" t="s">
        <v>43</v>
      </c>
      <c r="F33" s="45">
        <f>(($F$28*0.05)*1.6)</f>
        <v>0.96000000000000019</v>
      </c>
      <c r="G33" s="46">
        <v>0</v>
      </c>
      <c r="H33" s="47">
        <f>G33*F33</f>
        <v>0</v>
      </c>
      <c r="I33" s="48">
        <f>H33*0.21</f>
        <v>0</v>
      </c>
      <c r="J33" s="48"/>
    </row>
    <row r="34" spans="1:10" s="55" customFormat="1" ht="17.25" customHeight="1" x14ac:dyDescent="0.3">
      <c r="B34" s="14"/>
      <c r="C34" s="56"/>
      <c r="D34" s="60" t="s">
        <v>48</v>
      </c>
    </row>
    <row r="35" spans="1:10" s="9" customFormat="1" ht="25.5" customHeight="1" x14ac:dyDescent="0.25">
      <c r="A35" s="40"/>
      <c r="B35" s="41" t="s">
        <v>37</v>
      </c>
      <c r="C35" s="51">
        <v>997221551</v>
      </c>
      <c r="D35" s="52" t="s">
        <v>49</v>
      </c>
      <c r="E35" s="44" t="s">
        <v>43</v>
      </c>
      <c r="F35" s="45">
        <f>SUM(F32:F34,F30)</f>
        <v>4.128000000000001</v>
      </c>
      <c r="G35" s="46">
        <v>0</v>
      </c>
      <c r="H35" s="47">
        <f>G35*F35</f>
        <v>0</v>
      </c>
      <c r="I35" s="48">
        <f>H35*0.21</f>
        <v>0</v>
      </c>
      <c r="J35" s="49"/>
    </row>
    <row r="36" spans="1:10" s="9" customFormat="1" ht="22.95" customHeight="1" x14ac:dyDescent="0.25">
      <c r="A36" s="40"/>
      <c r="B36" s="41" t="s">
        <v>37</v>
      </c>
      <c r="C36" s="51">
        <v>997221559</v>
      </c>
      <c r="D36" s="52" t="s">
        <v>50</v>
      </c>
      <c r="E36" s="44" t="s">
        <v>43</v>
      </c>
      <c r="F36" s="45">
        <f>F35*11</f>
        <v>45.408000000000008</v>
      </c>
      <c r="G36" s="46">
        <v>0</v>
      </c>
      <c r="H36" s="47">
        <f>G36*F36</f>
        <v>0</v>
      </c>
      <c r="I36" s="48">
        <f>H36*0.21</f>
        <v>0</v>
      </c>
      <c r="J36" s="49"/>
    </row>
    <row r="37" spans="1:10" s="9" customFormat="1" ht="16.2" customHeight="1" x14ac:dyDescent="0.25">
      <c r="A37" s="40"/>
      <c r="B37" s="41"/>
      <c r="C37" s="51">
        <v>997221141</v>
      </c>
      <c r="D37" s="52" t="s">
        <v>51</v>
      </c>
      <c r="E37" s="44" t="s">
        <v>43</v>
      </c>
      <c r="F37" s="45">
        <f>F35</f>
        <v>4.128000000000001</v>
      </c>
      <c r="G37" s="46">
        <v>0</v>
      </c>
      <c r="H37" s="47">
        <f>G37*F37</f>
        <v>0</v>
      </c>
      <c r="I37" s="48">
        <f>H37*0.21</f>
        <v>0</v>
      </c>
      <c r="J37" s="49"/>
    </row>
    <row r="38" spans="1:10" ht="39" customHeight="1" x14ac:dyDescent="0.3"/>
    <row r="39" spans="1:10" x14ac:dyDescent="0.3">
      <c r="A39" s="21">
        <v>2</v>
      </c>
      <c r="B39" s="21"/>
      <c r="C39" s="15"/>
      <c r="D39" s="21" t="s">
        <v>52</v>
      </c>
    </row>
    <row r="40" spans="1:10" s="9" customFormat="1" ht="92.4" customHeight="1" x14ac:dyDescent="0.25">
      <c r="A40" s="40"/>
      <c r="B40" s="41"/>
      <c r="C40" s="51"/>
      <c r="D40" s="61" t="s">
        <v>53</v>
      </c>
      <c r="E40" s="62"/>
      <c r="F40" s="63"/>
      <c r="G40" s="40"/>
      <c r="H40" s="47"/>
      <c r="I40" s="48"/>
      <c r="J40" s="48"/>
    </row>
    <row r="41" spans="1:10" s="9" customFormat="1" ht="26.25" customHeight="1" x14ac:dyDescent="0.25">
      <c r="A41" s="40"/>
      <c r="B41" s="41"/>
      <c r="C41" s="64">
        <v>564831011</v>
      </c>
      <c r="D41" s="43" t="s">
        <v>54</v>
      </c>
      <c r="E41" s="44" t="s">
        <v>40</v>
      </c>
      <c r="F41" s="45">
        <f>[1]VV!B21</f>
        <v>12.4</v>
      </c>
      <c r="G41" s="46">
        <v>0</v>
      </c>
      <c r="H41" s="47">
        <f>G41*F41</f>
        <v>0</v>
      </c>
      <c r="I41" s="48">
        <f>H41*0.21</f>
        <v>0</v>
      </c>
      <c r="J41" s="48"/>
    </row>
    <row r="42" spans="1:10" s="73" customFormat="1" ht="50.4" customHeight="1" x14ac:dyDescent="0.25">
      <c r="A42" s="50"/>
      <c r="B42" s="65"/>
      <c r="C42" s="66"/>
      <c r="D42" s="67" t="s">
        <v>55</v>
      </c>
      <c r="E42" s="68"/>
      <c r="F42" s="69"/>
      <c r="G42" s="70"/>
      <c r="H42" s="71"/>
      <c r="I42" s="72"/>
      <c r="J42" s="72"/>
    </row>
    <row r="43" spans="1:10" s="9" customFormat="1" ht="24" customHeight="1" x14ac:dyDescent="0.25">
      <c r="A43" s="40"/>
      <c r="B43" s="41"/>
      <c r="C43" s="51">
        <v>564811011</v>
      </c>
      <c r="D43" s="52" t="s">
        <v>56</v>
      </c>
      <c r="E43" s="44" t="s">
        <v>40</v>
      </c>
      <c r="F43" s="58">
        <f>[1]VV!$B$21</f>
        <v>12.4</v>
      </c>
      <c r="G43" s="46">
        <v>0</v>
      </c>
      <c r="H43" s="47">
        <f>G43*F43</f>
        <v>0</v>
      </c>
      <c r="I43" s="48">
        <f>H43*0.21</f>
        <v>0</v>
      </c>
      <c r="J43" s="48"/>
    </row>
    <row r="44" spans="1:10" s="73" customFormat="1" ht="33" customHeight="1" x14ac:dyDescent="0.25">
      <c r="A44" s="50"/>
      <c r="B44" s="65"/>
      <c r="C44" s="66"/>
      <c r="D44" s="67" t="s">
        <v>57</v>
      </c>
      <c r="E44" s="68"/>
      <c r="F44" s="69"/>
      <c r="G44" s="74"/>
      <c r="H44" s="71"/>
      <c r="I44" s="72"/>
      <c r="J44" s="72"/>
    </row>
    <row r="45" spans="1:10" s="9" customFormat="1" ht="22.5" customHeight="1" x14ac:dyDescent="0.25">
      <c r="A45" s="40"/>
      <c r="B45" s="41" t="s">
        <v>37</v>
      </c>
      <c r="C45" s="51">
        <v>997221141</v>
      </c>
      <c r="D45" s="52" t="s">
        <v>58</v>
      </c>
      <c r="E45" s="44" t="s">
        <v>43</v>
      </c>
      <c r="F45" s="45">
        <v>3.1</v>
      </c>
      <c r="G45" s="75">
        <v>0</v>
      </c>
      <c r="H45" s="47">
        <f>G45*F45</f>
        <v>0</v>
      </c>
      <c r="I45" s="48">
        <f>H45*0.21</f>
        <v>0</v>
      </c>
      <c r="J45" s="48"/>
    </row>
    <row r="46" spans="1:10" s="9" customFormat="1" ht="14.4" customHeight="1" x14ac:dyDescent="0.25">
      <c r="A46" s="40"/>
      <c r="B46" s="41"/>
      <c r="C46" s="64">
        <v>184814211</v>
      </c>
      <c r="D46" s="43" t="s">
        <v>59</v>
      </c>
      <c r="E46" s="44" t="s">
        <v>60</v>
      </c>
      <c r="F46" s="45">
        <f>(F41*0.08)+(F43*0.05)</f>
        <v>1.6120000000000001</v>
      </c>
      <c r="G46" s="46">
        <v>0</v>
      </c>
      <c r="H46" s="47">
        <f>G46*F46</f>
        <v>0</v>
      </c>
      <c r="I46" s="48">
        <f>H46*0.21</f>
        <v>0</v>
      </c>
      <c r="J46" s="48"/>
    </row>
    <row r="47" spans="1:10" s="73" customFormat="1" ht="33" customHeight="1" x14ac:dyDescent="0.25">
      <c r="A47" s="50"/>
      <c r="B47" s="65"/>
      <c r="C47" s="77"/>
      <c r="D47" s="57" t="s">
        <v>61</v>
      </c>
      <c r="E47" s="68"/>
      <c r="F47" s="69"/>
      <c r="G47" s="74"/>
      <c r="H47" s="71"/>
      <c r="I47" s="72"/>
      <c r="J47" s="72"/>
    </row>
    <row r="48" spans="1:10" s="73" customFormat="1" ht="20.399999999999999" customHeight="1" x14ac:dyDescent="0.25">
      <c r="A48" s="40"/>
      <c r="B48" s="41"/>
      <c r="C48" s="64"/>
      <c r="D48" s="78" t="s">
        <v>62</v>
      </c>
      <c r="E48" s="44"/>
      <c r="F48" s="45"/>
      <c r="G48" s="75"/>
      <c r="H48" s="47"/>
      <c r="I48" s="48"/>
      <c r="J48" s="48"/>
    </row>
    <row r="49" spans="1:10" s="9" customFormat="1" ht="24" customHeight="1" x14ac:dyDescent="0.25">
      <c r="A49" s="40"/>
      <c r="B49" s="41"/>
      <c r="C49" s="51" t="s">
        <v>63</v>
      </c>
      <c r="D49" s="52" t="s">
        <v>64</v>
      </c>
      <c r="E49" s="44" t="s">
        <v>40</v>
      </c>
      <c r="F49" s="58">
        <v>5.8</v>
      </c>
      <c r="G49" s="46">
        <v>0</v>
      </c>
      <c r="H49" s="47">
        <f>G49*F49</f>
        <v>0</v>
      </c>
      <c r="I49" s="48">
        <f>H49*0.21</f>
        <v>0</v>
      </c>
      <c r="J49" s="48"/>
    </row>
    <row r="50" spans="1:10" s="9" customFormat="1" ht="24" customHeight="1" x14ac:dyDescent="0.25">
      <c r="A50" s="40"/>
      <c r="B50" s="41"/>
      <c r="C50" s="51">
        <v>122211101</v>
      </c>
      <c r="D50" s="52" t="s">
        <v>65</v>
      </c>
      <c r="E50" s="44" t="s">
        <v>60</v>
      </c>
      <c r="F50" s="58">
        <f>F49*0.13</f>
        <v>0.754</v>
      </c>
      <c r="G50" s="46">
        <v>0</v>
      </c>
      <c r="H50" s="47"/>
      <c r="I50" s="48"/>
      <c r="J50" s="48"/>
    </row>
    <row r="51" spans="1:10" s="9" customFormat="1" ht="17.25" customHeight="1" x14ac:dyDescent="0.25">
      <c r="A51" s="40"/>
      <c r="B51" s="41"/>
      <c r="C51" s="51"/>
      <c r="D51" s="80" t="s">
        <v>48</v>
      </c>
      <c r="E51" s="44"/>
      <c r="F51" s="45"/>
      <c r="G51" s="75"/>
      <c r="H51" s="47"/>
      <c r="I51" s="48"/>
      <c r="J51" s="48"/>
    </row>
    <row r="52" spans="1:10" s="9" customFormat="1" ht="26.25" customHeight="1" x14ac:dyDescent="0.25">
      <c r="A52" s="40"/>
      <c r="B52" s="41" t="s">
        <v>37</v>
      </c>
      <c r="C52" s="51" t="s">
        <v>66</v>
      </c>
      <c r="D52" s="52" t="s">
        <v>49</v>
      </c>
      <c r="E52" s="44" t="s">
        <v>43</v>
      </c>
      <c r="F52" s="45">
        <f>F45</f>
        <v>3.1</v>
      </c>
      <c r="G52" s="46">
        <v>0</v>
      </c>
      <c r="H52" s="47">
        <f>G52*F52</f>
        <v>0</v>
      </c>
      <c r="I52" s="48">
        <f>H52*0.21</f>
        <v>0</v>
      </c>
      <c r="J52" s="48"/>
    </row>
    <row r="53" spans="1:10" s="9" customFormat="1" ht="25.5" customHeight="1" x14ac:dyDescent="0.25">
      <c r="A53" s="40"/>
      <c r="B53" s="41" t="s">
        <v>37</v>
      </c>
      <c r="C53" s="51">
        <v>997221559</v>
      </c>
      <c r="D53" s="52" t="s">
        <v>50</v>
      </c>
      <c r="E53" s="44" t="s">
        <v>43</v>
      </c>
      <c r="F53" s="45">
        <f>F52*10</f>
        <v>31</v>
      </c>
      <c r="G53" s="46">
        <v>0</v>
      </c>
      <c r="H53" s="47">
        <f>G53*F53</f>
        <v>0</v>
      </c>
      <c r="I53" s="48">
        <f>H53*0.21</f>
        <v>0</v>
      </c>
      <c r="J53" s="48"/>
    </row>
    <row r="54" spans="1:10" x14ac:dyDescent="0.3">
      <c r="D54" s="12"/>
    </row>
    <row r="55" spans="1:10" x14ac:dyDescent="0.3">
      <c r="A55" s="12">
        <v>3</v>
      </c>
      <c r="B55" s="12"/>
      <c r="C55" s="15"/>
      <c r="D55" s="12" t="s">
        <v>67</v>
      </c>
    </row>
    <row r="56" spans="1:10" ht="55.05" customHeight="1" x14ac:dyDescent="0.3">
      <c r="A56" s="28"/>
      <c r="B56" s="28"/>
      <c r="C56" s="29"/>
      <c r="D56" s="52" t="s">
        <v>68</v>
      </c>
      <c r="E56" s="30"/>
      <c r="F56" s="30"/>
      <c r="G56" s="30"/>
      <c r="H56" s="30"/>
      <c r="I56" s="30"/>
    </row>
    <row r="57" spans="1:10" ht="26.55" customHeight="1" x14ac:dyDescent="0.3">
      <c r="A57" s="30"/>
      <c r="B57" s="30"/>
      <c r="C57" s="42">
        <v>129911121</v>
      </c>
      <c r="D57" s="52" t="s">
        <v>69</v>
      </c>
      <c r="E57" s="44" t="s">
        <v>60</v>
      </c>
      <c r="F57" s="45">
        <v>0.56000000000000005</v>
      </c>
      <c r="G57" s="46">
        <v>0</v>
      </c>
      <c r="H57" s="47">
        <f>G57*F57</f>
        <v>0</v>
      </c>
      <c r="I57" s="48">
        <f>H57*0.21</f>
        <v>0</v>
      </c>
      <c r="J57" s="81"/>
    </row>
    <row r="58" spans="1:10" ht="105" customHeight="1" x14ac:dyDescent="0.3"/>
    <row r="59" spans="1:10" ht="45.45" customHeight="1" x14ac:dyDescent="0.3">
      <c r="D59" s="82" t="s">
        <v>70</v>
      </c>
    </row>
    <row r="60" spans="1:10" ht="96" customHeight="1" x14ac:dyDescent="0.3">
      <c r="A60" s="30"/>
      <c r="B60" s="30"/>
      <c r="C60" s="42"/>
      <c r="D60" s="83" t="s">
        <v>71</v>
      </c>
      <c r="E60" s="44"/>
      <c r="F60" s="45"/>
      <c r="G60" s="46"/>
      <c r="H60" s="47"/>
      <c r="I60" s="48"/>
      <c r="J60" s="81"/>
    </row>
    <row r="61" spans="1:10" ht="96" customHeight="1" x14ac:dyDescent="0.3">
      <c r="A61" s="30"/>
      <c r="B61" s="30"/>
      <c r="C61" s="42"/>
      <c r="D61" s="83"/>
      <c r="E61" s="44"/>
      <c r="F61" s="45"/>
      <c r="G61" s="46"/>
      <c r="H61" s="47"/>
      <c r="I61" s="48"/>
      <c r="J61" s="81"/>
    </row>
    <row r="62" spans="1:10" ht="30" customHeight="1" x14ac:dyDescent="0.3">
      <c r="A62" s="30"/>
      <c r="B62" s="30"/>
      <c r="C62" s="42" t="s">
        <v>72</v>
      </c>
      <c r="D62" s="52" t="s">
        <v>73</v>
      </c>
      <c r="E62" s="44" t="s">
        <v>74</v>
      </c>
      <c r="F62" s="45">
        <v>25.8</v>
      </c>
      <c r="G62" s="46">
        <v>0</v>
      </c>
      <c r="H62" s="47">
        <f>G62*F62</f>
        <v>0</v>
      </c>
      <c r="I62" s="48">
        <f>H62*0.21</f>
        <v>0</v>
      </c>
      <c r="J62" s="81"/>
    </row>
    <row r="63" spans="1:10" s="9" customFormat="1" ht="15" customHeight="1" x14ac:dyDescent="0.25">
      <c r="A63" s="40"/>
      <c r="B63" s="41"/>
      <c r="C63" s="58"/>
      <c r="D63" s="84" t="s">
        <v>75</v>
      </c>
      <c r="E63" s="44"/>
      <c r="F63" s="45"/>
      <c r="G63" s="46"/>
      <c r="H63" s="47"/>
      <c r="I63" s="48"/>
      <c r="J63" s="48"/>
    </row>
    <row r="64" spans="1:10" s="9" customFormat="1" ht="34.799999999999997" customHeight="1" x14ac:dyDescent="0.25">
      <c r="A64" s="40"/>
      <c r="B64" s="41" t="s">
        <v>37</v>
      </c>
      <c r="C64" s="42">
        <v>162751117</v>
      </c>
      <c r="D64" s="52" t="s">
        <v>76</v>
      </c>
      <c r="E64" s="44" t="s">
        <v>60</v>
      </c>
      <c r="F64" s="45">
        <f>F57+0.2</f>
        <v>0.76</v>
      </c>
      <c r="G64" s="46">
        <v>0</v>
      </c>
      <c r="H64" s="47">
        <f>G64*F64</f>
        <v>0</v>
      </c>
      <c r="I64" s="48">
        <f>H64*0.21</f>
        <v>0</v>
      </c>
      <c r="J64" s="48"/>
    </row>
    <row r="65" spans="1:10" s="9" customFormat="1" ht="19.5" customHeight="1" x14ac:dyDescent="0.25">
      <c r="A65" s="40"/>
      <c r="B65" s="41" t="s">
        <v>77</v>
      </c>
      <c r="C65" s="64" t="s">
        <v>38</v>
      </c>
      <c r="D65" s="52" t="s">
        <v>78</v>
      </c>
      <c r="E65" s="44" t="s">
        <v>43</v>
      </c>
      <c r="F65" s="45">
        <f>F64*1.8</f>
        <v>1.3680000000000001</v>
      </c>
      <c r="G65" s="46">
        <v>0</v>
      </c>
      <c r="H65" s="47">
        <f>G65*F65</f>
        <v>0</v>
      </c>
      <c r="I65" s="48">
        <f>H65*0.21</f>
        <v>0</v>
      </c>
      <c r="J65" s="48"/>
    </row>
    <row r="66" spans="1:10" x14ac:dyDescent="0.3">
      <c r="D66" s="12"/>
    </row>
    <row r="67" spans="1:10" x14ac:dyDescent="0.3">
      <c r="A67" s="12">
        <v>4</v>
      </c>
      <c r="B67" s="12"/>
      <c r="C67" s="15"/>
      <c r="D67" s="12" t="s">
        <v>79</v>
      </c>
    </row>
    <row r="68" spans="1:10" x14ac:dyDescent="0.3">
      <c r="D68" s="78" t="s">
        <v>80</v>
      </c>
    </row>
    <row r="69" spans="1:10" ht="36.6" customHeight="1" x14ac:dyDescent="0.3">
      <c r="A69" s="30"/>
      <c r="B69" s="30"/>
      <c r="C69" s="42" t="s">
        <v>38</v>
      </c>
      <c r="D69" s="52" t="s">
        <v>81</v>
      </c>
      <c r="E69" s="44" t="s">
        <v>60</v>
      </c>
      <c r="F69" s="45">
        <v>1.3</v>
      </c>
      <c r="G69" s="46">
        <v>0</v>
      </c>
      <c r="H69" s="47">
        <f>G69*F69</f>
        <v>0</v>
      </c>
      <c r="I69" s="48">
        <f>H69*0.21</f>
        <v>0</v>
      </c>
      <c r="J69" s="81"/>
    </row>
    <row r="70" spans="1:10" ht="34.799999999999997" customHeight="1" x14ac:dyDescent="0.3">
      <c r="A70" s="30"/>
      <c r="B70" s="30"/>
      <c r="C70" s="42" t="s">
        <v>38</v>
      </c>
      <c r="D70" s="52" t="s">
        <v>82</v>
      </c>
      <c r="E70" s="44" t="s">
        <v>60</v>
      </c>
      <c r="F70" s="45">
        <v>0.72</v>
      </c>
      <c r="G70" s="46">
        <v>0</v>
      </c>
      <c r="H70" s="47">
        <f>G70*F70</f>
        <v>0</v>
      </c>
      <c r="I70" s="48">
        <f>H70*0.21</f>
        <v>0</v>
      </c>
      <c r="J70" s="81"/>
    </row>
    <row r="71" spans="1:10" ht="56.4" customHeight="1" x14ac:dyDescent="0.3">
      <c r="A71" s="30"/>
      <c r="B71" s="30"/>
      <c r="C71" s="42" t="s">
        <v>38</v>
      </c>
      <c r="D71" s="52" t="s">
        <v>83</v>
      </c>
      <c r="E71" s="44" t="s">
        <v>60</v>
      </c>
      <c r="F71" s="45">
        <f>0.21+0.025</f>
        <v>0.23499999999999999</v>
      </c>
      <c r="G71" s="46">
        <v>0</v>
      </c>
      <c r="H71" s="47">
        <f>G71*F71</f>
        <v>0</v>
      </c>
      <c r="I71" s="48">
        <f>H71*0.21</f>
        <v>0</v>
      </c>
      <c r="J71" s="81"/>
    </row>
    <row r="72" spans="1:10" ht="25.2" customHeight="1" x14ac:dyDescent="0.3">
      <c r="A72" s="30"/>
      <c r="B72" s="30"/>
      <c r="C72" s="42"/>
      <c r="D72" s="83" t="s">
        <v>84</v>
      </c>
      <c r="E72" s="44"/>
      <c r="F72" s="45"/>
      <c r="G72" s="46"/>
      <c r="H72" s="47"/>
      <c r="I72" s="48"/>
      <c r="J72" s="81"/>
    </row>
    <row r="73" spans="1:10" s="9" customFormat="1" ht="15" customHeight="1" x14ac:dyDescent="0.25">
      <c r="A73" s="40"/>
      <c r="B73" s="41"/>
      <c r="C73" s="51"/>
      <c r="D73" s="84" t="s">
        <v>85</v>
      </c>
      <c r="E73" s="44"/>
      <c r="F73" s="45"/>
      <c r="G73" s="46"/>
      <c r="H73" s="47"/>
      <c r="I73" s="48"/>
      <c r="J73" s="48"/>
    </row>
    <row r="74" spans="1:10" s="9" customFormat="1" ht="12.6" customHeight="1" x14ac:dyDescent="0.25">
      <c r="A74" s="40"/>
      <c r="B74" s="41" t="s">
        <v>37</v>
      </c>
      <c r="C74" s="51" t="s">
        <v>86</v>
      </c>
      <c r="D74" s="43" t="s">
        <v>87</v>
      </c>
      <c r="E74" s="44" t="s">
        <v>43</v>
      </c>
      <c r="F74" s="45">
        <f>SUM(F69:F73)</f>
        <v>2.2549999999999999</v>
      </c>
      <c r="G74" s="46">
        <v>0</v>
      </c>
      <c r="H74" s="47">
        <f>G74*F74</f>
        <v>0</v>
      </c>
      <c r="I74" s="48">
        <f>H74*0.21</f>
        <v>0</v>
      </c>
      <c r="J74" s="48"/>
    </row>
    <row r="75" spans="1:10" ht="105" customHeight="1" x14ac:dyDescent="0.3">
      <c r="D75" t="e" vm="1">
        <v>#VALUE!</v>
      </c>
    </row>
    <row r="76" spans="1:10" ht="7.2" customHeight="1" x14ac:dyDescent="0.3"/>
    <row r="77" spans="1:10" ht="37.049999999999997" customHeight="1" x14ac:dyDescent="0.3">
      <c r="A77" s="12">
        <v>5</v>
      </c>
      <c r="B77" s="12"/>
      <c r="C77" s="15"/>
      <c r="D77" s="12" t="s">
        <v>88</v>
      </c>
    </row>
    <row r="78" spans="1:10" x14ac:dyDescent="0.3">
      <c r="D78" s="78" t="s">
        <v>89</v>
      </c>
    </row>
    <row r="79" spans="1:10" ht="27.6" customHeight="1" x14ac:dyDescent="0.3">
      <c r="A79" s="30"/>
      <c r="B79" s="30"/>
      <c r="C79" s="42" t="s">
        <v>38</v>
      </c>
      <c r="D79" s="85" t="s">
        <v>90</v>
      </c>
      <c r="E79" s="44" t="s">
        <v>91</v>
      </c>
      <c r="F79" s="45">
        <v>34.5</v>
      </c>
      <c r="G79" s="46">
        <v>0</v>
      </c>
      <c r="H79" s="47">
        <f>G79*F79</f>
        <v>0</v>
      </c>
      <c r="I79" s="48">
        <f>H79*0.21</f>
        <v>0</v>
      </c>
      <c r="J79" s="81"/>
    </row>
    <row r="80" spans="1:10" ht="87" customHeight="1" x14ac:dyDescent="0.3">
      <c r="A80" s="30"/>
      <c r="B80" s="30"/>
      <c r="C80" s="42" t="s">
        <v>38</v>
      </c>
      <c r="D80" s="86" t="s">
        <v>92</v>
      </c>
      <c r="E80" s="44"/>
      <c r="F80" s="45"/>
      <c r="G80" s="46"/>
      <c r="H80" s="47"/>
      <c r="I80" s="48"/>
      <c r="J80" s="81"/>
    </row>
    <row r="81" spans="1:10" ht="25.05" customHeight="1" x14ac:dyDescent="0.3">
      <c r="C81" s="18"/>
      <c r="D81" s="87" t="s">
        <v>93</v>
      </c>
      <c r="E81" s="88"/>
      <c r="F81" s="89"/>
      <c r="G81" s="75"/>
      <c r="H81" s="90"/>
      <c r="I81" s="91"/>
    </row>
    <row r="82" spans="1:10" ht="113.4" customHeight="1" x14ac:dyDescent="0.3">
      <c r="C82" s="18"/>
      <c r="D82" s="92" t="e" vm="2">
        <v>#VALUE!</v>
      </c>
      <c r="E82" s="13"/>
      <c r="F82" s="89"/>
      <c r="G82" s="75"/>
      <c r="H82" s="90"/>
      <c r="I82" s="91"/>
    </row>
    <row r="84" spans="1:10" x14ac:dyDescent="0.3">
      <c r="A84" s="12">
        <v>6</v>
      </c>
      <c r="B84" s="12"/>
      <c r="C84" s="15"/>
      <c r="D84" s="12" t="s">
        <v>94</v>
      </c>
    </row>
    <row r="85" spans="1:10" x14ac:dyDescent="0.3">
      <c r="A85" s="30"/>
      <c r="B85" s="30"/>
      <c r="C85" s="42" t="s">
        <v>38</v>
      </c>
      <c r="D85" s="43" t="s">
        <v>95</v>
      </c>
      <c r="E85" s="44" t="s">
        <v>96</v>
      </c>
      <c r="F85" s="45">
        <v>1</v>
      </c>
      <c r="G85" s="46"/>
      <c r="H85" s="93">
        <v>0</v>
      </c>
      <c r="I85" s="94">
        <f>H85*0.21</f>
        <v>0</v>
      </c>
      <c r="J85" s="81"/>
    </row>
    <row r="86" spans="1:10" ht="17.55" customHeight="1" x14ac:dyDescent="0.3">
      <c r="A86" s="30"/>
      <c r="B86" s="30"/>
      <c r="C86" s="42" t="s">
        <v>38</v>
      </c>
      <c r="D86" s="43" t="s">
        <v>97</v>
      </c>
      <c r="E86" s="44" t="s">
        <v>96</v>
      </c>
      <c r="F86" s="45">
        <v>1</v>
      </c>
      <c r="G86" s="46"/>
      <c r="H86" s="93">
        <v>0</v>
      </c>
      <c r="I86" s="94">
        <f>H86*0.21</f>
        <v>0</v>
      </c>
      <c r="J86" s="81"/>
    </row>
    <row r="88" spans="1:10" x14ac:dyDescent="0.3">
      <c r="A88" s="95"/>
      <c r="B88" s="95"/>
      <c r="C88" s="96"/>
      <c r="D88" s="97" t="s">
        <v>98</v>
      </c>
      <c r="E88" s="95"/>
      <c r="F88" s="95"/>
      <c r="G88" s="98">
        <f>SUM(H28:H86)</f>
        <v>0</v>
      </c>
      <c r="H88" s="99"/>
    </row>
    <row r="89" spans="1:10" x14ac:dyDescent="0.3">
      <c r="A89" s="95"/>
      <c r="B89" s="95"/>
      <c r="C89" s="96"/>
      <c r="D89" s="100" t="s">
        <v>99</v>
      </c>
      <c r="E89" s="95"/>
      <c r="F89" s="95"/>
      <c r="G89" s="101"/>
      <c r="H89" s="102"/>
    </row>
    <row r="90" spans="1:10" x14ac:dyDescent="0.3">
      <c r="A90" s="95"/>
      <c r="B90" s="95"/>
      <c r="C90" s="96"/>
      <c r="D90" s="95" t="s">
        <v>100</v>
      </c>
      <c r="E90" s="95"/>
      <c r="F90" s="95"/>
      <c r="G90" s="98">
        <f>G88*1.21</f>
        <v>0</v>
      </c>
      <c r="H90" s="99"/>
    </row>
  </sheetData>
  <mergeCells count="18">
    <mergeCell ref="G89:H89"/>
    <mergeCell ref="G90:H90"/>
    <mergeCell ref="D24:H24"/>
    <mergeCell ref="D25:H25"/>
    <mergeCell ref="D40:F40"/>
    <mergeCell ref="G88:H88"/>
    <mergeCell ref="D18:H18"/>
    <mergeCell ref="D19:H19"/>
    <mergeCell ref="D20:H20"/>
    <mergeCell ref="D21:H21"/>
    <mergeCell ref="D22:H22"/>
    <mergeCell ref="D23:H23"/>
    <mergeCell ref="D12:H12"/>
    <mergeCell ref="D13:H13"/>
    <mergeCell ref="D14:H14"/>
    <mergeCell ref="D15:H15"/>
    <mergeCell ref="D16:H16"/>
    <mergeCell ref="D17:H1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3BF9-36E5-497D-BB90-9F1C4EA596FC}">
  <dimension ref="A1:L262"/>
  <sheetViews>
    <sheetView topLeftCell="A156" workbookViewId="0">
      <selection activeCell="L188" sqref="L188"/>
    </sheetView>
  </sheetViews>
  <sheetFormatPr defaultColWidth="9.109375" defaultRowHeight="10.8" x14ac:dyDescent="0.25"/>
  <cols>
    <col min="1" max="1" width="3.5546875" style="9" customWidth="1"/>
    <col min="2" max="2" width="3" style="136" customWidth="1"/>
    <col min="3" max="3" width="6.5546875" style="137" customWidth="1"/>
    <col min="4" max="4" width="34.44140625" style="133" customWidth="1"/>
    <col min="5" max="5" width="2.5546875" style="88" customWidth="1"/>
    <col min="6" max="6" width="5.5546875" style="89" customWidth="1"/>
    <col min="7" max="7" width="7.88671875" style="75" customWidth="1"/>
    <col min="8" max="8" width="9.6640625" style="9" customWidth="1"/>
    <col min="9" max="9" width="6.5546875" style="91" customWidth="1"/>
    <col min="10" max="10" width="4.88671875" style="91" customWidth="1"/>
    <col min="11" max="11" width="9.109375" style="59"/>
    <col min="12" max="16384" width="9.109375" style="9"/>
  </cols>
  <sheetData>
    <row r="1" spans="1:11" s="10" customFormat="1" ht="34.5" customHeight="1" thickBot="1" x14ac:dyDescent="0.35">
      <c r="A1" s="118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9" t="s">
        <v>5</v>
      </c>
      <c r="G1" s="120" t="s">
        <v>6</v>
      </c>
      <c r="H1" s="118" t="s">
        <v>7</v>
      </c>
      <c r="I1" s="121" t="s">
        <v>8</v>
      </c>
      <c r="J1" s="121" t="s">
        <v>9</v>
      </c>
      <c r="K1" s="8"/>
    </row>
    <row r="2" spans="1:11" ht="18" customHeight="1" x14ac:dyDescent="0.3">
      <c r="A2" s="122" t="s">
        <v>12</v>
      </c>
      <c r="B2" s="123"/>
      <c r="C2" s="124" t="s">
        <v>13</v>
      </c>
      <c r="D2" s="125"/>
      <c r="E2" s="126"/>
      <c r="F2" s="127"/>
      <c r="G2" s="128"/>
      <c r="H2" s="129"/>
      <c r="I2" s="130"/>
      <c r="J2" s="131" t="s">
        <v>117</v>
      </c>
    </row>
    <row r="3" spans="1:11" ht="13.5" customHeight="1" x14ac:dyDescent="0.25">
      <c r="A3" s="17" t="s">
        <v>14</v>
      </c>
      <c r="B3" s="132"/>
      <c r="C3" s="19" t="s">
        <v>15</v>
      </c>
      <c r="I3" s="134" t="s">
        <v>118</v>
      </c>
      <c r="J3" s="135"/>
    </row>
    <row r="4" spans="1:11" x14ac:dyDescent="0.25">
      <c r="A4" s="17"/>
      <c r="J4" s="138"/>
    </row>
    <row r="5" spans="1:11" ht="33.6" customHeight="1" thickBot="1" x14ac:dyDescent="0.3">
      <c r="A5" s="139" t="s">
        <v>119</v>
      </c>
      <c r="B5" s="140"/>
      <c r="C5" s="140"/>
      <c r="D5" s="140"/>
      <c r="E5" s="140"/>
      <c r="F5" s="140"/>
      <c r="G5" s="140"/>
      <c r="H5" s="140"/>
      <c r="I5" s="140"/>
      <c r="J5" s="141"/>
    </row>
    <row r="6" spans="1:11" s="10" customFormat="1" ht="31.2" customHeight="1" x14ac:dyDescent="0.3">
      <c r="A6" s="118" t="s">
        <v>0</v>
      </c>
      <c r="B6" s="118" t="s">
        <v>1</v>
      </c>
      <c r="C6" s="118" t="s">
        <v>2</v>
      </c>
      <c r="D6" s="118" t="s">
        <v>3</v>
      </c>
      <c r="E6" s="118" t="s">
        <v>4</v>
      </c>
      <c r="F6" s="119" t="s">
        <v>5</v>
      </c>
      <c r="G6" s="120" t="s">
        <v>6</v>
      </c>
      <c r="H6" s="118" t="s">
        <v>7</v>
      </c>
      <c r="I6" s="121" t="s">
        <v>8</v>
      </c>
      <c r="J6" s="121" t="s">
        <v>9</v>
      </c>
      <c r="K6" s="8"/>
    </row>
    <row r="7" spans="1:11" s="229" customFormat="1" ht="17.25" customHeight="1" x14ac:dyDescent="0.25">
      <c r="A7" s="222"/>
      <c r="B7" s="222"/>
      <c r="C7" s="223">
        <v>1</v>
      </c>
      <c r="D7" s="224" t="s">
        <v>120</v>
      </c>
      <c r="E7" s="222"/>
      <c r="F7" s="225"/>
      <c r="G7" s="226"/>
      <c r="H7" s="222"/>
      <c r="I7" s="227"/>
      <c r="J7" s="227"/>
      <c r="K7" s="228"/>
    </row>
    <row r="8" spans="1:11" ht="31.5" customHeight="1" x14ac:dyDescent="0.25">
      <c r="A8" s="40">
        <v>1</v>
      </c>
      <c r="B8" s="41" t="s">
        <v>37</v>
      </c>
      <c r="C8" s="58" t="s">
        <v>121</v>
      </c>
      <c r="D8" s="43" t="s">
        <v>122</v>
      </c>
      <c r="E8" s="44" t="s">
        <v>96</v>
      </c>
      <c r="F8" s="45">
        <v>1</v>
      </c>
      <c r="G8" s="46">
        <v>0</v>
      </c>
      <c r="H8" s="47">
        <f t="shared" ref="H8:H14" si="0">G8*F8</f>
        <v>0</v>
      </c>
      <c r="I8" s="48">
        <f t="shared" ref="I8:I14" si="1">H8*0.21</f>
        <v>0</v>
      </c>
      <c r="J8" s="48"/>
    </row>
    <row r="9" spans="1:11" ht="31.5" customHeight="1" x14ac:dyDescent="0.25">
      <c r="A9" s="40">
        <v>2</v>
      </c>
      <c r="B9" s="41" t="s">
        <v>37</v>
      </c>
      <c r="C9" s="58">
        <v>112151352</v>
      </c>
      <c r="D9" s="43" t="s">
        <v>123</v>
      </c>
      <c r="E9" s="44" t="s">
        <v>96</v>
      </c>
      <c r="F9" s="45">
        <v>1</v>
      </c>
      <c r="G9" s="46">
        <v>0</v>
      </c>
      <c r="H9" s="47">
        <f t="shared" si="0"/>
        <v>0</v>
      </c>
      <c r="I9" s="48">
        <f t="shared" si="1"/>
        <v>0</v>
      </c>
      <c r="J9" s="48"/>
    </row>
    <row r="10" spans="1:11" ht="33" customHeight="1" x14ac:dyDescent="0.25">
      <c r="A10" s="40">
        <v>3</v>
      </c>
      <c r="B10" s="41" t="s">
        <v>37</v>
      </c>
      <c r="C10" s="58">
        <v>112251221</v>
      </c>
      <c r="D10" s="43" t="s">
        <v>124</v>
      </c>
      <c r="E10" s="44" t="s">
        <v>40</v>
      </c>
      <c r="F10" s="45">
        <v>2</v>
      </c>
      <c r="G10" s="46">
        <v>0</v>
      </c>
      <c r="H10" s="47">
        <f t="shared" si="0"/>
        <v>0</v>
      </c>
      <c r="I10" s="48">
        <f t="shared" si="1"/>
        <v>0</v>
      </c>
      <c r="J10" s="48"/>
    </row>
    <row r="11" spans="1:11" ht="26.25" customHeight="1" x14ac:dyDescent="0.25">
      <c r="A11" s="40">
        <v>4</v>
      </c>
      <c r="B11" s="41" t="s">
        <v>37</v>
      </c>
      <c r="C11" s="58">
        <v>122911121</v>
      </c>
      <c r="D11" s="43" t="s">
        <v>125</v>
      </c>
      <c r="E11" s="44" t="s">
        <v>40</v>
      </c>
      <c r="F11" s="45">
        <f>F10</f>
        <v>2</v>
      </c>
      <c r="G11" s="46">
        <v>0</v>
      </c>
      <c r="H11" s="47">
        <f t="shared" si="0"/>
        <v>0</v>
      </c>
      <c r="I11" s="48">
        <f t="shared" si="1"/>
        <v>0</v>
      </c>
      <c r="J11" s="48"/>
    </row>
    <row r="12" spans="1:11" ht="36" customHeight="1" x14ac:dyDescent="0.25">
      <c r="A12" s="40">
        <v>5</v>
      </c>
      <c r="B12" s="41" t="s">
        <v>37</v>
      </c>
      <c r="C12" s="58">
        <v>111212211</v>
      </c>
      <c r="D12" s="43" t="s">
        <v>126</v>
      </c>
      <c r="E12" s="44" t="s">
        <v>40</v>
      </c>
      <c r="F12" s="45">
        <f>[1]VV!B38</f>
        <v>45.3</v>
      </c>
      <c r="G12" s="46">
        <v>0</v>
      </c>
      <c r="H12" s="47">
        <f t="shared" si="0"/>
        <v>0</v>
      </c>
      <c r="I12" s="48">
        <f t="shared" si="1"/>
        <v>0</v>
      </c>
      <c r="J12" s="48"/>
    </row>
    <row r="13" spans="1:11" ht="43.5" customHeight="1" x14ac:dyDescent="0.25">
      <c r="A13" s="40">
        <v>6</v>
      </c>
      <c r="B13" s="41" t="s">
        <v>37</v>
      </c>
      <c r="C13" s="58">
        <v>111212351</v>
      </c>
      <c r="D13" s="43" t="s">
        <v>127</v>
      </c>
      <c r="E13" s="44" t="s">
        <v>40</v>
      </c>
      <c r="F13" s="45">
        <f>[1]VV!B39</f>
        <v>21.7</v>
      </c>
      <c r="G13" s="46">
        <v>0</v>
      </c>
      <c r="H13" s="47">
        <f t="shared" si="0"/>
        <v>0</v>
      </c>
      <c r="I13" s="48">
        <f t="shared" si="1"/>
        <v>0</v>
      </c>
      <c r="J13" s="48"/>
    </row>
    <row r="14" spans="1:11" ht="32.25" customHeight="1" x14ac:dyDescent="0.25">
      <c r="A14" s="40">
        <v>7</v>
      </c>
      <c r="B14" s="41" t="s">
        <v>37</v>
      </c>
      <c r="C14" s="58">
        <v>111212353</v>
      </c>
      <c r="D14" s="43" t="s">
        <v>128</v>
      </c>
      <c r="E14" s="44" t="s">
        <v>40</v>
      </c>
      <c r="F14" s="45">
        <f>[1]VV!B40</f>
        <v>37</v>
      </c>
      <c r="G14" s="46">
        <v>0</v>
      </c>
      <c r="H14" s="47">
        <f t="shared" si="0"/>
        <v>0</v>
      </c>
      <c r="I14" s="48">
        <f t="shared" si="1"/>
        <v>0</v>
      </c>
      <c r="J14" s="48"/>
    </row>
    <row r="15" spans="1:11" ht="18.75" customHeight="1" x14ac:dyDescent="0.25">
      <c r="A15" s="40">
        <v>8</v>
      </c>
      <c r="B15" s="41"/>
      <c r="C15" s="58"/>
      <c r="D15" s="84" t="s">
        <v>129</v>
      </c>
      <c r="E15" s="44"/>
      <c r="F15" s="45"/>
      <c r="G15" s="46">
        <v>0</v>
      </c>
      <c r="H15" s="47"/>
      <c r="I15" s="48"/>
      <c r="J15" s="48"/>
    </row>
    <row r="16" spans="1:11" ht="15.75" customHeight="1" x14ac:dyDescent="0.25">
      <c r="A16" s="40">
        <v>9</v>
      </c>
      <c r="B16" s="41" t="s">
        <v>37</v>
      </c>
      <c r="C16" s="58">
        <v>998231311</v>
      </c>
      <c r="D16" s="43" t="s">
        <v>130</v>
      </c>
      <c r="E16" s="44" t="s">
        <v>43</v>
      </c>
      <c r="F16" s="45">
        <v>4.5</v>
      </c>
      <c r="G16" s="46">
        <v>0</v>
      </c>
      <c r="H16" s="47">
        <f>G16*F16</f>
        <v>0</v>
      </c>
      <c r="I16" s="48">
        <f>H16*0.21</f>
        <v>0</v>
      </c>
      <c r="J16" s="48"/>
    </row>
    <row r="17" spans="1:11" ht="21" customHeight="1" x14ac:dyDescent="0.25">
      <c r="A17" s="40">
        <v>10</v>
      </c>
      <c r="B17" s="41" t="s">
        <v>37</v>
      </c>
      <c r="C17" s="64" t="s">
        <v>38</v>
      </c>
      <c r="D17" s="43" t="s">
        <v>131</v>
      </c>
      <c r="E17" s="44" t="s">
        <v>43</v>
      </c>
      <c r="F17" s="45">
        <f>F16</f>
        <v>4.5</v>
      </c>
      <c r="G17" s="46">
        <v>0</v>
      </c>
      <c r="H17" s="47">
        <f>G17*F17</f>
        <v>0</v>
      </c>
      <c r="I17" s="48">
        <f>H17*0.21</f>
        <v>0</v>
      </c>
      <c r="J17" s="48"/>
    </row>
    <row r="18" spans="1:11" x14ac:dyDescent="0.25">
      <c r="A18" s="40"/>
      <c r="B18" s="41"/>
      <c r="D18" s="43"/>
      <c r="E18" s="44"/>
      <c r="F18" s="45"/>
      <c r="G18" s="46"/>
      <c r="H18" s="47"/>
      <c r="I18" s="48"/>
      <c r="J18" s="48"/>
    </row>
    <row r="19" spans="1:11" s="229" customFormat="1" ht="18" customHeight="1" x14ac:dyDescent="0.25">
      <c r="A19" s="222"/>
      <c r="B19" s="222"/>
      <c r="C19" s="223">
        <v>2</v>
      </c>
      <c r="D19" s="224" t="s">
        <v>132</v>
      </c>
      <c r="E19" s="222"/>
      <c r="F19" s="225"/>
      <c r="G19" s="226"/>
      <c r="H19" s="230"/>
      <c r="I19" s="227"/>
      <c r="J19" s="227"/>
      <c r="K19" s="228"/>
    </row>
    <row r="20" spans="1:11" ht="24.75" customHeight="1" x14ac:dyDescent="0.25">
      <c r="A20" s="40">
        <v>11</v>
      </c>
      <c r="B20" s="41" t="s">
        <v>37</v>
      </c>
      <c r="C20" s="58">
        <v>184852233</v>
      </c>
      <c r="D20" s="43" t="s">
        <v>133</v>
      </c>
      <c r="E20" s="44" t="s">
        <v>96</v>
      </c>
      <c r="F20" s="45">
        <v>2</v>
      </c>
      <c r="G20" s="46">
        <v>0</v>
      </c>
      <c r="H20" s="47">
        <f>G20*F20</f>
        <v>0</v>
      </c>
      <c r="I20" s="48">
        <f>H20*0.21</f>
        <v>0</v>
      </c>
      <c r="J20" s="48"/>
      <c r="K20" s="79"/>
    </row>
    <row r="21" spans="1:11" ht="24.75" customHeight="1" x14ac:dyDescent="0.25">
      <c r="A21" s="40">
        <v>12</v>
      </c>
      <c r="B21" s="41" t="s">
        <v>37</v>
      </c>
      <c r="C21" s="58" t="s">
        <v>134</v>
      </c>
      <c r="D21" s="43" t="s">
        <v>135</v>
      </c>
      <c r="E21" s="44" t="s">
        <v>96</v>
      </c>
      <c r="F21" s="142">
        <v>3</v>
      </c>
      <c r="G21" s="46">
        <v>0</v>
      </c>
      <c r="H21" s="47">
        <f>G21*F21</f>
        <v>0</v>
      </c>
      <c r="I21" s="48">
        <f>H21*0.21</f>
        <v>0</v>
      </c>
      <c r="J21" s="48"/>
    </row>
    <row r="22" spans="1:11" ht="23.25" customHeight="1" x14ac:dyDescent="0.25">
      <c r="A22" s="40">
        <v>13</v>
      </c>
      <c r="B22" s="41" t="s">
        <v>37</v>
      </c>
      <c r="C22" s="58">
        <v>184806112</v>
      </c>
      <c r="D22" s="43" t="s">
        <v>136</v>
      </c>
      <c r="E22" s="44" t="s">
        <v>96</v>
      </c>
      <c r="F22" s="142">
        <v>4</v>
      </c>
      <c r="G22" s="46">
        <v>0</v>
      </c>
      <c r="H22" s="47">
        <f>G22*F22</f>
        <v>0</v>
      </c>
      <c r="I22" s="48">
        <f>H22*0.21</f>
        <v>0</v>
      </c>
      <c r="J22" s="48"/>
    </row>
    <row r="23" spans="1:11" ht="33" customHeight="1" x14ac:dyDescent="0.25">
      <c r="A23" s="40">
        <v>14</v>
      </c>
      <c r="B23" s="41" t="s">
        <v>37</v>
      </c>
      <c r="C23" s="58">
        <v>184806173</v>
      </c>
      <c r="D23" s="43" t="s">
        <v>137</v>
      </c>
      <c r="E23" s="44" t="s">
        <v>96</v>
      </c>
      <c r="F23" s="45">
        <v>12</v>
      </c>
      <c r="G23" s="46">
        <v>0</v>
      </c>
      <c r="H23" s="47">
        <f>G23*F23</f>
        <v>0</v>
      </c>
      <c r="I23" s="48">
        <f>H23*0.21</f>
        <v>0</v>
      </c>
      <c r="J23" s="48"/>
    </row>
    <row r="24" spans="1:11" ht="15.75" customHeight="1" x14ac:dyDescent="0.25">
      <c r="A24" s="40">
        <v>15</v>
      </c>
      <c r="B24" s="41"/>
      <c r="C24" s="58"/>
      <c r="D24" s="84" t="s">
        <v>129</v>
      </c>
      <c r="E24" s="44"/>
      <c r="F24" s="45"/>
      <c r="G24" s="46">
        <v>0</v>
      </c>
      <c r="H24" s="47"/>
      <c r="I24" s="48"/>
      <c r="J24" s="48"/>
    </row>
    <row r="25" spans="1:11" ht="19.5" customHeight="1" x14ac:dyDescent="0.25">
      <c r="A25" s="40">
        <v>16</v>
      </c>
      <c r="B25" s="41" t="s">
        <v>37</v>
      </c>
      <c r="C25" s="58">
        <v>998231311</v>
      </c>
      <c r="D25" s="43" t="s">
        <v>130</v>
      </c>
      <c r="E25" s="44" t="s">
        <v>43</v>
      </c>
      <c r="F25" s="45">
        <v>0.2</v>
      </c>
      <c r="G25" s="46">
        <v>0</v>
      </c>
      <c r="H25" s="47">
        <f>G25*F25</f>
        <v>0</v>
      </c>
      <c r="I25" s="48">
        <f>H25*0.21</f>
        <v>0</v>
      </c>
      <c r="J25" s="48"/>
    </row>
    <row r="26" spans="1:11" ht="21" customHeight="1" x14ac:dyDescent="0.25">
      <c r="A26" s="40">
        <v>17</v>
      </c>
      <c r="B26" s="41" t="s">
        <v>37</v>
      </c>
      <c r="C26" s="64" t="s">
        <v>38</v>
      </c>
      <c r="D26" s="43" t="s">
        <v>131</v>
      </c>
      <c r="E26" s="44" t="s">
        <v>43</v>
      </c>
      <c r="F26" s="45">
        <f>F25</f>
        <v>0.2</v>
      </c>
      <c r="G26" s="46">
        <v>0</v>
      </c>
      <c r="H26" s="47">
        <f>G26*F26</f>
        <v>0</v>
      </c>
      <c r="I26" s="48">
        <f>H26*0.21</f>
        <v>0</v>
      </c>
      <c r="J26" s="48"/>
    </row>
    <row r="27" spans="1:11" x14ac:dyDescent="0.25">
      <c r="A27" s="40"/>
      <c r="B27" s="41"/>
      <c r="C27" s="58"/>
      <c r="D27" s="43"/>
      <c r="E27" s="44"/>
      <c r="F27" s="45"/>
      <c r="G27" s="46"/>
      <c r="H27" s="47"/>
      <c r="I27" s="48"/>
      <c r="J27" s="48"/>
    </row>
    <row r="28" spans="1:11" s="229" customFormat="1" ht="18" customHeight="1" x14ac:dyDescent="0.25">
      <c r="A28" s="222"/>
      <c r="B28" s="222"/>
      <c r="C28" s="223">
        <v>3</v>
      </c>
      <c r="D28" s="224" t="s">
        <v>138</v>
      </c>
      <c r="E28" s="222"/>
      <c r="F28" s="225"/>
      <c r="G28" s="226"/>
      <c r="H28" s="230"/>
      <c r="I28" s="227"/>
      <c r="J28" s="227"/>
      <c r="K28" s="228"/>
    </row>
    <row r="29" spans="1:11" ht="21.75" customHeight="1" x14ac:dyDescent="0.25">
      <c r="A29" s="40">
        <v>18</v>
      </c>
      <c r="B29" s="41" t="s">
        <v>37</v>
      </c>
      <c r="C29" s="58">
        <v>184813511</v>
      </c>
      <c r="D29" s="43" t="s">
        <v>139</v>
      </c>
      <c r="E29" s="44" t="s">
        <v>40</v>
      </c>
      <c r="F29" s="45">
        <f>[1]VV!B34-F30</f>
        <v>722.7</v>
      </c>
      <c r="G29" s="143">
        <v>0</v>
      </c>
      <c r="H29" s="47">
        <f>G29*F29</f>
        <v>0</v>
      </c>
      <c r="I29" s="48">
        <f>H29*0.21</f>
        <v>0</v>
      </c>
      <c r="J29" s="48"/>
    </row>
    <row r="30" spans="1:11" ht="32.25" customHeight="1" x14ac:dyDescent="0.25">
      <c r="A30" s="40">
        <v>19</v>
      </c>
      <c r="B30" s="41" t="s">
        <v>37</v>
      </c>
      <c r="C30" s="58">
        <v>184813513</v>
      </c>
      <c r="D30" s="43" t="s">
        <v>140</v>
      </c>
      <c r="E30" s="44" t="s">
        <v>40</v>
      </c>
      <c r="F30" s="45">
        <f>'[1]soupis ploch'!I34</f>
        <v>122</v>
      </c>
      <c r="G30" s="143">
        <v>0</v>
      </c>
      <c r="H30" s="47">
        <f>G30*F30</f>
        <v>0</v>
      </c>
      <c r="I30" s="48">
        <f>H30*0.21</f>
        <v>0</v>
      </c>
      <c r="J30" s="48"/>
    </row>
    <row r="31" spans="1:11" ht="13.5" customHeight="1" x14ac:dyDescent="0.25">
      <c r="A31" s="40">
        <v>20</v>
      </c>
      <c r="B31" s="41"/>
      <c r="C31" s="58"/>
      <c r="D31" s="84" t="s">
        <v>141</v>
      </c>
      <c r="E31" s="44"/>
      <c r="F31" s="45"/>
      <c r="G31" s="143">
        <v>0</v>
      </c>
      <c r="H31" s="47"/>
      <c r="I31" s="48"/>
      <c r="J31" s="48"/>
    </row>
    <row r="32" spans="1:11" ht="21" customHeight="1" x14ac:dyDescent="0.25">
      <c r="A32" s="40">
        <v>21</v>
      </c>
      <c r="B32" s="41" t="s">
        <v>37</v>
      </c>
      <c r="C32" s="58" t="s">
        <v>142</v>
      </c>
      <c r="D32" s="133" t="s">
        <v>143</v>
      </c>
      <c r="E32" s="44" t="s">
        <v>144</v>
      </c>
      <c r="F32" s="45">
        <f>0.006*(F30+F29)</f>
        <v>5.0682</v>
      </c>
      <c r="G32" s="143">
        <v>0</v>
      </c>
      <c r="H32" s="47">
        <f t="shared" ref="H32:H40" si="2">G32*F32</f>
        <v>0</v>
      </c>
      <c r="I32" s="48">
        <f t="shared" ref="I32:I40" si="3">H32*0.21</f>
        <v>0</v>
      </c>
      <c r="J32" s="48"/>
    </row>
    <row r="33" spans="1:11" ht="23.25" customHeight="1" x14ac:dyDescent="0.25">
      <c r="A33" s="40">
        <v>22</v>
      </c>
      <c r="B33" s="41" t="s">
        <v>37</v>
      </c>
      <c r="C33" s="58">
        <v>183403114</v>
      </c>
      <c r="D33" s="43" t="s">
        <v>145</v>
      </c>
      <c r="E33" s="44" t="s">
        <v>40</v>
      </c>
      <c r="F33" s="45">
        <f>[1]VV!$B$32-$F$34</f>
        <v>449.5</v>
      </c>
      <c r="G33" s="143">
        <v>0</v>
      </c>
      <c r="H33" s="47">
        <f t="shared" si="2"/>
        <v>0</v>
      </c>
      <c r="I33" s="48">
        <f t="shared" si="3"/>
        <v>0</v>
      </c>
      <c r="J33" s="48"/>
    </row>
    <row r="34" spans="1:11" ht="24.75" customHeight="1" x14ac:dyDescent="0.25">
      <c r="A34" s="40">
        <v>23</v>
      </c>
      <c r="B34" s="41" t="s">
        <v>37</v>
      </c>
      <c r="C34" s="58" t="s">
        <v>146</v>
      </c>
      <c r="D34" s="43" t="s">
        <v>147</v>
      </c>
      <c r="E34" s="44" t="s">
        <v>40</v>
      </c>
      <c r="F34" s="45">
        <f>'[1]soupis ploch'!$I$34-F35</f>
        <v>87</v>
      </c>
      <c r="G34" s="143">
        <v>0</v>
      </c>
      <c r="H34" s="47">
        <f t="shared" si="2"/>
        <v>0</v>
      </c>
      <c r="I34" s="48">
        <f t="shared" si="3"/>
        <v>0</v>
      </c>
      <c r="J34" s="48"/>
    </row>
    <row r="35" spans="1:11" ht="24" customHeight="1" x14ac:dyDescent="0.25">
      <c r="A35" s="40">
        <v>24</v>
      </c>
      <c r="B35" s="41" t="s">
        <v>37</v>
      </c>
      <c r="C35" s="58">
        <v>183403341</v>
      </c>
      <c r="D35" s="43" t="s">
        <v>148</v>
      </c>
      <c r="E35" s="44" t="s">
        <v>40</v>
      </c>
      <c r="F35" s="45">
        <v>35</v>
      </c>
      <c r="G35" s="143">
        <v>0</v>
      </c>
      <c r="H35" s="47">
        <f t="shared" si="2"/>
        <v>0</v>
      </c>
      <c r="I35" s="48">
        <f t="shared" si="3"/>
        <v>0</v>
      </c>
      <c r="J35" s="48"/>
    </row>
    <row r="36" spans="1:11" ht="29.4" x14ac:dyDescent="0.25">
      <c r="A36" s="40">
        <v>25</v>
      </c>
      <c r="B36" s="41" t="s">
        <v>37</v>
      </c>
      <c r="C36" s="58">
        <v>183403131</v>
      </c>
      <c r="D36" s="43" t="s">
        <v>149</v>
      </c>
      <c r="E36" s="44" t="s">
        <v>40</v>
      </c>
      <c r="F36" s="45">
        <f>[1]VV!$B$33</f>
        <v>280.7</v>
      </c>
      <c r="G36" s="143">
        <v>0</v>
      </c>
      <c r="H36" s="47">
        <f t="shared" si="2"/>
        <v>0</v>
      </c>
      <c r="I36" s="48">
        <f t="shared" si="3"/>
        <v>0</v>
      </c>
      <c r="J36" s="48"/>
    </row>
    <row r="37" spans="1:11" ht="61.2" customHeight="1" x14ac:dyDescent="0.25">
      <c r="A37" s="40">
        <v>26</v>
      </c>
      <c r="B37" s="41" t="s">
        <v>37</v>
      </c>
      <c r="C37" s="58" t="s">
        <v>150</v>
      </c>
      <c r="D37" s="43" t="s">
        <v>151</v>
      </c>
      <c r="E37" s="44" t="s">
        <v>60</v>
      </c>
      <c r="F37" s="45">
        <f>(SUM('[1]soupis ploch'!K5,'[1]soupis ploch'!D10,'[1]soupis ploch'!K11,'[1]soupis ploch'!K12,'[1]soupis ploch'!K13:K14,'[1]soupis ploch'!K14:K24,'[1]soupis ploch'!K25,'[1]soupis ploch'!K26:K33,'[1]soupis ploch'!K33)*0.09)+('[1]soupis ploch'!D10*0.11)</f>
        <v>38.863999999999997</v>
      </c>
      <c r="G37" s="46">
        <v>0</v>
      </c>
      <c r="H37" s="47">
        <f t="shared" si="2"/>
        <v>0</v>
      </c>
      <c r="I37" s="48">
        <f t="shared" si="3"/>
        <v>0</v>
      </c>
      <c r="J37" s="48"/>
    </row>
    <row r="38" spans="1:11" ht="50.4" customHeight="1" x14ac:dyDescent="0.25">
      <c r="A38" s="40">
        <v>27</v>
      </c>
      <c r="B38" s="41" t="s">
        <v>37</v>
      </c>
      <c r="C38" s="58" t="s">
        <v>150</v>
      </c>
      <c r="D38" s="43" t="s">
        <v>152</v>
      </c>
      <c r="E38" s="44" t="s">
        <v>60</v>
      </c>
      <c r="F38" s="45">
        <f>SUM('[1]soupis ploch'!K9,'[1]soupis ploch'!K6,'[1]soupis ploch'!K7,'[1]soupis ploch'!K8)*0.04</f>
        <v>4.12</v>
      </c>
      <c r="G38" s="143">
        <v>0</v>
      </c>
      <c r="H38" s="47">
        <f t="shared" si="2"/>
        <v>0</v>
      </c>
      <c r="I38" s="48">
        <f t="shared" si="3"/>
        <v>0</v>
      </c>
      <c r="J38" s="48"/>
    </row>
    <row r="39" spans="1:11" ht="46.2" customHeight="1" x14ac:dyDescent="0.25">
      <c r="A39" s="40">
        <v>28</v>
      </c>
      <c r="B39" s="41" t="s">
        <v>37</v>
      </c>
      <c r="C39" s="58" t="s">
        <v>153</v>
      </c>
      <c r="D39" s="43" t="s">
        <v>154</v>
      </c>
      <c r="E39" s="44" t="s">
        <v>40</v>
      </c>
      <c r="F39" s="45">
        <f>'[1]soupis ploch'!D37-'[1]soupis ploch'!D34-'[1]soupis ploch'!R9</f>
        <v>806.4</v>
      </c>
      <c r="G39" s="143">
        <v>0</v>
      </c>
      <c r="H39" s="47">
        <f t="shared" si="2"/>
        <v>0</v>
      </c>
      <c r="I39" s="48">
        <f t="shared" si="3"/>
        <v>0</v>
      </c>
      <c r="J39" s="48"/>
    </row>
    <row r="40" spans="1:11" ht="32.4" customHeight="1" x14ac:dyDescent="0.25">
      <c r="A40" s="40">
        <v>29</v>
      </c>
      <c r="B40" s="41" t="s">
        <v>37</v>
      </c>
      <c r="C40" s="58">
        <v>181111123</v>
      </c>
      <c r="D40" s="43" t="s">
        <v>155</v>
      </c>
      <c r="E40" s="44" t="s">
        <v>40</v>
      </c>
      <c r="F40" s="45">
        <f>'[1]soupis ploch'!$I$34</f>
        <v>122</v>
      </c>
      <c r="G40" s="143">
        <v>0</v>
      </c>
      <c r="H40" s="47">
        <f t="shared" si="2"/>
        <v>0</v>
      </c>
      <c r="I40" s="48">
        <f t="shared" si="3"/>
        <v>0</v>
      </c>
      <c r="J40" s="48"/>
    </row>
    <row r="41" spans="1:11" ht="17.25" customHeight="1" x14ac:dyDescent="0.25">
      <c r="A41" s="40"/>
      <c r="B41" s="41"/>
      <c r="C41" s="58"/>
      <c r="D41" s="84" t="s">
        <v>156</v>
      </c>
      <c r="E41" s="44"/>
      <c r="F41" s="45"/>
      <c r="G41" s="143">
        <v>0</v>
      </c>
      <c r="H41" s="47"/>
      <c r="I41" s="48"/>
      <c r="J41" s="48"/>
    </row>
    <row r="42" spans="1:11" ht="49.5" customHeight="1" x14ac:dyDescent="0.25">
      <c r="A42" s="40">
        <v>30</v>
      </c>
      <c r="B42" s="41" t="s">
        <v>37</v>
      </c>
      <c r="C42" s="58">
        <v>162751117</v>
      </c>
      <c r="D42" s="144" t="s">
        <v>157</v>
      </c>
      <c r="E42" s="44" t="s">
        <v>60</v>
      </c>
      <c r="F42" s="45">
        <f>F37+F38</f>
        <v>42.983999999999995</v>
      </c>
      <c r="G42" s="143">
        <v>0</v>
      </c>
      <c r="H42" s="47">
        <f>G42*F42</f>
        <v>0</v>
      </c>
      <c r="I42" s="48">
        <f>H42*0.21</f>
        <v>0</v>
      </c>
      <c r="J42" s="48"/>
    </row>
    <row r="43" spans="1:11" ht="17.25" customHeight="1" x14ac:dyDescent="0.25">
      <c r="A43" s="40">
        <v>31</v>
      </c>
      <c r="B43" s="41" t="s">
        <v>77</v>
      </c>
      <c r="C43" s="64" t="s">
        <v>38</v>
      </c>
      <c r="D43" s="52" t="s">
        <v>158</v>
      </c>
      <c r="E43" s="44" t="s">
        <v>43</v>
      </c>
      <c r="F43" s="45">
        <f>F42*1.8</f>
        <v>77.371199999999988</v>
      </c>
      <c r="G43" s="143">
        <v>0</v>
      </c>
      <c r="H43" s="47">
        <f>G43*F43</f>
        <v>0</v>
      </c>
      <c r="I43" s="48">
        <f>H43*0.21</f>
        <v>0</v>
      </c>
      <c r="J43" s="48"/>
    </row>
    <row r="44" spans="1:11" s="78" customFormat="1" ht="15" customHeight="1" x14ac:dyDescent="0.25">
      <c r="A44" s="145"/>
      <c r="B44" s="146"/>
      <c r="C44" s="147"/>
      <c r="D44" s="148" t="s">
        <v>159</v>
      </c>
      <c r="E44" s="149"/>
      <c r="F44" s="150"/>
      <c r="G44" s="151"/>
      <c r="H44" s="152"/>
      <c r="I44" s="153"/>
      <c r="J44" s="153"/>
      <c r="K44" s="154"/>
    </row>
    <row r="45" spans="1:11" s="78" customFormat="1" ht="27" customHeight="1" x14ac:dyDescent="0.25">
      <c r="A45" s="40">
        <v>32</v>
      </c>
      <c r="B45" s="41" t="s">
        <v>37</v>
      </c>
      <c r="C45" s="58">
        <v>132112121</v>
      </c>
      <c r="D45" s="43" t="s">
        <v>160</v>
      </c>
      <c r="E45" s="44" t="s">
        <v>60</v>
      </c>
      <c r="F45" s="45">
        <f>$F$49*0.4*0.7</f>
        <v>0.84000000000000008</v>
      </c>
      <c r="G45" s="46">
        <v>0</v>
      </c>
      <c r="H45" s="47">
        <f>G45*F45</f>
        <v>0</v>
      </c>
      <c r="I45" s="48">
        <f>H45*0.21</f>
        <v>0</v>
      </c>
      <c r="J45" s="155"/>
      <c r="K45" s="154"/>
    </row>
    <row r="46" spans="1:11" s="78" customFormat="1" ht="11.4" x14ac:dyDescent="0.25">
      <c r="A46" s="40">
        <v>33</v>
      </c>
      <c r="B46" s="41" t="s">
        <v>37</v>
      </c>
      <c r="C46" s="58" t="s">
        <v>161</v>
      </c>
      <c r="D46" s="43" t="s">
        <v>162</v>
      </c>
      <c r="E46" s="44" t="s">
        <v>60</v>
      </c>
      <c r="F46" s="45">
        <f>$F$45</f>
        <v>0.84000000000000008</v>
      </c>
      <c r="G46" s="46">
        <v>0</v>
      </c>
      <c r="H46" s="47">
        <f>G46*F46</f>
        <v>0</v>
      </c>
      <c r="I46" s="48">
        <f>H46*0.21</f>
        <v>0</v>
      </c>
      <c r="J46" s="155"/>
      <c r="K46" s="154"/>
    </row>
    <row r="47" spans="1:11" s="78" customFormat="1" ht="31.8" customHeight="1" x14ac:dyDescent="0.25">
      <c r="A47" s="40">
        <v>34</v>
      </c>
      <c r="B47" s="41" t="s">
        <v>37</v>
      </c>
      <c r="C47" s="58">
        <v>132112121</v>
      </c>
      <c r="D47" s="43" t="s">
        <v>163</v>
      </c>
      <c r="E47" s="44" t="s">
        <v>60</v>
      </c>
      <c r="F47" s="45">
        <f>11.5*0.5*0.7</f>
        <v>4.0249999999999995</v>
      </c>
      <c r="G47" s="46">
        <v>0</v>
      </c>
      <c r="H47" s="47">
        <f>G47*F47</f>
        <v>0</v>
      </c>
      <c r="I47" s="48">
        <f>H47*0.21</f>
        <v>0</v>
      </c>
      <c r="J47" s="155"/>
      <c r="K47" s="154"/>
    </row>
    <row r="48" spans="1:11" s="78" customFormat="1" ht="11.4" x14ac:dyDescent="0.25">
      <c r="A48" s="40">
        <v>35</v>
      </c>
      <c r="B48" s="41" t="s">
        <v>37</v>
      </c>
      <c r="C48" s="58" t="s">
        <v>161</v>
      </c>
      <c r="D48" s="43" t="s">
        <v>162</v>
      </c>
      <c r="E48" s="44" t="s">
        <v>60</v>
      </c>
      <c r="F48" s="45">
        <f>F47</f>
        <v>4.0249999999999995</v>
      </c>
      <c r="G48" s="46">
        <v>0</v>
      </c>
      <c r="H48" s="47">
        <f>G48*F48</f>
        <v>0</v>
      </c>
      <c r="I48" s="48">
        <f>H48*0.21</f>
        <v>0</v>
      </c>
      <c r="J48" s="155"/>
      <c r="K48" s="154"/>
    </row>
    <row r="49" spans="1:12" s="159" customFormat="1" ht="31.5" customHeight="1" x14ac:dyDescent="0.25">
      <c r="A49" s="40">
        <v>36</v>
      </c>
      <c r="B49" s="41" t="s">
        <v>37</v>
      </c>
      <c r="C49" s="58">
        <v>183106612</v>
      </c>
      <c r="D49" s="43" t="s">
        <v>164</v>
      </c>
      <c r="E49" s="156" t="s">
        <v>91</v>
      </c>
      <c r="F49" s="45">
        <v>3</v>
      </c>
      <c r="G49" s="46">
        <v>0</v>
      </c>
      <c r="H49" s="47">
        <f>G49*F49</f>
        <v>0</v>
      </c>
      <c r="I49" s="48">
        <f>H49*0.21</f>
        <v>0</v>
      </c>
      <c r="J49" s="157"/>
      <c r="K49" s="158"/>
    </row>
    <row r="50" spans="1:12" s="159" customFormat="1" ht="24.6" customHeight="1" x14ac:dyDescent="0.25">
      <c r="A50" s="160"/>
      <c r="B50" s="161"/>
      <c r="C50" s="162"/>
      <c r="D50" s="57" t="s">
        <v>165</v>
      </c>
      <c r="E50" s="163"/>
      <c r="F50" s="69"/>
      <c r="G50" s="164"/>
      <c r="H50" s="71"/>
      <c r="I50" s="72"/>
      <c r="J50" s="157"/>
      <c r="K50" s="158"/>
    </row>
    <row r="51" spans="1:12" s="159" customFormat="1" ht="15.75" customHeight="1" x14ac:dyDescent="0.25">
      <c r="A51" s="165">
        <v>37</v>
      </c>
      <c r="B51" s="41" t="s">
        <v>37</v>
      </c>
      <c r="C51" s="64" t="s">
        <v>38</v>
      </c>
      <c r="D51" s="43" t="s">
        <v>166</v>
      </c>
      <c r="E51" s="156" t="s">
        <v>91</v>
      </c>
      <c r="F51" s="45">
        <f>F49</f>
        <v>3</v>
      </c>
      <c r="G51" s="166">
        <v>0</v>
      </c>
      <c r="H51" s="47">
        <f>G51*F51</f>
        <v>0</v>
      </c>
      <c r="I51" s="48">
        <f>H51*0.21</f>
        <v>0</v>
      </c>
      <c r="J51" s="157"/>
      <c r="K51" s="158"/>
    </row>
    <row r="52" spans="1:12" s="159" customFormat="1" ht="51" customHeight="1" x14ac:dyDescent="0.25">
      <c r="A52" s="165">
        <v>38</v>
      </c>
      <c r="B52" s="41" t="s">
        <v>37</v>
      </c>
      <c r="C52" s="64">
        <v>131151100</v>
      </c>
      <c r="D52" s="43" t="s">
        <v>167</v>
      </c>
      <c r="E52" s="44" t="s">
        <v>60</v>
      </c>
      <c r="F52" s="45">
        <f>14*0.7</f>
        <v>9.7999999999999989</v>
      </c>
      <c r="G52" s="166">
        <v>0</v>
      </c>
      <c r="H52" s="47">
        <f>G52*F52</f>
        <v>0</v>
      </c>
      <c r="I52" s="48">
        <f>H52*0.21</f>
        <v>0</v>
      </c>
      <c r="J52" s="157"/>
      <c r="K52" s="158"/>
    </row>
    <row r="53" spans="1:12" s="176" customFormat="1" ht="18.75" customHeight="1" x14ac:dyDescent="0.25">
      <c r="A53" s="167"/>
      <c r="B53" s="168"/>
      <c r="C53" s="169"/>
      <c r="D53" s="170" t="s">
        <v>168</v>
      </c>
      <c r="E53" s="171"/>
      <c r="F53" s="172"/>
      <c r="G53" s="173"/>
      <c r="H53" s="110"/>
      <c r="I53" s="174"/>
      <c r="J53" s="174"/>
      <c r="K53" s="175"/>
    </row>
    <row r="54" spans="1:12" ht="33" customHeight="1" x14ac:dyDescent="0.25">
      <c r="A54" s="40">
        <v>39</v>
      </c>
      <c r="B54" s="41" t="s">
        <v>37</v>
      </c>
      <c r="C54" s="64" t="s">
        <v>38</v>
      </c>
      <c r="D54" s="43" t="s">
        <v>169</v>
      </c>
      <c r="E54" s="44" t="s">
        <v>60</v>
      </c>
      <c r="F54" s="45">
        <f>[1]VV!$B$27*0.04*1.1</f>
        <v>20.116800000000001</v>
      </c>
      <c r="G54" s="46">
        <v>0</v>
      </c>
      <c r="H54" s="47">
        <f t="shared" ref="H54:H61" si="4">G54*F54</f>
        <v>0</v>
      </c>
      <c r="I54" s="48">
        <f t="shared" ref="I54:I61" si="5">H54*0.21</f>
        <v>0</v>
      </c>
      <c r="J54" s="48"/>
    </row>
    <row r="55" spans="1:12" ht="24.75" customHeight="1" x14ac:dyDescent="0.25">
      <c r="A55" s="40">
        <v>40</v>
      </c>
      <c r="B55" s="41" t="s">
        <v>37</v>
      </c>
      <c r="C55" s="58">
        <v>185802112</v>
      </c>
      <c r="D55" s="43" t="s">
        <v>170</v>
      </c>
      <c r="E55" s="44" t="s">
        <v>43</v>
      </c>
      <c r="F55" s="45">
        <f>F54</f>
        <v>20.116800000000001</v>
      </c>
      <c r="G55" s="46">
        <v>0</v>
      </c>
      <c r="H55" s="47">
        <f t="shared" si="4"/>
        <v>0</v>
      </c>
      <c r="I55" s="48">
        <f t="shared" si="5"/>
        <v>0</v>
      </c>
      <c r="J55" s="48"/>
    </row>
    <row r="56" spans="1:12" ht="21.75" customHeight="1" x14ac:dyDescent="0.25">
      <c r="A56" s="40">
        <v>41</v>
      </c>
      <c r="B56" s="41" t="s">
        <v>37</v>
      </c>
      <c r="C56" s="64" t="s">
        <v>38</v>
      </c>
      <c r="D56" s="43" t="s">
        <v>171</v>
      </c>
      <c r="E56" s="44" t="s">
        <v>60</v>
      </c>
      <c r="F56" s="45">
        <f>[1]VV!B28*0.02</f>
        <v>9.1440000000000001</v>
      </c>
      <c r="G56" s="46">
        <v>0</v>
      </c>
      <c r="H56" s="47">
        <f t="shared" si="4"/>
        <v>0</v>
      </c>
      <c r="I56" s="48">
        <f t="shared" si="5"/>
        <v>0</v>
      </c>
      <c r="J56" s="48"/>
    </row>
    <row r="57" spans="1:12" ht="40.799999999999997" customHeight="1" x14ac:dyDescent="0.25">
      <c r="A57" s="40">
        <v>42</v>
      </c>
      <c r="B57" s="41" t="s">
        <v>37</v>
      </c>
      <c r="C57" s="64" t="s">
        <v>38</v>
      </c>
      <c r="D57" s="43" t="s">
        <v>172</v>
      </c>
      <c r="E57" s="44" t="s">
        <v>60</v>
      </c>
      <c r="F57" s="45">
        <f>(15*0.5)*0.1</f>
        <v>0.75</v>
      </c>
      <c r="G57" s="46">
        <v>0</v>
      </c>
      <c r="H57" s="47">
        <f t="shared" si="4"/>
        <v>0</v>
      </c>
      <c r="I57" s="48">
        <f t="shared" si="5"/>
        <v>0</v>
      </c>
      <c r="J57" s="48"/>
    </row>
    <row r="58" spans="1:12" ht="16.2" customHeight="1" x14ac:dyDescent="0.25">
      <c r="A58" s="40">
        <v>43</v>
      </c>
      <c r="B58" s="41" t="s">
        <v>37</v>
      </c>
      <c r="C58" s="58">
        <v>185802112</v>
      </c>
      <c r="D58" s="43" t="s">
        <v>173</v>
      </c>
      <c r="E58" s="44" t="s">
        <v>43</v>
      </c>
      <c r="F58" s="45">
        <f>(F56+F57)*0.6</f>
        <v>5.9363999999999999</v>
      </c>
      <c r="G58" s="46">
        <v>0</v>
      </c>
      <c r="H58" s="47">
        <f t="shared" si="4"/>
        <v>0</v>
      </c>
      <c r="I58" s="48">
        <f t="shared" si="5"/>
        <v>0</v>
      </c>
      <c r="J58" s="48"/>
    </row>
    <row r="59" spans="1:12" ht="24" customHeight="1" x14ac:dyDescent="0.25">
      <c r="A59" s="40">
        <v>44</v>
      </c>
      <c r="B59" s="177" t="s">
        <v>37</v>
      </c>
      <c r="C59" s="178">
        <v>162351103</v>
      </c>
      <c r="D59" s="144" t="s">
        <v>174</v>
      </c>
      <c r="E59" s="44" t="s">
        <v>60</v>
      </c>
      <c r="F59" s="45">
        <f>F56+F54+F57</f>
        <v>30.010800000000003</v>
      </c>
      <c r="G59" s="46">
        <v>0</v>
      </c>
      <c r="H59" s="47">
        <f t="shared" si="4"/>
        <v>0</v>
      </c>
      <c r="I59" s="48">
        <f t="shared" si="5"/>
        <v>0</v>
      </c>
      <c r="J59" s="48"/>
      <c r="K59" s="76"/>
      <c r="L59" s="9" t="s">
        <v>175</v>
      </c>
    </row>
    <row r="60" spans="1:12" ht="33" customHeight="1" x14ac:dyDescent="0.25">
      <c r="A60" s="40">
        <v>45</v>
      </c>
      <c r="B60" s="41" t="s">
        <v>37</v>
      </c>
      <c r="C60" s="58">
        <v>183403114</v>
      </c>
      <c r="D60" s="43" t="s">
        <v>176</v>
      </c>
      <c r="E60" s="44" t="s">
        <v>40</v>
      </c>
      <c r="F60" s="45">
        <f>[1]VV!B32-'[1]soupis ploch'!I34-'[1]soupis ploch'!I35</f>
        <v>189.5</v>
      </c>
      <c r="G60" s="46">
        <v>0</v>
      </c>
      <c r="H60" s="47">
        <f t="shared" si="4"/>
        <v>0</v>
      </c>
      <c r="I60" s="48">
        <f t="shared" si="5"/>
        <v>0</v>
      </c>
      <c r="J60" s="48"/>
    </row>
    <row r="61" spans="1:12" ht="30" customHeight="1" x14ac:dyDescent="0.25">
      <c r="A61" s="40">
        <v>46</v>
      </c>
      <c r="B61" s="41" t="s">
        <v>37</v>
      </c>
      <c r="C61" s="58">
        <v>183403131</v>
      </c>
      <c r="D61" s="43" t="s">
        <v>177</v>
      </c>
      <c r="E61" s="44" t="s">
        <v>40</v>
      </c>
      <c r="F61" s="45">
        <f>[1]VV!$B$33</f>
        <v>280.7</v>
      </c>
      <c r="G61" s="46">
        <v>0</v>
      </c>
      <c r="H61" s="47">
        <f t="shared" si="4"/>
        <v>0</v>
      </c>
      <c r="I61" s="48">
        <f t="shared" si="5"/>
        <v>0</v>
      </c>
      <c r="J61" s="48"/>
      <c r="L61" s="179">
        <f>SUM(F60:F61)</f>
        <v>470.2</v>
      </c>
    </row>
    <row r="63" spans="1:12" s="176" customFormat="1" ht="16.5" customHeight="1" x14ac:dyDescent="0.25">
      <c r="A63" s="167"/>
      <c r="B63" s="168"/>
      <c r="C63" s="180"/>
      <c r="D63" s="148" t="s">
        <v>178</v>
      </c>
      <c r="E63" s="171"/>
      <c r="F63" s="172"/>
      <c r="G63" s="173"/>
      <c r="H63" s="110"/>
      <c r="I63" s="174"/>
      <c r="J63" s="174"/>
      <c r="K63" s="175"/>
    </row>
    <row r="64" spans="1:12" ht="36" customHeight="1" x14ac:dyDescent="0.25">
      <c r="A64" s="40">
        <v>47</v>
      </c>
      <c r="B64" s="41" t="s">
        <v>37</v>
      </c>
      <c r="C64" s="58">
        <v>122151101</v>
      </c>
      <c r="D64" s="43" t="s">
        <v>179</v>
      </c>
      <c r="E64" s="44" t="s">
        <v>60</v>
      </c>
      <c r="F64" s="45">
        <f>[1]VV!B20*0.2</f>
        <v>4.8000000000000007</v>
      </c>
      <c r="G64" s="46">
        <v>0</v>
      </c>
      <c r="H64" s="47">
        <f>G64*F64</f>
        <v>0</v>
      </c>
      <c r="I64" s="48">
        <f>H64*0.21</f>
        <v>0</v>
      </c>
      <c r="J64" s="48"/>
    </row>
    <row r="65" spans="1:11" ht="23.25" customHeight="1" x14ac:dyDescent="0.25">
      <c r="A65" s="40">
        <v>48</v>
      </c>
      <c r="B65" s="41" t="s">
        <v>37</v>
      </c>
      <c r="C65" s="58">
        <v>58343930</v>
      </c>
      <c r="D65" s="43" t="s">
        <v>180</v>
      </c>
      <c r="E65" s="44" t="s">
        <v>43</v>
      </c>
      <c r="F65" s="45">
        <f>(F64*0.8)*1.6</f>
        <v>6.1440000000000019</v>
      </c>
      <c r="G65" s="46">
        <v>0</v>
      </c>
      <c r="H65" s="47">
        <f>G65*F65</f>
        <v>0</v>
      </c>
      <c r="I65" s="48">
        <f>H65*0.21</f>
        <v>0</v>
      </c>
      <c r="J65" s="48"/>
    </row>
    <row r="66" spans="1:11" ht="23.25" customHeight="1" x14ac:dyDescent="0.25">
      <c r="A66" s="40">
        <v>49</v>
      </c>
      <c r="B66" s="41" t="s">
        <v>37</v>
      </c>
      <c r="C66" s="64" t="s">
        <v>38</v>
      </c>
      <c r="D66" s="43" t="s">
        <v>181</v>
      </c>
      <c r="E66" s="44" t="s">
        <v>60</v>
      </c>
      <c r="F66" s="45">
        <f>F64*0.05</f>
        <v>0.24000000000000005</v>
      </c>
      <c r="G66" s="46">
        <v>0</v>
      </c>
      <c r="H66" s="47">
        <f>G66*F66</f>
        <v>0</v>
      </c>
      <c r="I66" s="48">
        <f>H66*0.21</f>
        <v>0</v>
      </c>
      <c r="J66" s="48"/>
    </row>
    <row r="67" spans="1:11" ht="15" customHeight="1" x14ac:dyDescent="0.25">
      <c r="A67" s="40">
        <v>50</v>
      </c>
      <c r="B67" s="41" t="s">
        <v>37</v>
      </c>
      <c r="C67" s="64" t="s">
        <v>38</v>
      </c>
      <c r="D67" s="43" t="s">
        <v>182</v>
      </c>
      <c r="E67" s="44"/>
      <c r="F67" s="45"/>
      <c r="G67" s="46">
        <v>0</v>
      </c>
      <c r="H67" s="47"/>
      <c r="I67" s="48"/>
      <c r="J67" s="48"/>
    </row>
    <row r="68" spans="1:11" ht="18.600000000000001" customHeight="1" x14ac:dyDescent="0.25">
      <c r="A68" s="40">
        <v>51</v>
      </c>
      <c r="B68" s="41" t="s">
        <v>37</v>
      </c>
      <c r="C68" s="58">
        <v>185802113</v>
      </c>
      <c r="D68" s="43" t="s">
        <v>183</v>
      </c>
      <c r="E68" s="44" t="s">
        <v>184</v>
      </c>
      <c r="F68" s="58">
        <f>([1]VV!B20*100)*0.001</f>
        <v>2.4</v>
      </c>
      <c r="G68" s="46">
        <v>0</v>
      </c>
      <c r="H68" s="47">
        <f>G68*F68</f>
        <v>0</v>
      </c>
      <c r="I68" s="48">
        <f>H68*0.21</f>
        <v>0</v>
      </c>
      <c r="J68" s="48"/>
    </row>
    <row r="69" spans="1:11" ht="23.25" customHeight="1" x14ac:dyDescent="0.25">
      <c r="A69" s="40">
        <v>52</v>
      </c>
      <c r="B69" s="41" t="s">
        <v>37</v>
      </c>
      <c r="C69" s="58">
        <v>184854111</v>
      </c>
      <c r="D69" s="43" t="s">
        <v>185</v>
      </c>
      <c r="E69" s="44" t="s">
        <v>60</v>
      </c>
      <c r="F69" s="45">
        <f>F64</f>
        <v>4.8000000000000007</v>
      </c>
      <c r="G69" s="46">
        <v>0</v>
      </c>
      <c r="H69" s="47">
        <f>G69*F69</f>
        <v>0</v>
      </c>
      <c r="I69" s="48">
        <f>H69*0.21</f>
        <v>0</v>
      </c>
      <c r="J69" s="48"/>
    </row>
    <row r="70" spans="1:11" s="73" customFormat="1" ht="30.75" customHeight="1" x14ac:dyDescent="0.25">
      <c r="A70" s="50"/>
      <c r="B70" s="65"/>
      <c r="C70" s="162"/>
      <c r="D70" s="57" t="s">
        <v>186</v>
      </c>
      <c r="E70" s="68"/>
      <c r="F70" s="69"/>
      <c r="G70" s="74"/>
      <c r="H70" s="71"/>
      <c r="I70" s="72"/>
      <c r="J70" s="72"/>
      <c r="K70" s="59"/>
    </row>
    <row r="71" spans="1:11" s="185" customFormat="1" ht="30.75" customHeight="1" x14ac:dyDescent="0.25">
      <c r="A71" s="181">
        <v>53</v>
      </c>
      <c r="B71" s="41" t="s">
        <v>37</v>
      </c>
      <c r="C71" s="182">
        <v>171251101</v>
      </c>
      <c r="D71" s="43" t="s">
        <v>187</v>
      </c>
      <c r="E71" s="44" t="s">
        <v>60</v>
      </c>
      <c r="F71" s="142">
        <f>F64</f>
        <v>4.8000000000000007</v>
      </c>
      <c r="G71" s="46">
        <v>0</v>
      </c>
      <c r="H71" s="47">
        <f>G71*F71</f>
        <v>0</v>
      </c>
      <c r="I71" s="48">
        <f>H71*0.21</f>
        <v>0</v>
      </c>
      <c r="J71" s="183"/>
      <c r="K71" s="184"/>
    </row>
    <row r="72" spans="1:11" ht="15" customHeight="1" x14ac:dyDescent="0.25">
      <c r="A72" s="40"/>
      <c r="B72" s="41"/>
      <c r="C72" s="58"/>
      <c r="D72" s="84" t="s">
        <v>188</v>
      </c>
      <c r="E72" s="44"/>
      <c r="F72" s="45"/>
      <c r="G72" s="46"/>
      <c r="H72" s="47"/>
      <c r="I72" s="48"/>
      <c r="J72" s="48"/>
    </row>
    <row r="73" spans="1:11" ht="44.4" customHeight="1" x14ac:dyDescent="0.25">
      <c r="A73" s="40">
        <v>54</v>
      </c>
      <c r="B73" s="41" t="s">
        <v>37</v>
      </c>
      <c r="C73" s="58">
        <v>162751117</v>
      </c>
      <c r="D73" s="52" t="s">
        <v>76</v>
      </c>
      <c r="E73" s="44" t="s">
        <v>60</v>
      </c>
      <c r="F73" s="45">
        <f>F64*0.85</f>
        <v>4.08</v>
      </c>
      <c r="G73" s="46">
        <v>0</v>
      </c>
      <c r="H73" s="47">
        <f>G73*F73</f>
        <v>0</v>
      </c>
      <c r="I73" s="48">
        <f>H73*0.21</f>
        <v>0</v>
      </c>
      <c r="J73" s="48"/>
    </row>
    <row r="74" spans="1:11" ht="19.5" customHeight="1" x14ac:dyDescent="0.25">
      <c r="A74" s="40">
        <v>55</v>
      </c>
      <c r="B74" s="41" t="s">
        <v>77</v>
      </c>
      <c r="C74" s="64" t="s">
        <v>38</v>
      </c>
      <c r="D74" s="52" t="s">
        <v>158</v>
      </c>
      <c r="E74" s="44" t="s">
        <v>43</v>
      </c>
      <c r="F74" s="45">
        <f>F73*1.8</f>
        <v>7.3440000000000003</v>
      </c>
      <c r="G74" s="46">
        <v>0</v>
      </c>
      <c r="H74" s="47">
        <f>G74*F74</f>
        <v>0</v>
      </c>
      <c r="I74" s="48">
        <f>H74*0.21</f>
        <v>0</v>
      </c>
      <c r="J74" s="48"/>
    </row>
    <row r="75" spans="1:11" s="73" customFormat="1" ht="21" customHeight="1" x14ac:dyDescent="0.25">
      <c r="A75" s="50"/>
      <c r="B75" s="65"/>
      <c r="C75" s="186"/>
      <c r="D75" s="67" t="s">
        <v>189</v>
      </c>
      <c r="E75" s="68"/>
      <c r="F75" s="69"/>
      <c r="G75" s="70"/>
      <c r="H75" s="71"/>
      <c r="I75" s="72"/>
      <c r="J75" s="72"/>
      <c r="K75" s="59"/>
    </row>
    <row r="76" spans="1:11" s="176" customFormat="1" ht="16.95" customHeight="1" x14ac:dyDescent="0.25">
      <c r="A76" s="167"/>
      <c r="B76" s="168"/>
      <c r="C76" s="180"/>
      <c r="D76" s="170" t="s">
        <v>190</v>
      </c>
      <c r="E76" s="171"/>
      <c r="F76" s="172"/>
      <c r="G76" s="173"/>
      <c r="H76" s="110"/>
      <c r="I76" s="174"/>
      <c r="J76" s="174"/>
      <c r="K76" s="175"/>
    </row>
    <row r="77" spans="1:11" ht="40.5" customHeight="1" x14ac:dyDescent="0.25">
      <c r="A77" s="40">
        <v>56</v>
      </c>
      <c r="B77" s="41" t="s">
        <v>37</v>
      </c>
      <c r="C77" s="187">
        <v>183117432</v>
      </c>
      <c r="D77" s="43" t="s">
        <v>191</v>
      </c>
      <c r="E77" s="44" t="s">
        <v>40</v>
      </c>
      <c r="F77" s="45">
        <v>12.5</v>
      </c>
      <c r="G77" s="46">
        <v>0</v>
      </c>
      <c r="H77" s="47">
        <f>G77*F77</f>
        <v>0</v>
      </c>
      <c r="I77" s="48">
        <f>H77*0.21</f>
        <v>0</v>
      </c>
      <c r="J77" s="48"/>
    </row>
    <row r="78" spans="1:11" ht="42.75" customHeight="1" x14ac:dyDescent="0.25">
      <c r="A78" s="40">
        <v>57</v>
      </c>
      <c r="B78" s="41" t="s">
        <v>37</v>
      </c>
      <c r="C78" s="187">
        <v>183117431</v>
      </c>
      <c r="D78" s="43" t="s">
        <v>192</v>
      </c>
      <c r="E78" s="44" t="s">
        <v>40</v>
      </c>
      <c r="F78" s="45">
        <v>29</v>
      </c>
      <c r="G78" s="46">
        <v>0</v>
      </c>
      <c r="H78" s="47">
        <f>G78*F78</f>
        <v>0</v>
      </c>
      <c r="I78" s="48">
        <f>H78*0.21</f>
        <v>0</v>
      </c>
      <c r="J78" s="48"/>
    </row>
    <row r="79" spans="1:11" ht="38.25" customHeight="1" x14ac:dyDescent="0.25">
      <c r="A79" s="40"/>
      <c r="B79" s="41"/>
      <c r="C79" s="188"/>
      <c r="D79" s="189" t="s">
        <v>193</v>
      </c>
      <c r="E79" s="44"/>
      <c r="F79" s="45"/>
      <c r="G79" s="46"/>
      <c r="H79" s="47"/>
      <c r="I79" s="48"/>
      <c r="J79" s="48"/>
    </row>
    <row r="80" spans="1:11" ht="13.5" customHeight="1" x14ac:dyDescent="0.25">
      <c r="A80" s="40">
        <v>58</v>
      </c>
      <c r="B80" s="41" t="s">
        <v>37</v>
      </c>
      <c r="C80" s="58">
        <v>58343930</v>
      </c>
      <c r="D80" s="43" t="s">
        <v>194</v>
      </c>
      <c r="E80" s="44" t="s">
        <v>43</v>
      </c>
      <c r="F80" s="45">
        <f>((([1]VV!$B$35*0.1)*0.7)*1.6)*1.1</f>
        <v>1.5276800000000004</v>
      </c>
      <c r="G80" s="46">
        <v>0</v>
      </c>
      <c r="H80" s="47">
        <f>G80*F80</f>
        <v>0</v>
      </c>
      <c r="I80" s="48">
        <f>H80*0.21</f>
        <v>0</v>
      </c>
      <c r="J80" s="48"/>
    </row>
    <row r="81" spans="1:11" ht="16.2" customHeight="1" x14ac:dyDescent="0.25">
      <c r="A81" s="40">
        <v>59</v>
      </c>
      <c r="B81" s="41" t="s">
        <v>37</v>
      </c>
      <c r="C81" s="64" t="s">
        <v>38</v>
      </c>
      <c r="D81" s="43" t="s">
        <v>195</v>
      </c>
      <c r="E81" s="44" t="s">
        <v>60</v>
      </c>
      <c r="F81" s="45">
        <f>((([1]VV!$B$35*0.1)*0.2))*1.1</f>
        <v>0.2728000000000001</v>
      </c>
      <c r="G81" s="46">
        <v>0</v>
      </c>
      <c r="H81" s="47">
        <f>G81*F81</f>
        <v>0</v>
      </c>
      <c r="I81" s="48">
        <f>H81*0.21</f>
        <v>0</v>
      </c>
      <c r="J81" s="48"/>
    </row>
    <row r="82" spans="1:11" ht="17.399999999999999" customHeight="1" x14ac:dyDescent="0.25">
      <c r="A82" s="40">
        <v>60</v>
      </c>
      <c r="B82" s="41" t="s">
        <v>37</v>
      </c>
      <c r="C82" s="64" t="s">
        <v>38</v>
      </c>
      <c r="D82" s="43" t="s">
        <v>196</v>
      </c>
      <c r="E82" s="44" t="s">
        <v>60</v>
      </c>
      <c r="F82" s="45">
        <f>(([1]VV!$B$35*0.1)*0.1)*1.1</f>
        <v>0.13640000000000005</v>
      </c>
      <c r="G82" s="46">
        <v>0</v>
      </c>
      <c r="H82" s="47">
        <f>G82*F82</f>
        <v>0</v>
      </c>
      <c r="I82" s="48">
        <f>H82*0.21</f>
        <v>0</v>
      </c>
      <c r="J82" s="48"/>
    </row>
    <row r="83" spans="1:11" ht="19.5" customHeight="1" x14ac:dyDescent="0.25">
      <c r="A83" s="40">
        <v>61</v>
      </c>
      <c r="B83" s="41" t="s">
        <v>37</v>
      </c>
      <c r="C83" s="64">
        <v>184814211</v>
      </c>
      <c r="D83" s="43" t="s">
        <v>197</v>
      </c>
      <c r="E83" s="44" t="s">
        <v>60</v>
      </c>
      <c r="F83" s="45">
        <f>(([1]VV!$B$35)*0.1)*1.1</f>
        <v>1.3640000000000003</v>
      </c>
      <c r="G83" s="46">
        <v>0</v>
      </c>
      <c r="H83" s="47">
        <f>G83*F83</f>
        <v>0</v>
      </c>
      <c r="I83" s="48">
        <f>H83*0.21</f>
        <v>0</v>
      </c>
      <c r="J83" s="48"/>
    </row>
    <row r="84" spans="1:11" s="73" customFormat="1" ht="42.75" customHeight="1" x14ac:dyDescent="0.25">
      <c r="A84" s="50"/>
      <c r="B84" s="65"/>
      <c r="C84" s="77"/>
      <c r="D84" s="57" t="s">
        <v>198</v>
      </c>
      <c r="E84" s="68"/>
      <c r="F84" s="69"/>
      <c r="G84" s="74"/>
      <c r="H84" s="71"/>
      <c r="I84" s="72"/>
      <c r="J84" s="72"/>
      <c r="K84" s="59"/>
    </row>
    <row r="85" spans="1:11" ht="36" customHeight="1" x14ac:dyDescent="0.25">
      <c r="A85" s="40">
        <v>62</v>
      </c>
      <c r="B85" s="41"/>
      <c r="C85" s="188"/>
      <c r="D85" s="189" t="s">
        <v>199</v>
      </c>
      <c r="E85" s="44"/>
      <c r="F85" s="45"/>
      <c r="G85" s="46"/>
      <c r="H85" s="47"/>
      <c r="I85" s="48"/>
      <c r="J85" s="48"/>
    </row>
    <row r="86" spans="1:11" ht="16.2" customHeight="1" x14ac:dyDescent="0.25">
      <c r="A86" s="40">
        <v>63</v>
      </c>
      <c r="B86" s="41" t="s">
        <v>37</v>
      </c>
      <c r="C86" s="64" t="s">
        <v>38</v>
      </c>
      <c r="D86" s="43" t="s">
        <v>195</v>
      </c>
      <c r="E86" s="44" t="s">
        <v>60</v>
      </c>
      <c r="F86" s="45">
        <f>((([1]VV!$B$36*0.1)*0.2))*1.1</f>
        <v>0.59400000000000008</v>
      </c>
      <c r="G86" s="46">
        <v>0</v>
      </c>
      <c r="H86" s="47">
        <f>G86*F86</f>
        <v>0</v>
      </c>
      <c r="I86" s="48">
        <f>H86*0.21</f>
        <v>0</v>
      </c>
      <c r="J86" s="48"/>
    </row>
    <row r="87" spans="1:11" ht="29.4" customHeight="1" x14ac:dyDescent="0.25">
      <c r="A87" s="40">
        <v>64</v>
      </c>
      <c r="B87" s="41" t="s">
        <v>37</v>
      </c>
      <c r="C87" s="187"/>
      <c r="D87" s="43" t="s">
        <v>200</v>
      </c>
      <c r="E87" s="44" t="s">
        <v>60</v>
      </c>
      <c r="F87" s="45">
        <f>((([1]VV!$B$36*0.1)*0.7))*1.1</f>
        <v>2.0790000000000002</v>
      </c>
      <c r="G87" s="46"/>
      <c r="H87" s="47">
        <f>G87*F87</f>
        <v>0</v>
      </c>
      <c r="I87" s="48">
        <f>H87*0.21</f>
        <v>0</v>
      </c>
      <c r="J87" s="48"/>
    </row>
    <row r="88" spans="1:11" ht="15" customHeight="1" x14ac:dyDescent="0.25">
      <c r="A88" s="40">
        <v>65</v>
      </c>
      <c r="B88" s="41" t="s">
        <v>37</v>
      </c>
      <c r="C88" s="64" t="s">
        <v>38</v>
      </c>
      <c r="D88" s="43" t="s">
        <v>201</v>
      </c>
      <c r="E88" s="44" t="s">
        <v>60</v>
      </c>
      <c r="F88" s="45">
        <f>((([1]VV!$B$36*0.1)*0.1))*1.1</f>
        <v>0.29700000000000004</v>
      </c>
      <c r="G88" s="46">
        <v>0</v>
      </c>
      <c r="H88" s="47">
        <f>G88*F88</f>
        <v>0</v>
      </c>
      <c r="I88" s="48">
        <f>H88*0.21</f>
        <v>0</v>
      </c>
      <c r="J88" s="48"/>
    </row>
    <row r="89" spans="1:11" ht="23.25" customHeight="1" x14ac:dyDescent="0.25">
      <c r="A89" s="40">
        <v>66</v>
      </c>
      <c r="B89" s="41" t="s">
        <v>37</v>
      </c>
      <c r="C89" s="58">
        <v>184854111</v>
      </c>
      <c r="D89" s="43" t="s">
        <v>185</v>
      </c>
      <c r="E89" s="44" t="s">
        <v>60</v>
      </c>
      <c r="F89" s="45">
        <f>(([1]VV!$B$36)*0.1)*1.1</f>
        <v>2.9700000000000006</v>
      </c>
      <c r="G89" s="46">
        <v>0</v>
      </c>
      <c r="H89" s="47">
        <f>G89*F89</f>
        <v>0</v>
      </c>
      <c r="I89" s="48">
        <f>H89*0.21</f>
        <v>0</v>
      </c>
      <c r="J89" s="48"/>
    </row>
    <row r="90" spans="1:11" s="73" customFormat="1" ht="42.75" customHeight="1" x14ac:dyDescent="0.25">
      <c r="A90" s="50"/>
      <c r="B90" s="65"/>
      <c r="C90" s="77"/>
      <c r="D90" s="57" t="s">
        <v>198</v>
      </c>
      <c r="E90" s="68"/>
      <c r="F90" s="69"/>
      <c r="G90" s="74"/>
      <c r="H90" s="71"/>
      <c r="I90" s="72"/>
      <c r="J90" s="72"/>
      <c r="K90" s="59"/>
    </row>
    <row r="91" spans="1:11" ht="23.25" customHeight="1" x14ac:dyDescent="0.25">
      <c r="A91" s="40">
        <v>67</v>
      </c>
      <c r="B91" s="41" t="s">
        <v>37</v>
      </c>
      <c r="C91" s="58">
        <v>997221141</v>
      </c>
      <c r="D91" s="190" t="s">
        <v>51</v>
      </c>
      <c r="E91" s="44" t="s">
        <v>43</v>
      </c>
      <c r="F91" s="45">
        <f>([1]VV!B35+[1]VV!B36)*0.1*1.7</f>
        <v>6.6979999999999995</v>
      </c>
      <c r="G91" s="46">
        <v>0</v>
      </c>
      <c r="H91" s="47">
        <f>G91*F91</f>
        <v>0</v>
      </c>
      <c r="I91" s="48">
        <f>H91*0.21</f>
        <v>0</v>
      </c>
      <c r="J91" s="48"/>
      <c r="K91" s="76"/>
    </row>
    <row r="92" spans="1:11" s="185" customFormat="1" ht="35.25" customHeight="1" x14ac:dyDescent="0.25">
      <c r="A92" s="181">
        <v>68</v>
      </c>
      <c r="B92" s="41" t="s">
        <v>37</v>
      </c>
      <c r="C92" s="182">
        <v>171112221</v>
      </c>
      <c r="D92" s="43" t="s">
        <v>202</v>
      </c>
      <c r="E92" s="44" t="s">
        <v>60</v>
      </c>
      <c r="F92" s="142">
        <f>F89+F83</f>
        <v>4.3340000000000014</v>
      </c>
      <c r="G92" s="46">
        <v>0</v>
      </c>
      <c r="H92" s="47">
        <f>G92*F92</f>
        <v>0</v>
      </c>
      <c r="I92" s="48">
        <f>H92*0.21</f>
        <v>0</v>
      </c>
      <c r="J92" s="183"/>
      <c r="K92" s="184"/>
    </row>
    <row r="93" spans="1:11" s="176" customFormat="1" ht="16.2" customHeight="1" x14ac:dyDescent="0.25">
      <c r="A93" s="167"/>
      <c r="B93" s="168"/>
      <c r="C93" s="191"/>
      <c r="D93" s="192" t="s">
        <v>203</v>
      </c>
      <c r="E93" s="171"/>
      <c r="F93" s="172"/>
      <c r="G93" s="173"/>
      <c r="H93" s="110"/>
      <c r="I93" s="174"/>
      <c r="J93" s="174"/>
      <c r="K93" s="175"/>
    </row>
    <row r="94" spans="1:11" ht="32.25" customHeight="1" x14ac:dyDescent="0.25">
      <c r="A94" s="40">
        <v>69</v>
      </c>
      <c r="B94" s="41" t="s">
        <v>37</v>
      </c>
      <c r="C94" s="58" t="s">
        <v>66</v>
      </c>
      <c r="D94" s="52" t="s">
        <v>49</v>
      </c>
      <c r="E94" s="44" t="s">
        <v>43</v>
      </c>
      <c r="F94" s="45">
        <f>$F$80+F65</f>
        <v>7.6716800000000021</v>
      </c>
      <c r="G94" s="46">
        <v>0</v>
      </c>
      <c r="H94" s="47">
        <f>G94*F94</f>
        <v>0</v>
      </c>
      <c r="I94" s="48">
        <f>H94*0.21</f>
        <v>0</v>
      </c>
      <c r="J94" s="48"/>
    </row>
    <row r="95" spans="1:11" ht="33.75" customHeight="1" x14ac:dyDescent="0.25">
      <c r="A95" s="40">
        <v>70</v>
      </c>
      <c r="B95" s="41" t="s">
        <v>37</v>
      </c>
      <c r="C95" s="58">
        <v>997221559</v>
      </c>
      <c r="D95" s="52" t="s">
        <v>50</v>
      </c>
      <c r="E95" s="44" t="s">
        <v>43</v>
      </c>
      <c r="F95" s="45">
        <f>$F$94*10</f>
        <v>76.716800000000021</v>
      </c>
      <c r="G95" s="46">
        <v>0</v>
      </c>
      <c r="H95" s="47">
        <f>G95*F95</f>
        <v>0</v>
      </c>
      <c r="I95" s="48">
        <f>H95*0.21</f>
        <v>0</v>
      </c>
      <c r="J95" s="48"/>
    </row>
    <row r="96" spans="1:11" ht="19.8" x14ac:dyDescent="0.25">
      <c r="A96" s="40"/>
      <c r="B96" s="41"/>
      <c r="C96" s="187"/>
      <c r="D96" s="67" t="s">
        <v>204</v>
      </c>
      <c r="E96" s="44"/>
      <c r="F96" s="45"/>
      <c r="G96" s="46"/>
      <c r="H96" s="47"/>
      <c r="I96" s="48"/>
      <c r="J96" s="48"/>
    </row>
    <row r="97" spans="1:11" ht="60.6" customHeight="1" x14ac:dyDescent="0.25">
      <c r="A97" s="40">
        <v>71</v>
      </c>
      <c r="B97" s="41" t="s">
        <v>37</v>
      </c>
      <c r="C97" s="58">
        <v>162751117</v>
      </c>
      <c r="D97" s="52" t="s">
        <v>205</v>
      </c>
      <c r="E97" s="44" t="s">
        <v>60</v>
      </c>
      <c r="F97" s="45">
        <f>$F$54+$F$81+$F$66+F86</f>
        <v>21.223600000000001</v>
      </c>
      <c r="G97" s="46">
        <v>0</v>
      </c>
      <c r="H97" s="47">
        <f>G97*F97</f>
        <v>0</v>
      </c>
      <c r="I97" s="48">
        <f>H97*0.21</f>
        <v>0</v>
      </c>
      <c r="J97" s="48"/>
    </row>
    <row r="98" spans="1:11" ht="54" customHeight="1" x14ac:dyDescent="0.25">
      <c r="A98" s="40">
        <v>72</v>
      </c>
      <c r="B98" s="41" t="s">
        <v>37</v>
      </c>
      <c r="C98" s="58">
        <v>162751117</v>
      </c>
      <c r="D98" s="52" t="s">
        <v>206</v>
      </c>
      <c r="E98" s="44" t="s">
        <v>60</v>
      </c>
      <c r="F98" s="45">
        <f>SUM(F88,F82,F56)</f>
        <v>9.5774000000000008</v>
      </c>
      <c r="G98" s="46">
        <v>0</v>
      </c>
      <c r="H98" s="47">
        <f>G98*F98</f>
        <v>0</v>
      </c>
      <c r="I98" s="48">
        <f>H98*0.21</f>
        <v>0</v>
      </c>
      <c r="J98" s="48"/>
    </row>
    <row r="99" spans="1:11" ht="15" customHeight="1" x14ac:dyDescent="0.25">
      <c r="A99" s="40"/>
      <c r="B99" s="41"/>
      <c r="C99" s="58"/>
      <c r="D99" s="84" t="s">
        <v>207</v>
      </c>
      <c r="E99" s="44"/>
      <c r="F99" s="45"/>
      <c r="G99" s="46"/>
      <c r="H99" s="47"/>
      <c r="I99" s="48"/>
      <c r="J99" s="48"/>
    </row>
    <row r="100" spans="1:11" ht="41.25" customHeight="1" x14ac:dyDescent="0.25">
      <c r="A100" s="40">
        <v>73</v>
      </c>
      <c r="B100" s="41" t="s">
        <v>37</v>
      </c>
      <c r="C100" s="58">
        <v>162751117</v>
      </c>
      <c r="D100" s="52" t="s">
        <v>76</v>
      </c>
      <c r="E100" s="44" t="s">
        <v>60</v>
      </c>
      <c r="F100" s="45">
        <f>(($F$77*0.23)+(F78*0.1))-F87</f>
        <v>3.6960000000000002</v>
      </c>
      <c r="G100" s="46">
        <v>0</v>
      </c>
      <c r="H100" s="47">
        <f>G100*F100</f>
        <v>0</v>
      </c>
      <c r="I100" s="48">
        <f>H100*0.21</f>
        <v>0</v>
      </c>
      <c r="J100" s="48"/>
    </row>
    <row r="101" spans="1:11" ht="19.5" customHeight="1" x14ac:dyDescent="0.25">
      <c r="A101" s="40">
        <v>74</v>
      </c>
      <c r="B101" s="41" t="s">
        <v>77</v>
      </c>
      <c r="C101" s="64" t="s">
        <v>38</v>
      </c>
      <c r="D101" s="52" t="s">
        <v>158</v>
      </c>
      <c r="E101" s="44" t="s">
        <v>43</v>
      </c>
      <c r="F101" s="45">
        <f>F100*1.8</f>
        <v>6.6528</v>
      </c>
      <c r="G101" s="46">
        <v>0</v>
      </c>
      <c r="H101" s="47">
        <f>G101*F101</f>
        <v>0</v>
      </c>
      <c r="I101" s="48">
        <f>H101*0.21</f>
        <v>0</v>
      </c>
      <c r="J101" s="48"/>
    </row>
    <row r="102" spans="1:11" s="176" customFormat="1" ht="16.2" customHeight="1" x14ac:dyDescent="0.25">
      <c r="A102" s="167"/>
      <c r="B102" s="168"/>
      <c r="C102" s="191"/>
      <c r="D102" s="192" t="s">
        <v>208</v>
      </c>
      <c r="E102" s="171"/>
      <c r="F102" s="172"/>
      <c r="G102" s="173"/>
      <c r="H102" s="110"/>
      <c r="I102" s="174"/>
      <c r="J102" s="174"/>
      <c r="K102" s="175"/>
    </row>
    <row r="103" spans="1:11" ht="14.25" customHeight="1" x14ac:dyDescent="0.25">
      <c r="A103" s="40">
        <v>75</v>
      </c>
      <c r="B103" s="41" t="s">
        <v>37</v>
      </c>
      <c r="C103" s="58">
        <v>185804312</v>
      </c>
      <c r="D103" s="43" t="s">
        <v>209</v>
      </c>
      <c r="E103" s="44" t="s">
        <v>60</v>
      </c>
      <c r="F103" s="45">
        <f>F104</f>
        <v>9.0803240000000027</v>
      </c>
      <c r="G103" s="46">
        <v>0</v>
      </c>
      <c r="H103" s="47">
        <f>G103*F103</f>
        <v>0</v>
      </c>
      <c r="I103" s="48">
        <f>H103*0.21</f>
        <v>0</v>
      </c>
      <c r="J103" s="48"/>
    </row>
    <row r="104" spans="1:11" ht="30" customHeight="1" x14ac:dyDescent="0.25">
      <c r="A104" s="40">
        <v>76</v>
      </c>
      <c r="B104" s="41" t="s">
        <v>37</v>
      </c>
      <c r="C104" s="58" t="s">
        <v>210</v>
      </c>
      <c r="D104" s="43" t="s">
        <v>211</v>
      </c>
      <c r="E104" s="44" t="s">
        <v>60</v>
      </c>
      <c r="F104" s="45">
        <f>((F98*0.6)+((F89+F83)*0.1)+((F77+F78)*0.05))*1.1</f>
        <v>9.0803240000000027</v>
      </c>
      <c r="G104" s="46">
        <v>0</v>
      </c>
      <c r="H104" s="47">
        <f>G104*F104</f>
        <v>0</v>
      </c>
      <c r="I104" s="48">
        <f>H104*0.21</f>
        <v>0</v>
      </c>
      <c r="J104" s="48"/>
    </row>
    <row r="105" spans="1:11" ht="31.8" customHeight="1" x14ac:dyDescent="0.25"/>
    <row r="106" spans="1:11" s="198" customFormat="1" ht="14.25" customHeight="1" x14ac:dyDescent="0.25">
      <c r="A106" s="193"/>
      <c r="B106" s="193"/>
      <c r="C106" s="193"/>
      <c r="D106" s="194" t="s">
        <v>212</v>
      </c>
      <c r="E106" s="195"/>
      <c r="F106" s="196"/>
      <c r="G106" s="195"/>
      <c r="H106" s="195"/>
      <c r="I106" s="195"/>
      <c r="J106" s="195"/>
      <c r="K106" s="197"/>
    </row>
    <row r="107" spans="1:11" ht="43.95" customHeight="1" x14ac:dyDescent="0.25">
      <c r="A107" s="181">
        <v>77</v>
      </c>
      <c r="B107" s="177" t="s">
        <v>37</v>
      </c>
      <c r="C107" s="199" t="s">
        <v>38</v>
      </c>
      <c r="D107" s="144" t="s">
        <v>213</v>
      </c>
      <c r="E107" s="44" t="s">
        <v>91</v>
      </c>
      <c r="F107" s="200">
        <f>[1]VV!B53*1.1</f>
        <v>25.3</v>
      </c>
      <c r="G107" s="46">
        <v>0</v>
      </c>
      <c r="H107" s="47">
        <f>G107*F107</f>
        <v>0</v>
      </c>
      <c r="I107" s="48">
        <f>H107*0.21</f>
        <v>0</v>
      </c>
      <c r="J107" s="48"/>
    </row>
    <row r="108" spans="1:11" ht="48.6" customHeight="1" x14ac:dyDescent="0.25">
      <c r="A108" s="50"/>
      <c r="B108" s="65"/>
      <c r="C108" s="162"/>
      <c r="D108" s="57" t="s">
        <v>214</v>
      </c>
      <c r="E108" s="68"/>
      <c r="F108" s="69"/>
      <c r="G108" s="74"/>
      <c r="H108" s="71"/>
      <c r="I108" s="72"/>
      <c r="J108" s="72"/>
    </row>
    <row r="109" spans="1:11" ht="32.25" customHeight="1" x14ac:dyDescent="0.25">
      <c r="A109" s="40">
        <v>78</v>
      </c>
      <c r="B109" s="41" t="s">
        <v>37</v>
      </c>
      <c r="C109" s="58">
        <v>916371211</v>
      </c>
      <c r="D109" s="86" t="s">
        <v>215</v>
      </c>
      <c r="E109" s="44" t="s">
        <v>91</v>
      </c>
      <c r="F109" s="45">
        <f>[1]VV!B52*1.1</f>
        <v>26.510000000000005</v>
      </c>
      <c r="G109" s="46">
        <v>0</v>
      </c>
      <c r="H109" s="47">
        <f>G109*F109</f>
        <v>0</v>
      </c>
      <c r="I109" s="48">
        <f>H109*0.21</f>
        <v>0</v>
      </c>
      <c r="J109" s="48"/>
    </row>
    <row r="110" spans="1:11" ht="33" customHeight="1" x14ac:dyDescent="0.25">
      <c r="A110" s="40">
        <v>79</v>
      </c>
      <c r="B110" s="41" t="s">
        <v>37</v>
      </c>
      <c r="C110" s="64" t="s">
        <v>38</v>
      </c>
      <c r="D110" s="43" t="s">
        <v>216</v>
      </c>
      <c r="E110" s="44" t="s">
        <v>91</v>
      </c>
      <c r="F110" s="45">
        <f>F109</f>
        <v>26.510000000000005</v>
      </c>
      <c r="G110" s="46">
        <v>0</v>
      </c>
      <c r="H110" s="47">
        <f>G110*F110</f>
        <v>0</v>
      </c>
      <c r="I110" s="48">
        <f>H110*0.21</f>
        <v>0</v>
      </c>
      <c r="J110" s="48"/>
    </row>
    <row r="111" spans="1:11" s="229" customFormat="1" ht="18" customHeight="1" x14ac:dyDescent="0.25">
      <c r="A111" s="222"/>
      <c r="B111" s="222"/>
      <c r="C111" s="223">
        <v>4</v>
      </c>
      <c r="D111" s="224" t="s">
        <v>217</v>
      </c>
      <c r="E111" s="222"/>
      <c r="F111" s="225"/>
      <c r="G111" s="226"/>
      <c r="H111" s="230"/>
      <c r="I111" s="227"/>
      <c r="J111" s="227"/>
      <c r="K111" s="228"/>
    </row>
    <row r="112" spans="1:11" ht="21.75" customHeight="1" x14ac:dyDescent="0.25">
      <c r="A112" s="40">
        <v>80</v>
      </c>
      <c r="B112" s="41" t="s">
        <v>37</v>
      </c>
      <c r="C112" s="58">
        <v>183151118</v>
      </c>
      <c r="D112" s="43" t="s">
        <v>218</v>
      </c>
      <c r="E112" s="44" t="s">
        <v>96</v>
      </c>
      <c r="F112" s="45">
        <v>1</v>
      </c>
      <c r="G112" s="46">
        <v>0</v>
      </c>
      <c r="H112" s="47"/>
      <c r="I112" s="48"/>
      <c r="J112" s="48"/>
    </row>
    <row r="113" spans="1:11" s="73" customFormat="1" ht="49.95" customHeight="1" x14ac:dyDescent="0.25">
      <c r="A113" s="50"/>
      <c r="B113" s="65"/>
      <c r="C113" s="186"/>
      <c r="D113" s="57" t="s">
        <v>219</v>
      </c>
      <c r="E113" s="68"/>
      <c r="F113" s="69"/>
      <c r="G113" s="74"/>
      <c r="H113" s="71"/>
      <c r="I113" s="72"/>
      <c r="J113" s="72"/>
      <c r="K113" s="59"/>
    </row>
    <row r="114" spans="1:11" ht="22.5" customHeight="1" x14ac:dyDescent="0.25">
      <c r="A114" s="40">
        <v>81</v>
      </c>
      <c r="B114" s="41" t="s">
        <v>37</v>
      </c>
      <c r="C114" s="58">
        <v>184102117</v>
      </c>
      <c r="D114" s="43" t="s">
        <v>220</v>
      </c>
      <c r="E114" s="44" t="s">
        <v>96</v>
      </c>
      <c r="F114" s="45">
        <v>1</v>
      </c>
      <c r="G114" s="46">
        <v>0</v>
      </c>
      <c r="H114" s="47">
        <f>G114*F114</f>
        <v>0</v>
      </c>
      <c r="I114" s="48">
        <f>H114*0.21</f>
        <v>0</v>
      </c>
      <c r="J114" s="48"/>
    </row>
    <row r="115" spans="1:11" ht="21.6" customHeight="1" x14ac:dyDescent="0.25">
      <c r="A115" s="40">
        <v>82</v>
      </c>
      <c r="B115" s="41"/>
      <c r="C115" s="58"/>
      <c r="D115" s="84" t="s">
        <v>221</v>
      </c>
      <c r="E115" s="44"/>
      <c r="F115" s="45"/>
      <c r="G115" s="46"/>
      <c r="H115" s="47"/>
      <c r="I115" s="48"/>
      <c r="J115" s="48"/>
    </row>
    <row r="116" spans="1:11" ht="14.25" customHeight="1" x14ac:dyDescent="0.25">
      <c r="A116" s="40">
        <v>83</v>
      </c>
      <c r="B116" s="41" t="s">
        <v>37</v>
      </c>
      <c r="C116" s="64" t="s">
        <v>38</v>
      </c>
      <c r="D116" s="43" t="s">
        <v>222</v>
      </c>
      <c r="E116" s="44" t="s">
        <v>60</v>
      </c>
      <c r="F116" s="45">
        <f>4*0.5*0.82</f>
        <v>1.64</v>
      </c>
      <c r="G116" s="46"/>
      <c r="H116" s="47"/>
      <c r="I116" s="48"/>
      <c r="J116" s="48"/>
    </row>
    <row r="117" spans="1:11" ht="21.75" customHeight="1" x14ac:dyDescent="0.25">
      <c r="A117" s="40">
        <v>84</v>
      </c>
      <c r="B117" s="41" t="s">
        <v>37</v>
      </c>
      <c r="C117" s="64" t="s">
        <v>38</v>
      </c>
      <c r="D117" s="43" t="s">
        <v>223</v>
      </c>
      <c r="E117" s="44" t="s">
        <v>60</v>
      </c>
      <c r="F117" s="45">
        <f>4*0.4*0.08</f>
        <v>0.128</v>
      </c>
      <c r="G117" s="46">
        <v>0</v>
      </c>
      <c r="H117" s="47">
        <f>G117*F117</f>
        <v>0</v>
      </c>
      <c r="I117" s="48">
        <f>H117*0.21</f>
        <v>0</v>
      </c>
      <c r="J117" s="48"/>
    </row>
    <row r="118" spans="1:11" ht="14.25" customHeight="1" x14ac:dyDescent="0.25">
      <c r="A118" s="40">
        <v>85</v>
      </c>
      <c r="B118" s="41" t="s">
        <v>37</v>
      </c>
      <c r="C118" s="64" t="s">
        <v>38</v>
      </c>
      <c r="D118" s="43" t="s">
        <v>224</v>
      </c>
      <c r="E118" s="44" t="s">
        <v>60</v>
      </c>
      <c r="F118" s="45">
        <f>4*0.5*0.1</f>
        <v>0.2</v>
      </c>
      <c r="G118" s="46">
        <v>0</v>
      </c>
      <c r="H118" s="47">
        <f>G118*F118</f>
        <v>0</v>
      </c>
      <c r="I118" s="48">
        <f>H118*0.21</f>
        <v>0</v>
      </c>
      <c r="J118" s="48"/>
    </row>
    <row r="119" spans="1:11" ht="19.5" customHeight="1" x14ac:dyDescent="0.25">
      <c r="A119" s="40">
        <v>86</v>
      </c>
      <c r="B119" s="41" t="s">
        <v>37</v>
      </c>
      <c r="C119" s="64">
        <v>184814211</v>
      </c>
      <c r="D119" s="43" t="s">
        <v>197</v>
      </c>
      <c r="E119" s="44" t="s">
        <v>60</v>
      </c>
      <c r="F119" s="45">
        <f>4*0.5</f>
        <v>2</v>
      </c>
      <c r="G119" s="46">
        <v>0</v>
      </c>
      <c r="H119" s="47">
        <f>G119*F119</f>
        <v>0</v>
      </c>
      <c r="I119" s="48">
        <f>H119*0.21</f>
        <v>0</v>
      </c>
      <c r="J119" s="48"/>
    </row>
    <row r="120" spans="1:11" s="73" customFormat="1" ht="22.8" customHeight="1" x14ac:dyDescent="0.25">
      <c r="A120" s="50"/>
      <c r="B120" s="65"/>
      <c r="C120" s="77"/>
      <c r="D120" s="57" t="s">
        <v>225</v>
      </c>
      <c r="E120" s="68"/>
      <c r="F120" s="69"/>
      <c r="G120" s="74"/>
      <c r="H120" s="71"/>
      <c r="I120" s="72"/>
      <c r="J120" s="72"/>
      <c r="K120" s="59"/>
    </row>
    <row r="121" spans="1:11" s="73" customFormat="1" ht="22.8" customHeight="1" x14ac:dyDescent="0.25">
      <c r="A121" s="201">
        <v>87</v>
      </c>
      <c r="B121" s="41" t="s">
        <v>37</v>
      </c>
      <c r="C121" s="64" t="s">
        <v>226</v>
      </c>
      <c r="D121" s="43" t="s">
        <v>227</v>
      </c>
      <c r="E121" s="44" t="s">
        <v>96</v>
      </c>
      <c r="F121" s="45">
        <v>1</v>
      </c>
      <c r="G121" s="46">
        <v>0</v>
      </c>
      <c r="H121" s="47">
        <f>G121*F121</f>
        <v>0</v>
      </c>
      <c r="I121" s="48">
        <f>H121*0.21</f>
        <v>0</v>
      </c>
      <c r="J121" s="201"/>
      <c r="K121" s="59"/>
    </row>
    <row r="122" spans="1:11" s="207" customFormat="1" ht="31.5" customHeight="1" x14ac:dyDescent="0.25">
      <c r="A122" s="160"/>
      <c r="B122" s="161"/>
      <c r="C122" s="202"/>
      <c r="D122" s="57" t="s">
        <v>228</v>
      </c>
      <c r="E122" s="163"/>
      <c r="F122" s="203"/>
      <c r="G122" s="164"/>
      <c r="H122" s="204"/>
      <c r="I122" s="205"/>
      <c r="J122" s="205"/>
      <c r="K122" s="206"/>
    </row>
    <row r="123" spans="1:11" s="207" customFormat="1" ht="31.5" customHeight="1" x14ac:dyDescent="0.25">
      <c r="A123" s="40">
        <v>88</v>
      </c>
      <c r="B123" s="41" t="s">
        <v>37</v>
      </c>
      <c r="C123" s="64" t="s">
        <v>229</v>
      </c>
      <c r="D123" s="43" t="s">
        <v>230</v>
      </c>
      <c r="E123" s="44" t="s">
        <v>96</v>
      </c>
      <c r="F123" s="45">
        <v>8</v>
      </c>
      <c r="G123" s="46">
        <v>0</v>
      </c>
      <c r="H123" s="47">
        <f t="shared" ref="H123:H125" si="6">G123*F123</f>
        <v>0</v>
      </c>
      <c r="I123" s="48">
        <f t="shared" ref="I123:I125" si="7">H123*0.21</f>
        <v>0</v>
      </c>
      <c r="J123" s="48"/>
      <c r="K123" s="206"/>
    </row>
    <row r="124" spans="1:11" s="207" customFormat="1" ht="23.4" customHeight="1" x14ac:dyDescent="0.25">
      <c r="A124" s="40">
        <v>89</v>
      </c>
      <c r="B124" s="41" t="s">
        <v>37</v>
      </c>
      <c r="C124" s="64">
        <v>184813162</v>
      </c>
      <c r="D124" s="43" t="s">
        <v>231</v>
      </c>
      <c r="E124" s="44" t="s">
        <v>96</v>
      </c>
      <c r="F124" s="45">
        <v>1</v>
      </c>
      <c r="G124" s="46">
        <v>0</v>
      </c>
      <c r="H124" s="47">
        <f t="shared" si="6"/>
        <v>0</v>
      </c>
      <c r="I124" s="48">
        <f t="shared" si="7"/>
        <v>0</v>
      </c>
      <c r="J124" s="48"/>
      <c r="K124" s="206"/>
    </row>
    <row r="125" spans="1:11" ht="14.25" customHeight="1" x14ac:dyDescent="0.25">
      <c r="A125" s="40">
        <v>90</v>
      </c>
      <c r="B125" s="41"/>
      <c r="C125" s="51"/>
      <c r="D125" s="84" t="s">
        <v>232</v>
      </c>
      <c r="E125" s="44"/>
      <c r="F125" s="45"/>
      <c r="G125" s="46">
        <v>0</v>
      </c>
      <c r="H125" s="47">
        <f t="shared" si="6"/>
        <v>0</v>
      </c>
      <c r="I125" s="48">
        <f t="shared" si="7"/>
        <v>0</v>
      </c>
      <c r="J125" s="48"/>
      <c r="K125" s="54"/>
    </row>
    <row r="126" spans="1:11" ht="14.25" customHeight="1" x14ac:dyDescent="0.25">
      <c r="A126" s="40">
        <v>91</v>
      </c>
      <c r="B126" s="41" t="s">
        <v>37</v>
      </c>
      <c r="C126" s="58">
        <v>185804312</v>
      </c>
      <c r="D126" s="43" t="s">
        <v>233</v>
      </c>
      <c r="E126" s="44" t="s">
        <v>60</v>
      </c>
      <c r="F126" s="45">
        <f>0.1*3</f>
        <v>0.30000000000000004</v>
      </c>
      <c r="G126" s="46">
        <v>0</v>
      </c>
      <c r="H126" s="47">
        <f>G126*F126</f>
        <v>0</v>
      </c>
      <c r="I126" s="48">
        <f>H126*0.21</f>
        <v>0</v>
      </c>
      <c r="J126" s="48"/>
    </row>
    <row r="127" spans="1:11" ht="15.75" customHeight="1" x14ac:dyDescent="0.25">
      <c r="A127" s="40">
        <v>92</v>
      </c>
      <c r="B127" s="41" t="s">
        <v>37</v>
      </c>
      <c r="C127" s="58" t="s">
        <v>210</v>
      </c>
      <c r="D127" s="43" t="s">
        <v>234</v>
      </c>
      <c r="E127" s="44" t="s">
        <v>60</v>
      </c>
      <c r="F127" s="45">
        <f>F126</f>
        <v>0.30000000000000004</v>
      </c>
      <c r="G127" s="46">
        <v>0</v>
      </c>
      <c r="H127" s="47">
        <f>G127*F127</f>
        <v>0</v>
      </c>
      <c r="I127" s="48">
        <f>H127*0.21</f>
        <v>0</v>
      </c>
      <c r="J127" s="48"/>
    </row>
    <row r="128" spans="1:11" ht="15.75" customHeight="1" x14ac:dyDescent="0.25">
      <c r="A128" s="40"/>
      <c r="B128" s="41"/>
      <c r="C128" s="58"/>
      <c r="D128" s="84" t="s">
        <v>48</v>
      </c>
      <c r="E128" s="44"/>
      <c r="F128" s="45"/>
      <c r="G128" s="46"/>
      <c r="H128" s="47"/>
      <c r="I128" s="48"/>
      <c r="J128" s="48"/>
    </row>
    <row r="129" spans="1:11" ht="43.8" customHeight="1" x14ac:dyDescent="0.25">
      <c r="A129" s="40">
        <v>93</v>
      </c>
      <c r="B129" s="41" t="s">
        <v>37</v>
      </c>
      <c r="C129" s="58">
        <v>162751117</v>
      </c>
      <c r="D129" s="52" t="s">
        <v>235</v>
      </c>
      <c r="E129" s="44" t="s">
        <v>60</v>
      </c>
      <c r="F129" s="45">
        <f>SUM(F117,F118)</f>
        <v>0.32800000000000001</v>
      </c>
      <c r="G129" s="46">
        <v>0</v>
      </c>
      <c r="H129" s="47">
        <f>G129*F129</f>
        <v>0</v>
      </c>
      <c r="I129" s="48">
        <f>H129*0.21</f>
        <v>0</v>
      </c>
      <c r="J129" s="48"/>
    </row>
    <row r="130" spans="1:11" ht="15.75" customHeight="1" x14ac:dyDescent="0.25">
      <c r="A130" s="40"/>
      <c r="B130" s="41"/>
      <c r="C130" s="58"/>
      <c r="D130" s="84" t="s">
        <v>236</v>
      </c>
      <c r="E130" s="44"/>
      <c r="F130" s="45"/>
      <c r="G130" s="46"/>
      <c r="H130" s="47"/>
      <c r="I130" s="48"/>
      <c r="J130" s="48"/>
    </row>
    <row r="131" spans="1:11" ht="13.5" customHeight="1" x14ac:dyDescent="0.25">
      <c r="A131" s="40">
        <v>94</v>
      </c>
      <c r="B131" s="41" t="s">
        <v>37</v>
      </c>
      <c r="C131" s="58">
        <v>998231311</v>
      </c>
      <c r="D131" s="43" t="s">
        <v>237</v>
      </c>
      <c r="E131" s="44" t="s">
        <v>43</v>
      </c>
      <c r="F131" s="45">
        <v>0.2</v>
      </c>
      <c r="G131" s="46">
        <v>0</v>
      </c>
      <c r="H131" s="47">
        <f>G131*F131</f>
        <v>0</v>
      </c>
      <c r="I131" s="48">
        <f>H131*0.21</f>
        <v>0</v>
      </c>
      <c r="J131" s="48"/>
    </row>
    <row r="132" spans="1:11" ht="38.4" customHeight="1" x14ac:dyDescent="0.25">
      <c r="B132" s="9"/>
      <c r="C132" s="9"/>
      <c r="D132" s="9"/>
      <c r="E132" s="9"/>
      <c r="F132" s="9"/>
      <c r="G132" s="9"/>
      <c r="I132" s="9"/>
      <c r="J132" s="9"/>
      <c r="K132" s="9"/>
    </row>
    <row r="133" spans="1:11" s="229" customFormat="1" ht="18" customHeight="1" x14ac:dyDescent="0.25">
      <c r="A133" s="222"/>
      <c r="B133" s="222"/>
      <c r="C133" s="223">
        <v>5</v>
      </c>
      <c r="D133" s="224" t="s">
        <v>238</v>
      </c>
      <c r="E133" s="222"/>
      <c r="F133" s="225"/>
      <c r="G133" s="226"/>
      <c r="H133" s="230"/>
      <c r="I133" s="227"/>
      <c r="J133" s="227"/>
      <c r="K133" s="228"/>
    </row>
    <row r="134" spans="1:11" ht="31.8" customHeight="1" x14ac:dyDescent="0.25">
      <c r="A134" s="40">
        <v>95</v>
      </c>
      <c r="B134" s="41" t="s">
        <v>37</v>
      </c>
      <c r="C134" s="58" t="s">
        <v>239</v>
      </c>
      <c r="D134" s="43" t="s">
        <v>240</v>
      </c>
      <c r="E134" s="44" t="s">
        <v>40</v>
      </c>
      <c r="F134" s="45">
        <f>SUM([1]VV!B3,[1]VV!B6)</f>
        <v>447.99999999999983</v>
      </c>
      <c r="G134" s="46">
        <v>0</v>
      </c>
      <c r="H134" s="47">
        <f t="shared" ref="H134:H144" si="8">G134*F134</f>
        <v>0</v>
      </c>
      <c r="I134" s="48">
        <f t="shared" ref="I134:I144" si="9">H134*0.21</f>
        <v>0</v>
      </c>
      <c r="J134" s="48"/>
    </row>
    <row r="135" spans="1:11" ht="26.4" customHeight="1" x14ac:dyDescent="0.25">
      <c r="A135" s="40">
        <v>96</v>
      </c>
      <c r="B135" s="41" t="s">
        <v>37</v>
      </c>
      <c r="C135" s="58">
        <v>183111111</v>
      </c>
      <c r="D135" s="43" t="s">
        <v>241</v>
      </c>
      <c r="E135" s="44" t="s">
        <v>96</v>
      </c>
      <c r="F135" s="142">
        <f>SUM(F175:F226)</f>
        <v>2052</v>
      </c>
      <c r="G135" s="46">
        <v>0</v>
      </c>
      <c r="H135" s="47">
        <f t="shared" si="8"/>
        <v>0</v>
      </c>
      <c r="I135" s="48">
        <f t="shared" si="9"/>
        <v>0</v>
      </c>
      <c r="J135" s="48"/>
    </row>
    <row r="136" spans="1:11" ht="29.25" customHeight="1" x14ac:dyDescent="0.25">
      <c r="A136" s="40">
        <v>97</v>
      </c>
      <c r="B136" s="41" t="s">
        <v>37</v>
      </c>
      <c r="C136" s="58">
        <v>183111112</v>
      </c>
      <c r="D136" s="43" t="s">
        <v>242</v>
      </c>
      <c r="E136" s="44" t="s">
        <v>96</v>
      </c>
      <c r="F136" s="208">
        <f>SUM(F164:F173)</f>
        <v>200</v>
      </c>
      <c r="G136" s="46">
        <v>0</v>
      </c>
      <c r="H136" s="47">
        <f t="shared" si="8"/>
        <v>0</v>
      </c>
      <c r="I136" s="48">
        <f t="shared" si="9"/>
        <v>0</v>
      </c>
      <c r="J136" s="48"/>
    </row>
    <row r="137" spans="1:11" ht="29.25" customHeight="1" x14ac:dyDescent="0.25">
      <c r="A137" s="40">
        <v>98</v>
      </c>
      <c r="B137" s="41" t="s">
        <v>37</v>
      </c>
      <c r="C137" s="58" t="s">
        <v>243</v>
      </c>
      <c r="D137" s="43" t="s">
        <v>244</v>
      </c>
      <c r="E137" s="44" t="s">
        <v>96</v>
      </c>
      <c r="F137" s="208">
        <f>[1]VV!B9</f>
        <v>12.6</v>
      </c>
      <c r="G137" s="46">
        <v>0</v>
      </c>
      <c r="H137" s="47">
        <f t="shared" si="8"/>
        <v>0</v>
      </c>
      <c r="I137" s="48">
        <f t="shared" si="9"/>
        <v>0</v>
      </c>
      <c r="J137" s="48"/>
    </row>
    <row r="138" spans="1:11" ht="18" customHeight="1" x14ac:dyDescent="0.25">
      <c r="A138" s="40">
        <v>99</v>
      </c>
      <c r="B138" s="41" t="s">
        <v>37</v>
      </c>
      <c r="C138" s="64" t="s">
        <v>38</v>
      </c>
      <c r="D138" s="43" t="s">
        <v>245</v>
      </c>
      <c r="E138" s="44" t="s">
        <v>60</v>
      </c>
      <c r="F138" s="142">
        <f>0.05*F137</f>
        <v>0.63</v>
      </c>
      <c r="G138" s="46">
        <v>0</v>
      </c>
      <c r="H138" s="47">
        <f t="shared" si="8"/>
        <v>0</v>
      </c>
      <c r="I138" s="48">
        <f t="shared" si="9"/>
        <v>0</v>
      </c>
      <c r="J138" s="48"/>
    </row>
    <row r="139" spans="1:11" ht="17.25" customHeight="1" x14ac:dyDescent="0.25">
      <c r="A139" s="40">
        <v>100</v>
      </c>
      <c r="B139" s="41" t="s">
        <v>37</v>
      </c>
      <c r="C139" s="58">
        <v>183211313</v>
      </c>
      <c r="D139" s="43" t="s">
        <v>246</v>
      </c>
      <c r="E139" s="44" t="s">
        <v>96</v>
      </c>
      <c r="F139" s="208">
        <f>SUM(F229:F235)</f>
        <v>1155</v>
      </c>
      <c r="G139" s="46">
        <v>0</v>
      </c>
      <c r="H139" s="47">
        <f t="shared" si="8"/>
        <v>0</v>
      </c>
      <c r="I139" s="48">
        <f t="shared" si="9"/>
        <v>0</v>
      </c>
      <c r="J139" s="48"/>
    </row>
    <row r="140" spans="1:11" ht="26.25" customHeight="1" x14ac:dyDescent="0.25">
      <c r="A140" s="40">
        <v>101</v>
      </c>
      <c r="B140" s="41" t="s">
        <v>37</v>
      </c>
      <c r="C140" s="58" t="s">
        <v>247</v>
      </c>
      <c r="D140" s="43" t="s">
        <v>248</v>
      </c>
      <c r="E140" s="44" t="s">
        <v>96</v>
      </c>
      <c r="F140" s="208">
        <f>F135</f>
        <v>2052</v>
      </c>
      <c r="G140" s="46">
        <v>0</v>
      </c>
      <c r="H140" s="47">
        <f t="shared" si="8"/>
        <v>0</v>
      </c>
      <c r="I140" s="48">
        <f t="shared" si="9"/>
        <v>0</v>
      </c>
      <c r="J140" s="48"/>
    </row>
    <row r="141" spans="1:11" ht="31.8" customHeight="1" x14ac:dyDescent="0.25">
      <c r="A141" s="40">
        <v>102</v>
      </c>
      <c r="B141" s="41" t="s">
        <v>37</v>
      </c>
      <c r="C141" s="58">
        <v>184102111</v>
      </c>
      <c r="D141" s="43" t="s">
        <v>249</v>
      </c>
      <c r="E141" s="44" t="s">
        <v>96</v>
      </c>
      <c r="F141" s="208">
        <f>SUM(F172:F173)</f>
        <v>174</v>
      </c>
      <c r="G141" s="46">
        <v>0</v>
      </c>
      <c r="H141" s="47">
        <f t="shared" si="8"/>
        <v>0</v>
      </c>
      <c r="I141" s="48">
        <f t="shared" si="9"/>
        <v>0</v>
      </c>
      <c r="J141" s="48"/>
    </row>
    <row r="142" spans="1:11" ht="29.25" customHeight="1" x14ac:dyDescent="0.25">
      <c r="A142" s="40">
        <v>103</v>
      </c>
      <c r="B142" s="41" t="s">
        <v>37</v>
      </c>
      <c r="C142" s="58">
        <v>184102112</v>
      </c>
      <c r="D142" s="43" t="s">
        <v>250</v>
      </c>
      <c r="E142" s="44" t="s">
        <v>96</v>
      </c>
      <c r="F142" s="208">
        <f>SUM(F165:F171)-5+1</f>
        <v>21</v>
      </c>
      <c r="G142" s="46">
        <v>0</v>
      </c>
      <c r="H142" s="47">
        <f t="shared" si="8"/>
        <v>0</v>
      </c>
      <c r="I142" s="48">
        <f t="shared" si="9"/>
        <v>0</v>
      </c>
      <c r="J142" s="48"/>
    </row>
    <row r="143" spans="1:11" ht="30.75" customHeight="1" x14ac:dyDescent="0.25">
      <c r="A143" s="40">
        <v>104</v>
      </c>
      <c r="B143" s="41" t="s">
        <v>37</v>
      </c>
      <c r="C143" s="58">
        <v>184102132</v>
      </c>
      <c r="D143" s="43" t="s">
        <v>251</v>
      </c>
      <c r="E143" s="44" t="s">
        <v>96</v>
      </c>
      <c r="F143" s="208">
        <v>5</v>
      </c>
      <c r="G143" s="46">
        <v>0</v>
      </c>
      <c r="H143" s="47">
        <f t="shared" si="8"/>
        <v>0</v>
      </c>
      <c r="I143" s="48">
        <f t="shared" si="9"/>
        <v>0</v>
      </c>
      <c r="J143" s="48"/>
    </row>
    <row r="144" spans="1:11" ht="24.75" customHeight="1" x14ac:dyDescent="0.25">
      <c r="A144" s="40">
        <v>105</v>
      </c>
      <c r="B144" s="41" t="s">
        <v>37</v>
      </c>
      <c r="C144" s="58">
        <v>185802114</v>
      </c>
      <c r="D144" s="43" t="s">
        <v>252</v>
      </c>
      <c r="E144" s="44" t="s">
        <v>43</v>
      </c>
      <c r="F144" s="45">
        <f>(560*100)/1000000</f>
        <v>5.6000000000000001E-2</v>
      </c>
      <c r="G144" s="46">
        <v>0</v>
      </c>
      <c r="H144" s="47">
        <f t="shared" si="8"/>
        <v>0</v>
      </c>
      <c r="I144" s="48">
        <f t="shared" si="9"/>
        <v>0</v>
      </c>
      <c r="J144" s="48"/>
    </row>
    <row r="145" spans="1:11" ht="15.75" customHeight="1" x14ac:dyDescent="0.25">
      <c r="A145" s="40"/>
      <c r="B145" s="41"/>
      <c r="C145" s="58"/>
      <c r="D145" s="84" t="s">
        <v>253</v>
      </c>
      <c r="E145" s="44"/>
      <c r="F145" s="45"/>
      <c r="G145" s="46"/>
      <c r="H145" s="47"/>
      <c r="I145" s="48"/>
      <c r="J145" s="48"/>
    </row>
    <row r="146" spans="1:11" ht="25.5" customHeight="1" x14ac:dyDescent="0.25">
      <c r="A146" s="40">
        <v>106</v>
      </c>
      <c r="B146" s="41" t="s">
        <v>37</v>
      </c>
      <c r="C146" s="58">
        <v>184911161</v>
      </c>
      <c r="D146" s="43" t="s">
        <v>254</v>
      </c>
      <c r="E146" s="44" t="s">
        <v>40</v>
      </c>
      <c r="F146" s="45">
        <f>[1]VV!B29</f>
        <v>224.80000000000004</v>
      </c>
      <c r="G146" s="46">
        <v>0</v>
      </c>
      <c r="H146" s="47">
        <f>G146*F146</f>
        <v>0</v>
      </c>
      <c r="I146" s="48">
        <f>H146*0.21</f>
        <v>0</v>
      </c>
      <c r="J146" s="48"/>
    </row>
    <row r="147" spans="1:11" ht="13.2" customHeight="1" x14ac:dyDescent="0.25">
      <c r="A147" s="40">
        <v>107</v>
      </c>
      <c r="B147" s="41" t="s">
        <v>37</v>
      </c>
      <c r="C147" s="58" t="s">
        <v>255</v>
      </c>
      <c r="D147" s="43" t="s">
        <v>256</v>
      </c>
      <c r="E147" s="44" t="s">
        <v>43</v>
      </c>
      <c r="F147" s="45">
        <f>[1]VV!$B$29*0.055*1.6</f>
        <v>19.782400000000006</v>
      </c>
      <c r="G147" s="46">
        <v>0</v>
      </c>
      <c r="H147" s="47">
        <f>G147*F147</f>
        <v>0</v>
      </c>
      <c r="I147" s="48">
        <f>H147*0.21</f>
        <v>0</v>
      </c>
      <c r="J147" s="48"/>
    </row>
    <row r="148" spans="1:11" ht="24" customHeight="1" x14ac:dyDescent="0.25">
      <c r="A148" s="40">
        <v>108</v>
      </c>
      <c r="B148" s="41" t="s">
        <v>37</v>
      </c>
      <c r="C148" s="58" t="s">
        <v>257</v>
      </c>
      <c r="D148" s="43" t="s">
        <v>258</v>
      </c>
      <c r="E148" s="44" t="s">
        <v>40</v>
      </c>
      <c r="F148" s="45">
        <f>[1]VV!B30+[1]VV!B31-'[1]soupis ploch'!U34</f>
        <v>312.10000000000002</v>
      </c>
      <c r="G148" s="46">
        <v>0</v>
      </c>
      <c r="H148" s="47">
        <f>G148*F148</f>
        <v>0</v>
      </c>
      <c r="I148" s="48">
        <f>H148*0.21</f>
        <v>0</v>
      </c>
      <c r="J148" s="48"/>
    </row>
    <row r="149" spans="1:11" ht="24" customHeight="1" x14ac:dyDescent="0.25">
      <c r="A149" s="40">
        <v>109</v>
      </c>
      <c r="B149" s="41" t="s">
        <v>37</v>
      </c>
      <c r="C149" s="58">
        <v>184911423</v>
      </c>
      <c r="D149" s="43" t="s">
        <v>259</v>
      </c>
      <c r="E149" s="44" t="s">
        <v>40</v>
      </c>
      <c r="F149" s="45">
        <f>'[1]soupis ploch'!U34</f>
        <v>48</v>
      </c>
      <c r="G149" s="46">
        <v>0</v>
      </c>
      <c r="H149" s="47">
        <f>G149*F149</f>
        <v>0</v>
      </c>
      <c r="I149" s="48">
        <f>H149*0.21</f>
        <v>0</v>
      </c>
      <c r="J149" s="48"/>
    </row>
    <row r="150" spans="1:11" ht="25.5" customHeight="1" x14ac:dyDescent="0.25">
      <c r="A150" s="40">
        <v>110</v>
      </c>
      <c r="B150" s="41" t="s">
        <v>37</v>
      </c>
      <c r="C150" s="51" t="s">
        <v>38</v>
      </c>
      <c r="D150" s="43" t="s">
        <v>260</v>
      </c>
      <c r="E150" s="44" t="s">
        <v>60</v>
      </c>
      <c r="F150" s="45">
        <f>([1]VV!$D$30+[1]VV!$D$31)*1.05</f>
        <v>27.222300000000004</v>
      </c>
      <c r="G150" s="46">
        <v>0</v>
      </c>
      <c r="H150" s="47">
        <f>G150*F150</f>
        <v>0</v>
      </c>
      <c r="I150" s="48">
        <f>H150*0.21</f>
        <v>0</v>
      </c>
      <c r="J150" s="48"/>
    </row>
    <row r="151" spans="1:11" ht="14.25" customHeight="1" x14ac:dyDescent="0.25">
      <c r="A151" s="50"/>
      <c r="B151" s="65"/>
      <c r="C151" s="66"/>
      <c r="D151" s="57" t="s">
        <v>261</v>
      </c>
      <c r="E151" s="68"/>
      <c r="F151" s="69"/>
      <c r="G151" s="74"/>
      <c r="H151" s="71"/>
      <c r="I151" s="72"/>
      <c r="J151" s="48"/>
    </row>
    <row r="152" spans="1:11" ht="14.25" customHeight="1" x14ac:dyDescent="0.25">
      <c r="A152" s="40"/>
      <c r="B152" s="41"/>
      <c r="C152" s="51"/>
      <c r="D152" s="84" t="s">
        <v>232</v>
      </c>
      <c r="E152" s="44"/>
      <c r="F152" s="45"/>
      <c r="G152" s="46"/>
      <c r="H152" s="47"/>
      <c r="I152" s="48"/>
      <c r="J152" s="48"/>
      <c r="K152" s="54"/>
    </row>
    <row r="153" spans="1:11" ht="21" customHeight="1" x14ac:dyDescent="0.25">
      <c r="A153" s="40">
        <v>111</v>
      </c>
      <c r="B153" s="41" t="s">
        <v>37</v>
      </c>
      <c r="C153" s="58">
        <v>185804312</v>
      </c>
      <c r="D153" s="43" t="s">
        <v>262</v>
      </c>
      <c r="E153" s="44" t="s">
        <v>60</v>
      </c>
      <c r="F153" s="45">
        <f>(F134*0.025)*3</f>
        <v>33.599999999999987</v>
      </c>
      <c r="G153" s="46">
        <v>0</v>
      </c>
      <c r="H153" s="47">
        <f>G153*F153</f>
        <v>0</v>
      </c>
      <c r="I153" s="48">
        <f>H153*0.21</f>
        <v>0</v>
      </c>
      <c r="J153" s="48"/>
    </row>
    <row r="154" spans="1:11" ht="15.75" customHeight="1" x14ac:dyDescent="0.25">
      <c r="A154" s="40">
        <v>112</v>
      </c>
      <c r="B154" s="41" t="s">
        <v>37</v>
      </c>
      <c r="C154" s="58" t="s">
        <v>210</v>
      </c>
      <c r="D154" s="43" t="s">
        <v>234</v>
      </c>
      <c r="E154" s="44" t="s">
        <v>60</v>
      </c>
      <c r="F154" s="45">
        <f>F153</f>
        <v>33.599999999999987</v>
      </c>
      <c r="G154" s="46">
        <v>0</v>
      </c>
      <c r="H154" s="47">
        <f>G154*F154</f>
        <v>0</v>
      </c>
      <c r="I154" s="48">
        <f>H154*0.21</f>
        <v>0</v>
      </c>
      <c r="J154" s="48"/>
    </row>
    <row r="155" spans="1:11" ht="17.25" customHeight="1" x14ac:dyDescent="0.25">
      <c r="A155" s="40"/>
      <c r="B155" s="41"/>
      <c r="C155" s="58"/>
      <c r="D155" s="84" t="s">
        <v>48</v>
      </c>
      <c r="E155" s="44"/>
      <c r="F155" s="45"/>
      <c r="G155" s="46"/>
      <c r="H155" s="47"/>
      <c r="I155" s="48"/>
      <c r="J155" s="48"/>
    </row>
    <row r="156" spans="1:11" ht="32.25" customHeight="1" x14ac:dyDescent="0.25">
      <c r="A156" s="40">
        <v>113</v>
      </c>
      <c r="B156" s="41" t="s">
        <v>37</v>
      </c>
      <c r="C156" s="58" t="s">
        <v>66</v>
      </c>
      <c r="D156" s="52" t="s">
        <v>263</v>
      </c>
      <c r="E156" s="44" t="s">
        <v>43</v>
      </c>
      <c r="F156" s="45">
        <f>F147</f>
        <v>19.782400000000006</v>
      </c>
      <c r="G156" s="46">
        <v>0</v>
      </c>
      <c r="H156" s="47">
        <f>G156*F156</f>
        <v>0</v>
      </c>
      <c r="I156" s="48">
        <f>H156*0.21</f>
        <v>0</v>
      </c>
      <c r="J156" s="48"/>
    </row>
    <row r="157" spans="1:11" ht="33" customHeight="1" x14ac:dyDescent="0.25">
      <c r="A157" s="40">
        <v>114</v>
      </c>
      <c r="B157" s="41" t="s">
        <v>37</v>
      </c>
      <c r="C157" s="58">
        <v>997221559</v>
      </c>
      <c r="D157" s="52" t="s">
        <v>50</v>
      </c>
      <c r="E157" s="44" t="s">
        <v>43</v>
      </c>
      <c r="F157" s="45">
        <f>F156*10</f>
        <v>197.82400000000007</v>
      </c>
      <c r="G157" s="46">
        <v>0</v>
      </c>
      <c r="H157" s="47">
        <f>G157*F157</f>
        <v>0</v>
      </c>
      <c r="I157" s="48">
        <f>H157*0.21</f>
        <v>0</v>
      </c>
      <c r="J157" s="48"/>
    </row>
    <row r="158" spans="1:11" ht="34.200000000000003" customHeight="1" x14ac:dyDescent="0.25">
      <c r="A158" s="40">
        <v>115</v>
      </c>
      <c r="B158" s="41" t="s">
        <v>37</v>
      </c>
      <c r="C158" s="58">
        <v>162751117</v>
      </c>
      <c r="D158" s="52" t="s">
        <v>264</v>
      </c>
      <c r="E158" s="44" t="s">
        <v>60</v>
      </c>
      <c r="F158" s="45">
        <f>F150+F138</f>
        <v>27.852300000000003</v>
      </c>
      <c r="G158" s="46">
        <v>0</v>
      </c>
      <c r="H158" s="47">
        <f>G158*F158</f>
        <v>0</v>
      </c>
      <c r="I158" s="48">
        <f>H158*0.21</f>
        <v>0</v>
      </c>
      <c r="J158" s="48"/>
    </row>
    <row r="160" spans="1:11" s="229" customFormat="1" ht="16.5" customHeight="1" x14ac:dyDescent="0.25">
      <c r="A160" s="222"/>
      <c r="B160" s="222"/>
      <c r="C160" s="223">
        <v>6</v>
      </c>
      <c r="D160" s="224" t="s">
        <v>265</v>
      </c>
      <c r="E160" s="222"/>
      <c r="F160" s="225"/>
      <c r="G160" s="226"/>
      <c r="H160" s="230"/>
      <c r="I160" s="231"/>
      <c r="J160" s="227"/>
      <c r="K160" s="228"/>
    </row>
    <row r="161" spans="1:11" ht="21" customHeight="1" x14ac:dyDescent="0.25">
      <c r="A161" s="40"/>
      <c r="B161" s="209"/>
      <c r="C161" s="210"/>
      <c r="D161" s="211" t="s">
        <v>266</v>
      </c>
      <c r="E161" s="44"/>
      <c r="F161" s="45"/>
      <c r="G161" s="46"/>
      <c r="H161" s="47"/>
      <c r="I161" s="49"/>
      <c r="J161" s="48"/>
      <c r="K161" s="54"/>
    </row>
    <row r="162" spans="1:11" ht="12.75" customHeight="1" x14ac:dyDescent="0.25">
      <c r="A162" s="40">
        <v>116</v>
      </c>
      <c r="B162" s="209" t="s">
        <v>37</v>
      </c>
      <c r="C162" s="51" t="s">
        <v>38</v>
      </c>
      <c r="D162" s="43" t="s">
        <v>267</v>
      </c>
      <c r="E162" s="44" t="s">
        <v>96</v>
      </c>
      <c r="F162" s="200">
        <v>1</v>
      </c>
      <c r="G162" s="46">
        <v>0</v>
      </c>
      <c r="H162" s="47">
        <f>G162*F162</f>
        <v>0</v>
      </c>
      <c r="I162" s="49">
        <f>H162*0.21</f>
        <v>0</v>
      </c>
      <c r="J162" s="48"/>
    </row>
    <row r="163" spans="1:11" ht="12.75" customHeight="1" x14ac:dyDescent="0.25">
      <c r="A163" s="40"/>
      <c r="B163" s="209"/>
      <c r="C163" s="51"/>
      <c r="D163" s="84" t="s">
        <v>268</v>
      </c>
      <c r="E163" s="44"/>
      <c r="F163" s="200"/>
      <c r="G163" s="46"/>
      <c r="H163" s="47"/>
      <c r="I163" s="49"/>
      <c r="J163" s="48"/>
    </row>
    <row r="164" spans="1:11" x14ac:dyDescent="0.25">
      <c r="A164" s="40">
        <v>117</v>
      </c>
      <c r="B164" s="209" t="s">
        <v>37</v>
      </c>
      <c r="C164" s="51" t="s">
        <v>38</v>
      </c>
      <c r="D164" s="43" t="s">
        <v>269</v>
      </c>
      <c r="E164" s="44" t="s">
        <v>96</v>
      </c>
      <c r="F164" s="45">
        <v>1</v>
      </c>
      <c r="G164" s="46">
        <v>0</v>
      </c>
      <c r="H164" s="47">
        <f t="shared" ref="H164:H172" si="10">G164*F164</f>
        <v>0</v>
      </c>
      <c r="I164" s="49">
        <f t="shared" ref="I164:I172" si="11">H164*0.21</f>
        <v>0</v>
      </c>
      <c r="J164" s="48"/>
    </row>
    <row r="165" spans="1:11" x14ac:dyDescent="0.25">
      <c r="A165" s="40">
        <v>118</v>
      </c>
      <c r="B165" s="209" t="s">
        <v>37</v>
      </c>
      <c r="C165" s="51" t="s">
        <v>38</v>
      </c>
      <c r="D165" s="43" t="s">
        <v>270</v>
      </c>
      <c r="E165" s="44" t="s">
        <v>96</v>
      </c>
      <c r="F165" s="45">
        <v>6</v>
      </c>
      <c r="G165" s="46">
        <v>0</v>
      </c>
      <c r="H165" s="47">
        <f t="shared" si="10"/>
        <v>0</v>
      </c>
      <c r="I165" s="49">
        <f t="shared" si="11"/>
        <v>0</v>
      </c>
      <c r="J165" s="48"/>
    </row>
    <row r="166" spans="1:11" x14ac:dyDescent="0.25">
      <c r="A166" s="40">
        <v>119</v>
      </c>
      <c r="B166" s="209" t="s">
        <v>37</v>
      </c>
      <c r="C166" s="51" t="s">
        <v>38</v>
      </c>
      <c r="D166" s="43" t="s">
        <v>271</v>
      </c>
      <c r="E166" s="44" t="s">
        <v>96</v>
      </c>
      <c r="F166" s="45">
        <v>2</v>
      </c>
      <c r="G166" s="46">
        <v>0</v>
      </c>
      <c r="H166" s="47">
        <f t="shared" si="10"/>
        <v>0</v>
      </c>
      <c r="I166" s="49">
        <f t="shared" si="11"/>
        <v>0</v>
      </c>
      <c r="J166" s="48"/>
    </row>
    <row r="167" spans="1:11" x14ac:dyDescent="0.25">
      <c r="A167" s="40">
        <v>120</v>
      </c>
      <c r="B167" s="209" t="s">
        <v>37</v>
      </c>
      <c r="C167" s="51" t="s">
        <v>38</v>
      </c>
      <c r="D167" s="43" t="s">
        <v>272</v>
      </c>
      <c r="E167" s="44" t="s">
        <v>96</v>
      </c>
      <c r="F167" s="45">
        <v>3</v>
      </c>
      <c r="G167" s="46">
        <v>0</v>
      </c>
      <c r="H167" s="47">
        <f t="shared" si="10"/>
        <v>0</v>
      </c>
      <c r="I167" s="49">
        <f t="shared" si="11"/>
        <v>0</v>
      </c>
      <c r="J167" s="48"/>
    </row>
    <row r="168" spans="1:11" x14ac:dyDescent="0.25">
      <c r="A168" s="40">
        <v>121</v>
      </c>
      <c r="B168" s="209" t="s">
        <v>37</v>
      </c>
      <c r="C168" s="51" t="s">
        <v>38</v>
      </c>
      <c r="D168" s="43" t="s">
        <v>273</v>
      </c>
      <c r="E168" s="44" t="s">
        <v>96</v>
      </c>
      <c r="F168" s="45">
        <v>4</v>
      </c>
      <c r="G168" s="46">
        <v>0</v>
      </c>
      <c r="H168" s="47">
        <f t="shared" si="10"/>
        <v>0</v>
      </c>
      <c r="I168" s="49">
        <f t="shared" si="11"/>
        <v>0</v>
      </c>
      <c r="J168" s="48"/>
    </row>
    <row r="169" spans="1:11" x14ac:dyDescent="0.25">
      <c r="A169" s="40">
        <v>122</v>
      </c>
      <c r="B169" s="209" t="s">
        <v>37</v>
      </c>
      <c r="C169" s="51" t="s">
        <v>38</v>
      </c>
      <c r="D169" s="43" t="s">
        <v>274</v>
      </c>
      <c r="E169" s="44" t="s">
        <v>96</v>
      </c>
      <c r="F169" s="45">
        <v>2</v>
      </c>
      <c r="G169" s="46">
        <v>0</v>
      </c>
      <c r="H169" s="47">
        <f t="shared" si="10"/>
        <v>0</v>
      </c>
      <c r="I169" s="49">
        <f t="shared" si="11"/>
        <v>0</v>
      </c>
      <c r="J169" s="48"/>
    </row>
    <row r="170" spans="1:11" x14ac:dyDescent="0.25">
      <c r="A170" s="40">
        <v>123</v>
      </c>
      <c r="B170" s="209" t="s">
        <v>37</v>
      </c>
      <c r="C170" s="51" t="s">
        <v>38</v>
      </c>
      <c r="D170" s="43" t="s">
        <v>275</v>
      </c>
      <c r="E170" s="44" t="s">
        <v>96</v>
      </c>
      <c r="F170" s="45">
        <v>2</v>
      </c>
      <c r="G170" s="46">
        <v>0</v>
      </c>
      <c r="H170" s="47">
        <f t="shared" si="10"/>
        <v>0</v>
      </c>
      <c r="I170" s="49">
        <f t="shared" si="11"/>
        <v>0</v>
      </c>
      <c r="J170" s="48"/>
    </row>
    <row r="171" spans="1:11" x14ac:dyDescent="0.25">
      <c r="A171" s="40">
        <v>124</v>
      </c>
      <c r="B171" s="209" t="s">
        <v>37</v>
      </c>
      <c r="C171" s="51" t="s">
        <v>38</v>
      </c>
      <c r="D171" s="43" t="s">
        <v>276</v>
      </c>
      <c r="E171" s="44" t="s">
        <v>96</v>
      </c>
      <c r="F171" s="45">
        <v>6</v>
      </c>
      <c r="G171" s="46">
        <v>0</v>
      </c>
      <c r="H171" s="47">
        <f t="shared" si="10"/>
        <v>0</v>
      </c>
      <c r="I171" s="49">
        <f t="shared" si="11"/>
        <v>0</v>
      </c>
      <c r="J171" s="48"/>
    </row>
    <row r="172" spans="1:11" x14ac:dyDescent="0.25">
      <c r="A172" s="40">
        <v>125</v>
      </c>
      <c r="B172" s="209" t="s">
        <v>37</v>
      </c>
      <c r="C172" s="51" t="s">
        <v>38</v>
      </c>
      <c r="D172" s="43" t="s">
        <v>277</v>
      </c>
      <c r="E172" s="44" t="s">
        <v>96</v>
      </c>
      <c r="F172" s="45">
        <v>19</v>
      </c>
      <c r="G172" s="46">
        <v>0</v>
      </c>
      <c r="H172" s="47">
        <f t="shared" si="10"/>
        <v>0</v>
      </c>
      <c r="I172" s="49">
        <f t="shared" si="11"/>
        <v>0</v>
      </c>
      <c r="J172" s="48"/>
    </row>
    <row r="173" spans="1:11" x14ac:dyDescent="0.25">
      <c r="A173" s="40">
        <v>126</v>
      </c>
      <c r="B173" s="209" t="s">
        <v>37</v>
      </c>
      <c r="C173" s="51" t="s">
        <v>38</v>
      </c>
      <c r="D173" s="43" t="s">
        <v>278</v>
      </c>
      <c r="E173" s="44" t="s">
        <v>96</v>
      </c>
      <c r="F173" s="89">
        <v>155</v>
      </c>
      <c r="G173" s="46">
        <v>0</v>
      </c>
      <c r="H173" s="47">
        <f>G173*F173</f>
        <v>0</v>
      </c>
      <c r="I173" s="49">
        <f>H173*0.21</f>
        <v>0</v>
      </c>
      <c r="J173" s="48"/>
    </row>
    <row r="174" spans="1:11" ht="22.2" customHeight="1" x14ac:dyDescent="0.25">
      <c r="A174" s="40"/>
      <c r="B174" s="209"/>
      <c r="C174" s="51"/>
      <c r="D174" s="84" t="s">
        <v>279</v>
      </c>
      <c r="E174" s="44"/>
      <c r="F174" s="200"/>
      <c r="G174" s="46"/>
      <c r="H174" s="47"/>
      <c r="I174" s="49"/>
      <c r="J174" s="48"/>
    </row>
    <row r="175" spans="1:11" x14ac:dyDescent="0.25">
      <c r="A175" s="40">
        <v>127</v>
      </c>
      <c r="B175" s="209" t="s">
        <v>37</v>
      </c>
      <c r="C175" s="51" t="s">
        <v>38</v>
      </c>
      <c r="D175" s="43" t="s">
        <v>280</v>
      </c>
      <c r="E175" s="44" t="s">
        <v>96</v>
      </c>
      <c r="F175" s="45">
        <v>55</v>
      </c>
      <c r="G175" s="46">
        <v>0</v>
      </c>
      <c r="H175" s="47">
        <f>G175*F175</f>
        <v>0</v>
      </c>
      <c r="I175" s="49">
        <f t="shared" ref="I175:I226" si="12">H175*0.21</f>
        <v>0</v>
      </c>
      <c r="J175" s="48"/>
    </row>
    <row r="176" spans="1:11" x14ac:dyDescent="0.25">
      <c r="A176" s="40">
        <v>128</v>
      </c>
      <c r="B176" s="209" t="s">
        <v>37</v>
      </c>
      <c r="C176" s="51" t="s">
        <v>38</v>
      </c>
      <c r="D176" s="43" t="s">
        <v>281</v>
      </c>
      <c r="E176" s="44" t="s">
        <v>96</v>
      </c>
      <c r="F176" s="45">
        <v>21</v>
      </c>
      <c r="G176" s="46">
        <v>0</v>
      </c>
      <c r="H176" s="47">
        <f t="shared" ref="H176:H226" si="13">G176*F176</f>
        <v>0</v>
      </c>
      <c r="I176" s="49">
        <f t="shared" si="12"/>
        <v>0</v>
      </c>
      <c r="J176" s="48"/>
    </row>
    <row r="177" spans="1:10" x14ac:dyDescent="0.25">
      <c r="A177" s="40">
        <v>129</v>
      </c>
      <c r="B177" s="209" t="s">
        <v>37</v>
      </c>
      <c r="C177" s="51" t="s">
        <v>38</v>
      </c>
      <c r="D177" s="43" t="s">
        <v>282</v>
      </c>
      <c r="E177" s="44" t="s">
        <v>96</v>
      </c>
      <c r="F177" s="45">
        <v>57</v>
      </c>
      <c r="G177" s="46">
        <v>0</v>
      </c>
      <c r="H177" s="47">
        <f t="shared" si="13"/>
        <v>0</v>
      </c>
      <c r="I177" s="49">
        <f t="shared" si="12"/>
        <v>0</v>
      </c>
      <c r="J177" s="48"/>
    </row>
    <row r="178" spans="1:10" x14ac:dyDescent="0.25">
      <c r="A178" s="40">
        <v>130</v>
      </c>
      <c r="B178" s="209" t="s">
        <v>37</v>
      </c>
      <c r="C178" s="51" t="s">
        <v>38</v>
      </c>
      <c r="D178" s="43" t="s">
        <v>283</v>
      </c>
      <c r="E178" s="44" t="s">
        <v>96</v>
      </c>
      <c r="F178" s="45">
        <v>83</v>
      </c>
      <c r="G178" s="46">
        <v>0</v>
      </c>
      <c r="H178" s="47">
        <f t="shared" si="13"/>
        <v>0</v>
      </c>
      <c r="I178" s="49">
        <f t="shared" si="12"/>
        <v>0</v>
      </c>
      <c r="J178" s="48"/>
    </row>
    <row r="179" spans="1:10" x14ac:dyDescent="0.25">
      <c r="A179" s="40">
        <v>131</v>
      </c>
      <c r="B179" s="209" t="s">
        <v>37</v>
      </c>
      <c r="C179" s="51" t="s">
        <v>38</v>
      </c>
      <c r="D179" s="43" t="s">
        <v>284</v>
      </c>
      <c r="E179" s="44" t="s">
        <v>96</v>
      </c>
      <c r="F179" s="45">
        <v>8</v>
      </c>
      <c r="G179" s="46">
        <v>0</v>
      </c>
      <c r="H179" s="47">
        <f t="shared" si="13"/>
        <v>0</v>
      </c>
      <c r="I179" s="49">
        <f t="shared" si="12"/>
        <v>0</v>
      </c>
      <c r="J179" s="48"/>
    </row>
    <row r="180" spans="1:10" x14ac:dyDescent="0.25">
      <c r="A180" s="40">
        <v>132</v>
      </c>
      <c r="B180" s="209" t="s">
        <v>37</v>
      </c>
      <c r="C180" s="51" t="s">
        <v>38</v>
      </c>
      <c r="D180" s="43" t="s">
        <v>285</v>
      </c>
      <c r="E180" s="44" t="s">
        <v>96</v>
      </c>
      <c r="F180" s="45">
        <v>53</v>
      </c>
      <c r="G180" s="46">
        <v>0</v>
      </c>
      <c r="H180" s="47">
        <f t="shared" si="13"/>
        <v>0</v>
      </c>
      <c r="I180" s="49">
        <f t="shared" si="12"/>
        <v>0</v>
      </c>
      <c r="J180" s="48"/>
    </row>
    <row r="181" spans="1:10" ht="19.8" x14ac:dyDescent="0.25">
      <c r="A181" s="40">
        <v>133</v>
      </c>
      <c r="B181" s="209" t="s">
        <v>37</v>
      </c>
      <c r="C181" s="51" t="s">
        <v>38</v>
      </c>
      <c r="D181" s="43" t="s">
        <v>286</v>
      </c>
      <c r="E181" s="44" t="s">
        <v>96</v>
      </c>
      <c r="F181" s="45">
        <v>36</v>
      </c>
      <c r="G181" s="46">
        <v>0</v>
      </c>
      <c r="H181" s="47">
        <f t="shared" si="13"/>
        <v>0</v>
      </c>
      <c r="I181" s="49">
        <f t="shared" si="12"/>
        <v>0</v>
      </c>
      <c r="J181" s="48"/>
    </row>
    <row r="182" spans="1:10" x14ac:dyDescent="0.25">
      <c r="A182" s="40">
        <v>134</v>
      </c>
      <c r="B182" s="209" t="s">
        <v>37</v>
      </c>
      <c r="C182" s="51" t="s">
        <v>38</v>
      </c>
      <c r="D182" s="43" t="s">
        <v>287</v>
      </c>
      <c r="E182" s="44" t="s">
        <v>96</v>
      </c>
      <c r="F182" s="45">
        <v>54</v>
      </c>
      <c r="G182" s="46">
        <v>0</v>
      </c>
      <c r="H182" s="47">
        <f t="shared" si="13"/>
        <v>0</v>
      </c>
      <c r="I182" s="49">
        <f t="shared" si="12"/>
        <v>0</v>
      </c>
      <c r="J182" s="48"/>
    </row>
    <row r="183" spans="1:10" x14ac:dyDescent="0.25">
      <c r="A183" s="40">
        <v>135</v>
      </c>
      <c r="B183" s="209" t="s">
        <v>37</v>
      </c>
      <c r="C183" s="51" t="s">
        <v>38</v>
      </c>
      <c r="D183" s="43" t="s">
        <v>288</v>
      </c>
      <c r="E183" s="44" t="s">
        <v>96</v>
      </c>
      <c r="F183" s="45">
        <v>24</v>
      </c>
      <c r="G183" s="46">
        <v>0</v>
      </c>
      <c r="H183" s="47">
        <f t="shared" si="13"/>
        <v>0</v>
      </c>
      <c r="I183" s="49">
        <f t="shared" si="12"/>
        <v>0</v>
      </c>
      <c r="J183" s="48"/>
    </row>
    <row r="184" spans="1:10" x14ac:dyDescent="0.25">
      <c r="A184" s="40">
        <v>136</v>
      </c>
      <c r="B184" s="209" t="s">
        <v>37</v>
      </c>
      <c r="C184" s="51" t="s">
        <v>38</v>
      </c>
      <c r="D184" s="43" t="s">
        <v>289</v>
      </c>
      <c r="E184" s="44" t="s">
        <v>96</v>
      </c>
      <c r="F184" s="45">
        <v>41</v>
      </c>
      <c r="G184" s="46">
        <v>0</v>
      </c>
      <c r="H184" s="47">
        <f t="shared" si="13"/>
        <v>0</v>
      </c>
      <c r="I184" s="49">
        <f t="shared" si="12"/>
        <v>0</v>
      </c>
      <c r="J184" s="48"/>
    </row>
    <row r="185" spans="1:10" x14ac:dyDescent="0.25">
      <c r="A185" s="40">
        <v>137</v>
      </c>
      <c r="B185" s="209" t="s">
        <v>37</v>
      </c>
      <c r="C185" s="51" t="s">
        <v>38</v>
      </c>
      <c r="D185" s="43" t="s">
        <v>290</v>
      </c>
      <c r="E185" s="44" t="s">
        <v>96</v>
      </c>
      <c r="F185" s="45">
        <v>23</v>
      </c>
      <c r="G185" s="46">
        <v>0</v>
      </c>
      <c r="H185" s="47">
        <f t="shared" si="13"/>
        <v>0</v>
      </c>
      <c r="I185" s="49">
        <f t="shared" si="12"/>
        <v>0</v>
      </c>
      <c r="J185" s="48"/>
    </row>
    <row r="186" spans="1:10" x14ac:dyDescent="0.25">
      <c r="A186" s="40">
        <v>138</v>
      </c>
      <c r="B186" s="209" t="s">
        <v>37</v>
      </c>
      <c r="C186" s="51" t="s">
        <v>38</v>
      </c>
      <c r="D186" s="43" t="s">
        <v>291</v>
      </c>
      <c r="E186" s="44" t="s">
        <v>96</v>
      </c>
      <c r="F186" s="45">
        <v>87</v>
      </c>
      <c r="G186" s="46">
        <v>0</v>
      </c>
      <c r="H186" s="47">
        <f t="shared" si="13"/>
        <v>0</v>
      </c>
      <c r="I186" s="49">
        <f t="shared" si="12"/>
        <v>0</v>
      </c>
      <c r="J186" s="48"/>
    </row>
    <row r="187" spans="1:10" x14ac:dyDescent="0.25">
      <c r="A187" s="40">
        <v>139</v>
      </c>
      <c r="B187" s="209" t="s">
        <v>37</v>
      </c>
      <c r="C187" s="51" t="s">
        <v>38</v>
      </c>
      <c r="D187" s="43" t="s">
        <v>292</v>
      </c>
      <c r="E187" s="44" t="s">
        <v>96</v>
      </c>
      <c r="F187" s="45">
        <v>14</v>
      </c>
      <c r="G187" s="46">
        <v>0</v>
      </c>
      <c r="H187" s="47">
        <f t="shared" si="13"/>
        <v>0</v>
      </c>
      <c r="I187" s="49">
        <f t="shared" si="12"/>
        <v>0</v>
      </c>
      <c r="J187" s="48"/>
    </row>
    <row r="188" spans="1:10" x14ac:dyDescent="0.25">
      <c r="A188" s="40">
        <v>140</v>
      </c>
      <c r="B188" s="209" t="s">
        <v>37</v>
      </c>
      <c r="C188" s="51" t="s">
        <v>38</v>
      </c>
      <c r="D188" s="43" t="s">
        <v>293</v>
      </c>
      <c r="E188" s="44" t="s">
        <v>96</v>
      </c>
      <c r="F188" s="45">
        <v>19</v>
      </c>
      <c r="G188" s="46">
        <v>0</v>
      </c>
      <c r="H188" s="47">
        <f t="shared" si="13"/>
        <v>0</v>
      </c>
      <c r="I188" s="49">
        <f t="shared" si="12"/>
        <v>0</v>
      </c>
      <c r="J188" s="48"/>
    </row>
    <row r="189" spans="1:10" x14ac:dyDescent="0.25">
      <c r="A189" s="40">
        <v>141</v>
      </c>
      <c r="B189" s="209" t="s">
        <v>37</v>
      </c>
      <c r="C189" s="51" t="s">
        <v>38</v>
      </c>
      <c r="D189" s="43" t="s">
        <v>294</v>
      </c>
      <c r="E189" s="44" t="s">
        <v>96</v>
      </c>
      <c r="F189" s="45">
        <v>110</v>
      </c>
      <c r="G189" s="46">
        <v>0</v>
      </c>
      <c r="H189" s="47">
        <f t="shared" si="13"/>
        <v>0</v>
      </c>
      <c r="I189" s="49">
        <f t="shared" si="12"/>
        <v>0</v>
      </c>
      <c r="J189" s="48"/>
    </row>
    <row r="190" spans="1:10" x14ac:dyDescent="0.25">
      <c r="A190" s="40">
        <v>142</v>
      </c>
      <c r="B190" s="209" t="s">
        <v>37</v>
      </c>
      <c r="C190" s="51" t="s">
        <v>38</v>
      </c>
      <c r="D190" s="43" t="s">
        <v>295</v>
      </c>
      <c r="E190" s="44" t="s">
        <v>96</v>
      </c>
      <c r="F190" s="45">
        <v>37</v>
      </c>
      <c r="G190" s="46">
        <v>0</v>
      </c>
      <c r="H190" s="47">
        <f t="shared" si="13"/>
        <v>0</v>
      </c>
      <c r="I190" s="49">
        <f t="shared" si="12"/>
        <v>0</v>
      </c>
      <c r="J190" s="48"/>
    </row>
    <row r="191" spans="1:10" x14ac:dyDescent="0.25">
      <c r="A191" s="40">
        <v>143</v>
      </c>
      <c r="B191" s="209" t="s">
        <v>37</v>
      </c>
      <c r="C191" s="51" t="s">
        <v>38</v>
      </c>
      <c r="D191" s="43" t="s">
        <v>296</v>
      </c>
      <c r="E191" s="44" t="s">
        <v>96</v>
      </c>
      <c r="F191" s="45">
        <v>52</v>
      </c>
      <c r="G191" s="46">
        <v>0</v>
      </c>
      <c r="H191" s="47">
        <f t="shared" si="13"/>
        <v>0</v>
      </c>
      <c r="I191" s="49">
        <f t="shared" si="12"/>
        <v>0</v>
      </c>
      <c r="J191" s="48"/>
    </row>
    <row r="192" spans="1:10" x14ac:dyDescent="0.25">
      <c r="A192" s="40">
        <v>144</v>
      </c>
      <c r="B192" s="209" t="s">
        <v>37</v>
      </c>
      <c r="C192" s="51" t="s">
        <v>38</v>
      </c>
      <c r="D192" s="43" t="s">
        <v>297</v>
      </c>
      <c r="E192" s="44" t="s">
        <v>96</v>
      </c>
      <c r="F192" s="45">
        <v>12</v>
      </c>
      <c r="G192" s="46">
        <v>0</v>
      </c>
      <c r="H192" s="47">
        <f t="shared" si="13"/>
        <v>0</v>
      </c>
      <c r="I192" s="49">
        <f t="shared" si="12"/>
        <v>0</v>
      </c>
      <c r="J192" s="48"/>
    </row>
    <row r="193" spans="1:10" x14ac:dyDescent="0.25">
      <c r="A193" s="40">
        <v>145</v>
      </c>
      <c r="B193" s="209" t="s">
        <v>37</v>
      </c>
      <c r="C193" s="51" t="s">
        <v>38</v>
      </c>
      <c r="D193" s="43" t="s">
        <v>298</v>
      </c>
      <c r="E193" s="44" t="s">
        <v>96</v>
      </c>
      <c r="F193" s="45">
        <v>30</v>
      </c>
      <c r="G193" s="46">
        <v>0</v>
      </c>
      <c r="H193" s="47">
        <f t="shared" si="13"/>
        <v>0</v>
      </c>
      <c r="I193" s="49">
        <f t="shared" si="12"/>
        <v>0</v>
      </c>
      <c r="J193" s="48"/>
    </row>
    <row r="194" spans="1:10" x14ac:dyDescent="0.25">
      <c r="A194" s="40">
        <v>146</v>
      </c>
      <c r="B194" s="209" t="s">
        <v>37</v>
      </c>
      <c r="C194" s="51" t="s">
        <v>38</v>
      </c>
      <c r="D194" s="43" t="s">
        <v>299</v>
      </c>
      <c r="E194" s="44" t="s">
        <v>96</v>
      </c>
      <c r="F194" s="45">
        <v>18</v>
      </c>
      <c r="G194" s="46">
        <v>0</v>
      </c>
      <c r="H194" s="47">
        <f t="shared" si="13"/>
        <v>0</v>
      </c>
      <c r="I194" s="49">
        <f t="shared" si="12"/>
        <v>0</v>
      </c>
      <c r="J194" s="48"/>
    </row>
    <row r="195" spans="1:10" x14ac:dyDescent="0.25">
      <c r="A195" s="40">
        <v>147</v>
      </c>
      <c r="B195" s="209" t="s">
        <v>37</v>
      </c>
      <c r="C195" s="51" t="s">
        <v>38</v>
      </c>
      <c r="D195" s="43" t="s">
        <v>300</v>
      </c>
      <c r="E195" s="44" t="s">
        <v>96</v>
      </c>
      <c r="F195" s="45">
        <v>55</v>
      </c>
      <c r="G195" s="46">
        <v>0</v>
      </c>
      <c r="H195" s="47">
        <f t="shared" si="13"/>
        <v>0</v>
      </c>
      <c r="I195" s="49">
        <f t="shared" si="12"/>
        <v>0</v>
      </c>
      <c r="J195" s="48"/>
    </row>
    <row r="196" spans="1:10" x14ac:dyDescent="0.25">
      <c r="A196" s="40">
        <v>148</v>
      </c>
      <c r="B196" s="209" t="s">
        <v>37</v>
      </c>
      <c r="C196" s="51" t="s">
        <v>38</v>
      </c>
      <c r="D196" s="43" t="s">
        <v>301</v>
      </c>
      <c r="E196" s="44" t="s">
        <v>96</v>
      </c>
      <c r="F196" s="45">
        <v>18</v>
      </c>
      <c r="G196" s="46">
        <v>0</v>
      </c>
      <c r="H196" s="47">
        <f t="shared" si="13"/>
        <v>0</v>
      </c>
      <c r="I196" s="49">
        <f t="shared" si="12"/>
        <v>0</v>
      </c>
      <c r="J196" s="48"/>
    </row>
    <row r="197" spans="1:10" x14ac:dyDescent="0.25">
      <c r="A197" s="40">
        <v>149</v>
      </c>
      <c r="B197" s="209" t="s">
        <v>37</v>
      </c>
      <c r="C197" s="51" t="s">
        <v>38</v>
      </c>
      <c r="D197" s="43" t="s">
        <v>302</v>
      </c>
      <c r="E197" s="44" t="s">
        <v>96</v>
      </c>
      <c r="F197" s="45">
        <v>15</v>
      </c>
      <c r="G197" s="46">
        <v>0</v>
      </c>
      <c r="H197" s="47">
        <f t="shared" si="13"/>
        <v>0</v>
      </c>
      <c r="I197" s="49">
        <f t="shared" si="12"/>
        <v>0</v>
      </c>
      <c r="J197" s="48"/>
    </row>
    <row r="198" spans="1:10" x14ac:dyDescent="0.25">
      <c r="A198" s="40">
        <v>150</v>
      </c>
      <c r="B198" s="209" t="s">
        <v>37</v>
      </c>
      <c r="C198" s="51" t="s">
        <v>38</v>
      </c>
      <c r="D198" s="43" t="s">
        <v>303</v>
      </c>
      <c r="E198" s="44" t="s">
        <v>96</v>
      </c>
      <c r="F198" s="45">
        <v>12</v>
      </c>
      <c r="G198" s="46">
        <v>0</v>
      </c>
      <c r="H198" s="47">
        <f t="shared" si="13"/>
        <v>0</v>
      </c>
      <c r="I198" s="49">
        <f t="shared" si="12"/>
        <v>0</v>
      </c>
      <c r="J198" s="48"/>
    </row>
    <row r="199" spans="1:10" x14ac:dyDescent="0.25">
      <c r="A199" s="40">
        <v>151</v>
      </c>
      <c r="B199" s="209" t="s">
        <v>37</v>
      </c>
      <c r="C199" s="51" t="s">
        <v>38</v>
      </c>
      <c r="D199" s="43" t="s">
        <v>304</v>
      </c>
      <c r="E199" s="44" t="s">
        <v>96</v>
      </c>
      <c r="F199" s="45">
        <v>69</v>
      </c>
      <c r="G199" s="46">
        <v>0</v>
      </c>
      <c r="H199" s="47">
        <f t="shared" si="13"/>
        <v>0</v>
      </c>
      <c r="I199" s="49">
        <f t="shared" si="12"/>
        <v>0</v>
      </c>
      <c r="J199" s="48"/>
    </row>
    <row r="200" spans="1:10" x14ac:dyDescent="0.25">
      <c r="A200" s="40">
        <v>152</v>
      </c>
      <c r="B200" s="209" t="s">
        <v>37</v>
      </c>
      <c r="C200" s="51" t="s">
        <v>38</v>
      </c>
      <c r="D200" s="43" t="s">
        <v>305</v>
      </c>
      <c r="E200" s="44" t="s">
        <v>96</v>
      </c>
      <c r="F200" s="45">
        <v>46</v>
      </c>
      <c r="G200" s="46">
        <v>0</v>
      </c>
      <c r="H200" s="47">
        <f t="shared" si="13"/>
        <v>0</v>
      </c>
      <c r="I200" s="49">
        <f t="shared" si="12"/>
        <v>0</v>
      </c>
      <c r="J200" s="48"/>
    </row>
    <row r="201" spans="1:10" x14ac:dyDescent="0.25">
      <c r="A201" s="40">
        <v>153</v>
      </c>
      <c r="B201" s="209" t="s">
        <v>37</v>
      </c>
      <c r="C201" s="51" t="s">
        <v>38</v>
      </c>
      <c r="D201" s="43" t="s">
        <v>306</v>
      </c>
      <c r="E201" s="44" t="s">
        <v>96</v>
      </c>
      <c r="F201" s="45">
        <v>18</v>
      </c>
      <c r="G201" s="46">
        <v>0</v>
      </c>
      <c r="H201" s="47">
        <f t="shared" si="13"/>
        <v>0</v>
      </c>
      <c r="I201" s="49">
        <f t="shared" si="12"/>
        <v>0</v>
      </c>
      <c r="J201" s="48"/>
    </row>
    <row r="202" spans="1:10" x14ac:dyDescent="0.25">
      <c r="A202" s="40">
        <v>154</v>
      </c>
      <c r="B202" s="209" t="s">
        <v>37</v>
      </c>
      <c r="C202" s="51" t="s">
        <v>38</v>
      </c>
      <c r="D202" s="43" t="s">
        <v>307</v>
      </c>
      <c r="E202" s="44" t="s">
        <v>96</v>
      </c>
      <c r="F202" s="45">
        <v>123</v>
      </c>
      <c r="G202" s="46">
        <v>0</v>
      </c>
      <c r="H202" s="47">
        <f t="shared" si="13"/>
        <v>0</v>
      </c>
      <c r="I202" s="49">
        <f t="shared" si="12"/>
        <v>0</v>
      </c>
      <c r="J202" s="48"/>
    </row>
    <row r="203" spans="1:10" x14ac:dyDescent="0.25">
      <c r="A203" s="40">
        <v>155</v>
      </c>
      <c r="B203" s="209" t="s">
        <v>37</v>
      </c>
      <c r="C203" s="51" t="s">
        <v>38</v>
      </c>
      <c r="D203" s="43" t="s">
        <v>308</v>
      </c>
      <c r="E203" s="44" t="s">
        <v>96</v>
      </c>
      <c r="F203" s="45">
        <v>9</v>
      </c>
      <c r="G203" s="46">
        <v>0</v>
      </c>
      <c r="H203" s="47">
        <f t="shared" si="13"/>
        <v>0</v>
      </c>
      <c r="I203" s="49">
        <f t="shared" si="12"/>
        <v>0</v>
      </c>
      <c r="J203" s="48"/>
    </row>
    <row r="204" spans="1:10" x14ac:dyDescent="0.25">
      <c r="A204" s="40">
        <v>156</v>
      </c>
      <c r="B204" s="209" t="s">
        <v>37</v>
      </c>
      <c r="C204" s="51" t="s">
        <v>38</v>
      </c>
      <c r="D204" s="43" t="s">
        <v>309</v>
      </c>
      <c r="E204" s="44" t="s">
        <v>96</v>
      </c>
      <c r="F204" s="45">
        <v>64</v>
      </c>
      <c r="G204" s="46">
        <v>0</v>
      </c>
      <c r="H204" s="47">
        <f t="shared" si="13"/>
        <v>0</v>
      </c>
      <c r="I204" s="49">
        <f t="shared" si="12"/>
        <v>0</v>
      </c>
      <c r="J204" s="48"/>
    </row>
    <row r="205" spans="1:10" x14ac:dyDescent="0.25">
      <c r="A205" s="40">
        <v>157</v>
      </c>
      <c r="B205" s="209" t="s">
        <v>37</v>
      </c>
      <c r="C205" s="51" t="s">
        <v>38</v>
      </c>
      <c r="D205" s="43" t="s">
        <v>310</v>
      </c>
      <c r="E205" s="44" t="s">
        <v>96</v>
      </c>
      <c r="F205" s="45">
        <v>19</v>
      </c>
      <c r="G205" s="46">
        <v>0</v>
      </c>
      <c r="H205" s="47">
        <f t="shared" si="13"/>
        <v>0</v>
      </c>
      <c r="I205" s="49">
        <f t="shared" si="12"/>
        <v>0</v>
      </c>
      <c r="J205" s="48"/>
    </row>
    <row r="206" spans="1:10" x14ac:dyDescent="0.25">
      <c r="A206" s="40">
        <v>158</v>
      </c>
      <c r="B206" s="209" t="s">
        <v>37</v>
      </c>
      <c r="C206" s="51" t="s">
        <v>38</v>
      </c>
      <c r="D206" s="43" t="s">
        <v>311</v>
      </c>
      <c r="E206" s="44" t="s">
        <v>96</v>
      </c>
      <c r="F206" s="45">
        <v>10</v>
      </c>
      <c r="G206" s="46">
        <v>0</v>
      </c>
      <c r="H206" s="47">
        <f t="shared" si="13"/>
        <v>0</v>
      </c>
      <c r="I206" s="49">
        <f t="shared" si="12"/>
        <v>0</v>
      </c>
      <c r="J206" s="48"/>
    </row>
    <row r="207" spans="1:10" x14ac:dyDescent="0.25">
      <c r="A207" s="40">
        <v>159</v>
      </c>
      <c r="B207" s="209" t="s">
        <v>37</v>
      </c>
      <c r="C207" s="51" t="s">
        <v>38</v>
      </c>
      <c r="D207" s="43" t="s">
        <v>312</v>
      </c>
      <c r="E207" s="44" t="s">
        <v>96</v>
      </c>
      <c r="F207" s="45">
        <v>4</v>
      </c>
      <c r="G207" s="46">
        <v>0</v>
      </c>
      <c r="H207" s="47">
        <f t="shared" si="13"/>
        <v>0</v>
      </c>
      <c r="I207" s="49">
        <f t="shared" si="12"/>
        <v>0</v>
      </c>
      <c r="J207" s="48"/>
    </row>
    <row r="208" spans="1:10" x14ac:dyDescent="0.25">
      <c r="A208" s="40">
        <v>160</v>
      </c>
      <c r="B208" s="209" t="s">
        <v>37</v>
      </c>
      <c r="C208" s="51" t="s">
        <v>38</v>
      </c>
      <c r="D208" s="43" t="s">
        <v>313</v>
      </c>
      <c r="E208" s="44" t="s">
        <v>96</v>
      </c>
      <c r="F208" s="45">
        <v>54</v>
      </c>
      <c r="G208" s="46">
        <v>0</v>
      </c>
      <c r="H208" s="47">
        <f t="shared" si="13"/>
        <v>0</v>
      </c>
      <c r="I208" s="49">
        <f t="shared" si="12"/>
        <v>0</v>
      </c>
      <c r="J208" s="48"/>
    </row>
    <row r="209" spans="1:10" x14ac:dyDescent="0.25">
      <c r="A209" s="40">
        <v>161</v>
      </c>
      <c r="B209" s="209" t="s">
        <v>37</v>
      </c>
      <c r="C209" s="51" t="s">
        <v>38</v>
      </c>
      <c r="D209" s="43" t="s">
        <v>314</v>
      </c>
      <c r="E209" s="44" t="s">
        <v>96</v>
      </c>
      <c r="F209" s="45">
        <v>25</v>
      </c>
      <c r="G209" s="46">
        <v>0</v>
      </c>
      <c r="H209" s="47">
        <f t="shared" si="13"/>
        <v>0</v>
      </c>
      <c r="I209" s="49">
        <f t="shared" si="12"/>
        <v>0</v>
      </c>
      <c r="J209" s="48"/>
    </row>
    <row r="210" spans="1:10" x14ac:dyDescent="0.25">
      <c r="A210" s="40">
        <v>162</v>
      </c>
      <c r="B210" s="209" t="s">
        <v>37</v>
      </c>
      <c r="C210" s="51" t="s">
        <v>38</v>
      </c>
      <c r="D210" s="43" t="s">
        <v>315</v>
      </c>
      <c r="E210" s="44" t="s">
        <v>96</v>
      </c>
      <c r="F210" s="45">
        <v>15</v>
      </c>
      <c r="G210" s="46">
        <v>0</v>
      </c>
      <c r="H210" s="47">
        <f t="shared" si="13"/>
        <v>0</v>
      </c>
      <c r="I210" s="49">
        <f t="shared" si="12"/>
        <v>0</v>
      </c>
      <c r="J210" s="48"/>
    </row>
    <row r="211" spans="1:10" x14ac:dyDescent="0.25">
      <c r="A211" s="40">
        <v>163</v>
      </c>
      <c r="B211" s="209" t="s">
        <v>37</v>
      </c>
      <c r="C211" s="51" t="s">
        <v>38</v>
      </c>
      <c r="D211" s="43" t="s">
        <v>316</v>
      </c>
      <c r="E211" s="44" t="s">
        <v>96</v>
      </c>
      <c r="F211" s="45">
        <v>17</v>
      </c>
      <c r="G211" s="46">
        <v>0</v>
      </c>
      <c r="H211" s="47">
        <f t="shared" si="13"/>
        <v>0</v>
      </c>
      <c r="I211" s="49">
        <f t="shared" si="12"/>
        <v>0</v>
      </c>
      <c r="J211" s="48"/>
    </row>
    <row r="212" spans="1:10" x14ac:dyDescent="0.25">
      <c r="A212" s="40">
        <v>164</v>
      </c>
      <c r="B212" s="209" t="s">
        <v>37</v>
      </c>
      <c r="C212" s="51" t="s">
        <v>38</v>
      </c>
      <c r="D212" s="43" t="s">
        <v>317</v>
      </c>
      <c r="E212" s="44" t="s">
        <v>96</v>
      </c>
      <c r="F212" s="45">
        <v>109</v>
      </c>
      <c r="G212" s="46">
        <v>0</v>
      </c>
      <c r="H212" s="47">
        <f t="shared" si="13"/>
        <v>0</v>
      </c>
      <c r="I212" s="49">
        <f t="shared" si="12"/>
        <v>0</v>
      </c>
      <c r="J212" s="48"/>
    </row>
    <row r="213" spans="1:10" x14ac:dyDescent="0.25">
      <c r="A213" s="40">
        <v>165</v>
      </c>
      <c r="B213" s="209" t="s">
        <v>37</v>
      </c>
      <c r="C213" s="51" t="s">
        <v>38</v>
      </c>
      <c r="D213" s="43" t="s">
        <v>318</v>
      </c>
      <c r="E213" s="44" t="s">
        <v>96</v>
      </c>
      <c r="F213" s="45">
        <v>17</v>
      </c>
      <c r="G213" s="46">
        <v>0</v>
      </c>
      <c r="H213" s="47">
        <f t="shared" si="13"/>
        <v>0</v>
      </c>
      <c r="I213" s="49">
        <f t="shared" si="12"/>
        <v>0</v>
      </c>
      <c r="J213" s="48"/>
    </row>
    <row r="214" spans="1:10" x14ac:dyDescent="0.25">
      <c r="A214" s="40">
        <v>166</v>
      </c>
      <c r="B214" s="209" t="s">
        <v>37</v>
      </c>
      <c r="C214" s="51" t="s">
        <v>38</v>
      </c>
      <c r="D214" s="43" t="s">
        <v>319</v>
      </c>
      <c r="E214" s="44" t="s">
        <v>96</v>
      </c>
      <c r="F214" s="45">
        <v>14</v>
      </c>
      <c r="G214" s="46">
        <v>0</v>
      </c>
      <c r="H214" s="47">
        <f t="shared" si="13"/>
        <v>0</v>
      </c>
      <c r="I214" s="49">
        <f t="shared" si="12"/>
        <v>0</v>
      </c>
      <c r="J214" s="48"/>
    </row>
    <row r="215" spans="1:10" x14ac:dyDescent="0.25">
      <c r="A215" s="40">
        <v>167</v>
      </c>
      <c r="B215" s="209" t="s">
        <v>37</v>
      </c>
      <c r="C215" s="51" t="s">
        <v>38</v>
      </c>
      <c r="D215" s="43" t="s">
        <v>320</v>
      </c>
      <c r="E215" s="44" t="s">
        <v>96</v>
      </c>
      <c r="F215" s="45">
        <v>15</v>
      </c>
      <c r="G215" s="46">
        <v>0</v>
      </c>
      <c r="H215" s="47">
        <f t="shared" si="13"/>
        <v>0</v>
      </c>
      <c r="I215" s="49">
        <f t="shared" si="12"/>
        <v>0</v>
      </c>
      <c r="J215" s="48"/>
    </row>
    <row r="216" spans="1:10" x14ac:dyDescent="0.25">
      <c r="A216" s="40">
        <v>168</v>
      </c>
      <c r="B216" s="209" t="s">
        <v>37</v>
      </c>
      <c r="C216" s="51" t="s">
        <v>38</v>
      </c>
      <c r="D216" s="43" t="s">
        <v>321</v>
      </c>
      <c r="E216" s="44" t="s">
        <v>96</v>
      </c>
      <c r="F216" s="45">
        <v>122</v>
      </c>
      <c r="G216" s="46">
        <v>0</v>
      </c>
      <c r="H216" s="47">
        <f t="shared" si="13"/>
        <v>0</v>
      </c>
      <c r="I216" s="49">
        <f t="shared" si="12"/>
        <v>0</v>
      </c>
      <c r="J216" s="48"/>
    </row>
    <row r="217" spans="1:10" x14ac:dyDescent="0.25">
      <c r="A217" s="40">
        <v>169</v>
      </c>
      <c r="B217" s="209" t="s">
        <v>37</v>
      </c>
      <c r="C217" s="51" t="s">
        <v>38</v>
      </c>
      <c r="D217" s="43" t="s">
        <v>322</v>
      </c>
      <c r="E217" s="44" t="s">
        <v>96</v>
      </c>
      <c r="F217" s="45">
        <v>8</v>
      </c>
      <c r="G217" s="46">
        <v>0</v>
      </c>
      <c r="H217" s="47">
        <f t="shared" si="13"/>
        <v>0</v>
      </c>
      <c r="I217" s="49">
        <f t="shared" si="12"/>
        <v>0</v>
      </c>
      <c r="J217" s="48"/>
    </row>
    <row r="218" spans="1:10" x14ac:dyDescent="0.25">
      <c r="A218" s="40">
        <v>170</v>
      </c>
      <c r="B218" s="209" t="s">
        <v>37</v>
      </c>
      <c r="C218" s="51" t="s">
        <v>38</v>
      </c>
      <c r="D218" s="43" t="s">
        <v>323</v>
      </c>
      <c r="E218" s="44" t="s">
        <v>96</v>
      </c>
      <c r="F218" s="45">
        <v>58</v>
      </c>
      <c r="G218" s="46">
        <v>0</v>
      </c>
      <c r="H218" s="47">
        <f t="shared" si="13"/>
        <v>0</v>
      </c>
      <c r="I218" s="49">
        <f t="shared" si="12"/>
        <v>0</v>
      </c>
      <c r="J218" s="48"/>
    </row>
    <row r="219" spans="1:10" x14ac:dyDescent="0.25">
      <c r="A219" s="40">
        <v>171</v>
      </c>
      <c r="B219" s="209" t="s">
        <v>37</v>
      </c>
      <c r="C219" s="51" t="s">
        <v>38</v>
      </c>
      <c r="D219" s="43" t="s">
        <v>324</v>
      </c>
      <c r="E219" s="44" t="s">
        <v>96</v>
      </c>
      <c r="F219" s="45">
        <v>34</v>
      </c>
      <c r="G219" s="46">
        <v>0</v>
      </c>
      <c r="H219" s="47">
        <f t="shared" si="13"/>
        <v>0</v>
      </c>
      <c r="I219" s="49">
        <f t="shared" si="12"/>
        <v>0</v>
      </c>
      <c r="J219" s="48"/>
    </row>
    <row r="220" spans="1:10" x14ac:dyDescent="0.25">
      <c r="A220" s="40">
        <v>172</v>
      </c>
      <c r="B220" s="209" t="s">
        <v>37</v>
      </c>
      <c r="C220" s="51" t="s">
        <v>38</v>
      </c>
      <c r="D220" s="43" t="s">
        <v>325</v>
      </c>
      <c r="E220" s="44" t="s">
        <v>96</v>
      </c>
      <c r="F220" s="45">
        <v>28</v>
      </c>
      <c r="G220" s="46">
        <v>0</v>
      </c>
      <c r="H220" s="47">
        <f t="shared" si="13"/>
        <v>0</v>
      </c>
      <c r="I220" s="49">
        <f t="shared" si="12"/>
        <v>0</v>
      </c>
      <c r="J220" s="48"/>
    </row>
    <row r="221" spans="1:10" x14ac:dyDescent="0.25">
      <c r="A221" s="40">
        <v>173</v>
      </c>
      <c r="B221" s="209" t="s">
        <v>37</v>
      </c>
      <c r="C221" s="51" t="s">
        <v>38</v>
      </c>
      <c r="D221" s="43" t="s">
        <v>326</v>
      </c>
      <c r="E221" s="44" t="s">
        <v>96</v>
      </c>
      <c r="F221" s="45">
        <v>14</v>
      </c>
      <c r="G221" s="46">
        <v>0</v>
      </c>
      <c r="H221" s="47">
        <f t="shared" si="13"/>
        <v>0</v>
      </c>
      <c r="I221" s="49">
        <f t="shared" si="12"/>
        <v>0</v>
      </c>
      <c r="J221" s="48"/>
    </row>
    <row r="222" spans="1:10" x14ac:dyDescent="0.25">
      <c r="A222" s="40">
        <v>174</v>
      </c>
      <c r="B222" s="209" t="s">
        <v>37</v>
      </c>
      <c r="C222" s="51" t="s">
        <v>38</v>
      </c>
      <c r="D222" s="43" t="s">
        <v>327</v>
      </c>
      <c r="E222" s="44" t="s">
        <v>96</v>
      </c>
      <c r="F222" s="45">
        <v>15</v>
      </c>
      <c r="G222" s="46">
        <v>0</v>
      </c>
      <c r="H222" s="47">
        <f t="shared" si="13"/>
        <v>0</v>
      </c>
      <c r="I222" s="49">
        <f t="shared" si="12"/>
        <v>0</v>
      </c>
      <c r="J222" s="48"/>
    </row>
    <row r="223" spans="1:10" x14ac:dyDescent="0.25">
      <c r="A223" s="40">
        <v>175</v>
      </c>
      <c r="B223" s="209" t="s">
        <v>37</v>
      </c>
      <c r="C223" s="51" t="s">
        <v>38</v>
      </c>
      <c r="D223" s="43" t="s">
        <v>328</v>
      </c>
      <c r="E223" s="44" t="s">
        <v>96</v>
      </c>
      <c r="F223" s="45">
        <v>72</v>
      </c>
      <c r="G223" s="46">
        <v>0</v>
      </c>
      <c r="H223" s="47">
        <f t="shared" si="13"/>
        <v>0</v>
      </c>
      <c r="I223" s="49">
        <f t="shared" si="12"/>
        <v>0</v>
      </c>
      <c r="J223" s="48"/>
    </row>
    <row r="224" spans="1:10" x14ac:dyDescent="0.25">
      <c r="A224" s="40">
        <v>176</v>
      </c>
      <c r="B224" s="209" t="s">
        <v>37</v>
      </c>
      <c r="C224" s="51" t="s">
        <v>38</v>
      </c>
      <c r="D224" s="43" t="s">
        <v>329</v>
      </c>
      <c r="E224" s="44" t="s">
        <v>96</v>
      </c>
      <c r="F224" s="45">
        <v>49</v>
      </c>
      <c r="G224" s="46">
        <v>0</v>
      </c>
      <c r="H224" s="47">
        <f t="shared" si="13"/>
        <v>0</v>
      </c>
      <c r="I224" s="49">
        <f t="shared" si="12"/>
        <v>0</v>
      </c>
      <c r="J224" s="48"/>
    </row>
    <row r="225" spans="1:10" x14ac:dyDescent="0.25">
      <c r="A225" s="40">
        <v>177</v>
      </c>
      <c r="B225" s="209" t="s">
        <v>37</v>
      </c>
      <c r="C225" s="51" t="s">
        <v>38</v>
      </c>
      <c r="D225" s="43" t="s">
        <v>330</v>
      </c>
      <c r="E225" s="44" t="s">
        <v>96</v>
      </c>
      <c r="F225" s="45">
        <v>63</v>
      </c>
      <c r="G225" s="46">
        <v>0</v>
      </c>
      <c r="H225" s="47">
        <f t="shared" si="13"/>
        <v>0</v>
      </c>
      <c r="I225" s="49">
        <f t="shared" si="12"/>
        <v>0</v>
      </c>
      <c r="J225" s="48"/>
    </row>
    <row r="226" spans="1:10" x14ac:dyDescent="0.25">
      <c r="A226" s="40">
        <v>178</v>
      </c>
      <c r="B226" s="209" t="s">
        <v>37</v>
      </c>
      <c r="C226" s="51" t="s">
        <v>38</v>
      </c>
      <c r="D226" s="43" t="s">
        <v>331</v>
      </c>
      <c r="E226" s="44" t="s">
        <v>96</v>
      </c>
      <c r="F226" s="45">
        <v>27</v>
      </c>
      <c r="G226" s="46">
        <v>0</v>
      </c>
      <c r="H226" s="47">
        <f t="shared" si="13"/>
        <v>0</v>
      </c>
      <c r="I226" s="49">
        <f t="shared" si="12"/>
        <v>0</v>
      </c>
      <c r="J226" s="48"/>
    </row>
    <row r="227" spans="1:10" x14ac:dyDescent="0.25">
      <c r="A227" s="40"/>
      <c r="J227" s="48"/>
    </row>
    <row r="228" spans="1:10" ht="12.75" customHeight="1" x14ac:dyDescent="0.25">
      <c r="A228" s="40"/>
      <c r="B228" s="209"/>
      <c r="C228" s="51"/>
      <c r="D228" s="84" t="s">
        <v>332</v>
      </c>
      <c r="E228" s="44"/>
      <c r="F228" s="200"/>
      <c r="G228" s="46"/>
      <c r="H228" s="47"/>
      <c r="I228" s="49"/>
      <c r="J228" s="48"/>
    </row>
    <row r="229" spans="1:10" x14ac:dyDescent="0.25">
      <c r="A229" s="40">
        <v>179</v>
      </c>
      <c r="B229" s="209" t="s">
        <v>37</v>
      </c>
      <c r="C229" s="51" t="s">
        <v>38</v>
      </c>
      <c r="D229" s="43" t="s">
        <v>333</v>
      </c>
      <c r="E229" s="44" t="s">
        <v>96</v>
      </c>
      <c r="F229" s="45">
        <v>5</v>
      </c>
      <c r="G229" s="46">
        <v>0</v>
      </c>
      <c r="H229" s="47">
        <f t="shared" ref="H229:H235" si="14">G229*F229</f>
        <v>0</v>
      </c>
      <c r="I229" s="49">
        <f t="shared" ref="I229:I235" si="15">H229*0.21</f>
        <v>0</v>
      </c>
      <c r="J229" s="48"/>
    </row>
    <row r="230" spans="1:10" x14ac:dyDescent="0.25">
      <c r="A230" s="40">
        <v>180</v>
      </c>
      <c r="B230" s="209" t="s">
        <v>37</v>
      </c>
      <c r="C230" s="51" t="s">
        <v>38</v>
      </c>
      <c r="D230" s="43" t="s">
        <v>334</v>
      </c>
      <c r="E230" s="44" t="s">
        <v>96</v>
      </c>
      <c r="F230" s="45">
        <v>250</v>
      </c>
      <c r="G230" s="46">
        <v>0</v>
      </c>
      <c r="H230" s="47">
        <f t="shared" si="14"/>
        <v>0</v>
      </c>
      <c r="I230" s="49">
        <f t="shared" si="15"/>
        <v>0</v>
      </c>
      <c r="J230" s="48"/>
    </row>
    <row r="231" spans="1:10" x14ac:dyDescent="0.25">
      <c r="A231" s="40">
        <v>181</v>
      </c>
      <c r="B231" s="209" t="s">
        <v>37</v>
      </c>
      <c r="C231" s="51" t="s">
        <v>38</v>
      </c>
      <c r="D231" s="43" t="s">
        <v>335</v>
      </c>
      <c r="E231" s="44" t="s">
        <v>96</v>
      </c>
      <c r="F231" s="45">
        <v>150</v>
      </c>
      <c r="G231" s="46">
        <v>0</v>
      </c>
      <c r="H231" s="47">
        <f t="shared" si="14"/>
        <v>0</v>
      </c>
      <c r="I231" s="49">
        <f t="shared" si="15"/>
        <v>0</v>
      </c>
      <c r="J231" s="48"/>
    </row>
    <row r="232" spans="1:10" ht="21.6" customHeight="1" x14ac:dyDescent="0.25">
      <c r="A232" s="40">
        <v>182</v>
      </c>
      <c r="B232" s="209" t="s">
        <v>37</v>
      </c>
      <c r="C232" s="51" t="s">
        <v>38</v>
      </c>
      <c r="D232" s="43" t="s">
        <v>336</v>
      </c>
      <c r="E232" s="44" t="s">
        <v>96</v>
      </c>
      <c r="F232" s="45">
        <v>200</v>
      </c>
      <c r="G232" s="46">
        <v>0</v>
      </c>
      <c r="H232" s="47">
        <f t="shared" si="14"/>
        <v>0</v>
      </c>
      <c r="I232" s="49">
        <f t="shared" si="15"/>
        <v>0</v>
      </c>
      <c r="J232" s="48"/>
    </row>
    <row r="233" spans="1:10" x14ac:dyDescent="0.25">
      <c r="A233" s="40">
        <v>183</v>
      </c>
      <c r="B233" s="209" t="s">
        <v>37</v>
      </c>
      <c r="C233" s="51" t="s">
        <v>38</v>
      </c>
      <c r="D233" s="43" t="s">
        <v>337</v>
      </c>
      <c r="E233" s="44" t="s">
        <v>96</v>
      </c>
      <c r="F233" s="45">
        <v>100</v>
      </c>
      <c r="G233" s="46">
        <v>0</v>
      </c>
      <c r="H233" s="47">
        <f t="shared" si="14"/>
        <v>0</v>
      </c>
      <c r="I233" s="49">
        <f t="shared" si="15"/>
        <v>0</v>
      </c>
      <c r="J233" s="48"/>
    </row>
    <row r="234" spans="1:10" x14ac:dyDescent="0.25">
      <c r="A234" s="40">
        <v>184</v>
      </c>
      <c r="B234" s="209" t="s">
        <v>37</v>
      </c>
      <c r="C234" s="51" t="s">
        <v>38</v>
      </c>
      <c r="D234" s="43" t="s">
        <v>338</v>
      </c>
      <c r="E234" s="44" t="s">
        <v>96</v>
      </c>
      <c r="F234" s="45">
        <v>50</v>
      </c>
      <c r="G234" s="46">
        <v>0</v>
      </c>
      <c r="H234" s="47">
        <f t="shared" si="14"/>
        <v>0</v>
      </c>
      <c r="I234" s="49">
        <f t="shared" si="15"/>
        <v>0</v>
      </c>
      <c r="J234" s="48"/>
    </row>
    <row r="235" spans="1:10" x14ac:dyDescent="0.25">
      <c r="A235" s="40">
        <v>185</v>
      </c>
      <c r="B235" s="209" t="s">
        <v>37</v>
      </c>
      <c r="C235" s="51" t="s">
        <v>38</v>
      </c>
      <c r="D235" s="43" t="s">
        <v>339</v>
      </c>
      <c r="E235" s="44" t="s">
        <v>96</v>
      </c>
      <c r="F235" s="45">
        <v>400</v>
      </c>
      <c r="G235" s="46">
        <v>0</v>
      </c>
      <c r="H235" s="47">
        <f t="shared" si="14"/>
        <v>0</v>
      </c>
      <c r="I235" s="49">
        <f t="shared" si="15"/>
        <v>0</v>
      </c>
      <c r="J235" s="48"/>
    </row>
    <row r="236" spans="1:10" x14ac:dyDescent="0.25">
      <c r="A236" s="40"/>
      <c r="J236" s="48"/>
    </row>
    <row r="237" spans="1:10" x14ac:dyDescent="0.25">
      <c r="A237" s="40">
        <v>186</v>
      </c>
      <c r="B237" s="209" t="s">
        <v>37</v>
      </c>
      <c r="C237" s="51" t="s">
        <v>38</v>
      </c>
      <c r="D237" s="43" t="s">
        <v>340</v>
      </c>
      <c r="E237" s="44" t="s">
        <v>96</v>
      </c>
      <c r="F237" s="45"/>
      <c r="G237" s="46"/>
      <c r="H237" s="47">
        <f>SUM(H164:H236)*0.05</f>
        <v>0</v>
      </c>
      <c r="I237" s="49"/>
      <c r="J237" s="48"/>
    </row>
    <row r="238" spans="1:10" ht="12.6" customHeight="1" x14ac:dyDescent="0.25">
      <c r="A238" s="40"/>
      <c r="B238" s="209"/>
      <c r="C238" s="58"/>
      <c r="D238" s="84" t="s">
        <v>236</v>
      </c>
      <c r="E238" s="44"/>
      <c r="F238" s="45"/>
      <c r="G238" s="46"/>
      <c r="H238" s="47"/>
      <c r="I238" s="49"/>
      <c r="J238" s="48"/>
    </row>
    <row r="239" spans="1:10" ht="13.5" customHeight="1" x14ac:dyDescent="0.25">
      <c r="A239" s="40">
        <v>187</v>
      </c>
      <c r="B239" s="209" t="s">
        <v>37</v>
      </c>
      <c r="C239" s="58">
        <v>998231311</v>
      </c>
      <c r="D239" s="43" t="s">
        <v>341</v>
      </c>
      <c r="E239" s="44" t="s">
        <v>43</v>
      </c>
      <c r="F239" s="45">
        <v>3</v>
      </c>
      <c r="G239" s="46">
        <v>0</v>
      </c>
      <c r="H239" s="47">
        <f>G239*F239</f>
        <v>0</v>
      </c>
      <c r="I239" s="49">
        <f>H239*0.21</f>
        <v>0</v>
      </c>
      <c r="J239" s="48"/>
    </row>
    <row r="240" spans="1:10" x14ac:dyDescent="0.25">
      <c r="A240" s="40"/>
      <c r="B240" s="41"/>
      <c r="C240" s="58"/>
      <c r="D240" s="43"/>
      <c r="E240" s="44"/>
      <c r="F240" s="45"/>
      <c r="G240" s="46"/>
      <c r="H240" s="47"/>
      <c r="I240" s="49"/>
      <c r="J240" s="48"/>
    </row>
    <row r="241" spans="1:11" s="229" customFormat="1" ht="15" customHeight="1" x14ac:dyDescent="0.25">
      <c r="A241" s="222"/>
      <c r="B241" s="222"/>
      <c r="C241" s="223">
        <v>7</v>
      </c>
      <c r="D241" s="224" t="s">
        <v>342</v>
      </c>
      <c r="E241" s="222"/>
      <c r="F241" s="225"/>
      <c r="G241" s="226"/>
      <c r="H241" s="230"/>
      <c r="I241" s="231"/>
      <c r="J241" s="227"/>
      <c r="K241" s="228"/>
    </row>
    <row r="242" spans="1:11" ht="21.75" customHeight="1" x14ac:dyDescent="0.25">
      <c r="A242" s="40">
        <v>188</v>
      </c>
      <c r="B242" s="41" t="s">
        <v>37</v>
      </c>
      <c r="C242" s="187">
        <v>183403113</v>
      </c>
      <c r="D242" s="212" t="s">
        <v>343</v>
      </c>
      <c r="E242" s="213" t="s">
        <v>40</v>
      </c>
      <c r="F242" s="214">
        <f>[1]VV!B18-[1]VV!B20</f>
        <v>177</v>
      </c>
      <c r="G242" s="215">
        <v>0</v>
      </c>
      <c r="H242" s="47">
        <f t="shared" ref="H242:H245" si="16">G242*F242</f>
        <v>0</v>
      </c>
      <c r="I242" s="49">
        <f t="shared" ref="I242:I245" si="17">H242*0.21</f>
        <v>0</v>
      </c>
      <c r="J242" s="48"/>
    </row>
    <row r="243" spans="1:11" ht="21" customHeight="1" x14ac:dyDescent="0.25">
      <c r="A243" s="40">
        <v>189</v>
      </c>
      <c r="B243" s="41" t="s">
        <v>37</v>
      </c>
      <c r="C243" s="187">
        <v>183403213</v>
      </c>
      <c r="D243" s="212" t="s">
        <v>344</v>
      </c>
      <c r="E243" s="213" t="s">
        <v>40</v>
      </c>
      <c r="F243" s="214">
        <f>[1]VV!B19-F35</f>
        <v>78</v>
      </c>
      <c r="G243" s="215">
        <v>0</v>
      </c>
      <c r="H243" s="47">
        <f t="shared" si="16"/>
        <v>0</v>
      </c>
      <c r="I243" s="49">
        <f t="shared" si="17"/>
        <v>0</v>
      </c>
      <c r="J243" s="48"/>
    </row>
    <row r="244" spans="1:11" ht="21" customHeight="1" x14ac:dyDescent="0.25">
      <c r="A244" s="40">
        <v>190</v>
      </c>
      <c r="B244" s="41" t="s">
        <v>37</v>
      </c>
      <c r="C244" s="187">
        <v>183403153</v>
      </c>
      <c r="D244" s="212" t="s">
        <v>345</v>
      </c>
      <c r="E244" s="213" t="s">
        <v>40</v>
      </c>
      <c r="F244" s="214">
        <f>[1]VV!B18</f>
        <v>201</v>
      </c>
      <c r="G244" s="215">
        <v>0</v>
      </c>
      <c r="H244" s="47">
        <f t="shared" si="16"/>
        <v>0</v>
      </c>
      <c r="I244" s="49">
        <f t="shared" si="17"/>
        <v>0</v>
      </c>
      <c r="J244" s="48"/>
    </row>
    <row r="245" spans="1:11" ht="21" customHeight="1" x14ac:dyDescent="0.25">
      <c r="A245" s="40">
        <v>191</v>
      </c>
      <c r="B245" s="41" t="s">
        <v>37</v>
      </c>
      <c r="C245" s="187">
        <v>183403353</v>
      </c>
      <c r="D245" s="212" t="s">
        <v>346</v>
      </c>
      <c r="E245" s="213" t="s">
        <v>40</v>
      </c>
      <c r="F245" s="214">
        <f>[1]VV!B19</f>
        <v>113</v>
      </c>
      <c r="G245" s="215">
        <v>0</v>
      </c>
      <c r="H245" s="47">
        <f t="shared" si="16"/>
        <v>0</v>
      </c>
      <c r="I245" s="49">
        <f t="shared" si="17"/>
        <v>0</v>
      </c>
      <c r="J245" s="48"/>
    </row>
    <row r="246" spans="1:11" ht="18" customHeight="1" x14ac:dyDescent="0.25">
      <c r="A246" s="40">
        <v>192</v>
      </c>
      <c r="B246" s="41" t="s">
        <v>37</v>
      </c>
      <c r="C246" s="187">
        <v>183405211</v>
      </c>
      <c r="D246" s="212" t="s">
        <v>347</v>
      </c>
      <c r="E246" s="213" t="s">
        <v>40</v>
      </c>
      <c r="F246" s="214">
        <f>[1]VV!B20+[1]VV!B19+[1]VV!B18</f>
        <v>338</v>
      </c>
      <c r="G246" s="215">
        <v>0</v>
      </c>
      <c r="H246" s="47">
        <f>G246*F246</f>
        <v>0</v>
      </c>
      <c r="I246" s="49">
        <f>H246*0.21</f>
        <v>0</v>
      </c>
      <c r="J246" s="48"/>
    </row>
    <row r="247" spans="1:11" ht="34.200000000000003" customHeight="1" x14ac:dyDescent="0.25">
      <c r="A247" s="40">
        <v>193</v>
      </c>
      <c r="B247" s="41" t="s">
        <v>37</v>
      </c>
      <c r="C247" s="187" t="s">
        <v>38</v>
      </c>
      <c r="D247" s="212" t="s">
        <v>348</v>
      </c>
      <c r="E247" s="213" t="s">
        <v>184</v>
      </c>
      <c r="F247" s="214">
        <v>3</v>
      </c>
      <c r="G247" s="215">
        <v>0</v>
      </c>
      <c r="H247" s="47">
        <f>G247*F247</f>
        <v>0</v>
      </c>
      <c r="I247" s="49"/>
      <c r="J247" s="48">
        <f>H247*0.12</f>
        <v>0</v>
      </c>
    </row>
    <row r="248" spans="1:11" ht="36.6" customHeight="1" x14ac:dyDescent="0.25">
      <c r="A248" s="40">
        <v>194</v>
      </c>
      <c r="B248" s="41" t="s">
        <v>37</v>
      </c>
      <c r="C248" s="187" t="s">
        <v>38</v>
      </c>
      <c r="D248" s="43" t="s">
        <v>349</v>
      </c>
      <c r="E248" s="44" t="s">
        <v>184</v>
      </c>
      <c r="F248" s="45">
        <v>1</v>
      </c>
      <c r="G248" s="215">
        <v>0</v>
      </c>
      <c r="H248" s="47">
        <f>G248*F248</f>
        <v>0</v>
      </c>
      <c r="I248" s="49"/>
      <c r="J248" s="48">
        <f>H248*0.12</f>
        <v>0</v>
      </c>
    </row>
    <row r="250" spans="1:11" ht="17.25" customHeight="1" x14ac:dyDescent="0.25">
      <c r="D250" s="216" t="s">
        <v>350</v>
      </c>
    </row>
    <row r="251" spans="1:11" ht="17.25" customHeight="1" x14ac:dyDescent="0.25">
      <c r="D251" s="232"/>
      <c r="E251" s="233" t="s">
        <v>98</v>
      </c>
      <c r="F251" s="233"/>
      <c r="G251" s="233"/>
      <c r="H251" s="234">
        <f>SUM(H8:H250)</f>
        <v>0</v>
      </c>
      <c r="I251" s="234"/>
    </row>
    <row r="252" spans="1:11" x14ac:dyDescent="0.25">
      <c r="D252" s="43"/>
      <c r="E252" s="44" t="s">
        <v>351</v>
      </c>
      <c r="F252" s="45"/>
      <c r="G252" s="44"/>
      <c r="H252" s="217">
        <f>SUM(I8:I249)</f>
        <v>0</v>
      </c>
      <c r="I252" s="217"/>
    </row>
    <row r="253" spans="1:11" x14ac:dyDescent="0.25">
      <c r="D253" s="43"/>
      <c r="E253" s="218" t="s">
        <v>352</v>
      </c>
      <c r="F253" s="218"/>
      <c r="G253" s="218"/>
      <c r="H253" s="219">
        <f>SUM(J8:J249)</f>
        <v>0</v>
      </c>
      <c r="I253" s="219"/>
    </row>
    <row r="254" spans="1:11" x14ac:dyDescent="0.25">
      <c r="D254" s="43"/>
      <c r="E254" s="220"/>
      <c r="F254" s="220"/>
      <c r="G254" s="220"/>
      <c r="H254" s="220"/>
      <c r="I254" s="220"/>
    </row>
    <row r="255" spans="1:11" ht="20.25" customHeight="1" x14ac:dyDescent="0.25">
      <c r="D255" s="43"/>
      <c r="E255" s="235" t="s">
        <v>100</v>
      </c>
      <c r="F255" s="235"/>
      <c r="G255" s="235"/>
      <c r="H255" s="236">
        <f>SUM(H251:I253)</f>
        <v>0</v>
      </c>
      <c r="I255" s="235"/>
    </row>
    <row r="257" spans="1:1" x14ac:dyDescent="0.25">
      <c r="A257" s="78" t="s">
        <v>353</v>
      </c>
    </row>
    <row r="258" spans="1:1" x14ac:dyDescent="0.25">
      <c r="A258" s="78"/>
    </row>
    <row r="259" spans="1:1" x14ac:dyDescent="0.25">
      <c r="A259" s="221" t="s">
        <v>354</v>
      </c>
    </row>
    <row r="260" spans="1:1" x14ac:dyDescent="0.25">
      <c r="A260" s="9" t="s">
        <v>355</v>
      </c>
    </row>
    <row r="261" spans="1:1" x14ac:dyDescent="0.25">
      <c r="A261" s="9" t="s">
        <v>356</v>
      </c>
    </row>
    <row r="262" spans="1:1" x14ac:dyDescent="0.25">
      <c r="A262" s="9" t="s">
        <v>357</v>
      </c>
    </row>
  </sheetData>
  <mergeCells count="11">
    <mergeCell ref="E254:G254"/>
    <mergeCell ref="H254:I254"/>
    <mergeCell ref="E255:G255"/>
    <mergeCell ref="H255:I255"/>
    <mergeCell ref="I3:J3"/>
    <mergeCell ref="A5:J5"/>
    <mergeCell ref="E251:G251"/>
    <mergeCell ref="H251:I251"/>
    <mergeCell ref="H252:I252"/>
    <mergeCell ref="E253:G253"/>
    <mergeCell ref="H253:I25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AFB4-E1CA-466E-8FDB-7A8DEA672B8F}">
  <dimension ref="A1:M139"/>
  <sheetViews>
    <sheetView workbookViewId="0">
      <selection activeCell="D133" sqref="D133"/>
    </sheetView>
  </sheetViews>
  <sheetFormatPr defaultRowHeight="14.4" x14ac:dyDescent="0.3"/>
  <cols>
    <col min="1" max="1" width="3.5546875" style="137" customWidth="1"/>
    <col min="2" max="2" width="3.33203125" customWidth="1"/>
    <col min="3" max="3" width="7" customWidth="1"/>
    <col min="4" max="4" width="34.44140625" customWidth="1"/>
    <col min="5" max="5" width="2.88671875" customWidth="1"/>
    <col min="6" max="6" width="5.33203125" customWidth="1"/>
    <col min="7" max="7" width="8" style="274" customWidth="1"/>
    <col min="8" max="8" width="9.5546875" customWidth="1"/>
    <col min="9" max="9" width="8" customWidth="1"/>
    <col min="10" max="10" width="4.88671875" customWidth="1"/>
    <col min="11" max="11" width="9.5546875" bestFit="1" customWidth="1"/>
    <col min="12" max="12" width="21.5546875" customWidth="1"/>
  </cols>
  <sheetData>
    <row r="1" spans="1:13" s="9" customFormat="1" ht="18" customHeight="1" x14ac:dyDescent="0.3">
      <c r="A1" s="237" t="s">
        <v>12</v>
      </c>
      <c r="B1" s="123"/>
      <c r="C1" s="124" t="s">
        <v>13</v>
      </c>
      <c r="D1" s="125"/>
      <c r="E1" s="126"/>
      <c r="F1" s="127"/>
      <c r="G1" s="238"/>
      <c r="H1" s="129"/>
      <c r="I1" s="131" t="s">
        <v>117</v>
      </c>
    </row>
    <row r="2" spans="1:13" s="9" customFormat="1" ht="13.5" customHeight="1" x14ac:dyDescent="0.25">
      <c r="A2" s="239" t="s">
        <v>14</v>
      </c>
      <c r="B2" s="132"/>
      <c r="C2" s="19" t="s">
        <v>15</v>
      </c>
      <c r="D2" s="133"/>
      <c r="E2" s="88"/>
      <c r="F2" s="89"/>
      <c r="G2" s="240"/>
      <c r="I2" s="241" t="s">
        <v>118</v>
      </c>
      <c r="J2" s="241"/>
    </row>
    <row r="3" spans="1:13" s="9" customFormat="1" ht="10.8" x14ac:dyDescent="0.25">
      <c r="A3" s="242"/>
      <c r="B3" s="136"/>
      <c r="C3" s="137"/>
      <c r="D3" s="133"/>
      <c r="E3" s="88"/>
      <c r="F3" s="89"/>
      <c r="G3" s="240"/>
      <c r="I3" s="138"/>
      <c r="J3" s="138"/>
    </row>
    <row r="4" spans="1:13" s="9" customFormat="1" ht="33.6" customHeight="1" thickBot="1" x14ac:dyDescent="0.3">
      <c r="A4" s="139" t="s">
        <v>119</v>
      </c>
      <c r="B4" s="243"/>
      <c r="C4" s="243"/>
      <c r="D4" s="243"/>
      <c r="E4" s="243"/>
      <c r="F4" s="243"/>
      <c r="G4" s="243"/>
      <c r="H4" s="243"/>
      <c r="I4" s="244"/>
      <c r="J4" s="245"/>
    </row>
    <row r="5" spans="1:13" s="10" customFormat="1" ht="31.2" customHeight="1" x14ac:dyDescent="0.25">
      <c r="A5" s="246" t="s">
        <v>0</v>
      </c>
      <c r="B5" s="246" t="s">
        <v>1</v>
      </c>
      <c r="C5" s="246" t="s">
        <v>2</v>
      </c>
      <c r="D5" s="246" t="s">
        <v>3</v>
      </c>
      <c r="E5" s="246" t="s">
        <v>4</v>
      </c>
      <c r="F5" s="247" t="s">
        <v>5</v>
      </c>
      <c r="G5" s="248" t="s">
        <v>6</v>
      </c>
      <c r="H5" s="246" t="s">
        <v>7</v>
      </c>
      <c r="I5" s="249" t="s">
        <v>8</v>
      </c>
      <c r="J5" s="6"/>
      <c r="L5" s="9" t="s">
        <v>10</v>
      </c>
    </row>
    <row r="6" spans="1:13" s="9" customFormat="1" ht="18" customHeight="1" x14ac:dyDescent="0.25">
      <c r="A6" s="250" t="s">
        <v>358</v>
      </c>
      <c r="B6" s="251"/>
      <c r="C6" s="251"/>
      <c r="D6" s="251"/>
      <c r="E6" s="251"/>
      <c r="F6" s="251"/>
      <c r="G6" s="251"/>
      <c r="H6" s="251"/>
      <c r="I6" s="252"/>
      <c r="J6" s="252"/>
    </row>
    <row r="7" spans="1:13" s="257" customFormat="1" ht="18" customHeight="1" x14ac:dyDescent="0.25">
      <c r="A7" s="253"/>
      <c r="B7" s="254"/>
      <c r="C7" s="254">
        <v>8</v>
      </c>
      <c r="D7" s="254" t="s">
        <v>359</v>
      </c>
      <c r="E7" s="254"/>
      <c r="F7" s="254"/>
      <c r="G7" s="255"/>
      <c r="H7" s="254"/>
      <c r="I7" s="256"/>
      <c r="J7" s="256"/>
    </row>
    <row r="8" spans="1:13" s="9" customFormat="1" ht="51.6" customHeight="1" x14ac:dyDescent="0.25">
      <c r="A8" s="253"/>
      <c r="B8" s="258"/>
      <c r="C8" s="258"/>
      <c r="D8" s="259" t="s">
        <v>360</v>
      </c>
      <c r="E8" s="259"/>
      <c r="F8" s="259"/>
      <c r="G8" s="259"/>
      <c r="H8" s="258"/>
      <c r="I8" s="260"/>
      <c r="J8" s="260"/>
    </row>
    <row r="9" spans="1:13" s="9" customFormat="1" ht="29.4" customHeight="1" x14ac:dyDescent="0.25">
      <c r="A9" s="58">
        <v>195</v>
      </c>
      <c r="B9" s="41" t="s">
        <v>37</v>
      </c>
      <c r="C9" s="43">
        <v>185804311</v>
      </c>
      <c r="D9" s="43" t="s">
        <v>361</v>
      </c>
      <c r="E9" s="44" t="s">
        <v>60</v>
      </c>
      <c r="F9" s="45">
        <f>0.1*14</f>
        <v>1.4000000000000001</v>
      </c>
      <c r="G9" s="261">
        <v>0</v>
      </c>
      <c r="H9" s="47">
        <f t="shared" ref="H9:H18" si="0">G9*F9</f>
        <v>0</v>
      </c>
      <c r="I9" s="48">
        <f t="shared" ref="I9:I18" si="1">H9*0.21</f>
        <v>0</v>
      </c>
      <c r="J9" s="262"/>
      <c r="L9" s="9" t="s">
        <v>362</v>
      </c>
    </row>
    <row r="10" spans="1:13" s="9" customFormat="1" ht="31.8" customHeight="1" x14ac:dyDescent="0.25">
      <c r="A10" s="58">
        <v>196</v>
      </c>
      <c r="B10" s="41" t="s">
        <v>37</v>
      </c>
      <c r="C10" s="43">
        <v>185804311</v>
      </c>
      <c r="D10" s="43" t="s">
        <v>363</v>
      </c>
      <c r="E10" s="44" t="s">
        <v>60</v>
      </c>
      <c r="F10" s="45">
        <f>(0.08*9)*12</f>
        <v>8.64</v>
      </c>
      <c r="G10" s="261">
        <v>0</v>
      </c>
      <c r="H10" s="47">
        <f t="shared" si="0"/>
        <v>0</v>
      </c>
      <c r="I10" s="48">
        <f t="shared" si="1"/>
        <v>0</v>
      </c>
      <c r="J10" s="48"/>
    </row>
    <row r="11" spans="1:13" s="9" customFormat="1" ht="28.2" customHeight="1" x14ac:dyDescent="0.25">
      <c r="A11" s="58">
        <v>197</v>
      </c>
      <c r="B11" s="41" t="s">
        <v>37</v>
      </c>
      <c r="C11" s="43">
        <v>185804311</v>
      </c>
      <c r="D11" s="43" t="s">
        <v>364</v>
      </c>
      <c r="E11" s="44" t="s">
        <v>60</v>
      </c>
      <c r="F11" s="45">
        <f>(SUM('[1]soupis ploch'!$D$7,'[1]soupis ploch'!$D$12:$D$22,'[1]soupis ploch'!$D$23,'[1]soupis ploch'!$D$24,'[1]soupis ploch'!$D$25:$D$33)*0.025)*9</f>
        <v>54.607500000000009</v>
      </c>
      <c r="G11" s="261">
        <v>0</v>
      </c>
      <c r="H11" s="47">
        <f t="shared" si="0"/>
        <v>0</v>
      </c>
      <c r="I11" s="48">
        <f t="shared" si="1"/>
        <v>0</v>
      </c>
      <c r="J11" s="48"/>
      <c r="L11" s="9" t="s">
        <v>362</v>
      </c>
    </row>
    <row r="12" spans="1:13" ht="34.200000000000003" customHeight="1" x14ac:dyDescent="0.3">
      <c r="A12" s="58">
        <v>198</v>
      </c>
      <c r="B12" s="41" t="s">
        <v>37</v>
      </c>
      <c r="C12" s="43">
        <v>185804312</v>
      </c>
      <c r="D12" s="43" t="s">
        <v>365</v>
      </c>
      <c r="E12" s="44" t="s">
        <v>60</v>
      </c>
      <c r="F12" s="45">
        <f>(SUM('[1]soupis ploch'!$D$5,'[1]soupis ploch'!$D$6,'[1]soupis ploch'!$D$8,'[1]soupis ploch'!$D$9,'[1]soupis ploch'!$D$10,'[1]soupis ploch'!$D$11,'[1]soupis ploch'!$N$34)*0.025)*10</f>
        <v>89.175000000000011</v>
      </c>
      <c r="G12" s="261">
        <v>0</v>
      </c>
      <c r="H12" s="47">
        <f t="shared" si="0"/>
        <v>0</v>
      </c>
      <c r="I12" s="48">
        <f t="shared" si="1"/>
        <v>0</v>
      </c>
      <c r="J12" s="48"/>
    </row>
    <row r="13" spans="1:13" ht="25.95" customHeight="1" x14ac:dyDescent="0.3">
      <c r="A13" s="58">
        <v>199</v>
      </c>
      <c r="B13" s="41" t="s">
        <v>37</v>
      </c>
      <c r="C13" s="43">
        <v>185804312</v>
      </c>
      <c r="D13" s="43" t="s">
        <v>366</v>
      </c>
      <c r="E13" s="44" t="s">
        <v>60</v>
      </c>
      <c r="F13" s="45">
        <f>('[1]soupis ploch'!$D$35+'[1]soupis ploch'!$L$34)*0.025*5</f>
        <v>43.375</v>
      </c>
      <c r="G13" s="261">
        <v>0</v>
      </c>
      <c r="H13" s="47">
        <f t="shared" si="0"/>
        <v>0</v>
      </c>
      <c r="I13" s="48">
        <f t="shared" si="1"/>
        <v>0</v>
      </c>
      <c r="J13" s="48"/>
    </row>
    <row r="14" spans="1:13" ht="24" customHeight="1" x14ac:dyDescent="0.3">
      <c r="A14" s="58">
        <v>200</v>
      </c>
      <c r="B14" s="41" t="s">
        <v>37</v>
      </c>
      <c r="C14" s="43">
        <v>185804312</v>
      </c>
      <c r="D14" s="43" t="s">
        <v>367</v>
      </c>
      <c r="E14" s="44" t="s">
        <v>60</v>
      </c>
      <c r="F14" s="45">
        <f>[1]VV!$B$20*0.025*8</f>
        <v>4.8000000000000007</v>
      </c>
      <c r="G14" s="261">
        <v>0</v>
      </c>
      <c r="H14" s="47">
        <f t="shared" si="0"/>
        <v>0</v>
      </c>
      <c r="I14" s="48">
        <f t="shared" si="1"/>
        <v>0</v>
      </c>
      <c r="J14" s="48"/>
      <c r="M14" t="s">
        <v>368</v>
      </c>
    </row>
    <row r="15" spans="1:13" s="9" customFormat="1" ht="27" customHeight="1" x14ac:dyDescent="0.3">
      <c r="A15" s="58">
        <v>201</v>
      </c>
      <c r="B15" s="41" t="s">
        <v>37</v>
      </c>
      <c r="C15" s="58" t="s">
        <v>369</v>
      </c>
      <c r="D15" s="43" t="s">
        <v>370</v>
      </c>
      <c r="E15" s="213" t="s">
        <v>40</v>
      </c>
      <c r="F15" s="45">
        <f>[1]VV!$B$20*4</f>
        <v>96</v>
      </c>
      <c r="G15" s="261">
        <v>0</v>
      </c>
      <c r="H15" s="47">
        <f t="shared" si="0"/>
        <v>0</v>
      </c>
      <c r="I15" s="48">
        <f t="shared" si="1"/>
        <v>0</v>
      </c>
      <c r="J15" s="48"/>
      <c r="K15" s="53"/>
      <c r="L15" s="59"/>
      <c r="M15"/>
    </row>
    <row r="16" spans="1:13" s="9" customFormat="1" ht="22.2" customHeight="1" x14ac:dyDescent="0.25">
      <c r="A16" s="58">
        <v>202</v>
      </c>
      <c r="B16" s="41"/>
      <c r="C16" s="64" t="s">
        <v>371</v>
      </c>
      <c r="D16" s="43" t="s">
        <v>372</v>
      </c>
      <c r="E16" s="44" t="s">
        <v>43</v>
      </c>
      <c r="F16" s="45">
        <v>1E-3</v>
      </c>
      <c r="G16" s="261">
        <v>0</v>
      </c>
      <c r="H16" s="47">
        <f>G16*F16</f>
        <v>0</v>
      </c>
      <c r="I16" s="48">
        <f t="shared" si="1"/>
        <v>0</v>
      </c>
      <c r="J16" s="48"/>
      <c r="K16" s="59"/>
      <c r="L16" s="59"/>
    </row>
    <row r="17" spans="1:13" s="9" customFormat="1" ht="24.6" customHeight="1" x14ac:dyDescent="0.25">
      <c r="A17" s="58">
        <v>203</v>
      </c>
      <c r="B17" s="41" t="s">
        <v>37</v>
      </c>
      <c r="C17" s="58">
        <v>111151131</v>
      </c>
      <c r="D17" s="43" t="s">
        <v>373</v>
      </c>
      <c r="E17" s="213" t="s">
        <v>40</v>
      </c>
      <c r="F17" s="45">
        <f>[1]VV!$B$18*2</f>
        <v>402</v>
      </c>
      <c r="G17" s="261">
        <v>0</v>
      </c>
      <c r="H17" s="47">
        <f t="shared" si="0"/>
        <v>0</v>
      </c>
      <c r="I17" s="48">
        <f t="shared" si="1"/>
        <v>0</v>
      </c>
      <c r="J17" s="48"/>
      <c r="K17" s="53"/>
      <c r="L17" s="59"/>
      <c r="M17" s="36" t="s">
        <v>374</v>
      </c>
    </row>
    <row r="18" spans="1:13" s="9" customFormat="1" ht="37.5" customHeight="1" x14ac:dyDescent="0.25">
      <c r="A18" s="58">
        <v>204</v>
      </c>
      <c r="B18" s="41" t="s">
        <v>37</v>
      </c>
      <c r="C18" s="58">
        <v>111151133</v>
      </c>
      <c r="D18" s="43" t="s">
        <v>375</v>
      </c>
      <c r="E18" s="213" t="s">
        <v>40</v>
      </c>
      <c r="F18" s="45">
        <f>[1]VV!$B$19*2</f>
        <v>226</v>
      </c>
      <c r="G18" s="261">
        <v>0</v>
      </c>
      <c r="H18" s="47">
        <f t="shared" si="0"/>
        <v>0</v>
      </c>
      <c r="I18" s="48">
        <f t="shared" si="1"/>
        <v>0</v>
      </c>
      <c r="J18" s="48"/>
      <c r="K18" s="53"/>
      <c r="L18" s="59"/>
      <c r="M18" s="36"/>
    </row>
    <row r="19" spans="1:13" s="73" customFormat="1" ht="26.4" customHeight="1" x14ac:dyDescent="0.25">
      <c r="A19" s="263"/>
      <c r="B19" s="264"/>
      <c r="C19" s="263"/>
      <c r="D19" s="265" t="s">
        <v>376</v>
      </c>
      <c r="E19" s="266"/>
      <c r="F19" s="69"/>
      <c r="G19" s="74"/>
      <c r="H19" s="71"/>
      <c r="I19" s="72"/>
      <c r="J19" s="72"/>
      <c r="K19" s="59"/>
      <c r="L19" s="59"/>
      <c r="M19" s="267"/>
    </row>
    <row r="20" spans="1:13" s="9" customFormat="1" ht="24" customHeight="1" x14ac:dyDescent="0.25">
      <c r="A20" s="58">
        <v>205</v>
      </c>
      <c r="B20" s="41" t="s">
        <v>37</v>
      </c>
      <c r="C20" s="58">
        <v>185804511</v>
      </c>
      <c r="D20" s="43" t="s">
        <v>377</v>
      </c>
      <c r="E20" s="213" t="s">
        <v>40</v>
      </c>
      <c r="F20" s="45">
        <f>([1]VV!$B$3-[1]VV!$B$12)*2</f>
        <v>770.99999999999966</v>
      </c>
      <c r="G20" s="261">
        <v>0</v>
      </c>
      <c r="H20" s="47">
        <f t="shared" ref="H20:H25" si="2">G20*F20</f>
        <v>0</v>
      </c>
      <c r="I20" s="48">
        <f>H20*0.21</f>
        <v>0</v>
      </c>
      <c r="J20" s="48"/>
      <c r="K20" s="54"/>
      <c r="L20" s="268" t="s">
        <v>378</v>
      </c>
      <c r="M20" s="103"/>
    </row>
    <row r="21" spans="1:13" s="9" customFormat="1" ht="24" customHeight="1" x14ac:dyDescent="0.25">
      <c r="A21" s="58">
        <v>206</v>
      </c>
      <c r="B21" s="41" t="s">
        <v>37</v>
      </c>
      <c r="C21" s="58">
        <v>185804512</v>
      </c>
      <c r="D21" s="43" t="s">
        <v>379</v>
      </c>
      <c r="E21" s="213" t="s">
        <v>40</v>
      </c>
      <c r="F21" s="45">
        <f>[1]VV!$B$12*2</f>
        <v>100</v>
      </c>
      <c r="G21" s="261">
        <v>0</v>
      </c>
      <c r="H21" s="47">
        <f t="shared" si="2"/>
        <v>0</v>
      </c>
      <c r="I21" s="48">
        <f>H21*0.21</f>
        <v>0</v>
      </c>
      <c r="J21" s="48"/>
      <c r="K21" s="54"/>
      <c r="L21" s="268"/>
      <c r="M21" s="103"/>
    </row>
    <row r="22" spans="1:13" s="9" customFormat="1" ht="22.2" customHeight="1" x14ac:dyDescent="0.25">
      <c r="A22" s="58">
        <v>207</v>
      </c>
      <c r="B22" s="41" t="s">
        <v>37</v>
      </c>
      <c r="C22" s="58" t="s">
        <v>380</v>
      </c>
      <c r="D22" s="43" t="s">
        <v>381</v>
      </c>
      <c r="E22" s="213" t="s">
        <v>40</v>
      </c>
      <c r="F22" s="45">
        <f>10*2</f>
        <v>20</v>
      </c>
      <c r="G22" s="261">
        <v>0</v>
      </c>
      <c r="H22" s="47">
        <f t="shared" si="2"/>
        <v>0</v>
      </c>
      <c r="I22" s="48">
        <f>H22*0.21</f>
        <v>0</v>
      </c>
      <c r="J22" s="48"/>
      <c r="K22" s="54"/>
      <c r="L22" s="268"/>
      <c r="M22" s="103"/>
    </row>
    <row r="23" spans="1:13" ht="23.4" customHeight="1" x14ac:dyDescent="0.3">
      <c r="A23" s="58">
        <v>208</v>
      </c>
      <c r="B23" s="41" t="s">
        <v>37</v>
      </c>
      <c r="C23" s="58">
        <v>185804514</v>
      </c>
      <c r="D23" s="43" t="s">
        <v>382</v>
      </c>
      <c r="E23" s="213" t="s">
        <v>40</v>
      </c>
      <c r="F23" s="45">
        <f>SUM([1]VV!$B$6,[1]VV!$B$15,[1]VV!$B$10)*2</f>
        <v>120.6</v>
      </c>
      <c r="G23" s="261">
        <v>0</v>
      </c>
      <c r="H23" s="47">
        <f t="shared" si="2"/>
        <v>0</v>
      </c>
      <c r="I23" s="48">
        <f>H23*0.21</f>
        <v>0</v>
      </c>
      <c r="J23" s="48"/>
      <c r="L23" s="268"/>
    </row>
    <row r="24" spans="1:13" ht="15.6" customHeight="1" x14ac:dyDescent="0.3">
      <c r="A24" s="58">
        <v>209</v>
      </c>
      <c r="B24" s="41" t="s">
        <v>37</v>
      </c>
      <c r="C24" s="43">
        <v>185804532</v>
      </c>
      <c r="D24" s="43" t="s">
        <v>383</v>
      </c>
      <c r="E24" s="213" t="s">
        <v>384</v>
      </c>
      <c r="F24" s="45">
        <f>[1]VV!$B$16*2</f>
        <v>60</v>
      </c>
      <c r="G24" s="261">
        <v>0</v>
      </c>
      <c r="H24" s="47">
        <f t="shared" si="2"/>
        <v>0</v>
      </c>
      <c r="I24" s="48">
        <f>H24*0.21</f>
        <v>0</v>
      </c>
      <c r="J24" s="48"/>
      <c r="L24" s="268"/>
    </row>
    <row r="25" spans="1:13" s="9" customFormat="1" ht="41.4" customHeight="1" x14ac:dyDescent="0.25">
      <c r="A25" s="58">
        <v>210</v>
      </c>
      <c r="B25" s="41" t="s">
        <v>37</v>
      </c>
      <c r="C25" s="64" t="s">
        <v>38</v>
      </c>
      <c r="D25" s="43" t="s">
        <v>385</v>
      </c>
      <c r="E25" s="213" t="s">
        <v>96</v>
      </c>
      <c r="F25" s="45">
        <v>3</v>
      </c>
      <c r="G25" s="261">
        <v>0</v>
      </c>
      <c r="H25" s="47">
        <f t="shared" si="2"/>
        <v>0</v>
      </c>
      <c r="I25" s="48">
        <f t="shared" ref="I25" si="3">H25*0.21</f>
        <v>0</v>
      </c>
      <c r="J25" s="48"/>
      <c r="K25" s="59"/>
      <c r="L25" s="59"/>
    </row>
    <row r="26" spans="1:13" x14ac:dyDescent="0.3">
      <c r="A26" s="58"/>
      <c r="B26" s="41"/>
      <c r="C26" s="212"/>
      <c r="D26" s="84" t="s">
        <v>386</v>
      </c>
      <c r="E26" s="213"/>
      <c r="F26" s="45"/>
      <c r="G26" s="261">
        <v>0</v>
      </c>
      <c r="H26" s="47"/>
      <c r="I26" s="48"/>
      <c r="J26" s="48"/>
      <c r="L26" s="269"/>
    </row>
    <row r="27" spans="1:13" s="9" customFormat="1" ht="18" customHeight="1" x14ac:dyDescent="0.25">
      <c r="A27" s="58">
        <v>211</v>
      </c>
      <c r="B27" s="41" t="s">
        <v>37</v>
      </c>
      <c r="C27" s="64" t="s">
        <v>38</v>
      </c>
      <c r="D27" s="43" t="s">
        <v>387</v>
      </c>
      <c r="E27" s="44" t="s">
        <v>43</v>
      </c>
      <c r="F27" s="45">
        <v>1</v>
      </c>
      <c r="G27" s="261">
        <v>0</v>
      </c>
      <c r="H27" s="47">
        <f>G27*F27</f>
        <v>0</v>
      </c>
      <c r="I27" s="48">
        <f>H27*0.21</f>
        <v>0</v>
      </c>
      <c r="J27" s="48"/>
      <c r="K27" s="53"/>
      <c r="L27" s="59"/>
    </row>
    <row r="28" spans="1:13" x14ac:dyDescent="0.3">
      <c r="G28"/>
    </row>
    <row r="29" spans="1:13" x14ac:dyDescent="0.3">
      <c r="A29" s="275"/>
      <c r="B29" s="95"/>
      <c r="C29" s="95"/>
      <c r="D29" s="224" t="s">
        <v>388</v>
      </c>
      <c r="E29" s="95"/>
      <c r="F29" s="95"/>
      <c r="G29" s="276">
        <f>SUM(H9:H27)</f>
        <v>0</v>
      </c>
      <c r="H29" s="276"/>
      <c r="I29" s="277"/>
      <c r="J29" s="48"/>
    </row>
    <row r="30" spans="1:13" s="137" customFormat="1" ht="21" customHeight="1" x14ac:dyDescent="0.2"/>
    <row r="31" spans="1:13" s="257" customFormat="1" ht="18" customHeight="1" x14ac:dyDescent="0.25">
      <c r="A31" s="253"/>
      <c r="B31" s="254"/>
      <c r="C31" s="254">
        <v>9</v>
      </c>
      <c r="D31" s="254" t="s">
        <v>389</v>
      </c>
      <c r="E31" s="254"/>
      <c r="F31" s="254"/>
      <c r="G31" s="255"/>
      <c r="H31" s="254"/>
      <c r="I31" s="256"/>
      <c r="J31" s="256"/>
    </row>
    <row r="32" spans="1:13" s="9" customFormat="1" ht="54.6" customHeight="1" x14ac:dyDescent="0.25">
      <c r="A32" s="253"/>
      <c r="B32" s="258"/>
      <c r="C32" s="258"/>
      <c r="D32" s="259" t="s">
        <v>360</v>
      </c>
      <c r="E32" s="259"/>
      <c r="F32" s="259"/>
      <c r="G32" s="259"/>
      <c r="H32" s="258"/>
      <c r="I32" s="260"/>
      <c r="J32" s="260"/>
    </row>
    <row r="33" spans="1:13" x14ac:dyDescent="0.3">
      <c r="A33" s="58">
        <v>212</v>
      </c>
      <c r="B33" s="41" t="s">
        <v>37</v>
      </c>
      <c r="C33" s="43">
        <v>184806112</v>
      </c>
      <c r="D33" s="43" t="s">
        <v>390</v>
      </c>
      <c r="E33" s="213" t="s">
        <v>96</v>
      </c>
      <c r="F33" s="45">
        <v>1</v>
      </c>
      <c r="G33" s="261">
        <v>0</v>
      </c>
      <c r="H33" s="47">
        <f t="shared" ref="H33:H63" si="4">G33*F33</f>
        <v>0</v>
      </c>
      <c r="I33" s="48">
        <f t="shared" ref="I33:I63" si="5">H33*0.21</f>
        <v>0</v>
      </c>
      <c r="J33" s="48"/>
    </row>
    <row r="34" spans="1:13" s="9" customFormat="1" ht="22.8" customHeight="1" x14ac:dyDescent="0.25">
      <c r="A34" s="58">
        <v>213</v>
      </c>
      <c r="B34" s="41" t="s">
        <v>37</v>
      </c>
      <c r="C34" s="64">
        <v>184215173</v>
      </c>
      <c r="D34" s="43" t="s">
        <v>391</v>
      </c>
      <c r="E34" s="44" t="s">
        <v>96</v>
      </c>
      <c r="F34" s="45">
        <v>2</v>
      </c>
      <c r="G34" s="261">
        <v>0</v>
      </c>
      <c r="H34" s="47">
        <f t="shared" si="4"/>
        <v>0</v>
      </c>
      <c r="I34" s="48">
        <f t="shared" si="5"/>
        <v>0</v>
      </c>
      <c r="J34" s="48"/>
      <c r="K34" s="59"/>
      <c r="L34" s="59"/>
    </row>
    <row r="35" spans="1:13" s="9" customFormat="1" ht="26.25" customHeight="1" x14ac:dyDescent="0.25">
      <c r="A35" s="58">
        <v>214</v>
      </c>
      <c r="B35" s="41" t="s">
        <v>37</v>
      </c>
      <c r="C35" s="43">
        <v>185804311</v>
      </c>
      <c r="D35" s="43" t="s">
        <v>392</v>
      </c>
      <c r="E35" s="44" t="s">
        <v>60</v>
      </c>
      <c r="F35" s="45">
        <f>(0.1)*10</f>
        <v>1</v>
      </c>
      <c r="G35" s="261">
        <v>0</v>
      </c>
      <c r="H35" s="47">
        <f t="shared" si="4"/>
        <v>0</v>
      </c>
      <c r="I35" s="48">
        <f t="shared" si="5"/>
        <v>0</v>
      </c>
      <c r="J35" s="48"/>
    </row>
    <row r="36" spans="1:13" s="9" customFormat="1" ht="26.25" customHeight="1" x14ac:dyDescent="0.25">
      <c r="A36" s="58">
        <v>215</v>
      </c>
      <c r="B36" s="41" t="s">
        <v>37</v>
      </c>
      <c r="C36" s="43">
        <v>185804311</v>
      </c>
      <c r="D36" s="43" t="s">
        <v>393</v>
      </c>
      <c r="E36" s="44" t="s">
        <v>60</v>
      </c>
      <c r="F36" s="45">
        <f>(0.08*7+0.1*2)*10</f>
        <v>7.6</v>
      </c>
      <c r="G36" s="261">
        <v>0</v>
      </c>
      <c r="H36" s="47">
        <f t="shared" si="4"/>
        <v>0</v>
      </c>
      <c r="I36" s="48">
        <f t="shared" si="5"/>
        <v>0</v>
      </c>
      <c r="J36" s="48"/>
    </row>
    <row r="37" spans="1:13" ht="35.4" customHeight="1" x14ac:dyDescent="0.3">
      <c r="A37" s="58">
        <v>216</v>
      </c>
      <c r="B37" s="41" t="s">
        <v>37</v>
      </c>
      <c r="C37" s="43">
        <v>185804312</v>
      </c>
      <c r="D37" s="43" t="s">
        <v>394</v>
      </c>
      <c r="E37" s="44" t="s">
        <v>60</v>
      </c>
      <c r="F37" s="45">
        <f>(SUM('[1]soupis ploch'!$D$5,'[1]soupis ploch'!$D$6,'[1]soupis ploch'!$D$8,'[1]soupis ploch'!$D$9,'[1]soupis ploch'!$D$10,'[1]soupis ploch'!$D$11,'[1]soupis ploch'!$N$34)*0.025)*11</f>
        <v>98.092500000000001</v>
      </c>
      <c r="G37" s="261">
        <v>0</v>
      </c>
      <c r="H37" s="47">
        <f t="shared" si="4"/>
        <v>0</v>
      </c>
      <c r="I37" s="48">
        <f t="shared" si="5"/>
        <v>0</v>
      </c>
      <c r="J37" s="48"/>
    </row>
    <row r="38" spans="1:13" s="9" customFormat="1" ht="31.2" customHeight="1" x14ac:dyDescent="0.25">
      <c r="A38" s="58">
        <v>217</v>
      </c>
      <c r="B38" s="41" t="s">
        <v>37</v>
      </c>
      <c r="C38" s="43">
        <v>185804311</v>
      </c>
      <c r="D38" s="43" t="s">
        <v>395</v>
      </c>
      <c r="E38" s="44" t="s">
        <v>60</v>
      </c>
      <c r="F38" s="45">
        <f>(SUM('[1]soupis ploch'!$D$7,'[1]soupis ploch'!$D$12:$D$22,'[1]soupis ploch'!$D$23,'[1]soupis ploch'!$D$24,'[1]soupis ploch'!$D$25:$D$33)*0.025)*11</f>
        <v>66.742500000000007</v>
      </c>
      <c r="G38" s="261">
        <v>0</v>
      </c>
      <c r="H38" s="47">
        <f t="shared" si="4"/>
        <v>0</v>
      </c>
      <c r="I38" s="48">
        <f t="shared" si="5"/>
        <v>0</v>
      </c>
      <c r="J38" s="48"/>
    </row>
    <row r="39" spans="1:13" ht="31.2" customHeight="1" x14ac:dyDescent="0.3">
      <c r="A39" s="58">
        <v>218</v>
      </c>
      <c r="B39" s="41" t="s">
        <v>37</v>
      </c>
      <c r="C39" s="43">
        <v>185804312</v>
      </c>
      <c r="D39" s="43" t="s">
        <v>396</v>
      </c>
      <c r="E39" s="44" t="s">
        <v>60</v>
      </c>
      <c r="F39" s="45">
        <f>('[1]soupis ploch'!$D$35+'[1]soupis ploch'!$L$34)*0.025*5</f>
        <v>43.375</v>
      </c>
      <c r="G39" s="261">
        <v>0</v>
      </c>
      <c r="H39" s="47">
        <f t="shared" si="4"/>
        <v>0</v>
      </c>
      <c r="I39" s="48">
        <f t="shared" si="5"/>
        <v>0</v>
      </c>
      <c r="J39" s="48"/>
    </row>
    <row r="40" spans="1:13" ht="24" customHeight="1" x14ac:dyDescent="0.3">
      <c r="A40" s="58">
        <v>219</v>
      </c>
      <c r="B40" s="41" t="s">
        <v>37</v>
      </c>
      <c r="C40" s="43">
        <v>185804311</v>
      </c>
      <c r="D40" s="43" t="s">
        <v>397</v>
      </c>
      <c r="E40" s="44" t="s">
        <v>60</v>
      </c>
      <c r="F40" s="45">
        <f>[1]VV!$B$20*0.025*10</f>
        <v>6.0000000000000009</v>
      </c>
      <c r="G40" s="261">
        <v>0</v>
      </c>
      <c r="H40" s="47">
        <f t="shared" si="4"/>
        <v>0</v>
      </c>
      <c r="I40" s="48">
        <f t="shared" si="5"/>
        <v>0</v>
      </c>
      <c r="J40" s="48"/>
    </row>
    <row r="41" spans="1:13" s="207" customFormat="1" ht="31.5" customHeight="1" x14ac:dyDescent="0.25">
      <c r="A41" s="58">
        <v>220</v>
      </c>
      <c r="B41" s="41" t="s">
        <v>37</v>
      </c>
      <c r="C41" s="64" t="s">
        <v>229</v>
      </c>
      <c r="D41" s="43" t="s">
        <v>398</v>
      </c>
      <c r="E41" s="44" t="s">
        <v>96</v>
      </c>
      <c r="F41" s="45">
        <f>8*3</f>
        <v>24</v>
      </c>
      <c r="G41" s="261">
        <v>0</v>
      </c>
      <c r="H41" s="47">
        <f t="shared" si="4"/>
        <v>0</v>
      </c>
      <c r="I41" s="48">
        <f t="shared" si="5"/>
        <v>0</v>
      </c>
      <c r="J41" s="48"/>
      <c r="K41" s="201"/>
      <c r="L41" s="206"/>
    </row>
    <row r="42" spans="1:13" s="207" customFormat="1" ht="25.2" customHeight="1" x14ac:dyDescent="0.25">
      <c r="A42" s="58">
        <v>221</v>
      </c>
      <c r="B42" s="41" t="s">
        <v>37</v>
      </c>
      <c r="C42" s="64">
        <v>184911111</v>
      </c>
      <c r="D42" s="43" t="s">
        <v>399</v>
      </c>
      <c r="E42" s="44" t="s">
        <v>96</v>
      </c>
      <c r="F42" s="45">
        <f>9*0.5</f>
        <v>4.5</v>
      </c>
      <c r="G42" s="261">
        <v>0</v>
      </c>
      <c r="H42" s="47">
        <f t="shared" si="4"/>
        <v>0</v>
      </c>
      <c r="I42" s="48">
        <f t="shared" si="5"/>
        <v>0</v>
      </c>
      <c r="J42" s="48"/>
      <c r="K42" s="201"/>
      <c r="L42" s="206"/>
    </row>
    <row r="43" spans="1:13" s="9" customFormat="1" ht="27" customHeight="1" x14ac:dyDescent="0.25">
      <c r="A43" s="58">
        <v>222</v>
      </c>
      <c r="B43" s="41" t="s">
        <v>37</v>
      </c>
      <c r="C43" s="58">
        <v>111151131</v>
      </c>
      <c r="D43" s="43" t="s">
        <v>373</v>
      </c>
      <c r="E43" s="213" t="s">
        <v>40</v>
      </c>
      <c r="F43" s="45">
        <f>[1]VV!$B$18*2</f>
        <v>402</v>
      </c>
      <c r="G43" s="261">
        <v>0</v>
      </c>
      <c r="H43" s="47">
        <f t="shared" si="4"/>
        <v>0</v>
      </c>
      <c r="I43" s="48">
        <f t="shared" si="5"/>
        <v>0</v>
      </c>
      <c r="J43" s="48"/>
      <c r="K43" s="53"/>
      <c r="L43" s="59"/>
      <c r="M43" s="36" t="s">
        <v>374</v>
      </c>
    </row>
    <row r="44" spans="1:13" s="9" customFormat="1" ht="33" customHeight="1" x14ac:dyDescent="0.25">
      <c r="A44" s="58">
        <v>223</v>
      </c>
      <c r="B44" s="41" t="s">
        <v>37</v>
      </c>
      <c r="C44" s="58">
        <v>111151133</v>
      </c>
      <c r="D44" s="43" t="s">
        <v>400</v>
      </c>
      <c r="E44" s="213" t="s">
        <v>40</v>
      </c>
      <c r="F44" s="45">
        <f>[1]VV!$B$19*2</f>
        <v>226</v>
      </c>
      <c r="G44" s="261">
        <v>0</v>
      </c>
      <c r="H44" s="47">
        <f t="shared" si="4"/>
        <v>0</v>
      </c>
      <c r="I44" s="48">
        <f t="shared" si="5"/>
        <v>0</v>
      </c>
      <c r="J44" s="48"/>
      <c r="K44" s="53"/>
      <c r="L44" s="59"/>
      <c r="M44" s="36"/>
    </row>
    <row r="45" spans="1:13" s="9" customFormat="1" ht="31.5" customHeight="1" x14ac:dyDescent="0.3">
      <c r="A45" s="58">
        <v>224</v>
      </c>
      <c r="B45" s="41" t="s">
        <v>37</v>
      </c>
      <c r="C45" s="58" t="s">
        <v>369</v>
      </c>
      <c r="D45" s="43" t="s">
        <v>370</v>
      </c>
      <c r="E45" s="213" t="s">
        <v>40</v>
      </c>
      <c r="F45" s="45">
        <f>[1]VV!$B$20*4</f>
        <v>96</v>
      </c>
      <c r="G45" s="261">
        <v>0</v>
      </c>
      <c r="H45" s="47">
        <f t="shared" si="4"/>
        <v>0</v>
      </c>
      <c r="I45" s="48">
        <f t="shared" si="5"/>
        <v>0</v>
      </c>
      <c r="J45" s="48"/>
      <c r="K45" s="53"/>
      <c r="L45" s="59"/>
      <c r="M45"/>
    </row>
    <row r="46" spans="1:13" s="9" customFormat="1" ht="24" customHeight="1" x14ac:dyDescent="0.25">
      <c r="A46" s="58">
        <v>225</v>
      </c>
      <c r="B46" s="41" t="s">
        <v>37</v>
      </c>
      <c r="C46" s="58">
        <v>185804511</v>
      </c>
      <c r="D46" s="43" t="s">
        <v>401</v>
      </c>
      <c r="E46" s="213" t="s">
        <v>40</v>
      </c>
      <c r="F46" s="45">
        <f>([1]VV!$B$3-[1]VV!$B$12)*3</f>
        <v>1156.4999999999995</v>
      </c>
      <c r="G46" s="261">
        <v>0</v>
      </c>
      <c r="H46" s="47">
        <f t="shared" si="4"/>
        <v>0</v>
      </c>
      <c r="I46" s="48">
        <f t="shared" si="5"/>
        <v>0</v>
      </c>
      <c r="J46" s="48"/>
      <c r="K46" s="54"/>
      <c r="L46" s="268" t="s">
        <v>378</v>
      </c>
      <c r="M46" s="103"/>
    </row>
    <row r="47" spans="1:13" s="9" customFormat="1" ht="24" customHeight="1" x14ac:dyDescent="0.25">
      <c r="A47" s="58">
        <v>226</v>
      </c>
      <c r="B47" s="41" t="s">
        <v>37</v>
      </c>
      <c r="C47" s="58">
        <v>185804512</v>
      </c>
      <c r="D47" s="43" t="s">
        <v>402</v>
      </c>
      <c r="E47" s="213" t="s">
        <v>40</v>
      </c>
      <c r="F47" s="45">
        <f>[1]VV!$B$12*3</f>
        <v>150</v>
      </c>
      <c r="G47" s="261">
        <v>0</v>
      </c>
      <c r="H47" s="47">
        <f t="shared" si="4"/>
        <v>0</v>
      </c>
      <c r="I47" s="48">
        <f t="shared" si="5"/>
        <v>0</v>
      </c>
      <c r="J47" s="48"/>
      <c r="K47" s="54"/>
      <c r="L47" s="268"/>
      <c r="M47" s="103"/>
    </row>
    <row r="48" spans="1:13" s="9" customFormat="1" ht="24" customHeight="1" x14ac:dyDescent="0.25">
      <c r="A48" s="58">
        <v>227</v>
      </c>
      <c r="B48" s="41" t="s">
        <v>37</v>
      </c>
      <c r="C48" s="58" t="s">
        <v>380</v>
      </c>
      <c r="D48" s="43" t="s">
        <v>403</v>
      </c>
      <c r="E48" s="213" t="s">
        <v>40</v>
      </c>
      <c r="F48" s="45">
        <f>10*3</f>
        <v>30</v>
      </c>
      <c r="G48" s="261">
        <v>0</v>
      </c>
      <c r="H48" s="47">
        <f>G48*F48</f>
        <v>0</v>
      </c>
      <c r="I48" s="48">
        <f>H48*0.21</f>
        <v>0</v>
      </c>
      <c r="J48" s="48"/>
      <c r="K48" s="54"/>
      <c r="L48" s="268"/>
      <c r="M48" s="103"/>
    </row>
    <row r="49" spans="1:12" ht="22.5" customHeight="1" x14ac:dyDescent="0.3">
      <c r="A49" s="58">
        <v>228</v>
      </c>
      <c r="B49" s="41" t="s">
        <v>37</v>
      </c>
      <c r="C49" s="58">
        <v>185804514</v>
      </c>
      <c r="D49" s="43" t="s">
        <v>404</v>
      </c>
      <c r="E49" s="213" t="s">
        <v>40</v>
      </c>
      <c r="F49" s="45">
        <f>SUM([1]VV!$B$6,[1]VV!$B$15,[1]VV!$B$10)*3</f>
        <v>180.89999999999998</v>
      </c>
      <c r="G49" s="261">
        <v>0</v>
      </c>
      <c r="H49" s="47">
        <f t="shared" si="4"/>
        <v>0</v>
      </c>
      <c r="I49" s="48">
        <f t="shared" si="5"/>
        <v>0</v>
      </c>
      <c r="J49" s="48"/>
      <c r="L49" s="268"/>
    </row>
    <row r="50" spans="1:12" x14ac:dyDescent="0.3">
      <c r="A50" s="58">
        <v>229</v>
      </c>
      <c r="B50" s="41" t="s">
        <v>37</v>
      </c>
      <c r="C50" s="43">
        <v>185804532</v>
      </c>
      <c r="D50" s="43" t="s">
        <v>405</v>
      </c>
      <c r="E50" s="213" t="s">
        <v>384</v>
      </c>
      <c r="F50" s="45">
        <f>[1]VV!$B$16*3</f>
        <v>90</v>
      </c>
      <c r="G50" s="261">
        <v>0</v>
      </c>
      <c r="H50" s="47">
        <f t="shared" si="4"/>
        <v>0</v>
      </c>
      <c r="I50" s="48">
        <f t="shared" si="5"/>
        <v>0</v>
      </c>
      <c r="J50" s="48"/>
      <c r="L50" s="268"/>
    </row>
    <row r="51" spans="1:12" ht="24.6" customHeight="1" x14ac:dyDescent="0.3">
      <c r="A51" s="58">
        <v>230</v>
      </c>
      <c r="B51" s="41" t="s">
        <v>37</v>
      </c>
      <c r="C51" s="212">
        <v>184817111</v>
      </c>
      <c r="D51" s="43" t="s">
        <v>406</v>
      </c>
      <c r="E51" s="213" t="s">
        <v>384</v>
      </c>
      <c r="F51" s="45">
        <f>[1]VV!$B$3-[1]VV!$B$12</f>
        <v>385.49999999999983</v>
      </c>
      <c r="G51" s="261">
        <v>0</v>
      </c>
      <c r="H51" s="47">
        <f t="shared" si="4"/>
        <v>0</v>
      </c>
      <c r="I51" s="48">
        <f t="shared" si="5"/>
        <v>0</v>
      </c>
      <c r="J51" s="48"/>
      <c r="L51" s="269"/>
    </row>
    <row r="52" spans="1:12" ht="23.4" customHeight="1" x14ac:dyDescent="0.3">
      <c r="A52" s="58">
        <v>231</v>
      </c>
      <c r="B52" s="41" t="s">
        <v>37</v>
      </c>
      <c r="C52" s="212">
        <v>184817114</v>
      </c>
      <c r="D52" s="43" t="s">
        <v>407</v>
      </c>
      <c r="E52" s="213" t="s">
        <v>384</v>
      </c>
      <c r="F52" s="45">
        <f>[1]VV!$B$3-[1]VV!$B$12</f>
        <v>385.49999999999983</v>
      </c>
      <c r="G52" s="261">
        <v>0</v>
      </c>
      <c r="H52" s="47">
        <f t="shared" si="4"/>
        <v>0</v>
      </c>
      <c r="I52" s="48">
        <f t="shared" si="5"/>
        <v>0</v>
      </c>
      <c r="J52" s="48"/>
      <c r="L52" s="269"/>
    </row>
    <row r="53" spans="1:12" ht="23.4" customHeight="1" x14ac:dyDescent="0.3">
      <c r="A53" s="58">
        <v>232</v>
      </c>
      <c r="B53" s="41" t="s">
        <v>37</v>
      </c>
      <c r="C53" s="212">
        <v>183211412</v>
      </c>
      <c r="D53" s="43" t="s">
        <v>408</v>
      </c>
      <c r="E53" s="213" t="s">
        <v>96</v>
      </c>
      <c r="F53" s="45">
        <f>'[1]rozpočet SU'!F140*0.05</f>
        <v>102.5</v>
      </c>
      <c r="G53" s="261">
        <v>0</v>
      </c>
      <c r="H53" s="47">
        <f t="shared" si="4"/>
        <v>0</v>
      </c>
      <c r="I53" s="48">
        <f t="shared" si="5"/>
        <v>0</v>
      </c>
      <c r="J53" s="48"/>
      <c r="L53" s="269"/>
    </row>
    <row r="54" spans="1:12" ht="15" customHeight="1" x14ac:dyDescent="0.3">
      <c r="A54" s="58">
        <v>233</v>
      </c>
      <c r="B54" s="41" t="s">
        <v>37</v>
      </c>
      <c r="C54" s="212" t="s">
        <v>38</v>
      </c>
      <c r="D54" s="43" t="s">
        <v>409</v>
      </c>
      <c r="E54" s="213" t="s">
        <v>96</v>
      </c>
      <c r="F54" s="45">
        <f>F53</f>
        <v>102.5</v>
      </c>
      <c r="G54" s="261">
        <v>0</v>
      </c>
      <c r="H54" s="47">
        <f t="shared" si="4"/>
        <v>0</v>
      </c>
      <c r="I54" s="48">
        <f t="shared" si="5"/>
        <v>0</v>
      </c>
      <c r="J54" s="48"/>
      <c r="L54" s="269"/>
    </row>
    <row r="55" spans="1:12" ht="22.2" customHeight="1" x14ac:dyDescent="0.3">
      <c r="A55" s="58">
        <v>234</v>
      </c>
      <c r="B55" s="41" t="s">
        <v>37</v>
      </c>
      <c r="C55" s="212">
        <v>185804251</v>
      </c>
      <c r="D55" s="43" t="s">
        <v>410</v>
      </c>
      <c r="E55" s="213" t="s">
        <v>384</v>
      </c>
      <c r="F55" s="45">
        <f>$F$52*0.1</f>
        <v>38.549999999999983</v>
      </c>
      <c r="G55" s="261">
        <v>0</v>
      </c>
      <c r="H55" s="47">
        <f t="shared" si="4"/>
        <v>0</v>
      </c>
      <c r="I55" s="48">
        <f t="shared" si="5"/>
        <v>0</v>
      </c>
      <c r="J55" s="48"/>
      <c r="L55" s="269"/>
    </row>
    <row r="56" spans="1:12" ht="21.75" customHeight="1" x14ac:dyDescent="0.3">
      <c r="A56" s="58">
        <v>235</v>
      </c>
      <c r="B56" s="41" t="s">
        <v>37</v>
      </c>
      <c r="C56" s="212">
        <v>185804253</v>
      </c>
      <c r="D56" s="43" t="s">
        <v>411</v>
      </c>
      <c r="E56" s="213" t="s">
        <v>384</v>
      </c>
      <c r="F56" s="45">
        <f>[1]VV!$B$12</f>
        <v>50</v>
      </c>
      <c r="G56" s="261">
        <v>0</v>
      </c>
      <c r="H56" s="47">
        <f t="shared" si="4"/>
        <v>0</v>
      </c>
      <c r="I56" s="48">
        <f t="shared" si="5"/>
        <v>0</v>
      </c>
      <c r="J56" s="48"/>
      <c r="L56" s="269"/>
    </row>
    <row r="57" spans="1:12" x14ac:dyDescent="0.3">
      <c r="A57" s="58">
        <v>236</v>
      </c>
      <c r="B57" s="41" t="s">
        <v>37</v>
      </c>
      <c r="C57" s="64" t="s">
        <v>38</v>
      </c>
      <c r="D57" s="43" t="s">
        <v>412</v>
      </c>
      <c r="E57" s="44" t="s">
        <v>60</v>
      </c>
      <c r="F57" s="45">
        <f>'[1]rozpočet SU'!$F$150*0.1</f>
        <v>2.7222300000000006</v>
      </c>
      <c r="G57" s="261">
        <v>0</v>
      </c>
      <c r="H57" s="47">
        <f t="shared" si="4"/>
        <v>0</v>
      </c>
      <c r="I57" s="48">
        <f t="shared" si="5"/>
        <v>0</v>
      </c>
      <c r="J57" s="48"/>
      <c r="L57" s="269"/>
    </row>
    <row r="58" spans="1:12" s="9" customFormat="1" ht="24" customHeight="1" x14ac:dyDescent="0.25">
      <c r="A58" s="58">
        <v>237</v>
      </c>
      <c r="B58" s="41" t="s">
        <v>37</v>
      </c>
      <c r="C58" s="58" t="s">
        <v>257</v>
      </c>
      <c r="D58" s="43" t="s">
        <v>258</v>
      </c>
      <c r="E58" s="44" t="s">
        <v>40</v>
      </c>
      <c r="F58" s="45">
        <f>SUM([1]VV!$B$30:$B$31)*0.2</f>
        <v>72.02000000000001</v>
      </c>
      <c r="G58" s="261">
        <v>0</v>
      </c>
      <c r="H58" s="47">
        <f t="shared" si="4"/>
        <v>0</v>
      </c>
      <c r="I58" s="48">
        <f t="shared" si="5"/>
        <v>0</v>
      </c>
      <c r="J58" s="48"/>
      <c r="K58" s="53"/>
      <c r="L58" s="59"/>
    </row>
    <row r="59" spans="1:12" s="9" customFormat="1" ht="41.4" customHeight="1" x14ac:dyDescent="0.25">
      <c r="A59" s="58">
        <v>238</v>
      </c>
      <c r="B59" s="41" t="s">
        <v>37</v>
      </c>
      <c r="C59" s="64" t="s">
        <v>38</v>
      </c>
      <c r="D59" s="43" t="s">
        <v>413</v>
      </c>
      <c r="E59" s="213" t="s">
        <v>96</v>
      </c>
      <c r="F59" s="45">
        <v>10</v>
      </c>
      <c r="G59" s="261">
        <v>0</v>
      </c>
      <c r="H59" s="47">
        <f t="shared" si="4"/>
        <v>0</v>
      </c>
      <c r="I59" s="48">
        <f t="shared" si="5"/>
        <v>0</v>
      </c>
      <c r="J59" s="48"/>
      <c r="K59" s="59"/>
      <c r="L59" s="59"/>
    </row>
    <row r="60" spans="1:12" s="9" customFormat="1" ht="31.5" customHeight="1" x14ac:dyDescent="0.25">
      <c r="A60" s="58">
        <v>239</v>
      </c>
      <c r="B60" s="41" t="s">
        <v>37</v>
      </c>
      <c r="C60" s="64" t="s">
        <v>414</v>
      </c>
      <c r="D60" s="43" t="s">
        <v>415</v>
      </c>
      <c r="E60" s="44" t="s">
        <v>40</v>
      </c>
      <c r="F60" s="45">
        <f>SUM('[1]soupis ploch'!$D$5:$D$11)*2</f>
        <v>699.4</v>
      </c>
      <c r="G60" s="261">
        <v>0</v>
      </c>
      <c r="H60" s="47">
        <f t="shared" si="4"/>
        <v>0</v>
      </c>
      <c r="I60" s="48">
        <f t="shared" si="5"/>
        <v>0</v>
      </c>
      <c r="J60" s="48"/>
      <c r="K60" s="59"/>
      <c r="L60" s="59"/>
    </row>
    <row r="61" spans="1:12" s="9" customFormat="1" ht="31.5" customHeight="1" x14ac:dyDescent="0.25">
      <c r="A61" s="58">
        <v>240</v>
      </c>
      <c r="B61" s="41"/>
      <c r="C61" s="64" t="s">
        <v>371</v>
      </c>
      <c r="D61" s="43" t="s">
        <v>416</v>
      </c>
      <c r="E61" s="44" t="s">
        <v>43</v>
      </c>
      <c r="F61" s="45">
        <v>0.15</v>
      </c>
      <c r="G61" s="261">
        <v>0</v>
      </c>
      <c r="H61" s="47">
        <f t="shared" si="4"/>
        <v>0</v>
      </c>
      <c r="I61" s="48">
        <f t="shared" si="5"/>
        <v>0</v>
      </c>
      <c r="J61" s="48"/>
      <c r="K61" s="59"/>
      <c r="L61" s="59"/>
    </row>
    <row r="62" spans="1:12" s="9" customFormat="1" ht="23.4" customHeight="1" x14ac:dyDescent="0.25">
      <c r="A62" s="58">
        <v>241</v>
      </c>
      <c r="B62" s="41" t="s">
        <v>37</v>
      </c>
      <c r="C62" s="64">
        <v>185802114</v>
      </c>
      <c r="D62" s="43" t="s">
        <v>417</v>
      </c>
      <c r="E62" s="44" t="s">
        <v>43</v>
      </c>
      <c r="F62" s="45">
        <v>0.15</v>
      </c>
      <c r="G62" s="261">
        <v>0</v>
      </c>
      <c r="H62" s="47">
        <f t="shared" si="4"/>
        <v>0</v>
      </c>
      <c r="I62" s="48">
        <f t="shared" si="5"/>
        <v>0</v>
      </c>
      <c r="J62" s="48"/>
      <c r="K62" s="59"/>
      <c r="L62" s="59"/>
    </row>
    <row r="63" spans="1:12" s="9" customFormat="1" ht="29.25" customHeight="1" x14ac:dyDescent="0.25">
      <c r="A63" s="58">
        <v>242</v>
      </c>
      <c r="B63" s="41" t="s">
        <v>37</v>
      </c>
      <c r="C63" s="64" t="s">
        <v>38</v>
      </c>
      <c r="D63" s="43" t="s">
        <v>418</v>
      </c>
      <c r="E63" s="44" t="s">
        <v>40</v>
      </c>
      <c r="F63" s="45">
        <v>12.4</v>
      </c>
      <c r="G63" s="261">
        <v>0</v>
      </c>
      <c r="H63" s="47">
        <f t="shared" si="4"/>
        <v>0</v>
      </c>
      <c r="I63" s="48">
        <f t="shared" si="5"/>
        <v>0</v>
      </c>
      <c r="J63" s="48"/>
      <c r="K63" s="59"/>
      <c r="L63" s="59"/>
    </row>
    <row r="64" spans="1:12" ht="24" customHeight="1" x14ac:dyDescent="0.3">
      <c r="A64" s="58"/>
      <c r="B64" s="41"/>
      <c r="C64" s="212"/>
      <c r="D64" s="84" t="s">
        <v>386</v>
      </c>
      <c r="E64" s="213"/>
      <c r="F64" s="45"/>
      <c r="G64" s="261"/>
      <c r="H64" s="47"/>
      <c r="I64" s="48"/>
      <c r="J64" s="48"/>
      <c r="L64" s="269"/>
    </row>
    <row r="65" spans="1:12" s="9" customFormat="1" ht="21" customHeight="1" x14ac:dyDescent="0.25">
      <c r="A65" s="58">
        <v>243</v>
      </c>
      <c r="B65" s="41" t="s">
        <v>77</v>
      </c>
      <c r="C65" s="64" t="s">
        <v>38</v>
      </c>
      <c r="D65" s="43" t="s">
        <v>387</v>
      </c>
      <c r="E65" s="44" t="s">
        <v>43</v>
      </c>
      <c r="F65" s="45">
        <v>1</v>
      </c>
      <c r="G65" s="261">
        <v>0</v>
      </c>
      <c r="H65" s="47">
        <f>G65*F65</f>
        <v>0</v>
      </c>
      <c r="I65" s="48">
        <f>H65*0.21</f>
        <v>0</v>
      </c>
      <c r="J65" s="48"/>
      <c r="K65" s="53"/>
      <c r="L65" s="59"/>
    </row>
    <row r="66" spans="1:12" x14ac:dyDescent="0.3">
      <c r="A66" s="275"/>
      <c r="B66" s="95"/>
      <c r="C66" s="95"/>
      <c r="D66" s="224" t="s">
        <v>419</v>
      </c>
      <c r="E66" s="95"/>
      <c r="F66" s="95"/>
      <c r="G66" s="276">
        <f>SUM(H33:H65)</f>
        <v>0</v>
      </c>
      <c r="H66" s="276"/>
      <c r="I66" s="277"/>
      <c r="J66" s="48"/>
    </row>
    <row r="67" spans="1:12" s="137" customFormat="1" ht="17.399999999999999" customHeight="1" x14ac:dyDescent="0.2"/>
    <row r="68" spans="1:12" s="257" customFormat="1" ht="18" customHeight="1" x14ac:dyDescent="0.3">
      <c r="A68" s="253"/>
      <c r="B68" s="254"/>
      <c r="C68" s="254">
        <v>10</v>
      </c>
      <c r="D68" s="270" t="s">
        <v>420</v>
      </c>
      <c r="E68" s="254"/>
      <c r="F68" s="254"/>
      <c r="G68" s="255"/>
      <c r="H68" s="254"/>
      <c r="I68" s="256"/>
      <c r="J68" s="256"/>
    </row>
    <row r="69" spans="1:12" s="9" customFormat="1" ht="55.8" customHeight="1" x14ac:dyDescent="0.25">
      <c r="A69" s="58"/>
      <c r="B69" s="271"/>
      <c r="C69" s="271"/>
      <c r="D69" s="272" t="s">
        <v>360</v>
      </c>
      <c r="E69" s="259"/>
      <c r="F69" s="259"/>
      <c r="G69" s="273"/>
      <c r="H69" s="271"/>
      <c r="I69" s="271"/>
      <c r="J69" s="271"/>
    </row>
    <row r="70" spans="1:12" s="9" customFormat="1" ht="21" customHeight="1" x14ac:dyDescent="0.25">
      <c r="A70" s="275"/>
      <c r="B70" s="278"/>
      <c r="C70" s="278"/>
      <c r="D70" s="279" t="s">
        <v>421</v>
      </c>
      <c r="E70" s="279"/>
      <c r="F70" s="279"/>
      <c r="G70" s="278"/>
      <c r="H70" s="280"/>
      <c r="I70" s="278"/>
      <c r="J70" s="271"/>
    </row>
    <row r="71" spans="1:12" s="9" customFormat="1" ht="25.8" customHeight="1" x14ac:dyDescent="0.25">
      <c r="A71" s="58">
        <v>244</v>
      </c>
      <c r="B71" s="41" t="s">
        <v>37</v>
      </c>
      <c r="C71" s="64">
        <v>184215173</v>
      </c>
      <c r="D71" s="43" t="s">
        <v>422</v>
      </c>
      <c r="E71" s="44" t="s">
        <v>96</v>
      </c>
      <c r="F71" s="45">
        <v>1</v>
      </c>
      <c r="G71" s="261">
        <v>0</v>
      </c>
      <c r="H71" s="47">
        <f t="shared" ref="H71" si="6">G71*F71</f>
        <v>0</v>
      </c>
      <c r="I71" s="48">
        <f t="shared" ref="I71" si="7">H71*0.21</f>
        <v>0</v>
      </c>
      <c r="J71" s="48"/>
      <c r="K71" s="59"/>
      <c r="L71" s="59"/>
    </row>
    <row r="72" spans="1:12" ht="15" customHeight="1" x14ac:dyDescent="0.3">
      <c r="A72" s="275"/>
      <c r="B72" s="95"/>
      <c r="C72" s="95"/>
      <c r="D72" s="224" t="s">
        <v>423</v>
      </c>
      <c r="E72" s="95"/>
      <c r="F72" s="95"/>
      <c r="G72" s="276">
        <f>$G$66+H71</f>
        <v>0</v>
      </c>
      <c r="H72" s="276"/>
      <c r="I72" s="277"/>
      <c r="J72" s="48"/>
    </row>
    <row r="74" spans="1:12" s="257" customFormat="1" ht="18" customHeight="1" x14ac:dyDescent="0.3">
      <c r="A74" s="253"/>
      <c r="B74" s="254"/>
      <c r="C74" s="254">
        <v>11</v>
      </c>
      <c r="D74" s="270" t="s">
        <v>424</v>
      </c>
      <c r="E74" s="254"/>
      <c r="F74" s="254"/>
      <c r="G74" s="255"/>
      <c r="H74" s="254"/>
      <c r="I74" s="256"/>
      <c r="J74" s="256"/>
    </row>
    <row r="75" spans="1:12" s="9" customFormat="1" ht="54.6" customHeight="1" x14ac:dyDescent="0.25">
      <c r="A75" s="58"/>
      <c r="B75" s="271"/>
      <c r="C75" s="271"/>
      <c r="D75" s="272" t="s">
        <v>360</v>
      </c>
      <c r="E75" s="259"/>
      <c r="F75" s="259"/>
      <c r="G75" s="273"/>
      <c r="H75" s="271"/>
      <c r="I75" s="271"/>
      <c r="J75" s="271"/>
    </row>
    <row r="76" spans="1:12" x14ac:dyDescent="0.3">
      <c r="A76" s="58">
        <v>245</v>
      </c>
      <c r="B76" s="41" t="s">
        <v>37</v>
      </c>
      <c r="C76" s="43">
        <v>184806112</v>
      </c>
      <c r="D76" s="43" t="s">
        <v>390</v>
      </c>
      <c r="E76" s="213" t="s">
        <v>96</v>
      </c>
      <c r="F76" s="45">
        <v>1</v>
      </c>
      <c r="G76" s="261">
        <v>0</v>
      </c>
      <c r="H76" s="47">
        <f t="shared" ref="H76:H100" si="8">G76*F76</f>
        <v>0</v>
      </c>
      <c r="I76" s="48">
        <f t="shared" ref="I76:I100" si="9">H76*0.21</f>
        <v>0</v>
      </c>
      <c r="J76" s="48"/>
    </row>
    <row r="77" spans="1:12" s="9" customFormat="1" ht="26.25" customHeight="1" x14ac:dyDescent="0.25">
      <c r="A77" s="58">
        <v>246</v>
      </c>
      <c r="B77" s="41" t="s">
        <v>37</v>
      </c>
      <c r="C77" s="43">
        <v>185804311</v>
      </c>
      <c r="D77" s="43" t="s">
        <v>425</v>
      </c>
      <c r="E77" s="44" t="s">
        <v>60</v>
      </c>
      <c r="F77" s="45">
        <f>0.08*7</f>
        <v>0.56000000000000005</v>
      </c>
      <c r="G77" s="261">
        <v>0</v>
      </c>
      <c r="H77" s="47">
        <f t="shared" si="8"/>
        <v>0</v>
      </c>
      <c r="I77" s="48">
        <f t="shared" si="9"/>
        <v>0</v>
      </c>
      <c r="J77" s="48"/>
    </row>
    <row r="78" spans="1:12" s="9" customFormat="1" ht="36" customHeight="1" x14ac:dyDescent="0.25">
      <c r="A78" s="58">
        <v>247</v>
      </c>
      <c r="B78" s="41" t="s">
        <v>37</v>
      </c>
      <c r="C78" s="43">
        <v>185804311</v>
      </c>
      <c r="D78" s="43" t="s">
        <v>426</v>
      </c>
      <c r="E78" s="44" t="s">
        <v>60</v>
      </c>
      <c r="F78" s="45">
        <f>(0.08*7+0.1*2)*7</f>
        <v>5.32</v>
      </c>
      <c r="G78" s="261">
        <v>0</v>
      </c>
      <c r="H78" s="47">
        <f t="shared" si="8"/>
        <v>0</v>
      </c>
      <c r="I78" s="48">
        <f t="shared" si="9"/>
        <v>0</v>
      </c>
      <c r="J78" s="48"/>
    </row>
    <row r="79" spans="1:12" ht="34.950000000000003" customHeight="1" x14ac:dyDescent="0.3">
      <c r="A79" s="58">
        <v>248</v>
      </c>
      <c r="B79" s="41" t="s">
        <v>37</v>
      </c>
      <c r="C79" s="43">
        <v>185804312</v>
      </c>
      <c r="D79" s="43" t="s">
        <v>427</v>
      </c>
      <c r="E79" s="44" t="s">
        <v>60</v>
      </c>
      <c r="F79" s="45">
        <f>(SUM('[1]soupis ploch'!$D$5,'[1]soupis ploch'!$D$6,'[1]soupis ploch'!$D$8,'[1]soupis ploch'!$D$9,'[1]soupis ploch'!$D$10,'[1]soupis ploch'!$D$11,'[1]soupis ploch'!$N$34)*0.025)*7</f>
        <v>62.422499999999999</v>
      </c>
      <c r="G79" s="261">
        <v>0</v>
      </c>
      <c r="H79" s="47">
        <f t="shared" si="8"/>
        <v>0</v>
      </c>
      <c r="I79" s="48">
        <f t="shared" si="9"/>
        <v>0</v>
      </c>
      <c r="J79" s="48"/>
    </row>
    <row r="80" spans="1:12" s="9" customFormat="1" ht="24" customHeight="1" x14ac:dyDescent="0.25">
      <c r="A80" s="58">
        <v>249</v>
      </c>
      <c r="B80" s="41" t="s">
        <v>37</v>
      </c>
      <c r="C80" s="43">
        <v>185804311</v>
      </c>
      <c r="D80" s="43" t="s">
        <v>428</v>
      </c>
      <c r="E80" s="44" t="s">
        <v>60</v>
      </c>
      <c r="F80" s="45">
        <f>(SUM('[1]soupis ploch'!$D$7,'[1]soupis ploch'!$D$12:$D$22,'[1]soupis ploch'!$D$23,'[1]soupis ploch'!$D$24,'[1]soupis ploch'!$D$25:$D$33)*0.025)*7</f>
        <v>42.472500000000004</v>
      </c>
      <c r="G80" s="261">
        <v>0</v>
      </c>
      <c r="H80" s="47">
        <f t="shared" si="8"/>
        <v>0</v>
      </c>
      <c r="I80" s="48">
        <f t="shared" si="9"/>
        <v>0</v>
      </c>
      <c r="J80" s="48"/>
    </row>
    <row r="81" spans="1:13" ht="24" customHeight="1" x14ac:dyDescent="0.3">
      <c r="A81" s="58">
        <v>250</v>
      </c>
      <c r="B81" s="41" t="s">
        <v>37</v>
      </c>
      <c r="C81" s="43">
        <v>185804311</v>
      </c>
      <c r="D81" s="43" t="s">
        <v>429</v>
      </c>
      <c r="E81" s="44" t="s">
        <v>60</v>
      </c>
      <c r="F81" s="45">
        <f>[1]VV!$B$20*0.025*5</f>
        <v>3.0000000000000004</v>
      </c>
      <c r="G81" s="261">
        <v>0</v>
      </c>
      <c r="H81" s="47">
        <f t="shared" si="8"/>
        <v>0</v>
      </c>
      <c r="I81" s="48">
        <f t="shared" si="9"/>
        <v>0</v>
      </c>
      <c r="J81" s="48"/>
    </row>
    <row r="82" spans="1:13" s="207" customFormat="1" ht="31.5" customHeight="1" x14ac:dyDescent="0.25">
      <c r="A82" s="58">
        <v>251</v>
      </c>
      <c r="B82" s="41" t="s">
        <v>37</v>
      </c>
      <c r="C82" s="64" t="s">
        <v>229</v>
      </c>
      <c r="D82" s="43" t="s">
        <v>398</v>
      </c>
      <c r="E82" s="44" t="s">
        <v>96</v>
      </c>
      <c r="F82" s="45">
        <f>8*3</f>
        <v>24</v>
      </c>
      <c r="G82" s="261">
        <v>0</v>
      </c>
      <c r="H82" s="47">
        <f t="shared" si="8"/>
        <v>0</v>
      </c>
      <c r="I82" s="48">
        <f t="shared" si="9"/>
        <v>0</v>
      </c>
      <c r="J82" s="48"/>
      <c r="K82" s="201"/>
      <c r="L82" s="206"/>
    </row>
    <row r="83" spans="1:13" s="9" customFormat="1" ht="27" customHeight="1" x14ac:dyDescent="0.25">
      <c r="A83" s="58">
        <v>252</v>
      </c>
      <c r="B83" s="41" t="s">
        <v>37</v>
      </c>
      <c r="C83" s="58">
        <v>111151131</v>
      </c>
      <c r="D83" s="43" t="s">
        <v>373</v>
      </c>
      <c r="E83" s="213" t="s">
        <v>40</v>
      </c>
      <c r="F83" s="45">
        <f>[1]VV!$B$18*2</f>
        <v>402</v>
      </c>
      <c r="G83" s="261">
        <v>0</v>
      </c>
      <c r="H83" s="47">
        <f t="shared" si="8"/>
        <v>0</v>
      </c>
      <c r="I83" s="48">
        <f t="shared" si="9"/>
        <v>0</v>
      </c>
      <c r="J83" s="48"/>
      <c r="K83" s="53"/>
      <c r="L83" s="59"/>
      <c r="M83" s="36" t="s">
        <v>374</v>
      </c>
    </row>
    <row r="84" spans="1:13" s="9" customFormat="1" ht="33" customHeight="1" x14ac:dyDescent="0.25">
      <c r="A84" s="58">
        <v>253</v>
      </c>
      <c r="B84" s="41" t="s">
        <v>37</v>
      </c>
      <c r="C84" s="58">
        <v>111151133</v>
      </c>
      <c r="D84" s="43" t="s">
        <v>400</v>
      </c>
      <c r="E84" s="213" t="s">
        <v>40</v>
      </c>
      <c r="F84" s="45">
        <f>[1]VV!$B$19*2</f>
        <v>226</v>
      </c>
      <c r="G84" s="261">
        <v>0</v>
      </c>
      <c r="H84" s="47">
        <f t="shared" si="8"/>
        <v>0</v>
      </c>
      <c r="I84" s="48">
        <f t="shared" si="9"/>
        <v>0</v>
      </c>
      <c r="J84" s="48"/>
      <c r="K84" s="53"/>
      <c r="L84" s="59"/>
      <c r="M84" s="36"/>
    </row>
    <row r="85" spans="1:13" s="9" customFormat="1" ht="31.5" customHeight="1" x14ac:dyDescent="0.3">
      <c r="A85" s="58">
        <v>254</v>
      </c>
      <c r="B85" s="41" t="s">
        <v>37</v>
      </c>
      <c r="C85" s="58" t="s">
        <v>369</v>
      </c>
      <c r="D85" s="43" t="s">
        <v>370</v>
      </c>
      <c r="E85" s="213" t="s">
        <v>40</v>
      </c>
      <c r="F85" s="45">
        <f>[1]VV!$B$20*4</f>
        <v>96</v>
      </c>
      <c r="G85" s="261">
        <v>0</v>
      </c>
      <c r="H85" s="47">
        <f t="shared" si="8"/>
        <v>0</v>
      </c>
      <c r="I85" s="48">
        <f t="shared" si="9"/>
        <v>0</v>
      </c>
      <c r="J85" s="48"/>
      <c r="K85" s="53"/>
      <c r="L85" s="59"/>
      <c r="M85"/>
    </row>
    <row r="86" spans="1:13" s="9" customFormat="1" ht="24" customHeight="1" x14ac:dyDescent="0.25">
      <c r="A86" s="58">
        <v>255</v>
      </c>
      <c r="B86" s="41" t="s">
        <v>37</v>
      </c>
      <c r="C86" s="58">
        <v>185804511</v>
      </c>
      <c r="D86" s="43" t="s">
        <v>430</v>
      </c>
      <c r="E86" s="213" t="s">
        <v>40</v>
      </c>
      <c r="F86" s="45">
        <f>([1]VV!$B$3-[1]VV!$B$12)*2</f>
        <v>770.99999999999966</v>
      </c>
      <c r="G86" s="261">
        <v>0</v>
      </c>
      <c r="H86" s="47">
        <f t="shared" si="8"/>
        <v>0</v>
      </c>
      <c r="I86" s="48">
        <f t="shared" si="9"/>
        <v>0</v>
      </c>
      <c r="J86" s="48"/>
      <c r="K86" s="54"/>
      <c r="L86" s="268" t="s">
        <v>378</v>
      </c>
      <c r="M86" s="103"/>
    </row>
    <row r="87" spans="1:13" s="9" customFormat="1" ht="24" customHeight="1" x14ac:dyDescent="0.25">
      <c r="A87" s="58">
        <v>256</v>
      </c>
      <c r="B87" s="41" t="s">
        <v>37</v>
      </c>
      <c r="C87" s="58">
        <v>185804512</v>
      </c>
      <c r="D87" s="43" t="s">
        <v>379</v>
      </c>
      <c r="E87" s="213" t="s">
        <v>40</v>
      </c>
      <c r="F87" s="45">
        <f>[1]VV!$B$12*2</f>
        <v>100</v>
      </c>
      <c r="G87" s="261">
        <v>0</v>
      </c>
      <c r="H87" s="47">
        <f t="shared" si="8"/>
        <v>0</v>
      </c>
      <c r="I87" s="48">
        <f t="shared" si="9"/>
        <v>0</v>
      </c>
      <c r="J87" s="48"/>
      <c r="K87" s="54"/>
      <c r="L87" s="268"/>
      <c r="M87" s="103"/>
    </row>
    <row r="88" spans="1:13" s="9" customFormat="1" ht="24" customHeight="1" x14ac:dyDescent="0.25">
      <c r="A88" s="58">
        <v>257</v>
      </c>
      <c r="B88" s="41" t="s">
        <v>37</v>
      </c>
      <c r="C88" s="58" t="s">
        <v>380</v>
      </c>
      <c r="D88" s="43" t="s">
        <v>381</v>
      </c>
      <c r="E88" s="213" t="s">
        <v>40</v>
      </c>
      <c r="F88" s="45">
        <f>10*2</f>
        <v>20</v>
      </c>
      <c r="G88" s="261">
        <v>0</v>
      </c>
      <c r="H88" s="47">
        <f>G88*F88</f>
        <v>0</v>
      </c>
      <c r="I88" s="48">
        <f>H88*0.21</f>
        <v>0</v>
      </c>
      <c r="J88" s="48"/>
      <c r="K88" s="54"/>
      <c r="L88" s="268"/>
      <c r="M88" s="103"/>
    </row>
    <row r="89" spans="1:13" ht="22.5" customHeight="1" x14ac:dyDescent="0.3">
      <c r="A89" s="58">
        <v>258</v>
      </c>
      <c r="B89" s="41" t="s">
        <v>37</v>
      </c>
      <c r="C89" s="58">
        <v>185804514</v>
      </c>
      <c r="D89" s="43" t="s">
        <v>431</v>
      </c>
      <c r="E89" s="213" t="s">
        <v>40</v>
      </c>
      <c r="F89" s="45">
        <f>SUM([1]VV!$B$6,[1]VV!$B$15,[1]VV!$B$10)*1</f>
        <v>60.3</v>
      </c>
      <c r="G89" s="261">
        <v>0</v>
      </c>
      <c r="H89" s="47">
        <f t="shared" si="8"/>
        <v>0</v>
      </c>
      <c r="I89" s="48">
        <f t="shared" si="9"/>
        <v>0</v>
      </c>
      <c r="J89" s="48"/>
      <c r="L89" s="268"/>
    </row>
    <row r="90" spans="1:13" x14ac:dyDescent="0.3">
      <c r="A90" s="58">
        <v>259</v>
      </c>
      <c r="B90" s="41" t="s">
        <v>37</v>
      </c>
      <c r="C90" s="43">
        <v>185804532</v>
      </c>
      <c r="D90" s="43" t="s">
        <v>432</v>
      </c>
      <c r="E90" s="213" t="s">
        <v>384</v>
      </c>
      <c r="F90" s="45">
        <f>[1]VV!$B$16*1</f>
        <v>30</v>
      </c>
      <c r="G90" s="261">
        <v>0</v>
      </c>
      <c r="H90" s="47">
        <f t="shared" si="8"/>
        <v>0</v>
      </c>
      <c r="I90" s="48">
        <f t="shared" si="9"/>
        <v>0</v>
      </c>
      <c r="J90" s="48"/>
      <c r="L90" s="268"/>
    </row>
    <row r="91" spans="1:13" ht="24.6" customHeight="1" x14ac:dyDescent="0.3">
      <c r="A91" s="58">
        <v>260</v>
      </c>
      <c r="B91" s="41" t="s">
        <v>37</v>
      </c>
      <c r="C91" s="212">
        <v>184817111</v>
      </c>
      <c r="D91" s="43" t="s">
        <v>406</v>
      </c>
      <c r="E91" s="213" t="s">
        <v>384</v>
      </c>
      <c r="F91" s="45">
        <f>[1]VV!$B$3-[1]VV!$B$12</f>
        <v>385.49999999999983</v>
      </c>
      <c r="G91" s="261">
        <v>0</v>
      </c>
      <c r="H91" s="47">
        <f t="shared" si="8"/>
        <v>0</v>
      </c>
      <c r="I91" s="48">
        <f t="shared" si="9"/>
        <v>0</v>
      </c>
      <c r="J91" s="48"/>
      <c r="L91" s="269"/>
    </row>
    <row r="92" spans="1:13" ht="23.4" customHeight="1" x14ac:dyDescent="0.3">
      <c r="A92" s="58">
        <v>261</v>
      </c>
      <c r="B92" s="41" t="s">
        <v>37</v>
      </c>
      <c r="C92" s="212">
        <v>184817114</v>
      </c>
      <c r="D92" s="43" t="s">
        <v>407</v>
      </c>
      <c r="E92" s="213" t="s">
        <v>384</v>
      </c>
      <c r="F92" s="45">
        <f>[1]VV!$B$3-[1]VV!$B$12</f>
        <v>385.49999999999983</v>
      </c>
      <c r="G92" s="261">
        <v>0</v>
      </c>
      <c r="H92" s="47">
        <f t="shared" si="8"/>
        <v>0</v>
      </c>
      <c r="I92" s="48">
        <f t="shared" si="9"/>
        <v>0</v>
      </c>
      <c r="J92" s="48"/>
      <c r="L92" s="269"/>
    </row>
    <row r="93" spans="1:13" ht="21.75" customHeight="1" x14ac:dyDescent="0.3">
      <c r="A93" s="58">
        <v>262</v>
      </c>
      <c r="B93" s="41" t="s">
        <v>37</v>
      </c>
      <c r="C93" s="212">
        <v>185804251</v>
      </c>
      <c r="D93" s="43" t="s">
        <v>410</v>
      </c>
      <c r="E93" s="213" t="s">
        <v>384</v>
      </c>
      <c r="F93" s="45">
        <f>$F$52*0.1</f>
        <v>38.549999999999983</v>
      </c>
      <c r="G93" s="261">
        <v>0</v>
      </c>
      <c r="H93" s="47">
        <f t="shared" si="8"/>
        <v>0</v>
      </c>
      <c r="I93" s="48">
        <f t="shared" si="9"/>
        <v>0</v>
      </c>
      <c r="J93" s="48"/>
      <c r="L93" s="269"/>
    </row>
    <row r="94" spans="1:13" ht="21.75" customHeight="1" x14ac:dyDescent="0.3">
      <c r="A94" s="58">
        <v>263</v>
      </c>
      <c r="B94" s="41" t="s">
        <v>37</v>
      </c>
      <c r="C94" s="212">
        <v>185804253</v>
      </c>
      <c r="D94" s="43" t="s">
        <v>411</v>
      </c>
      <c r="E94" s="213" t="s">
        <v>384</v>
      </c>
      <c r="F94" s="45">
        <f>[1]VV!$B$12</f>
        <v>50</v>
      </c>
      <c r="G94" s="261">
        <v>0</v>
      </c>
      <c r="H94" s="47">
        <f t="shared" si="8"/>
        <v>0</v>
      </c>
      <c r="I94" s="48">
        <f t="shared" si="9"/>
        <v>0</v>
      </c>
      <c r="J94" s="48"/>
      <c r="L94" s="269"/>
    </row>
    <row r="95" spans="1:13" x14ac:dyDescent="0.3">
      <c r="A95" s="58">
        <v>264</v>
      </c>
      <c r="B95" s="41" t="s">
        <v>37</v>
      </c>
      <c r="C95" s="64" t="s">
        <v>38</v>
      </c>
      <c r="D95" s="43" t="s">
        <v>433</v>
      </c>
      <c r="E95" s="44" t="s">
        <v>60</v>
      </c>
      <c r="F95" s="45">
        <f>'[1]rozpočet SU'!$F$150*0.1</f>
        <v>2.7222300000000006</v>
      </c>
      <c r="G95" s="261">
        <v>0</v>
      </c>
      <c r="H95" s="47">
        <f t="shared" si="8"/>
        <v>0</v>
      </c>
      <c r="I95" s="48">
        <f t="shared" si="9"/>
        <v>0</v>
      </c>
      <c r="J95" s="48"/>
      <c r="L95" s="269"/>
    </row>
    <row r="96" spans="1:13" s="9" customFormat="1" ht="24" customHeight="1" x14ac:dyDescent="0.25">
      <c r="A96" s="58">
        <v>265</v>
      </c>
      <c r="B96" s="41" t="s">
        <v>37</v>
      </c>
      <c r="C96" s="58" t="s">
        <v>257</v>
      </c>
      <c r="D96" s="43" t="s">
        <v>258</v>
      </c>
      <c r="E96" s="44" t="s">
        <v>40</v>
      </c>
      <c r="F96" s="45">
        <f>SUM([1]VV!$B$30:$B$31)*0.2</f>
        <v>72.02000000000001</v>
      </c>
      <c r="G96" s="261">
        <v>0</v>
      </c>
      <c r="H96" s="47">
        <f t="shared" si="8"/>
        <v>0</v>
      </c>
      <c r="I96" s="48">
        <f t="shared" si="9"/>
        <v>0</v>
      </c>
      <c r="J96" s="48"/>
      <c r="K96" s="53"/>
      <c r="L96" s="59"/>
    </row>
    <row r="97" spans="1:12" s="9" customFormat="1" ht="15.6" customHeight="1" x14ac:dyDescent="0.25">
      <c r="A97" s="58">
        <v>266</v>
      </c>
      <c r="B97" s="41" t="s">
        <v>37</v>
      </c>
      <c r="C97" s="64" t="s">
        <v>38</v>
      </c>
      <c r="D97" s="43" t="s">
        <v>434</v>
      </c>
      <c r="E97" s="213" t="s">
        <v>96</v>
      </c>
      <c r="F97" s="45">
        <v>10</v>
      </c>
      <c r="G97" s="261">
        <v>0</v>
      </c>
      <c r="H97" s="47">
        <f t="shared" si="8"/>
        <v>0</v>
      </c>
      <c r="I97" s="48">
        <f t="shared" si="9"/>
        <v>0</v>
      </c>
      <c r="J97" s="48"/>
      <c r="K97" s="59"/>
      <c r="L97" s="59"/>
    </row>
    <row r="98" spans="1:12" s="9" customFormat="1" ht="31.5" customHeight="1" x14ac:dyDescent="0.25">
      <c r="A98" s="58">
        <v>267</v>
      </c>
      <c r="B98" s="41" t="s">
        <v>37</v>
      </c>
      <c r="C98" s="64" t="s">
        <v>414</v>
      </c>
      <c r="D98" s="43" t="s">
        <v>415</v>
      </c>
      <c r="E98" s="44" t="s">
        <v>40</v>
      </c>
      <c r="F98" s="45">
        <f>SUM('[1]soupis ploch'!$D$5:$D$11)*2</f>
        <v>699.4</v>
      </c>
      <c r="G98" s="261">
        <v>0</v>
      </c>
      <c r="H98" s="47">
        <f t="shared" si="8"/>
        <v>0</v>
      </c>
      <c r="I98" s="48">
        <f t="shared" si="9"/>
        <v>0</v>
      </c>
      <c r="J98" s="48"/>
      <c r="K98" s="59"/>
      <c r="L98" s="59"/>
    </row>
    <row r="99" spans="1:12" s="9" customFormat="1" ht="31.5" customHeight="1" x14ac:dyDescent="0.25">
      <c r="A99" s="58">
        <v>268</v>
      </c>
      <c r="B99" s="41" t="s">
        <v>37</v>
      </c>
      <c r="C99" s="64">
        <v>185802114</v>
      </c>
      <c r="D99" s="43" t="s">
        <v>417</v>
      </c>
      <c r="E99" s="44" t="s">
        <v>43</v>
      </c>
      <c r="F99" s="45">
        <v>0.15</v>
      </c>
      <c r="G99" s="261">
        <v>0</v>
      </c>
      <c r="H99" s="47">
        <f t="shared" si="8"/>
        <v>0</v>
      </c>
      <c r="I99" s="48">
        <f t="shared" si="9"/>
        <v>0</v>
      </c>
      <c r="J99" s="48"/>
      <c r="K99" s="59"/>
      <c r="L99" s="59"/>
    </row>
    <row r="100" spans="1:12" s="9" customFormat="1" ht="24" customHeight="1" x14ac:dyDescent="0.25">
      <c r="A100" s="58">
        <v>269</v>
      </c>
      <c r="B100" s="41" t="s">
        <v>37</v>
      </c>
      <c r="C100" s="64" t="s">
        <v>38</v>
      </c>
      <c r="D100" s="43" t="s">
        <v>435</v>
      </c>
      <c r="E100" s="44" t="s">
        <v>40</v>
      </c>
      <c r="F100" s="45">
        <v>12.4</v>
      </c>
      <c r="G100" s="261">
        <v>0</v>
      </c>
      <c r="H100" s="47">
        <f t="shared" si="8"/>
        <v>0</v>
      </c>
      <c r="I100" s="48">
        <f t="shared" si="9"/>
        <v>0</v>
      </c>
      <c r="J100" s="48"/>
      <c r="K100" s="59"/>
      <c r="L100" s="59"/>
    </row>
    <row r="101" spans="1:12" ht="19.2" customHeight="1" x14ac:dyDescent="0.3">
      <c r="A101" s="58"/>
      <c r="B101" s="41"/>
      <c r="C101" s="212"/>
      <c r="D101" s="84" t="s">
        <v>386</v>
      </c>
      <c r="E101" s="213"/>
      <c r="F101" s="45"/>
      <c r="G101" s="261">
        <v>0</v>
      </c>
      <c r="H101" s="47"/>
      <c r="I101" s="48"/>
      <c r="J101" s="48"/>
      <c r="L101" s="269"/>
    </row>
    <row r="102" spans="1:12" s="9" customFormat="1" ht="18.600000000000001" customHeight="1" x14ac:dyDescent="0.25">
      <c r="A102" s="58">
        <v>270</v>
      </c>
      <c r="B102" s="41" t="s">
        <v>77</v>
      </c>
      <c r="C102" s="64" t="s">
        <v>38</v>
      </c>
      <c r="D102" s="43" t="s">
        <v>387</v>
      </c>
      <c r="E102" s="44" t="s">
        <v>43</v>
      </c>
      <c r="F102" s="45">
        <v>1</v>
      </c>
      <c r="G102" s="261">
        <v>0</v>
      </c>
      <c r="H102" s="47">
        <f>G102*F102</f>
        <v>0</v>
      </c>
      <c r="I102" s="48">
        <f>H102*0.21</f>
        <v>0</v>
      </c>
      <c r="J102" s="48"/>
      <c r="K102" s="53"/>
      <c r="L102" s="59"/>
    </row>
    <row r="103" spans="1:12" x14ac:dyDescent="0.3">
      <c r="A103" s="275"/>
      <c r="B103" s="95"/>
      <c r="C103" s="95"/>
      <c r="D103" s="224" t="s">
        <v>436</v>
      </c>
      <c r="E103" s="95"/>
      <c r="F103" s="95"/>
      <c r="G103" s="276">
        <f>SUM(H76:H102)</f>
        <v>0</v>
      </c>
      <c r="H103" s="276"/>
      <c r="I103" s="277"/>
      <c r="J103" s="48"/>
    </row>
    <row r="104" spans="1:12" s="137" customFormat="1" ht="12" customHeight="1" x14ac:dyDescent="0.2"/>
    <row r="105" spans="1:12" s="257" customFormat="1" ht="18" customHeight="1" x14ac:dyDescent="0.3">
      <c r="A105" s="253"/>
      <c r="B105" s="254"/>
      <c r="C105" s="254">
        <v>12</v>
      </c>
      <c r="D105" s="270" t="s">
        <v>437</v>
      </c>
      <c r="E105" s="254"/>
      <c r="F105" s="254"/>
      <c r="G105" s="255"/>
      <c r="H105" s="254"/>
      <c r="I105" s="254"/>
      <c r="J105" s="256"/>
    </row>
    <row r="106" spans="1:12" s="9" customFormat="1" ht="56.4" customHeight="1" x14ac:dyDescent="0.25">
      <c r="A106" s="58"/>
      <c r="B106" s="271"/>
      <c r="C106" s="271"/>
      <c r="D106" s="272" t="s">
        <v>360</v>
      </c>
      <c r="E106" s="259"/>
      <c r="F106" s="259"/>
      <c r="G106" s="273"/>
      <c r="H106" s="271"/>
      <c r="I106" s="271"/>
      <c r="J106" s="271"/>
    </row>
    <row r="107" spans="1:12" x14ac:dyDescent="0.3">
      <c r="A107" s="58">
        <v>271</v>
      </c>
      <c r="B107" s="41" t="s">
        <v>37</v>
      </c>
      <c r="C107" s="43">
        <v>184806112</v>
      </c>
      <c r="D107" s="43" t="s">
        <v>390</v>
      </c>
      <c r="E107" s="213" t="s">
        <v>96</v>
      </c>
      <c r="F107" s="45">
        <v>1</v>
      </c>
      <c r="G107" s="261">
        <v>0</v>
      </c>
      <c r="H107" s="47">
        <f t="shared" ref="H107:H118" si="10">G107*F107</f>
        <v>0</v>
      </c>
      <c r="I107" s="48">
        <f t="shared" ref="I107:I118" si="11">H107*0.21</f>
        <v>0</v>
      </c>
      <c r="J107" s="48"/>
    </row>
    <row r="108" spans="1:12" s="9" customFormat="1" ht="26.25" customHeight="1" x14ac:dyDescent="0.25">
      <c r="A108" s="58">
        <v>272</v>
      </c>
      <c r="B108" s="41" t="s">
        <v>37</v>
      </c>
      <c r="C108" s="43">
        <v>185804311</v>
      </c>
      <c r="D108" s="43" t="s">
        <v>438</v>
      </c>
      <c r="E108" s="44" t="s">
        <v>60</v>
      </c>
      <c r="F108" s="45">
        <f>0.08*4</f>
        <v>0.32</v>
      </c>
      <c r="G108" s="261">
        <v>0</v>
      </c>
      <c r="H108" s="47">
        <f t="shared" si="10"/>
        <v>0</v>
      </c>
      <c r="I108" s="48">
        <f t="shared" si="11"/>
        <v>0</v>
      </c>
      <c r="J108" s="48"/>
    </row>
    <row r="109" spans="1:12" s="9" customFormat="1" ht="26.25" customHeight="1" x14ac:dyDescent="0.25">
      <c r="A109" s="58">
        <v>273</v>
      </c>
      <c r="B109" s="41" t="s">
        <v>37</v>
      </c>
      <c r="C109" s="43">
        <v>185804311</v>
      </c>
      <c r="D109" s="43" t="s">
        <v>439</v>
      </c>
      <c r="E109" s="44" t="s">
        <v>60</v>
      </c>
      <c r="F109" s="45">
        <f>(0.08*7+0.1*2)*4</f>
        <v>3.04</v>
      </c>
      <c r="G109" s="261">
        <v>0</v>
      </c>
      <c r="H109" s="47">
        <f t="shared" si="10"/>
        <v>0</v>
      </c>
      <c r="I109" s="48">
        <f t="shared" si="11"/>
        <v>0</v>
      </c>
      <c r="J109" s="48"/>
    </row>
    <row r="110" spans="1:12" ht="34.950000000000003" customHeight="1" x14ac:dyDescent="0.3">
      <c r="A110" s="58">
        <v>274</v>
      </c>
      <c r="B110" s="41" t="s">
        <v>37</v>
      </c>
      <c r="C110" s="43">
        <v>185804312</v>
      </c>
      <c r="D110" s="43" t="s">
        <v>427</v>
      </c>
      <c r="E110" s="44" t="s">
        <v>60</v>
      </c>
      <c r="F110" s="45">
        <f>(SUM('[1]soupis ploch'!$D$5,'[1]soupis ploch'!$D$6,'[1]soupis ploch'!$D$8,'[1]soupis ploch'!$D$9,'[1]soupis ploch'!$D$10,'[1]soupis ploch'!$D$11,'[1]soupis ploch'!$N$34)*0.025)*7</f>
        <v>62.422499999999999</v>
      </c>
      <c r="G110" s="261">
        <v>0</v>
      </c>
      <c r="H110" s="47">
        <f t="shared" si="10"/>
        <v>0</v>
      </c>
      <c r="I110" s="48">
        <f t="shared" si="11"/>
        <v>0</v>
      </c>
      <c r="J110" s="48"/>
    </row>
    <row r="111" spans="1:12" s="9" customFormat="1" ht="24.6" customHeight="1" x14ac:dyDescent="0.25">
      <c r="A111" s="58">
        <v>275</v>
      </c>
      <c r="B111" s="41" t="s">
        <v>37</v>
      </c>
      <c r="C111" s="43">
        <v>185804311</v>
      </c>
      <c r="D111" s="43" t="s">
        <v>428</v>
      </c>
      <c r="E111" s="44" t="s">
        <v>60</v>
      </c>
      <c r="F111" s="45">
        <f>(SUM('[1]soupis ploch'!$D$7,'[1]soupis ploch'!$D$12:$D$22,'[1]soupis ploch'!$D$23,'[1]soupis ploch'!$D$24,'[1]soupis ploch'!$D$25:$D$33)*0.025)*7</f>
        <v>42.472500000000004</v>
      </c>
      <c r="G111" s="261">
        <v>0</v>
      </c>
      <c r="H111" s="47">
        <f t="shared" si="10"/>
        <v>0</v>
      </c>
      <c r="I111" s="48">
        <f t="shared" si="11"/>
        <v>0</v>
      </c>
      <c r="J111" s="48"/>
    </row>
    <row r="112" spans="1:12" ht="18.600000000000001" customHeight="1" x14ac:dyDescent="0.3">
      <c r="A112" s="58">
        <v>276</v>
      </c>
      <c r="B112" s="41" t="s">
        <v>37</v>
      </c>
      <c r="C112" s="43">
        <v>185804311</v>
      </c>
      <c r="D112" s="43" t="s">
        <v>440</v>
      </c>
      <c r="E112" s="44" t="s">
        <v>60</v>
      </c>
      <c r="F112" s="45">
        <f>[1]VV!$B$39*0.02*5</f>
        <v>2.17</v>
      </c>
      <c r="G112" s="261">
        <v>0</v>
      </c>
      <c r="H112" s="47">
        <f t="shared" si="10"/>
        <v>0</v>
      </c>
      <c r="I112" s="48">
        <f t="shared" si="11"/>
        <v>0</v>
      </c>
      <c r="J112" s="48"/>
    </row>
    <row r="113" spans="1:13" s="207" customFormat="1" ht="31.5" customHeight="1" x14ac:dyDescent="0.25">
      <c r="A113" s="58">
        <v>277</v>
      </c>
      <c r="B113" s="41" t="s">
        <v>37</v>
      </c>
      <c r="C113" s="64" t="s">
        <v>229</v>
      </c>
      <c r="D113" s="43" t="s">
        <v>441</v>
      </c>
      <c r="E113" s="44" t="s">
        <v>96</v>
      </c>
      <c r="F113" s="45">
        <f>8*2</f>
        <v>16</v>
      </c>
      <c r="G113" s="261">
        <v>0</v>
      </c>
      <c r="H113" s="47">
        <f t="shared" si="10"/>
        <v>0</v>
      </c>
      <c r="I113" s="48">
        <f t="shared" si="11"/>
        <v>0</v>
      </c>
      <c r="J113" s="48"/>
      <c r="K113" s="201"/>
      <c r="L113" s="206"/>
    </row>
    <row r="114" spans="1:13" s="9" customFormat="1" ht="23.4" customHeight="1" x14ac:dyDescent="0.25">
      <c r="A114" s="58">
        <v>278</v>
      </c>
      <c r="B114" s="41" t="s">
        <v>37</v>
      </c>
      <c r="C114" s="58">
        <v>111151131</v>
      </c>
      <c r="D114" s="43" t="s">
        <v>373</v>
      </c>
      <c r="E114" s="213" t="s">
        <v>40</v>
      </c>
      <c r="F114" s="45">
        <f>[1]VV!$B$18*2</f>
        <v>402</v>
      </c>
      <c r="G114" s="261">
        <v>0</v>
      </c>
      <c r="H114" s="47">
        <f t="shared" si="10"/>
        <v>0</v>
      </c>
      <c r="I114" s="48">
        <f t="shared" si="11"/>
        <v>0</v>
      </c>
      <c r="J114" s="48"/>
      <c r="K114" s="53"/>
      <c r="L114" s="59"/>
      <c r="M114" s="36" t="s">
        <v>374</v>
      </c>
    </row>
    <row r="115" spans="1:13" s="9" customFormat="1" ht="33" customHeight="1" x14ac:dyDescent="0.25">
      <c r="A115" s="58">
        <v>279</v>
      </c>
      <c r="B115" s="41" t="s">
        <v>37</v>
      </c>
      <c r="C115" s="58">
        <v>111151133</v>
      </c>
      <c r="D115" s="43" t="s">
        <v>400</v>
      </c>
      <c r="E115" s="213" t="s">
        <v>40</v>
      </c>
      <c r="F115" s="45">
        <f>[1]VV!$B$19*2</f>
        <v>226</v>
      </c>
      <c r="G115" s="261">
        <v>0</v>
      </c>
      <c r="H115" s="47">
        <f t="shared" si="10"/>
        <v>0</v>
      </c>
      <c r="I115" s="48">
        <f t="shared" si="11"/>
        <v>0</v>
      </c>
      <c r="J115" s="48"/>
      <c r="K115" s="53"/>
      <c r="L115" s="59"/>
      <c r="M115" s="36"/>
    </row>
    <row r="116" spans="1:13" s="9" customFormat="1" ht="25.2" customHeight="1" x14ac:dyDescent="0.3">
      <c r="A116" s="58">
        <v>280</v>
      </c>
      <c r="B116" s="41" t="s">
        <v>37</v>
      </c>
      <c r="C116" s="58" t="s">
        <v>369</v>
      </c>
      <c r="D116" s="43" t="s">
        <v>370</v>
      </c>
      <c r="E116" s="213" t="s">
        <v>40</v>
      </c>
      <c r="F116" s="45">
        <f>[1]VV!$B$20*4</f>
        <v>96</v>
      </c>
      <c r="G116" s="261">
        <v>0</v>
      </c>
      <c r="H116" s="47">
        <f t="shared" si="10"/>
        <v>0</v>
      </c>
      <c r="I116" s="48">
        <f t="shared" si="11"/>
        <v>0</v>
      </c>
      <c r="J116" s="48"/>
      <c r="K116" s="53"/>
      <c r="L116" s="59"/>
      <c r="M116"/>
    </row>
    <row r="117" spans="1:13" s="9" customFormat="1" ht="24" customHeight="1" x14ac:dyDescent="0.25">
      <c r="A117" s="58">
        <v>281</v>
      </c>
      <c r="B117" s="41" t="s">
        <v>37</v>
      </c>
      <c r="C117" s="58">
        <v>185804511</v>
      </c>
      <c r="D117" s="43" t="s">
        <v>430</v>
      </c>
      <c r="E117" s="213" t="s">
        <v>40</v>
      </c>
      <c r="F117" s="45">
        <f>([1]VV!$B$3-[1]VV!$B$12)*2</f>
        <v>770.99999999999966</v>
      </c>
      <c r="G117" s="261">
        <v>0</v>
      </c>
      <c r="H117" s="47">
        <f t="shared" si="10"/>
        <v>0</v>
      </c>
      <c r="I117" s="48">
        <f t="shared" si="11"/>
        <v>0</v>
      </c>
      <c r="J117" s="48"/>
      <c r="K117" s="54"/>
      <c r="L117" s="268" t="s">
        <v>378</v>
      </c>
      <c r="M117" s="103"/>
    </row>
    <row r="118" spans="1:13" s="9" customFormat="1" ht="24" customHeight="1" x14ac:dyDescent="0.25">
      <c r="A118" s="58">
        <v>282</v>
      </c>
      <c r="B118" s="41" t="s">
        <v>37</v>
      </c>
      <c r="C118" s="58">
        <v>185804512</v>
      </c>
      <c r="D118" s="43" t="s">
        <v>442</v>
      </c>
      <c r="E118" s="213" t="s">
        <v>40</v>
      </c>
      <c r="F118" s="45">
        <f>[1]VV!$B$12*1</f>
        <v>50</v>
      </c>
      <c r="G118" s="261">
        <v>0</v>
      </c>
      <c r="H118" s="47">
        <f t="shared" si="10"/>
        <v>0</v>
      </c>
      <c r="I118" s="48">
        <f t="shared" si="11"/>
        <v>0</v>
      </c>
      <c r="J118" s="48"/>
      <c r="K118" s="54"/>
      <c r="L118" s="268"/>
      <c r="M118" s="103"/>
    </row>
    <row r="119" spans="1:13" s="9" customFormat="1" ht="24" customHeight="1" x14ac:dyDescent="0.25">
      <c r="A119" s="58">
        <v>283</v>
      </c>
      <c r="B119" s="41" t="s">
        <v>37</v>
      </c>
      <c r="C119" s="58" t="s">
        <v>380</v>
      </c>
      <c r="D119" s="43" t="s">
        <v>381</v>
      </c>
      <c r="E119" s="213" t="s">
        <v>40</v>
      </c>
      <c r="F119" s="45">
        <f>10*2</f>
        <v>20</v>
      </c>
      <c r="G119" s="261">
        <v>0</v>
      </c>
      <c r="H119" s="47">
        <f>G119*F119</f>
        <v>0</v>
      </c>
      <c r="I119" s="48">
        <f>H119*0.21</f>
        <v>0</v>
      </c>
      <c r="J119" s="48"/>
      <c r="K119" s="54"/>
      <c r="L119" s="268"/>
      <c r="M119" s="103"/>
    </row>
    <row r="120" spans="1:13" ht="22.5" customHeight="1" x14ac:dyDescent="0.3">
      <c r="A120" s="58">
        <v>284</v>
      </c>
      <c r="B120" s="41" t="s">
        <v>37</v>
      </c>
      <c r="C120" s="58">
        <v>185804514</v>
      </c>
      <c r="D120" s="43" t="s">
        <v>431</v>
      </c>
      <c r="E120" s="213" t="s">
        <v>40</v>
      </c>
      <c r="F120" s="45">
        <f>SUM([1]VV!$B$6,[1]VV!$B$15,[1]VV!$B$10)*1</f>
        <v>60.3</v>
      </c>
      <c r="G120" s="261">
        <v>0</v>
      </c>
      <c r="H120" s="47">
        <f t="shared" ref="H120:H131" si="12">G120*F120</f>
        <v>0</v>
      </c>
      <c r="I120" s="48">
        <f t="shared" ref="I120:I131" si="13">H120*0.21</f>
        <v>0</v>
      </c>
      <c r="J120" s="48"/>
      <c r="L120" s="268"/>
    </row>
    <row r="121" spans="1:13" x14ac:dyDescent="0.3">
      <c r="A121" s="58">
        <v>285</v>
      </c>
      <c r="B121" s="41" t="s">
        <v>37</v>
      </c>
      <c r="C121" s="43">
        <v>185804532</v>
      </c>
      <c r="D121" s="43" t="s">
        <v>432</v>
      </c>
      <c r="E121" s="213" t="s">
        <v>384</v>
      </c>
      <c r="F121" s="45">
        <f>[1]VV!$B$16*1</f>
        <v>30</v>
      </c>
      <c r="G121" s="261">
        <v>0</v>
      </c>
      <c r="H121" s="47">
        <f t="shared" si="12"/>
        <v>0</v>
      </c>
      <c r="I121" s="48">
        <f t="shared" si="13"/>
        <v>0</v>
      </c>
      <c r="J121" s="48"/>
      <c r="L121" s="268"/>
    </row>
    <row r="122" spans="1:13" ht="24.6" customHeight="1" x14ac:dyDescent="0.3">
      <c r="A122" s="58">
        <v>286</v>
      </c>
      <c r="B122" s="41" t="s">
        <v>37</v>
      </c>
      <c r="C122" s="212">
        <v>184817111</v>
      </c>
      <c r="D122" s="43" t="s">
        <v>406</v>
      </c>
      <c r="E122" s="213" t="s">
        <v>384</v>
      </c>
      <c r="F122" s="45">
        <f>[1]VV!$B$3-[1]VV!$B$12</f>
        <v>385.49999999999983</v>
      </c>
      <c r="G122" s="261">
        <v>0</v>
      </c>
      <c r="H122" s="47">
        <f t="shared" si="12"/>
        <v>0</v>
      </c>
      <c r="I122" s="48">
        <f t="shared" si="13"/>
        <v>0</v>
      </c>
      <c r="J122" s="48"/>
      <c r="L122" s="269"/>
    </row>
    <row r="123" spans="1:13" ht="23.4" customHeight="1" x14ac:dyDescent="0.3">
      <c r="A123" s="58">
        <v>287</v>
      </c>
      <c r="B123" s="41" t="s">
        <v>37</v>
      </c>
      <c r="C123" s="212">
        <v>184817114</v>
      </c>
      <c r="D123" s="43" t="s">
        <v>407</v>
      </c>
      <c r="E123" s="213" t="s">
        <v>384</v>
      </c>
      <c r="F123" s="45">
        <f>[1]VV!$B$3-[1]VV!$B$12</f>
        <v>385.49999999999983</v>
      </c>
      <c r="G123" s="261">
        <v>0</v>
      </c>
      <c r="H123" s="47">
        <f t="shared" si="12"/>
        <v>0</v>
      </c>
      <c r="I123" s="48">
        <f t="shared" si="13"/>
        <v>0</v>
      </c>
      <c r="J123" s="48"/>
      <c r="L123" s="269"/>
    </row>
    <row r="124" spans="1:13" ht="23.4" customHeight="1" x14ac:dyDescent="0.3">
      <c r="A124" s="58">
        <v>288</v>
      </c>
      <c r="B124" s="41" t="s">
        <v>37</v>
      </c>
      <c r="C124" s="212">
        <v>185804251</v>
      </c>
      <c r="D124" s="43" t="s">
        <v>410</v>
      </c>
      <c r="E124" s="213" t="s">
        <v>384</v>
      </c>
      <c r="F124" s="45">
        <f>$F$52*0.1</f>
        <v>38.549999999999983</v>
      </c>
      <c r="G124" s="261">
        <v>0</v>
      </c>
      <c r="H124" s="47">
        <f t="shared" si="12"/>
        <v>0</v>
      </c>
      <c r="I124" s="48">
        <f t="shared" si="13"/>
        <v>0</v>
      </c>
      <c r="J124" s="48"/>
      <c r="L124" s="269"/>
    </row>
    <row r="125" spans="1:13" ht="21.75" customHeight="1" x14ac:dyDescent="0.3">
      <c r="A125" s="58">
        <v>289</v>
      </c>
      <c r="B125" s="41" t="s">
        <v>37</v>
      </c>
      <c r="C125" s="212">
        <v>185804253</v>
      </c>
      <c r="D125" s="43" t="s">
        <v>411</v>
      </c>
      <c r="E125" s="213" t="s">
        <v>384</v>
      </c>
      <c r="F125" s="45">
        <f>[1]VV!$B$12</f>
        <v>50</v>
      </c>
      <c r="G125" s="261">
        <v>0</v>
      </c>
      <c r="H125" s="47">
        <f t="shared" si="12"/>
        <v>0</v>
      </c>
      <c r="I125" s="48">
        <f t="shared" si="13"/>
        <v>0</v>
      </c>
      <c r="J125" s="48"/>
      <c r="L125" s="269"/>
    </row>
    <row r="126" spans="1:13" x14ac:dyDescent="0.3">
      <c r="A126" s="58">
        <v>290</v>
      </c>
      <c r="B126" s="41" t="s">
        <v>37</v>
      </c>
      <c r="C126" s="64" t="s">
        <v>38</v>
      </c>
      <c r="D126" s="43" t="s">
        <v>443</v>
      </c>
      <c r="E126" s="44" t="s">
        <v>60</v>
      </c>
      <c r="F126" s="45">
        <v>1</v>
      </c>
      <c r="G126" s="261">
        <v>0</v>
      </c>
      <c r="H126" s="47">
        <f t="shared" si="12"/>
        <v>0</v>
      </c>
      <c r="I126" s="48">
        <f t="shared" si="13"/>
        <v>0</v>
      </c>
      <c r="J126" s="48"/>
      <c r="L126" s="269"/>
    </row>
    <row r="127" spans="1:13" s="9" customFormat="1" ht="19.8" customHeight="1" x14ac:dyDescent="0.25">
      <c r="A127" s="58">
        <v>291</v>
      </c>
      <c r="B127" s="41" t="s">
        <v>37</v>
      </c>
      <c r="C127" s="58" t="s">
        <v>257</v>
      </c>
      <c r="D127" s="43" t="s">
        <v>258</v>
      </c>
      <c r="E127" s="44" t="s">
        <v>40</v>
      </c>
      <c r="F127" s="45">
        <f>SUM([1]VV!$B$30:$B$31)*0.2</f>
        <v>72.02000000000001</v>
      </c>
      <c r="G127" s="261">
        <v>0</v>
      </c>
      <c r="H127" s="47">
        <f t="shared" si="12"/>
        <v>0</v>
      </c>
      <c r="I127" s="48">
        <f t="shared" si="13"/>
        <v>0</v>
      </c>
      <c r="J127" s="48"/>
      <c r="K127" s="53"/>
      <c r="L127" s="59"/>
    </row>
    <row r="128" spans="1:13" s="9" customFormat="1" ht="15.6" customHeight="1" x14ac:dyDescent="0.25">
      <c r="A128" s="58">
        <v>292</v>
      </c>
      <c r="B128" s="41" t="s">
        <v>37</v>
      </c>
      <c r="C128" s="64" t="s">
        <v>38</v>
      </c>
      <c r="D128" s="43" t="s">
        <v>434</v>
      </c>
      <c r="E128" s="213" t="s">
        <v>96</v>
      </c>
      <c r="F128" s="45">
        <v>10</v>
      </c>
      <c r="G128" s="261">
        <v>0</v>
      </c>
      <c r="H128" s="47">
        <f t="shared" si="12"/>
        <v>0</v>
      </c>
      <c r="I128" s="48">
        <f t="shared" si="13"/>
        <v>0</v>
      </c>
      <c r="J128" s="48"/>
      <c r="K128" s="59"/>
      <c r="L128" s="59"/>
    </row>
    <row r="129" spans="1:12" s="9" customFormat="1" ht="31.5" customHeight="1" x14ac:dyDescent="0.25">
      <c r="A129" s="58">
        <v>293</v>
      </c>
      <c r="B129" s="41" t="s">
        <v>37</v>
      </c>
      <c r="C129" s="64" t="s">
        <v>414</v>
      </c>
      <c r="D129" s="43" t="s">
        <v>415</v>
      </c>
      <c r="E129" s="44" t="s">
        <v>40</v>
      </c>
      <c r="F129" s="45">
        <f>SUM('[1]soupis ploch'!$D$5:$D$11)*2</f>
        <v>699.4</v>
      </c>
      <c r="G129" s="261">
        <v>0</v>
      </c>
      <c r="H129" s="47">
        <f t="shared" si="12"/>
        <v>0</v>
      </c>
      <c r="I129" s="48">
        <f t="shared" si="13"/>
        <v>0</v>
      </c>
      <c r="J129" s="48"/>
      <c r="K129" s="59"/>
      <c r="L129" s="59"/>
    </row>
    <row r="130" spans="1:12" s="9" customFormat="1" ht="24.6" customHeight="1" x14ac:dyDescent="0.25">
      <c r="A130" s="58">
        <v>294</v>
      </c>
      <c r="B130" s="41" t="s">
        <v>37</v>
      </c>
      <c r="C130" s="64">
        <v>185802114</v>
      </c>
      <c r="D130" s="43" t="s">
        <v>417</v>
      </c>
      <c r="E130" s="44" t="s">
        <v>43</v>
      </c>
      <c r="F130" s="45">
        <v>0.15</v>
      </c>
      <c r="G130" s="261">
        <v>0</v>
      </c>
      <c r="H130" s="47">
        <f t="shared" si="12"/>
        <v>0</v>
      </c>
      <c r="I130" s="48">
        <f t="shared" si="13"/>
        <v>0</v>
      </c>
      <c r="J130" s="48"/>
      <c r="K130" s="59"/>
      <c r="L130" s="59"/>
    </row>
    <row r="131" spans="1:12" s="9" customFormat="1" ht="24" customHeight="1" x14ac:dyDescent="0.25">
      <c r="A131" s="58">
        <v>295</v>
      </c>
      <c r="B131" s="41" t="s">
        <v>37</v>
      </c>
      <c r="C131" s="64" t="s">
        <v>38</v>
      </c>
      <c r="D131" s="43" t="s">
        <v>435</v>
      </c>
      <c r="E131" s="44" t="s">
        <v>40</v>
      </c>
      <c r="F131" s="45">
        <v>12.4</v>
      </c>
      <c r="G131" s="261">
        <v>0</v>
      </c>
      <c r="H131" s="47">
        <f t="shared" si="12"/>
        <v>0</v>
      </c>
      <c r="I131" s="48">
        <f t="shared" si="13"/>
        <v>0</v>
      </c>
      <c r="J131" s="48"/>
      <c r="K131" s="59"/>
      <c r="L131" s="59"/>
    </row>
    <row r="132" spans="1:12" ht="12" customHeight="1" x14ac:dyDescent="0.3">
      <c r="A132" s="58"/>
      <c r="B132" s="41"/>
      <c r="C132" s="212"/>
      <c r="D132" s="84" t="s">
        <v>386</v>
      </c>
      <c r="E132" s="213"/>
      <c r="F132" s="45"/>
      <c r="G132" s="261">
        <v>0</v>
      </c>
      <c r="H132" s="47"/>
      <c r="I132" s="48"/>
      <c r="J132" s="48"/>
      <c r="L132" s="269"/>
    </row>
    <row r="133" spans="1:12" s="9" customFormat="1" ht="18.600000000000001" customHeight="1" x14ac:dyDescent="0.25">
      <c r="A133" s="58">
        <v>296</v>
      </c>
      <c r="B133" s="41" t="s">
        <v>77</v>
      </c>
      <c r="C133" s="64" t="s">
        <v>38</v>
      </c>
      <c r="D133" s="43" t="s">
        <v>387</v>
      </c>
      <c r="E133" s="44" t="s">
        <v>43</v>
      </c>
      <c r="F133" s="45">
        <v>1</v>
      </c>
      <c r="G133" s="261">
        <v>0</v>
      </c>
      <c r="H133" s="47">
        <f>G133*F133</f>
        <v>0</v>
      </c>
      <c r="I133" s="48">
        <f>H133*0.21</f>
        <v>0</v>
      </c>
      <c r="J133" s="48"/>
      <c r="K133" s="53"/>
      <c r="L133" s="59"/>
    </row>
    <row r="134" spans="1:12" x14ac:dyDescent="0.3">
      <c r="A134" s="275"/>
      <c r="B134" s="95"/>
      <c r="C134" s="95"/>
      <c r="D134" s="224" t="s">
        <v>444</v>
      </c>
      <c r="E134" s="95"/>
      <c r="F134" s="95"/>
      <c r="G134" s="276">
        <f>SUM(H107:H133)</f>
        <v>0</v>
      </c>
      <c r="H134" s="276"/>
      <c r="I134" s="277"/>
      <c r="J134" s="48"/>
    </row>
    <row r="135" spans="1:12" ht="8.4" customHeight="1" x14ac:dyDescent="0.3"/>
    <row r="136" spans="1:12" s="257" customFormat="1" ht="18" customHeight="1" x14ac:dyDescent="0.3">
      <c r="A136" s="253"/>
      <c r="B136" s="254"/>
      <c r="C136" s="254">
        <v>13</v>
      </c>
      <c r="D136" s="270" t="s">
        <v>445</v>
      </c>
      <c r="E136" s="254"/>
      <c r="F136" s="254"/>
      <c r="G136" s="255"/>
      <c r="H136" s="256"/>
      <c r="I136" s="254"/>
      <c r="J136" s="256"/>
    </row>
    <row r="137" spans="1:12" s="9" customFormat="1" ht="52.8" customHeight="1" x14ac:dyDescent="0.25">
      <c r="A137" s="58"/>
      <c r="B137" s="271"/>
      <c r="C137" s="271"/>
      <c r="D137" s="272" t="s">
        <v>360</v>
      </c>
      <c r="E137" s="259"/>
      <c r="F137" s="259"/>
      <c r="G137" s="273"/>
      <c r="H137" s="271"/>
      <c r="I137" s="271"/>
      <c r="J137" s="271"/>
    </row>
    <row r="138" spans="1:12" s="9" customFormat="1" ht="21" customHeight="1" x14ac:dyDescent="0.25">
      <c r="A138" s="275"/>
      <c r="B138" s="278"/>
      <c r="C138" s="278"/>
      <c r="D138" s="279" t="s">
        <v>446</v>
      </c>
      <c r="E138" s="279"/>
      <c r="F138" s="279"/>
      <c r="G138" s="278"/>
      <c r="H138" s="280"/>
      <c r="I138" s="278"/>
      <c r="J138" s="271"/>
    </row>
    <row r="139" spans="1:12" ht="15" customHeight="1" x14ac:dyDescent="0.3">
      <c r="A139" s="275"/>
      <c r="B139" s="95"/>
      <c r="C139" s="95"/>
      <c r="D139" s="224" t="s">
        <v>447</v>
      </c>
      <c r="E139" s="95"/>
      <c r="F139" s="95"/>
      <c r="G139" s="276">
        <f>G134</f>
        <v>0</v>
      </c>
      <c r="H139" s="276"/>
      <c r="I139" s="277"/>
      <c r="J139" s="48"/>
    </row>
  </sheetData>
  <mergeCells count="21">
    <mergeCell ref="G134:H134"/>
    <mergeCell ref="D137:G137"/>
    <mergeCell ref="G139:H139"/>
    <mergeCell ref="M83:M84"/>
    <mergeCell ref="L86:L90"/>
    <mergeCell ref="G103:H103"/>
    <mergeCell ref="D106:G106"/>
    <mergeCell ref="M114:M115"/>
    <mergeCell ref="L117:L121"/>
    <mergeCell ref="M43:M44"/>
    <mergeCell ref="L46:L50"/>
    <mergeCell ref="G66:H66"/>
    <mergeCell ref="D69:G69"/>
    <mergeCell ref="G72:H72"/>
    <mergeCell ref="D75:G75"/>
    <mergeCell ref="A4:I4"/>
    <mergeCell ref="D8:G8"/>
    <mergeCell ref="M17:M18"/>
    <mergeCell ref="L20:L24"/>
    <mergeCell ref="G29:H29"/>
    <mergeCell ref="D32:G3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220F-DB97-49B0-A255-8BA6F5141C3F}">
  <dimension ref="A2:J21"/>
  <sheetViews>
    <sheetView workbookViewId="0">
      <selection activeCell="J13" sqref="J13"/>
    </sheetView>
  </sheetViews>
  <sheetFormatPr defaultRowHeight="14.4" x14ac:dyDescent="0.3"/>
  <cols>
    <col min="1" max="1" width="2.5546875" customWidth="1"/>
    <col min="2" max="2" width="2.6640625" customWidth="1"/>
    <col min="3" max="3" width="6.33203125" customWidth="1"/>
    <col min="4" max="4" width="43" customWidth="1"/>
    <col min="5" max="5" width="3.109375" customWidth="1"/>
    <col min="6" max="6" width="6.5546875" customWidth="1"/>
    <col min="7" max="7" width="11.21875" customWidth="1"/>
    <col min="8" max="8" width="10" customWidth="1"/>
    <col min="10" max="10" width="36.88671875" customWidth="1"/>
  </cols>
  <sheetData>
    <row r="2" spans="1:10" ht="18" x14ac:dyDescent="0.35">
      <c r="A2" s="104" t="s">
        <v>101</v>
      </c>
      <c r="B2" s="12"/>
      <c r="C2" s="13"/>
      <c r="J2" s="14"/>
    </row>
    <row r="3" spans="1:10" ht="25.2" customHeight="1" x14ac:dyDescent="0.3">
      <c r="A3" s="12" t="s">
        <v>12</v>
      </c>
      <c r="B3" s="12"/>
      <c r="C3" s="15"/>
      <c r="D3" s="16" t="s">
        <v>13</v>
      </c>
      <c r="J3" s="14"/>
    </row>
    <row r="4" spans="1:10" x14ac:dyDescent="0.3">
      <c r="A4" s="17" t="s">
        <v>14</v>
      </c>
      <c r="B4" s="9"/>
      <c r="C4" s="18"/>
      <c r="D4" s="19" t="s">
        <v>15</v>
      </c>
      <c r="J4" s="14"/>
    </row>
    <row r="5" spans="1:10" s="22" customFormat="1" ht="21.6" customHeight="1" x14ac:dyDescent="0.3">
      <c r="A5" s="12" t="s">
        <v>102</v>
      </c>
      <c r="B5" s="21"/>
      <c r="J5" s="23"/>
    </row>
    <row r="6" spans="1:10" x14ac:dyDescent="0.3">
      <c r="C6" s="13"/>
      <c r="J6" s="14"/>
    </row>
    <row r="7" spans="1:10" ht="22.2" x14ac:dyDescent="0.3">
      <c r="A7" s="105" t="s">
        <v>18</v>
      </c>
      <c r="B7" s="105"/>
      <c r="C7" s="106" t="s">
        <v>2</v>
      </c>
      <c r="D7" s="107" t="s">
        <v>3</v>
      </c>
      <c r="E7" s="107" t="s">
        <v>4</v>
      </c>
      <c r="F7" s="108" t="s">
        <v>5</v>
      </c>
      <c r="G7" s="107" t="s">
        <v>19</v>
      </c>
      <c r="H7" s="109" t="s">
        <v>8</v>
      </c>
      <c r="I7" s="7" t="s">
        <v>9</v>
      </c>
      <c r="J7" s="14"/>
    </row>
    <row r="8" spans="1:10" x14ac:dyDescent="0.3">
      <c r="C8" s="13"/>
    </row>
    <row r="9" spans="1:10" x14ac:dyDescent="0.3">
      <c r="A9" s="28" t="s">
        <v>103</v>
      </c>
      <c r="B9" s="28"/>
      <c r="C9" s="29"/>
      <c r="D9" s="28" t="s">
        <v>104</v>
      </c>
      <c r="E9" s="30"/>
      <c r="F9" s="30"/>
      <c r="G9" s="30"/>
      <c r="H9" s="30"/>
      <c r="I9" s="30"/>
      <c r="J9" s="14"/>
    </row>
    <row r="10" spans="1:10" x14ac:dyDescent="0.3">
      <c r="A10" s="30">
        <v>1</v>
      </c>
      <c r="B10" s="30"/>
      <c r="C10" s="31"/>
      <c r="D10" s="32" t="s">
        <v>105</v>
      </c>
      <c r="E10" s="44" t="s">
        <v>106</v>
      </c>
      <c r="F10" s="45">
        <v>1</v>
      </c>
      <c r="G10" s="110"/>
      <c r="H10" s="48">
        <f>G10*0.21</f>
        <v>0</v>
      </c>
      <c r="I10" s="30"/>
      <c r="J10" s="14"/>
    </row>
    <row r="11" spans="1:10" ht="49.8" customHeight="1" x14ac:dyDescent="0.3">
      <c r="B11" s="33"/>
      <c r="C11" s="34"/>
      <c r="D11" s="111" t="s">
        <v>107</v>
      </c>
      <c r="E11" s="111"/>
      <c r="F11" s="111"/>
      <c r="G11" s="111"/>
      <c r="J11" s="14"/>
    </row>
    <row r="12" spans="1:10" x14ac:dyDescent="0.3">
      <c r="A12" s="30">
        <v>2</v>
      </c>
      <c r="B12" s="30"/>
      <c r="C12" s="31"/>
      <c r="D12" s="32" t="s">
        <v>108</v>
      </c>
      <c r="E12" s="44" t="s">
        <v>106</v>
      </c>
      <c r="F12" s="45">
        <v>1</v>
      </c>
      <c r="G12" s="110"/>
      <c r="H12" s="48">
        <f>G12*0.21</f>
        <v>0</v>
      </c>
      <c r="I12" s="30"/>
      <c r="J12" s="14"/>
    </row>
    <row r="13" spans="1:10" ht="51.6" customHeight="1" x14ac:dyDescent="0.3">
      <c r="B13" s="33"/>
      <c r="C13" s="34"/>
      <c r="D13" s="111" t="s">
        <v>109</v>
      </c>
      <c r="E13" s="111"/>
      <c r="F13" s="111"/>
      <c r="G13" s="111"/>
      <c r="J13" s="14"/>
    </row>
    <row r="14" spans="1:10" x14ac:dyDescent="0.3">
      <c r="A14" s="30">
        <v>3</v>
      </c>
      <c r="B14" s="30"/>
      <c r="C14" s="31"/>
      <c r="D14" s="32" t="s">
        <v>110</v>
      </c>
      <c r="E14" s="44" t="s">
        <v>106</v>
      </c>
      <c r="F14" s="45">
        <v>1</v>
      </c>
      <c r="G14" s="110"/>
      <c r="H14" s="48">
        <f>G14*0.21</f>
        <v>0</v>
      </c>
      <c r="I14" s="30"/>
      <c r="J14" s="14"/>
    </row>
    <row r="15" spans="1:10" ht="49.8" customHeight="1" x14ac:dyDescent="0.3">
      <c r="B15" s="33"/>
      <c r="C15" s="34"/>
      <c r="D15" s="111" t="s">
        <v>111</v>
      </c>
      <c r="E15" s="111"/>
      <c r="F15" s="111"/>
      <c r="G15" s="111"/>
      <c r="J15" s="14"/>
    </row>
    <row r="16" spans="1:10" x14ac:dyDescent="0.3">
      <c r="C16" s="13"/>
      <c r="J16" s="14"/>
    </row>
    <row r="17" spans="1:10" s="12" customFormat="1" x14ac:dyDescent="0.3">
      <c r="A17" s="28" t="s">
        <v>112</v>
      </c>
      <c r="B17" s="28"/>
      <c r="C17" s="29"/>
      <c r="D17" s="28" t="s">
        <v>113</v>
      </c>
      <c r="E17" s="28"/>
      <c r="F17" s="28"/>
      <c r="G17" s="28"/>
      <c r="H17" s="28"/>
      <c r="J17" s="39"/>
    </row>
    <row r="18" spans="1:10" x14ac:dyDescent="0.3">
      <c r="A18" s="30">
        <v>4</v>
      </c>
      <c r="B18" s="30"/>
      <c r="C18" s="31"/>
      <c r="D18" s="32" t="s">
        <v>114</v>
      </c>
      <c r="E18" s="44" t="s">
        <v>106</v>
      </c>
      <c r="F18" s="45">
        <v>1</v>
      </c>
      <c r="G18" s="110"/>
      <c r="H18" s="48">
        <f>G18*0.21</f>
        <v>0</v>
      </c>
      <c r="I18" s="30"/>
      <c r="J18" s="14"/>
    </row>
    <row r="19" spans="1:10" ht="49.8" customHeight="1" x14ac:dyDescent="0.3">
      <c r="B19" s="33"/>
      <c r="C19" s="34"/>
      <c r="D19" s="111" t="s">
        <v>115</v>
      </c>
      <c r="E19" s="111"/>
      <c r="F19" s="111"/>
      <c r="G19" s="111"/>
      <c r="J19" s="14"/>
    </row>
    <row r="21" spans="1:10" ht="22.8" customHeight="1" x14ac:dyDescent="0.3">
      <c r="A21" s="112"/>
      <c r="B21" s="112"/>
      <c r="C21" s="113"/>
      <c r="D21" s="112" t="s">
        <v>116</v>
      </c>
      <c r="E21" s="114">
        <f>SUM(G18,G14,G12,G10)</f>
        <v>0</v>
      </c>
      <c r="F21" s="115"/>
      <c r="G21" s="116"/>
      <c r="H21" s="117">
        <f>SUM(H18,H14,H12,H10)</f>
        <v>0</v>
      </c>
      <c r="I21" s="30"/>
      <c r="J21" s="14"/>
    </row>
  </sheetData>
  <mergeCells count="5">
    <mergeCell ref="D11:G11"/>
    <mergeCell ref="D13:G13"/>
    <mergeCell ref="D15:G15"/>
    <mergeCell ref="D19:G19"/>
    <mergeCell ref="E21:G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D_VV_polozkovy soupis</vt:lpstr>
      <vt:lpstr>VV_SU_sadove upravy</vt:lpstr>
      <vt:lpstr>VV_rozvojova pece</vt:lpstr>
      <vt:lpstr>VN_vedlejsi naklady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Zejbrdlichova</dc:creator>
  <cp:lastModifiedBy>Jitka Zejbrdlichova</cp:lastModifiedBy>
  <dcterms:created xsi:type="dcterms:W3CDTF">2025-03-04T22:14:29Z</dcterms:created>
  <dcterms:modified xsi:type="dcterms:W3CDTF">2025-03-04T22:25:39Z</dcterms:modified>
</cp:coreProperties>
</file>