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VYBEROVE RIZENI dle 134_2016 Sb\2026_Staveb.upravy telocvicny ZS - uzavrena vyzva\VR  a PD bl\PD provadeci\"/>
    </mc:Choice>
  </mc:AlternateContent>
  <xr:revisionPtr revIDLastSave="0" documentId="8_{CB99A490-F32E-4ED8-B886-453B81CCA0BD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Stavební rozpočet" sheetId="1" r:id="rId1"/>
    <sheet name="Stavební rozpočet - součet" sheetId="2" r:id="rId2"/>
    <sheet name="Krycí list rozpočtu" sheetId="3" r:id="rId3"/>
    <sheet name="VORN" sheetId="4" state="hidden" r:id="rId4"/>
  </sheets>
  <definedNames>
    <definedName name="vorn_sum">VORN!$I$37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4" l="1"/>
  <c r="I37" i="4" s="1"/>
  <c r="I24" i="3" s="1"/>
  <c r="I27" i="4"/>
  <c r="I26" i="4"/>
  <c r="I18" i="3" s="1"/>
  <c r="I25" i="4"/>
  <c r="I24" i="4"/>
  <c r="I23" i="4"/>
  <c r="I22" i="4"/>
  <c r="I28" i="4" s="1"/>
  <c r="I18" i="4"/>
  <c r="F17" i="3" s="1"/>
  <c r="I17" i="4"/>
  <c r="I16" i="4"/>
  <c r="I15" i="4"/>
  <c r="I19" i="4" s="1"/>
  <c r="F30" i="4" s="1"/>
  <c r="I10" i="4"/>
  <c r="F10" i="4"/>
  <c r="C10" i="4"/>
  <c r="F8" i="4"/>
  <c r="C8" i="4"/>
  <c r="F6" i="4"/>
  <c r="C6" i="4"/>
  <c r="F4" i="4"/>
  <c r="C4" i="4"/>
  <c r="F2" i="4"/>
  <c r="C2" i="4"/>
  <c r="I19" i="3"/>
  <c r="F16" i="3"/>
  <c r="F15" i="3"/>
  <c r="F22" i="3" s="1"/>
  <c r="F14" i="3"/>
  <c r="C10" i="3"/>
  <c r="C8" i="3"/>
  <c r="F6" i="3"/>
  <c r="C6" i="3"/>
  <c r="F4" i="3"/>
  <c r="C4" i="3"/>
  <c r="F2" i="3"/>
  <c r="C2" i="3"/>
  <c r="G6" i="2"/>
  <c r="C6" i="2"/>
  <c r="G4" i="2"/>
  <c r="C4" i="2"/>
  <c r="G2" i="2"/>
  <c r="C2" i="2"/>
  <c r="BW142" i="1"/>
  <c r="BJ142" i="1"/>
  <c r="BD142" i="1"/>
  <c r="AP142" i="1"/>
  <c r="BI142" i="1" s="1"/>
  <c r="AE142" i="1" s="1"/>
  <c r="AO142" i="1"/>
  <c r="BH142" i="1" s="1"/>
  <c r="AD142" i="1" s="1"/>
  <c r="AK142" i="1"/>
  <c r="AJ142" i="1"/>
  <c r="AH142" i="1"/>
  <c r="AG142" i="1"/>
  <c r="AF142" i="1"/>
  <c r="AC142" i="1"/>
  <c r="AB142" i="1"/>
  <c r="Z142" i="1"/>
  <c r="P142" i="1"/>
  <c r="BF142" i="1" s="1"/>
  <c r="L142" i="1"/>
  <c r="AL142" i="1" s="1"/>
  <c r="BW140" i="1"/>
  <c r="BJ140" i="1"/>
  <c r="BD140" i="1"/>
  <c r="AP140" i="1"/>
  <c r="BI140" i="1" s="1"/>
  <c r="AE140" i="1" s="1"/>
  <c r="AO140" i="1"/>
  <c r="AK140" i="1"/>
  <c r="AJ140" i="1"/>
  <c r="AH140" i="1"/>
  <c r="AG140" i="1"/>
  <c r="AF140" i="1"/>
  <c r="AC140" i="1"/>
  <c r="AB140" i="1"/>
  <c r="Z140" i="1"/>
  <c r="P140" i="1"/>
  <c r="BF140" i="1" s="1"/>
  <c r="L140" i="1"/>
  <c r="AL140" i="1" s="1"/>
  <c r="BW137" i="1"/>
  <c r="BJ137" i="1"/>
  <c r="BD137" i="1"/>
  <c r="AP137" i="1"/>
  <c r="AO137" i="1"/>
  <c r="AW137" i="1" s="1"/>
  <c r="AK137" i="1"/>
  <c r="AJ137" i="1"/>
  <c r="AH137" i="1"/>
  <c r="AG137" i="1"/>
  <c r="AF137" i="1"/>
  <c r="AC137" i="1"/>
  <c r="AB137" i="1"/>
  <c r="Z137" i="1"/>
  <c r="P137" i="1"/>
  <c r="BF137" i="1" s="1"/>
  <c r="L137" i="1"/>
  <c r="BW134" i="1"/>
  <c r="BJ134" i="1"/>
  <c r="BD134" i="1"/>
  <c r="AP134" i="1"/>
  <c r="BI134" i="1" s="1"/>
  <c r="AE134" i="1" s="1"/>
  <c r="AO134" i="1"/>
  <c r="BH134" i="1" s="1"/>
  <c r="AD134" i="1" s="1"/>
  <c r="AK134" i="1"/>
  <c r="AJ134" i="1"/>
  <c r="AH134" i="1"/>
  <c r="AG134" i="1"/>
  <c r="AF134" i="1"/>
  <c r="AC134" i="1"/>
  <c r="AB134" i="1"/>
  <c r="Z134" i="1"/>
  <c r="P134" i="1"/>
  <c r="BF134" i="1" s="1"/>
  <c r="L134" i="1"/>
  <c r="AL134" i="1" s="1"/>
  <c r="BW131" i="1"/>
  <c r="BJ131" i="1"/>
  <c r="BD131" i="1"/>
  <c r="AW131" i="1"/>
  <c r="AP131" i="1"/>
  <c r="AX131" i="1" s="1"/>
  <c r="AO131" i="1"/>
  <c r="J131" i="1" s="1"/>
  <c r="AK131" i="1"/>
  <c r="AJ131" i="1"/>
  <c r="AH131" i="1"/>
  <c r="AG131" i="1"/>
  <c r="AF131" i="1"/>
  <c r="AC131" i="1"/>
  <c r="AB131" i="1"/>
  <c r="Z131" i="1"/>
  <c r="P131" i="1"/>
  <c r="BF131" i="1" s="1"/>
  <c r="L131" i="1"/>
  <c r="AL131" i="1" s="1"/>
  <c r="BW128" i="1"/>
  <c r="BJ128" i="1"/>
  <c r="BD128" i="1"/>
  <c r="AP128" i="1"/>
  <c r="BI128" i="1" s="1"/>
  <c r="AE128" i="1" s="1"/>
  <c r="AO128" i="1"/>
  <c r="AW128" i="1" s="1"/>
  <c r="AK128" i="1"/>
  <c r="AJ128" i="1"/>
  <c r="AH128" i="1"/>
  <c r="AG128" i="1"/>
  <c r="AF128" i="1"/>
  <c r="AC128" i="1"/>
  <c r="AB128" i="1"/>
  <c r="Z128" i="1"/>
  <c r="P128" i="1"/>
  <c r="BF128" i="1" s="1"/>
  <c r="L128" i="1"/>
  <c r="BW126" i="1"/>
  <c r="BJ126" i="1"/>
  <c r="BD126" i="1"/>
  <c r="AP126" i="1"/>
  <c r="BI126" i="1" s="1"/>
  <c r="AE126" i="1" s="1"/>
  <c r="AO126" i="1"/>
  <c r="BH126" i="1" s="1"/>
  <c r="AD126" i="1" s="1"/>
  <c r="AK126" i="1"/>
  <c r="AJ126" i="1"/>
  <c r="AH126" i="1"/>
  <c r="AG126" i="1"/>
  <c r="AF126" i="1"/>
  <c r="AC126" i="1"/>
  <c r="AB126" i="1"/>
  <c r="Z126" i="1"/>
  <c r="P126" i="1"/>
  <c r="BF126" i="1" s="1"/>
  <c r="L126" i="1"/>
  <c r="AL126" i="1" s="1"/>
  <c r="BW124" i="1"/>
  <c r="BJ124" i="1"/>
  <c r="BD124" i="1"/>
  <c r="AP124" i="1"/>
  <c r="AX124" i="1" s="1"/>
  <c r="AO124" i="1"/>
  <c r="J124" i="1" s="1"/>
  <c r="AK124" i="1"/>
  <c r="AJ124" i="1"/>
  <c r="AH124" i="1"/>
  <c r="AG124" i="1"/>
  <c r="AF124" i="1"/>
  <c r="AC124" i="1"/>
  <c r="AB124" i="1"/>
  <c r="Z124" i="1"/>
  <c r="P124" i="1"/>
  <c r="BF124" i="1" s="1"/>
  <c r="L124" i="1"/>
  <c r="AL124" i="1" s="1"/>
  <c r="K124" i="1"/>
  <c r="BW123" i="1"/>
  <c r="BJ123" i="1"/>
  <c r="BD123" i="1"/>
  <c r="AP123" i="1"/>
  <c r="BI123" i="1" s="1"/>
  <c r="AE123" i="1" s="1"/>
  <c r="AO123" i="1"/>
  <c r="AK123" i="1"/>
  <c r="AJ123" i="1"/>
  <c r="AH123" i="1"/>
  <c r="AG123" i="1"/>
  <c r="AF123" i="1"/>
  <c r="AC123" i="1"/>
  <c r="AB123" i="1"/>
  <c r="Z123" i="1"/>
  <c r="P123" i="1"/>
  <c r="BF123" i="1" s="1"/>
  <c r="L123" i="1"/>
  <c r="K123" i="1"/>
  <c r="BW121" i="1"/>
  <c r="BJ121" i="1"/>
  <c r="BD121" i="1"/>
  <c r="AP121" i="1"/>
  <c r="BI121" i="1" s="1"/>
  <c r="AE121" i="1" s="1"/>
  <c r="AO121" i="1"/>
  <c r="BH121" i="1" s="1"/>
  <c r="AD121" i="1" s="1"/>
  <c r="AK121" i="1"/>
  <c r="AJ121" i="1"/>
  <c r="AH121" i="1"/>
  <c r="AG121" i="1"/>
  <c r="AF121" i="1"/>
  <c r="AC121" i="1"/>
  <c r="AB121" i="1"/>
  <c r="Z121" i="1"/>
  <c r="P121" i="1"/>
  <c r="BF121" i="1" s="1"/>
  <c r="L121" i="1"/>
  <c r="AL121" i="1" s="1"/>
  <c r="K121" i="1"/>
  <c r="BW120" i="1"/>
  <c r="BJ120" i="1"/>
  <c r="BD120" i="1"/>
  <c r="AP120" i="1"/>
  <c r="AX120" i="1" s="1"/>
  <c r="AO120" i="1"/>
  <c r="AW120" i="1" s="1"/>
  <c r="AK120" i="1"/>
  <c r="AJ120" i="1"/>
  <c r="AH120" i="1"/>
  <c r="AG120" i="1"/>
  <c r="AF120" i="1"/>
  <c r="AC120" i="1"/>
  <c r="AB120" i="1"/>
  <c r="Z120" i="1"/>
  <c r="P120" i="1"/>
  <c r="BF120" i="1" s="1"/>
  <c r="L120" i="1"/>
  <c r="AL120" i="1" s="1"/>
  <c r="BW118" i="1"/>
  <c r="BJ118" i="1"/>
  <c r="BD118" i="1"/>
  <c r="AP118" i="1"/>
  <c r="BI118" i="1" s="1"/>
  <c r="AE118" i="1" s="1"/>
  <c r="AO118" i="1"/>
  <c r="BH118" i="1" s="1"/>
  <c r="AD118" i="1" s="1"/>
  <c r="AK118" i="1"/>
  <c r="AJ118" i="1"/>
  <c r="AH118" i="1"/>
  <c r="AG118" i="1"/>
  <c r="AF118" i="1"/>
  <c r="AC118" i="1"/>
  <c r="AB118" i="1"/>
  <c r="Z118" i="1"/>
  <c r="P118" i="1"/>
  <c r="BF118" i="1" s="1"/>
  <c r="L118" i="1"/>
  <c r="AL118" i="1" s="1"/>
  <c r="BW117" i="1"/>
  <c r="BJ117" i="1"/>
  <c r="BD117" i="1"/>
  <c r="AP117" i="1"/>
  <c r="AO117" i="1"/>
  <c r="BH117" i="1" s="1"/>
  <c r="AD117" i="1" s="1"/>
  <c r="AK117" i="1"/>
  <c r="AJ117" i="1"/>
  <c r="AH117" i="1"/>
  <c r="AG117" i="1"/>
  <c r="AF117" i="1"/>
  <c r="AC117" i="1"/>
  <c r="AB117" i="1"/>
  <c r="Z117" i="1"/>
  <c r="P117" i="1"/>
  <c r="L117" i="1"/>
  <c r="BW116" i="1"/>
  <c r="BJ116" i="1"/>
  <c r="BD116" i="1"/>
  <c r="AP116" i="1"/>
  <c r="BI116" i="1" s="1"/>
  <c r="AE116" i="1" s="1"/>
  <c r="AO116" i="1"/>
  <c r="AW116" i="1" s="1"/>
  <c r="AK116" i="1"/>
  <c r="AJ116" i="1"/>
  <c r="AH116" i="1"/>
  <c r="AG116" i="1"/>
  <c r="AF116" i="1"/>
  <c r="AC116" i="1"/>
  <c r="AB116" i="1"/>
  <c r="Z116" i="1"/>
  <c r="P116" i="1"/>
  <c r="BF116" i="1" s="1"/>
  <c r="L116" i="1"/>
  <c r="BW114" i="1"/>
  <c r="BJ114" i="1"/>
  <c r="BD114" i="1"/>
  <c r="AP114" i="1"/>
  <c r="BI114" i="1" s="1"/>
  <c r="AE114" i="1" s="1"/>
  <c r="AO114" i="1"/>
  <c r="BH114" i="1" s="1"/>
  <c r="AD114" i="1" s="1"/>
  <c r="AK114" i="1"/>
  <c r="AJ114" i="1"/>
  <c r="AH114" i="1"/>
  <c r="AG114" i="1"/>
  <c r="AF114" i="1"/>
  <c r="AC114" i="1"/>
  <c r="AB114" i="1"/>
  <c r="Z114" i="1"/>
  <c r="P114" i="1"/>
  <c r="BF114" i="1" s="1"/>
  <c r="L114" i="1"/>
  <c r="AL114" i="1" s="1"/>
  <c r="BW113" i="1"/>
  <c r="BJ113" i="1"/>
  <c r="BD113" i="1"/>
  <c r="AP113" i="1"/>
  <c r="AX113" i="1" s="1"/>
  <c r="AO113" i="1"/>
  <c r="AK113" i="1"/>
  <c r="AJ113" i="1"/>
  <c r="AH113" i="1"/>
  <c r="AG113" i="1"/>
  <c r="AF113" i="1"/>
  <c r="AC113" i="1"/>
  <c r="AB113" i="1"/>
  <c r="Z113" i="1"/>
  <c r="P113" i="1"/>
  <c r="BF113" i="1" s="1"/>
  <c r="L113" i="1"/>
  <c r="AL113" i="1" s="1"/>
  <c r="BW110" i="1"/>
  <c r="BJ110" i="1"/>
  <c r="BD110" i="1"/>
  <c r="AP110" i="1"/>
  <c r="BI110" i="1" s="1"/>
  <c r="AE110" i="1" s="1"/>
  <c r="AO110" i="1"/>
  <c r="BH110" i="1" s="1"/>
  <c r="AD110" i="1" s="1"/>
  <c r="AK110" i="1"/>
  <c r="AJ110" i="1"/>
  <c r="AH110" i="1"/>
  <c r="AG110" i="1"/>
  <c r="AF110" i="1"/>
  <c r="AC110" i="1"/>
  <c r="AB110" i="1"/>
  <c r="Z110" i="1"/>
  <c r="P110" i="1"/>
  <c r="BF110" i="1" s="1"/>
  <c r="L110" i="1"/>
  <c r="K110" i="1"/>
  <c r="BW107" i="1"/>
  <c r="BJ107" i="1"/>
  <c r="BD107" i="1"/>
  <c r="AP107" i="1"/>
  <c r="BI107" i="1" s="1"/>
  <c r="AE107" i="1" s="1"/>
  <c r="AO107" i="1"/>
  <c r="BH107" i="1" s="1"/>
  <c r="AD107" i="1" s="1"/>
  <c r="AK107" i="1"/>
  <c r="AJ107" i="1"/>
  <c r="AH107" i="1"/>
  <c r="AG107" i="1"/>
  <c r="AF107" i="1"/>
  <c r="AC107" i="1"/>
  <c r="AB107" i="1"/>
  <c r="Z107" i="1"/>
  <c r="P107" i="1"/>
  <c r="BF107" i="1" s="1"/>
  <c r="L107" i="1"/>
  <c r="AL107" i="1" s="1"/>
  <c r="BW105" i="1"/>
  <c r="BJ105" i="1"/>
  <c r="BD105" i="1"/>
  <c r="AP105" i="1"/>
  <c r="AX105" i="1" s="1"/>
  <c r="AO105" i="1"/>
  <c r="J105" i="1" s="1"/>
  <c r="AK105" i="1"/>
  <c r="AJ105" i="1"/>
  <c r="AH105" i="1"/>
  <c r="AG105" i="1"/>
  <c r="AF105" i="1"/>
  <c r="AC105" i="1"/>
  <c r="AB105" i="1"/>
  <c r="Z105" i="1"/>
  <c r="P105" i="1"/>
  <c r="BF105" i="1" s="1"/>
  <c r="L105" i="1"/>
  <c r="AL105" i="1" s="1"/>
  <c r="BW103" i="1"/>
  <c r="BJ103" i="1"/>
  <c r="BD103" i="1"/>
  <c r="AP103" i="1"/>
  <c r="BI103" i="1" s="1"/>
  <c r="AE103" i="1" s="1"/>
  <c r="AO103" i="1"/>
  <c r="BH103" i="1" s="1"/>
  <c r="AD103" i="1" s="1"/>
  <c r="AK103" i="1"/>
  <c r="AJ103" i="1"/>
  <c r="AH103" i="1"/>
  <c r="AG103" i="1"/>
  <c r="AF103" i="1"/>
  <c r="AC103" i="1"/>
  <c r="AB103" i="1"/>
  <c r="Z103" i="1"/>
  <c r="P103" i="1"/>
  <c r="BF103" i="1" s="1"/>
  <c r="L103" i="1"/>
  <c r="M103" i="1" s="1"/>
  <c r="BW101" i="1"/>
  <c r="BJ101" i="1"/>
  <c r="BD101" i="1"/>
  <c r="AP101" i="1"/>
  <c r="BI101" i="1" s="1"/>
  <c r="AE101" i="1" s="1"/>
  <c r="AO101" i="1"/>
  <c r="BH101" i="1" s="1"/>
  <c r="AD101" i="1" s="1"/>
  <c r="AK101" i="1"/>
  <c r="AJ101" i="1"/>
  <c r="AH101" i="1"/>
  <c r="AG101" i="1"/>
  <c r="AF101" i="1"/>
  <c r="AC101" i="1"/>
  <c r="AB101" i="1"/>
  <c r="Z101" i="1"/>
  <c r="P101" i="1"/>
  <c r="BF101" i="1" s="1"/>
  <c r="L101" i="1"/>
  <c r="AL101" i="1" s="1"/>
  <c r="BW99" i="1"/>
  <c r="BJ99" i="1"/>
  <c r="BD99" i="1"/>
  <c r="AP99" i="1"/>
  <c r="AX99" i="1" s="1"/>
  <c r="AO99" i="1"/>
  <c r="AW99" i="1" s="1"/>
  <c r="AK99" i="1"/>
  <c r="AJ99" i="1"/>
  <c r="AH99" i="1"/>
  <c r="AG99" i="1"/>
  <c r="AF99" i="1"/>
  <c r="AC99" i="1"/>
  <c r="AB99" i="1"/>
  <c r="Z99" i="1"/>
  <c r="P99" i="1"/>
  <c r="BF99" i="1" s="1"/>
  <c r="L99" i="1"/>
  <c r="BW96" i="1"/>
  <c r="BJ96" i="1"/>
  <c r="BD96" i="1"/>
  <c r="AP96" i="1"/>
  <c r="BI96" i="1" s="1"/>
  <c r="AE96" i="1" s="1"/>
  <c r="AO96" i="1"/>
  <c r="BH96" i="1" s="1"/>
  <c r="AD96" i="1" s="1"/>
  <c r="AK96" i="1"/>
  <c r="AT95" i="1" s="1"/>
  <c r="AJ96" i="1"/>
  <c r="AS95" i="1" s="1"/>
  <c r="AH96" i="1"/>
  <c r="AG96" i="1"/>
  <c r="AF96" i="1"/>
  <c r="AC96" i="1"/>
  <c r="AB96" i="1"/>
  <c r="Z96" i="1"/>
  <c r="P96" i="1"/>
  <c r="BF96" i="1" s="1"/>
  <c r="L96" i="1"/>
  <c r="L95" i="1" s="1"/>
  <c r="F19" i="2" s="1"/>
  <c r="I19" i="2" s="1"/>
  <c r="K96" i="1"/>
  <c r="K95" i="1" s="1"/>
  <c r="E19" i="2" s="1"/>
  <c r="BW94" i="1"/>
  <c r="BJ94" i="1"/>
  <c r="BD94" i="1"/>
  <c r="AX94" i="1"/>
  <c r="AP94" i="1"/>
  <c r="BI94" i="1" s="1"/>
  <c r="AC94" i="1" s="1"/>
  <c r="AO94" i="1"/>
  <c r="BH94" i="1" s="1"/>
  <c r="AK94" i="1"/>
  <c r="AJ94" i="1"/>
  <c r="AH94" i="1"/>
  <c r="AG94" i="1"/>
  <c r="AF94" i="1"/>
  <c r="AE94" i="1"/>
  <c r="AD94" i="1"/>
  <c r="AB94" i="1"/>
  <c r="Z94" i="1"/>
  <c r="P94" i="1"/>
  <c r="BF94" i="1" s="1"/>
  <c r="L94" i="1"/>
  <c r="AL94" i="1" s="1"/>
  <c r="J94" i="1"/>
  <c r="BW91" i="1"/>
  <c r="BJ91" i="1"/>
  <c r="BD91" i="1"/>
  <c r="AP91" i="1"/>
  <c r="AX91" i="1" s="1"/>
  <c r="AO91" i="1"/>
  <c r="J91" i="1" s="1"/>
  <c r="AK91" i="1"/>
  <c r="AJ91" i="1"/>
  <c r="AH91" i="1"/>
  <c r="AG91" i="1"/>
  <c r="AF91" i="1"/>
  <c r="AE91" i="1"/>
  <c r="AD91" i="1"/>
  <c r="Z91" i="1"/>
  <c r="P91" i="1"/>
  <c r="BF91" i="1" s="1"/>
  <c r="L91" i="1"/>
  <c r="AL91" i="1" s="1"/>
  <c r="BW88" i="1"/>
  <c r="BJ88" i="1"/>
  <c r="BH88" i="1"/>
  <c r="AB88" i="1" s="1"/>
  <c r="BD88" i="1"/>
  <c r="AP88" i="1"/>
  <c r="BI88" i="1" s="1"/>
  <c r="AC88" i="1" s="1"/>
  <c r="AO88" i="1"/>
  <c r="AK88" i="1"/>
  <c r="AJ88" i="1"/>
  <c r="AH88" i="1"/>
  <c r="AG88" i="1"/>
  <c r="AF88" i="1"/>
  <c r="AE88" i="1"/>
  <c r="AD88" i="1"/>
  <c r="Z88" i="1"/>
  <c r="P88" i="1"/>
  <c r="BF88" i="1" s="1"/>
  <c r="L88" i="1"/>
  <c r="BW85" i="1"/>
  <c r="M85" i="1" s="1"/>
  <c r="BJ85" i="1"/>
  <c r="BD85" i="1"/>
  <c r="AP85" i="1"/>
  <c r="BI85" i="1" s="1"/>
  <c r="AC85" i="1" s="1"/>
  <c r="AO85" i="1"/>
  <c r="BH85" i="1" s="1"/>
  <c r="AB85" i="1" s="1"/>
  <c r="AK85" i="1"/>
  <c r="AJ85" i="1"/>
  <c r="AH85" i="1"/>
  <c r="AG85" i="1"/>
  <c r="AF85" i="1"/>
  <c r="AE85" i="1"/>
  <c r="AD85" i="1"/>
  <c r="Z85" i="1"/>
  <c r="P85" i="1"/>
  <c r="BF85" i="1" s="1"/>
  <c r="L85" i="1"/>
  <c r="AL85" i="1" s="1"/>
  <c r="K85" i="1"/>
  <c r="BW83" i="1"/>
  <c r="BJ83" i="1"/>
  <c r="BD83" i="1"/>
  <c r="AP83" i="1"/>
  <c r="AX83" i="1" s="1"/>
  <c r="AO83" i="1"/>
  <c r="AW83" i="1" s="1"/>
  <c r="AK83" i="1"/>
  <c r="AJ83" i="1"/>
  <c r="AH83" i="1"/>
  <c r="AG83" i="1"/>
  <c r="AF83" i="1"/>
  <c r="AE83" i="1"/>
  <c r="AD83" i="1"/>
  <c r="Z83" i="1"/>
  <c r="P83" i="1"/>
  <c r="BF83" i="1" s="1"/>
  <c r="L83" i="1"/>
  <c r="AL83" i="1" s="1"/>
  <c r="BW82" i="1"/>
  <c r="BJ82" i="1"/>
  <c r="BD82" i="1"/>
  <c r="AP82" i="1"/>
  <c r="BI82" i="1" s="1"/>
  <c r="AO82" i="1"/>
  <c r="BH82" i="1" s="1"/>
  <c r="AB82" i="1" s="1"/>
  <c r="AK82" i="1"/>
  <c r="AJ82" i="1"/>
  <c r="AH82" i="1"/>
  <c r="AG82" i="1"/>
  <c r="AF82" i="1"/>
  <c r="AE82" i="1"/>
  <c r="AD82" i="1"/>
  <c r="AC82" i="1"/>
  <c r="Z82" i="1"/>
  <c r="P82" i="1"/>
  <c r="BF82" i="1" s="1"/>
  <c r="L82" i="1"/>
  <c r="AL82" i="1" s="1"/>
  <c r="K82" i="1"/>
  <c r="BW80" i="1"/>
  <c r="BJ80" i="1"/>
  <c r="BD80" i="1"/>
  <c r="AP80" i="1"/>
  <c r="K80" i="1" s="1"/>
  <c r="AO80" i="1"/>
  <c r="BH80" i="1" s="1"/>
  <c r="AB80" i="1" s="1"/>
  <c r="AK80" i="1"/>
  <c r="AJ80" i="1"/>
  <c r="AH80" i="1"/>
  <c r="AG80" i="1"/>
  <c r="AF80" i="1"/>
  <c r="AE80" i="1"/>
  <c r="AD80" i="1"/>
  <c r="Z80" i="1"/>
  <c r="P80" i="1"/>
  <c r="L80" i="1"/>
  <c r="BW79" i="1"/>
  <c r="BJ79" i="1"/>
  <c r="BD79" i="1"/>
  <c r="AP79" i="1"/>
  <c r="AO79" i="1"/>
  <c r="AW79" i="1" s="1"/>
  <c r="AK79" i="1"/>
  <c r="AJ79" i="1"/>
  <c r="AH79" i="1"/>
  <c r="AG79" i="1"/>
  <c r="AF79" i="1"/>
  <c r="AE79" i="1"/>
  <c r="AD79" i="1"/>
  <c r="Z79" i="1"/>
  <c r="P79" i="1"/>
  <c r="BF79" i="1" s="1"/>
  <c r="L79" i="1"/>
  <c r="BW78" i="1"/>
  <c r="BJ78" i="1"/>
  <c r="BD78" i="1"/>
  <c r="AX78" i="1"/>
  <c r="AW78" i="1"/>
  <c r="AP78" i="1"/>
  <c r="BI78" i="1" s="1"/>
  <c r="AC78" i="1" s="1"/>
  <c r="AO78" i="1"/>
  <c r="BH78" i="1" s="1"/>
  <c r="AK78" i="1"/>
  <c r="AJ78" i="1"/>
  <c r="AH78" i="1"/>
  <c r="AG78" i="1"/>
  <c r="AF78" i="1"/>
  <c r="AE78" i="1"/>
  <c r="AD78" i="1"/>
  <c r="AB78" i="1"/>
  <c r="Z78" i="1"/>
  <c r="P78" i="1"/>
  <c r="BF78" i="1" s="1"/>
  <c r="L78" i="1"/>
  <c r="J78" i="1"/>
  <c r="BW75" i="1"/>
  <c r="BJ75" i="1"/>
  <c r="BD75" i="1"/>
  <c r="AP75" i="1"/>
  <c r="K75" i="1" s="1"/>
  <c r="AO75" i="1"/>
  <c r="BH75" i="1" s="1"/>
  <c r="AF75" i="1" s="1"/>
  <c r="AK75" i="1"/>
  <c r="AJ75" i="1"/>
  <c r="AH75" i="1"/>
  <c r="AE75" i="1"/>
  <c r="AD75" i="1"/>
  <c r="AC75" i="1"/>
  <c r="AB75" i="1"/>
  <c r="Z75" i="1"/>
  <c r="P75" i="1"/>
  <c r="BF75" i="1" s="1"/>
  <c r="L75" i="1"/>
  <c r="BW73" i="1"/>
  <c r="BJ73" i="1"/>
  <c r="BD73" i="1"/>
  <c r="AP73" i="1"/>
  <c r="AX73" i="1" s="1"/>
  <c r="AO73" i="1"/>
  <c r="AW73" i="1" s="1"/>
  <c r="AK73" i="1"/>
  <c r="AJ73" i="1"/>
  <c r="AH73" i="1"/>
  <c r="AG73" i="1"/>
  <c r="AF73" i="1"/>
  <c r="AE73" i="1"/>
  <c r="AD73" i="1"/>
  <c r="Z73" i="1"/>
  <c r="P73" i="1"/>
  <c r="BF73" i="1" s="1"/>
  <c r="L73" i="1"/>
  <c r="BW71" i="1"/>
  <c r="BJ71" i="1"/>
  <c r="BD71" i="1"/>
  <c r="AP71" i="1"/>
  <c r="BI71" i="1" s="1"/>
  <c r="AG71" i="1" s="1"/>
  <c r="AO71" i="1"/>
  <c r="BH71" i="1" s="1"/>
  <c r="AF71" i="1" s="1"/>
  <c r="AK71" i="1"/>
  <c r="AJ71" i="1"/>
  <c r="AH71" i="1"/>
  <c r="AE71" i="1"/>
  <c r="AD71" i="1"/>
  <c r="AC71" i="1"/>
  <c r="AB71" i="1"/>
  <c r="Z71" i="1"/>
  <c r="P71" i="1"/>
  <c r="BF71" i="1" s="1"/>
  <c r="L71" i="1"/>
  <c r="AL71" i="1" s="1"/>
  <c r="J71" i="1"/>
  <c r="BW69" i="1"/>
  <c r="BJ69" i="1"/>
  <c r="BD69" i="1"/>
  <c r="AP69" i="1"/>
  <c r="AO69" i="1"/>
  <c r="J69" i="1" s="1"/>
  <c r="AK69" i="1"/>
  <c r="AJ69" i="1"/>
  <c r="AH69" i="1"/>
  <c r="AG69" i="1"/>
  <c r="AF69" i="1"/>
  <c r="AE69" i="1"/>
  <c r="AD69" i="1"/>
  <c r="Z69" i="1"/>
  <c r="P69" i="1"/>
  <c r="BF69" i="1" s="1"/>
  <c r="L69" i="1"/>
  <c r="AL69" i="1" s="1"/>
  <c r="BW68" i="1"/>
  <c r="BJ68" i="1"/>
  <c r="BD68" i="1"/>
  <c r="AP68" i="1"/>
  <c r="BI68" i="1" s="1"/>
  <c r="AG68" i="1" s="1"/>
  <c r="AO68" i="1"/>
  <c r="AW68" i="1" s="1"/>
  <c r="AK68" i="1"/>
  <c r="AJ68" i="1"/>
  <c r="AH68" i="1"/>
  <c r="AE68" i="1"/>
  <c r="AD68" i="1"/>
  <c r="AC68" i="1"/>
  <c r="AB68" i="1"/>
  <c r="Z68" i="1"/>
  <c r="P68" i="1"/>
  <c r="BF68" i="1" s="1"/>
  <c r="L68" i="1"/>
  <c r="K68" i="1"/>
  <c r="BW66" i="1"/>
  <c r="BJ66" i="1"/>
  <c r="BD66" i="1"/>
  <c r="AP66" i="1"/>
  <c r="BI66" i="1" s="1"/>
  <c r="AG66" i="1" s="1"/>
  <c r="AO66" i="1"/>
  <c r="AW66" i="1" s="1"/>
  <c r="AK66" i="1"/>
  <c r="AJ66" i="1"/>
  <c r="AH66" i="1"/>
  <c r="AE66" i="1"/>
  <c r="AD66" i="1"/>
  <c r="AC66" i="1"/>
  <c r="AB66" i="1"/>
  <c r="Z66" i="1"/>
  <c r="P66" i="1"/>
  <c r="BF66" i="1" s="1"/>
  <c r="L66" i="1"/>
  <c r="M66" i="1" s="1"/>
  <c r="K66" i="1"/>
  <c r="BW64" i="1"/>
  <c r="BJ64" i="1"/>
  <c r="BD64" i="1"/>
  <c r="AP64" i="1"/>
  <c r="BI64" i="1" s="1"/>
  <c r="AG64" i="1" s="1"/>
  <c r="AO64" i="1"/>
  <c r="BH64" i="1" s="1"/>
  <c r="AF64" i="1" s="1"/>
  <c r="AK64" i="1"/>
  <c r="AJ64" i="1"/>
  <c r="AH64" i="1"/>
  <c r="AE64" i="1"/>
  <c r="AD64" i="1"/>
  <c r="AC64" i="1"/>
  <c r="AB64" i="1"/>
  <c r="Z64" i="1"/>
  <c r="P64" i="1"/>
  <c r="BF64" i="1" s="1"/>
  <c r="L64" i="1"/>
  <c r="AL64" i="1" s="1"/>
  <c r="BW62" i="1"/>
  <c r="BJ62" i="1"/>
  <c r="BD62" i="1"/>
  <c r="AP62" i="1"/>
  <c r="AO62" i="1"/>
  <c r="BH62" i="1" s="1"/>
  <c r="AF62" i="1" s="1"/>
  <c r="AK62" i="1"/>
  <c r="AJ62" i="1"/>
  <c r="AH62" i="1"/>
  <c r="AE62" i="1"/>
  <c r="AD62" i="1"/>
  <c r="AC62" i="1"/>
  <c r="AB62" i="1"/>
  <c r="Z62" i="1"/>
  <c r="P62" i="1"/>
  <c r="BF62" i="1" s="1"/>
  <c r="L62" i="1"/>
  <c r="BW60" i="1"/>
  <c r="BJ60" i="1"/>
  <c r="Z60" i="1" s="1"/>
  <c r="BD60" i="1"/>
  <c r="AP60" i="1"/>
  <c r="AX60" i="1" s="1"/>
  <c r="AO60" i="1"/>
  <c r="AW60" i="1" s="1"/>
  <c r="AK60" i="1"/>
  <c r="AT59" i="1" s="1"/>
  <c r="AJ60" i="1"/>
  <c r="AS59" i="1" s="1"/>
  <c r="AH60" i="1"/>
  <c r="AG60" i="1"/>
  <c r="AF60" i="1"/>
  <c r="AE60" i="1"/>
  <c r="AD60" i="1"/>
  <c r="AC60" i="1"/>
  <c r="AB60" i="1"/>
  <c r="P60" i="1"/>
  <c r="P59" i="1" s="1"/>
  <c r="G16" i="2" s="1"/>
  <c r="L60" i="1"/>
  <c r="L59" i="1" s="1"/>
  <c r="F16" i="2" s="1"/>
  <c r="I16" i="2" s="1"/>
  <c r="BW58" i="1"/>
  <c r="BJ58" i="1"/>
  <c r="Z58" i="1" s="1"/>
  <c r="BD58" i="1"/>
  <c r="AP58" i="1"/>
  <c r="BI58" i="1" s="1"/>
  <c r="AO58" i="1"/>
  <c r="AW58" i="1" s="1"/>
  <c r="AK58" i="1"/>
  <c r="AJ58" i="1"/>
  <c r="AH58" i="1"/>
  <c r="AG58" i="1"/>
  <c r="AF58" i="1"/>
  <c r="AE58" i="1"/>
  <c r="AD58" i="1"/>
  <c r="AC58" i="1"/>
  <c r="AB58" i="1"/>
  <c r="P58" i="1"/>
  <c r="BF58" i="1" s="1"/>
  <c r="L58" i="1"/>
  <c r="AL58" i="1" s="1"/>
  <c r="K58" i="1"/>
  <c r="BW57" i="1"/>
  <c r="BJ57" i="1"/>
  <c r="Z57" i="1" s="1"/>
  <c r="BD57" i="1"/>
  <c r="AP57" i="1"/>
  <c r="BI57" i="1" s="1"/>
  <c r="AO57" i="1"/>
  <c r="BH57" i="1" s="1"/>
  <c r="AK57" i="1"/>
  <c r="AJ57" i="1"/>
  <c r="AH57" i="1"/>
  <c r="AG57" i="1"/>
  <c r="AF57" i="1"/>
  <c r="AE57" i="1"/>
  <c r="AD57" i="1"/>
  <c r="AC57" i="1"/>
  <c r="AB57" i="1"/>
  <c r="P57" i="1"/>
  <c r="BF57" i="1" s="1"/>
  <c r="L57" i="1"/>
  <c r="AL57" i="1" s="1"/>
  <c r="BW55" i="1"/>
  <c r="BJ55" i="1"/>
  <c r="BD55" i="1"/>
  <c r="AP55" i="1"/>
  <c r="AX55" i="1" s="1"/>
  <c r="AO55" i="1"/>
  <c r="AW55" i="1" s="1"/>
  <c r="AK55" i="1"/>
  <c r="AJ55" i="1"/>
  <c r="AH55" i="1"/>
  <c r="AG55" i="1"/>
  <c r="AF55" i="1"/>
  <c r="AE55" i="1"/>
  <c r="AD55" i="1"/>
  <c r="Z55" i="1"/>
  <c r="P55" i="1"/>
  <c r="BF55" i="1" s="1"/>
  <c r="L55" i="1"/>
  <c r="AL55" i="1" s="1"/>
  <c r="BW53" i="1"/>
  <c r="BJ53" i="1"/>
  <c r="BF53" i="1"/>
  <c r="BD53" i="1"/>
  <c r="AP53" i="1"/>
  <c r="BI53" i="1" s="1"/>
  <c r="AO53" i="1"/>
  <c r="BH53" i="1" s="1"/>
  <c r="AK53" i="1"/>
  <c r="AJ53" i="1"/>
  <c r="AH53" i="1"/>
  <c r="AG53" i="1"/>
  <c r="AF53" i="1"/>
  <c r="AE53" i="1"/>
  <c r="AD53" i="1"/>
  <c r="AC53" i="1"/>
  <c r="AB53" i="1"/>
  <c r="Z53" i="1"/>
  <c r="P53" i="1"/>
  <c r="L53" i="1"/>
  <c r="M53" i="1" s="1"/>
  <c r="BW51" i="1"/>
  <c r="BJ51" i="1"/>
  <c r="BD51" i="1"/>
  <c r="AP51" i="1"/>
  <c r="K51" i="1" s="1"/>
  <c r="AO51" i="1"/>
  <c r="BH51" i="1" s="1"/>
  <c r="AB51" i="1" s="1"/>
  <c r="AK51" i="1"/>
  <c r="AJ51" i="1"/>
  <c r="AH51" i="1"/>
  <c r="AG51" i="1"/>
  <c r="AF51" i="1"/>
  <c r="AE51" i="1"/>
  <c r="AD51" i="1"/>
  <c r="Z51" i="1"/>
  <c r="P51" i="1"/>
  <c r="BF51" i="1" s="1"/>
  <c r="L51" i="1"/>
  <c r="AL51" i="1" s="1"/>
  <c r="BW49" i="1"/>
  <c r="BJ49" i="1"/>
  <c r="BD49" i="1"/>
  <c r="AP49" i="1"/>
  <c r="BI49" i="1" s="1"/>
  <c r="AC49" i="1" s="1"/>
  <c r="AO49" i="1"/>
  <c r="AW49" i="1" s="1"/>
  <c r="AK49" i="1"/>
  <c r="AJ49" i="1"/>
  <c r="AH49" i="1"/>
  <c r="AG49" i="1"/>
  <c r="AF49" i="1"/>
  <c r="AE49" i="1"/>
  <c r="AD49" i="1"/>
  <c r="Z49" i="1"/>
  <c r="P49" i="1"/>
  <c r="BF49" i="1" s="1"/>
  <c r="L49" i="1"/>
  <c r="M49" i="1" s="1"/>
  <c r="BW47" i="1"/>
  <c r="BJ47" i="1"/>
  <c r="BD47" i="1"/>
  <c r="AX47" i="1"/>
  <c r="AP47" i="1"/>
  <c r="BI47" i="1" s="1"/>
  <c r="AG47" i="1" s="1"/>
  <c r="AO47" i="1"/>
  <c r="BH47" i="1" s="1"/>
  <c r="AF47" i="1" s="1"/>
  <c r="AK47" i="1"/>
  <c r="AJ47" i="1"/>
  <c r="AH47" i="1"/>
  <c r="AE47" i="1"/>
  <c r="AD47" i="1"/>
  <c r="AC47" i="1"/>
  <c r="AB47" i="1"/>
  <c r="Z47" i="1"/>
  <c r="P47" i="1"/>
  <c r="BF47" i="1" s="1"/>
  <c r="L47" i="1"/>
  <c r="AL47" i="1" s="1"/>
  <c r="K47" i="1"/>
  <c r="BW46" i="1"/>
  <c r="BJ46" i="1"/>
  <c r="BD46" i="1"/>
  <c r="AP46" i="1"/>
  <c r="AX46" i="1" s="1"/>
  <c r="AO46" i="1"/>
  <c r="J46" i="1" s="1"/>
  <c r="AK46" i="1"/>
  <c r="AJ46" i="1"/>
  <c r="AH46" i="1"/>
  <c r="AG46" i="1"/>
  <c r="AF46" i="1"/>
  <c r="AE46" i="1"/>
  <c r="AD46" i="1"/>
  <c r="Z46" i="1"/>
  <c r="P46" i="1"/>
  <c r="BF46" i="1" s="1"/>
  <c r="L46" i="1"/>
  <c r="BW45" i="1"/>
  <c r="BJ45" i="1"/>
  <c r="BD45" i="1"/>
  <c r="AP45" i="1"/>
  <c r="BI45" i="1" s="1"/>
  <c r="AC45" i="1" s="1"/>
  <c r="AO45" i="1"/>
  <c r="BH45" i="1" s="1"/>
  <c r="AB45" i="1" s="1"/>
  <c r="AK45" i="1"/>
  <c r="AJ45" i="1"/>
  <c r="AH45" i="1"/>
  <c r="AG45" i="1"/>
  <c r="AF45" i="1"/>
  <c r="AE45" i="1"/>
  <c r="AD45" i="1"/>
  <c r="Z45" i="1"/>
  <c r="P45" i="1"/>
  <c r="BF45" i="1" s="1"/>
  <c r="L45" i="1"/>
  <c r="BW44" i="1"/>
  <c r="BJ44" i="1"/>
  <c r="BD44" i="1"/>
  <c r="AP44" i="1"/>
  <c r="BI44" i="1" s="1"/>
  <c r="AC44" i="1" s="1"/>
  <c r="AO44" i="1"/>
  <c r="BH44" i="1" s="1"/>
  <c r="AB44" i="1" s="1"/>
  <c r="AK44" i="1"/>
  <c r="AJ44" i="1"/>
  <c r="AH44" i="1"/>
  <c r="AG44" i="1"/>
  <c r="AF44" i="1"/>
  <c r="AE44" i="1"/>
  <c r="AD44" i="1"/>
  <c r="Z44" i="1"/>
  <c r="P44" i="1"/>
  <c r="BF44" i="1" s="1"/>
  <c r="L44" i="1"/>
  <c r="J44" i="1"/>
  <c r="BW41" i="1"/>
  <c r="BJ41" i="1"/>
  <c r="BD41" i="1"/>
  <c r="AP41" i="1"/>
  <c r="AX41" i="1" s="1"/>
  <c r="AO41" i="1"/>
  <c r="J41" i="1" s="1"/>
  <c r="AK41" i="1"/>
  <c r="AJ41" i="1"/>
  <c r="AH41" i="1"/>
  <c r="AG41" i="1"/>
  <c r="AF41" i="1"/>
  <c r="AE41" i="1"/>
  <c r="AD41" i="1"/>
  <c r="Z41" i="1"/>
  <c r="P41" i="1"/>
  <c r="BF41" i="1" s="1"/>
  <c r="L41" i="1"/>
  <c r="K41" i="1"/>
  <c r="BW39" i="1"/>
  <c r="BJ39" i="1"/>
  <c r="BD39" i="1"/>
  <c r="AP39" i="1"/>
  <c r="BI39" i="1" s="1"/>
  <c r="AC39" i="1" s="1"/>
  <c r="AO39" i="1"/>
  <c r="AK39" i="1"/>
  <c r="AJ39" i="1"/>
  <c r="AH39" i="1"/>
  <c r="AG39" i="1"/>
  <c r="AF39" i="1"/>
  <c r="AE39" i="1"/>
  <c r="AD39" i="1"/>
  <c r="Z39" i="1"/>
  <c r="P39" i="1"/>
  <c r="BF39" i="1" s="1"/>
  <c r="L39" i="1"/>
  <c r="K39" i="1"/>
  <c r="BW37" i="1"/>
  <c r="BJ37" i="1"/>
  <c r="BD37" i="1"/>
  <c r="AP37" i="1"/>
  <c r="BI37" i="1" s="1"/>
  <c r="AC37" i="1" s="1"/>
  <c r="AO37" i="1"/>
  <c r="BH37" i="1" s="1"/>
  <c r="AB37" i="1" s="1"/>
  <c r="AK37" i="1"/>
  <c r="AJ37" i="1"/>
  <c r="AH37" i="1"/>
  <c r="AG37" i="1"/>
  <c r="AF37" i="1"/>
  <c r="AE37" i="1"/>
  <c r="AD37" i="1"/>
  <c r="Z37" i="1"/>
  <c r="P37" i="1"/>
  <c r="BF37" i="1" s="1"/>
  <c r="L37" i="1"/>
  <c r="AL37" i="1" s="1"/>
  <c r="BW35" i="1"/>
  <c r="BJ35" i="1"/>
  <c r="BD35" i="1"/>
  <c r="AP35" i="1"/>
  <c r="AX35" i="1" s="1"/>
  <c r="AO35" i="1"/>
  <c r="AW35" i="1" s="1"/>
  <c r="AK35" i="1"/>
  <c r="AJ35" i="1"/>
  <c r="AH35" i="1"/>
  <c r="AG35" i="1"/>
  <c r="AF35" i="1"/>
  <c r="AE35" i="1"/>
  <c r="AD35" i="1"/>
  <c r="Z35" i="1"/>
  <c r="P35" i="1"/>
  <c r="BF35" i="1" s="1"/>
  <c r="L35" i="1"/>
  <c r="K35" i="1"/>
  <c r="BW34" i="1"/>
  <c r="BJ34" i="1"/>
  <c r="BD34" i="1"/>
  <c r="AP34" i="1"/>
  <c r="BI34" i="1" s="1"/>
  <c r="AO34" i="1"/>
  <c r="BH34" i="1" s="1"/>
  <c r="AB34" i="1" s="1"/>
  <c r="AL34" i="1"/>
  <c r="AK34" i="1"/>
  <c r="AJ34" i="1"/>
  <c r="AH34" i="1"/>
  <c r="AG34" i="1"/>
  <c r="AF34" i="1"/>
  <c r="AE34" i="1"/>
  <c r="AD34" i="1"/>
  <c r="AC34" i="1"/>
  <c r="Z34" i="1"/>
  <c r="P34" i="1"/>
  <c r="BF34" i="1" s="1"/>
  <c r="L34" i="1"/>
  <c r="BW32" i="1"/>
  <c r="BJ32" i="1"/>
  <c r="BD32" i="1"/>
  <c r="AW32" i="1"/>
  <c r="AP32" i="1"/>
  <c r="K32" i="1" s="1"/>
  <c r="AO32" i="1"/>
  <c r="BH32" i="1" s="1"/>
  <c r="AB32" i="1" s="1"/>
  <c r="AK32" i="1"/>
  <c r="AJ32" i="1"/>
  <c r="AH32" i="1"/>
  <c r="AG32" i="1"/>
  <c r="AF32" i="1"/>
  <c r="AE32" i="1"/>
  <c r="AD32" i="1"/>
  <c r="Z32" i="1"/>
  <c r="P32" i="1"/>
  <c r="BF32" i="1" s="1"/>
  <c r="L32" i="1"/>
  <c r="AL32" i="1" s="1"/>
  <c r="BW31" i="1"/>
  <c r="BJ31" i="1"/>
  <c r="BI31" i="1"/>
  <c r="AC31" i="1" s="1"/>
  <c r="BD31" i="1"/>
  <c r="AP31" i="1"/>
  <c r="AO31" i="1"/>
  <c r="AW31" i="1" s="1"/>
  <c r="AK31" i="1"/>
  <c r="AJ31" i="1"/>
  <c r="AH31" i="1"/>
  <c r="AG31" i="1"/>
  <c r="AF31" i="1"/>
  <c r="AE31" i="1"/>
  <c r="AD31" i="1"/>
  <c r="Z31" i="1"/>
  <c r="P31" i="1"/>
  <c r="BF31" i="1" s="1"/>
  <c r="L31" i="1"/>
  <c r="M31" i="1" s="1"/>
  <c r="BW30" i="1"/>
  <c r="BJ30" i="1"/>
  <c r="BD30" i="1"/>
  <c r="AP30" i="1"/>
  <c r="BI30" i="1" s="1"/>
  <c r="AC30" i="1" s="1"/>
  <c r="AO30" i="1"/>
  <c r="BH30" i="1" s="1"/>
  <c r="AK30" i="1"/>
  <c r="AJ30" i="1"/>
  <c r="AH30" i="1"/>
  <c r="AG30" i="1"/>
  <c r="AF30" i="1"/>
  <c r="AE30" i="1"/>
  <c r="AD30" i="1"/>
  <c r="AB30" i="1"/>
  <c r="Z30" i="1"/>
  <c r="P30" i="1"/>
  <c r="BF30" i="1" s="1"/>
  <c r="L30" i="1"/>
  <c r="AL30" i="1" s="1"/>
  <c r="BW28" i="1"/>
  <c r="BJ28" i="1"/>
  <c r="BD28" i="1"/>
  <c r="AP28" i="1"/>
  <c r="AX28" i="1" s="1"/>
  <c r="AO28" i="1"/>
  <c r="J28" i="1" s="1"/>
  <c r="AK28" i="1"/>
  <c r="AJ28" i="1"/>
  <c r="AH28" i="1"/>
  <c r="AG28" i="1"/>
  <c r="AF28" i="1"/>
  <c r="AE28" i="1"/>
  <c r="AD28" i="1"/>
  <c r="Z28" i="1"/>
  <c r="P28" i="1"/>
  <c r="BF28" i="1" s="1"/>
  <c r="L28" i="1"/>
  <c r="BW26" i="1"/>
  <c r="BJ26" i="1"/>
  <c r="BD26" i="1"/>
  <c r="AP26" i="1"/>
  <c r="BI26" i="1" s="1"/>
  <c r="AC26" i="1" s="1"/>
  <c r="AO26" i="1"/>
  <c r="BH26" i="1" s="1"/>
  <c r="AB26" i="1" s="1"/>
  <c r="AK26" i="1"/>
  <c r="AJ26" i="1"/>
  <c r="AH26" i="1"/>
  <c r="AG26" i="1"/>
  <c r="AF26" i="1"/>
  <c r="AE26" i="1"/>
  <c r="AD26" i="1"/>
  <c r="Z26" i="1"/>
  <c r="P26" i="1"/>
  <c r="L26" i="1"/>
  <c r="M26" i="1" s="1"/>
  <c r="K26" i="1"/>
  <c r="BW23" i="1"/>
  <c r="BJ23" i="1"/>
  <c r="BD23" i="1"/>
  <c r="AP23" i="1"/>
  <c r="BI23" i="1" s="1"/>
  <c r="AC23" i="1" s="1"/>
  <c r="AO23" i="1"/>
  <c r="BH23" i="1" s="1"/>
  <c r="AB23" i="1" s="1"/>
  <c r="AK23" i="1"/>
  <c r="AJ23" i="1"/>
  <c r="AH23" i="1"/>
  <c r="AG23" i="1"/>
  <c r="AF23" i="1"/>
  <c r="AE23" i="1"/>
  <c r="AD23" i="1"/>
  <c r="Z23" i="1"/>
  <c r="P23" i="1"/>
  <c r="BF23" i="1" s="1"/>
  <c r="L23" i="1"/>
  <c r="AL23" i="1" s="1"/>
  <c r="K23" i="1"/>
  <c r="BW21" i="1"/>
  <c r="BJ21" i="1"/>
  <c r="BD21" i="1"/>
  <c r="AP21" i="1"/>
  <c r="AX21" i="1" s="1"/>
  <c r="AO21" i="1"/>
  <c r="J21" i="1" s="1"/>
  <c r="AK21" i="1"/>
  <c r="AJ21" i="1"/>
  <c r="AH21" i="1"/>
  <c r="AG21" i="1"/>
  <c r="AF21" i="1"/>
  <c r="AE21" i="1"/>
  <c r="AD21" i="1"/>
  <c r="Z21" i="1"/>
  <c r="P21" i="1"/>
  <c r="BF21" i="1" s="1"/>
  <c r="L21" i="1"/>
  <c r="BW18" i="1"/>
  <c r="BJ18" i="1"/>
  <c r="BD18" i="1"/>
  <c r="AP18" i="1"/>
  <c r="BI18" i="1" s="1"/>
  <c r="AC18" i="1" s="1"/>
  <c r="AO18" i="1"/>
  <c r="AW18" i="1" s="1"/>
  <c r="AK18" i="1"/>
  <c r="AT17" i="1" s="1"/>
  <c r="AJ18" i="1"/>
  <c r="AS17" i="1" s="1"/>
  <c r="AH18" i="1"/>
  <c r="AG18" i="1"/>
  <c r="AF18" i="1"/>
  <c r="AE18" i="1"/>
  <c r="AD18" i="1"/>
  <c r="Z18" i="1"/>
  <c r="P18" i="1"/>
  <c r="P17" i="1" s="1"/>
  <c r="G12" i="2" s="1"/>
  <c r="L18" i="1"/>
  <c r="AL18" i="1" s="1"/>
  <c r="AU17" i="1" s="1"/>
  <c r="BW15" i="1"/>
  <c r="BJ15" i="1"/>
  <c r="BD15" i="1"/>
  <c r="AP15" i="1"/>
  <c r="BI15" i="1" s="1"/>
  <c r="AC15" i="1" s="1"/>
  <c r="AO15" i="1"/>
  <c r="BH15" i="1" s="1"/>
  <c r="AB15" i="1" s="1"/>
  <c r="AK15" i="1"/>
  <c r="AJ15" i="1"/>
  <c r="AH15" i="1"/>
  <c r="AG15" i="1"/>
  <c r="AF15" i="1"/>
  <c r="AE15" i="1"/>
  <c r="AD15" i="1"/>
  <c r="Z15" i="1"/>
  <c r="P15" i="1"/>
  <c r="BF15" i="1" s="1"/>
  <c r="L15" i="1"/>
  <c r="AL15" i="1" s="1"/>
  <c r="BW13" i="1"/>
  <c r="BJ13" i="1"/>
  <c r="BD13" i="1"/>
  <c r="AP13" i="1"/>
  <c r="K13" i="1" s="1"/>
  <c r="AO13" i="1"/>
  <c r="BH13" i="1" s="1"/>
  <c r="AB13" i="1" s="1"/>
  <c r="AK13" i="1"/>
  <c r="AJ13" i="1"/>
  <c r="AH13" i="1"/>
  <c r="AG13" i="1"/>
  <c r="AF13" i="1"/>
  <c r="AE13" i="1"/>
  <c r="AD13" i="1"/>
  <c r="Z13" i="1"/>
  <c r="P13" i="1"/>
  <c r="L13" i="1"/>
  <c r="AU1" i="1"/>
  <c r="AT1" i="1"/>
  <c r="AS1" i="1"/>
  <c r="I22" i="3" l="1"/>
  <c r="BF18" i="1"/>
  <c r="BH21" i="1"/>
  <c r="AB21" i="1" s="1"/>
  <c r="BC35" i="1"/>
  <c r="J53" i="1"/>
  <c r="M68" i="1"/>
  <c r="J80" i="1"/>
  <c r="M88" i="1"/>
  <c r="BC99" i="1"/>
  <c r="J114" i="1"/>
  <c r="AX121" i="1"/>
  <c r="AW15" i="1"/>
  <c r="AV15" i="1" s="1"/>
  <c r="AT20" i="1"/>
  <c r="P25" i="1"/>
  <c r="G14" i="2" s="1"/>
  <c r="M39" i="1"/>
  <c r="AW114" i="1"/>
  <c r="M123" i="1"/>
  <c r="AW124" i="1"/>
  <c r="P139" i="1"/>
  <c r="G23" i="2" s="1"/>
  <c r="AT12" i="1"/>
  <c r="AW21" i="1"/>
  <c r="J31" i="1"/>
  <c r="M35" i="1"/>
  <c r="M44" i="1"/>
  <c r="AX44" i="1"/>
  <c r="M45" i="1"/>
  <c r="M82" i="1"/>
  <c r="J83" i="1"/>
  <c r="AV83" i="1"/>
  <c r="AW142" i="1"/>
  <c r="J142" i="1"/>
  <c r="AX140" i="1"/>
  <c r="K140" i="1"/>
  <c r="M131" i="1"/>
  <c r="BH124" i="1"/>
  <c r="AD124" i="1" s="1"/>
  <c r="M124" i="1"/>
  <c r="M121" i="1"/>
  <c r="BC120" i="1"/>
  <c r="K113" i="1"/>
  <c r="AX107" i="1"/>
  <c r="J107" i="1"/>
  <c r="L98" i="1"/>
  <c r="F20" i="2" s="1"/>
  <c r="I20" i="2" s="1"/>
  <c r="M105" i="1"/>
  <c r="AW101" i="1"/>
  <c r="K101" i="1"/>
  <c r="M101" i="1"/>
  <c r="AT98" i="1"/>
  <c r="AW94" i="1"/>
  <c r="AV94" i="1" s="1"/>
  <c r="K91" i="1"/>
  <c r="AX85" i="1"/>
  <c r="M83" i="1"/>
  <c r="AX82" i="1"/>
  <c r="AW80" i="1"/>
  <c r="BI75" i="1"/>
  <c r="AG75" i="1" s="1"/>
  <c r="AX75" i="1"/>
  <c r="AW71" i="1"/>
  <c r="AW69" i="1"/>
  <c r="AL68" i="1"/>
  <c r="AL66" i="1"/>
  <c r="BH66" i="1"/>
  <c r="AF66" i="1" s="1"/>
  <c r="AW64" i="1"/>
  <c r="AX64" i="1"/>
  <c r="M64" i="1"/>
  <c r="M58" i="1"/>
  <c r="AX57" i="1"/>
  <c r="AW51" i="1"/>
  <c r="AT43" i="1"/>
  <c r="BI46" i="1"/>
  <c r="AC46" i="1" s="1"/>
  <c r="AL45" i="1"/>
  <c r="BI41" i="1"/>
  <c r="AC41" i="1" s="1"/>
  <c r="AL39" i="1"/>
  <c r="AX37" i="1"/>
  <c r="AX34" i="1"/>
  <c r="J34" i="1"/>
  <c r="AT25" i="1"/>
  <c r="AW30" i="1"/>
  <c r="AV30" i="1" s="1"/>
  <c r="AW28" i="1"/>
  <c r="AX26" i="1"/>
  <c r="AW23" i="1"/>
  <c r="AX23" i="1"/>
  <c r="J18" i="1"/>
  <c r="J17" i="1" s="1"/>
  <c r="D12" i="2" s="1"/>
  <c r="AS12" i="1"/>
  <c r="L20" i="1"/>
  <c r="F13" i="2" s="1"/>
  <c r="I13" i="2" s="1"/>
  <c r="BH55" i="1"/>
  <c r="AB55" i="1" s="1"/>
  <c r="AS20" i="1"/>
  <c r="AL26" i="1"/>
  <c r="M34" i="1"/>
  <c r="AL35" i="1"/>
  <c r="J37" i="1"/>
  <c r="AW44" i="1"/>
  <c r="AW53" i="1"/>
  <c r="M55" i="1"/>
  <c r="AX58" i="1"/>
  <c r="AV58" i="1" s="1"/>
  <c r="K60" i="1"/>
  <c r="K59" i="1" s="1"/>
  <c r="E16" i="2" s="1"/>
  <c r="J82" i="1"/>
  <c r="AW85" i="1"/>
  <c r="M91" i="1"/>
  <c r="M96" i="1"/>
  <c r="M95" i="1" s="1"/>
  <c r="M110" i="1"/>
  <c r="AS109" i="1"/>
  <c r="AX114" i="1"/>
  <c r="M118" i="1"/>
  <c r="J134" i="1"/>
  <c r="L139" i="1"/>
  <c r="F23" i="2" s="1"/>
  <c r="I23" i="2" s="1"/>
  <c r="AX30" i="1"/>
  <c r="AW47" i="1"/>
  <c r="AV47" i="1" s="1"/>
  <c r="AX53" i="1"/>
  <c r="BF60" i="1"/>
  <c r="AW62" i="1"/>
  <c r="J75" i="1"/>
  <c r="AL88" i="1"/>
  <c r="M113" i="1"/>
  <c r="AW117" i="1"/>
  <c r="AW126" i="1"/>
  <c r="AS130" i="1"/>
  <c r="BI28" i="1"/>
  <c r="AC28" i="1" s="1"/>
  <c r="K30" i="1"/>
  <c r="M37" i="1"/>
  <c r="AX39" i="1"/>
  <c r="J57" i="1"/>
  <c r="AW57" i="1"/>
  <c r="M60" i="1"/>
  <c r="M59" i="1" s="1"/>
  <c r="BH60" i="1"/>
  <c r="AL96" i="1"/>
  <c r="AU95" i="1" s="1"/>
  <c r="J99" i="1"/>
  <c r="K103" i="1"/>
  <c r="AW107" i="1"/>
  <c r="AV107" i="1" s="1"/>
  <c r="AL110" i="1"/>
  <c r="J120" i="1"/>
  <c r="AL123" i="1"/>
  <c r="M140" i="1"/>
  <c r="BC64" i="1"/>
  <c r="M99" i="1"/>
  <c r="AS98" i="1"/>
  <c r="AT109" i="1"/>
  <c r="J117" i="1"/>
  <c r="M120" i="1"/>
  <c r="J126" i="1"/>
  <c r="P130" i="1"/>
  <c r="G22" i="2" s="1"/>
  <c r="AS139" i="1"/>
  <c r="AX45" i="1"/>
  <c r="J15" i="1"/>
  <c r="AX15" i="1"/>
  <c r="BH35" i="1"/>
  <c r="AB35" i="1" s="1"/>
  <c r="K45" i="1"/>
  <c r="M47" i="1"/>
  <c r="AL53" i="1"/>
  <c r="AL60" i="1"/>
  <c r="AU59" i="1" s="1"/>
  <c r="J64" i="1"/>
  <c r="AX71" i="1"/>
  <c r="P95" i="1"/>
  <c r="G19" i="2" s="1"/>
  <c r="AX101" i="1"/>
  <c r="AL103" i="1"/>
  <c r="K105" i="1"/>
  <c r="J118" i="1"/>
  <c r="AX118" i="1"/>
  <c r="K131" i="1"/>
  <c r="BH131" i="1"/>
  <c r="AD131" i="1" s="1"/>
  <c r="AW134" i="1"/>
  <c r="M23" i="1"/>
  <c r="M30" i="1"/>
  <c r="M15" i="1"/>
  <c r="AW34" i="1"/>
  <c r="BC34" i="1" s="1"/>
  <c r="AW37" i="1"/>
  <c r="AW46" i="1"/>
  <c r="BC46" i="1" s="1"/>
  <c r="J49" i="1"/>
  <c r="K55" i="1"/>
  <c r="M57" i="1"/>
  <c r="AT61" i="1"/>
  <c r="AS61" i="1"/>
  <c r="AW75" i="1"/>
  <c r="BC75" i="1" s="1"/>
  <c r="K88" i="1"/>
  <c r="AL99" i="1"/>
  <c r="K118" i="1"/>
  <c r="M137" i="1"/>
  <c r="AL137" i="1"/>
  <c r="AU130" i="1" s="1"/>
  <c r="AX18" i="1"/>
  <c r="BC18" i="1" s="1"/>
  <c r="K18" i="1"/>
  <c r="K17" i="1" s="1"/>
  <c r="E12" i="2" s="1"/>
  <c r="P20" i="1"/>
  <c r="G13" i="2" s="1"/>
  <c r="AL41" i="1"/>
  <c r="M41" i="1"/>
  <c r="BH41" i="1"/>
  <c r="AB41" i="1" s="1"/>
  <c r="L43" i="1"/>
  <c r="F15" i="2" s="1"/>
  <c r="I15" i="2" s="1"/>
  <c r="J113" i="1"/>
  <c r="BH113" i="1"/>
  <c r="AD113" i="1" s="1"/>
  <c r="AW113" i="1"/>
  <c r="L130" i="1"/>
  <c r="F22" i="2" s="1"/>
  <c r="I22" i="2" s="1"/>
  <c r="K12" i="1"/>
  <c r="E11" i="2" s="1"/>
  <c r="AL80" i="1"/>
  <c r="M80" i="1"/>
  <c r="M18" i="1"/>
  <c r="M17" i="1" s="1"/>
  <c r="L17" i="1"/>
  <c r="F12" i="2" s="1"/>
  <c r="I12" i="2" s="1"/>
  <c r="AL31" i="1"/>
  <c r="AS43" i="1"/>
  <c r="AL49" i="1"/>
  <c r="BC78" i="1"/>
  <c r="AV78" i="1"/>
  <c r="BF80" i="1"/>
  <c r="P77" i="1"/>
  <c r="G18" i="2" s="1"/>
  <c r="BC94" i="1"/>
  <c r="AW39" i="1"/>
  <c r="J39" i="1"/>
  <c r="AX13" i="1"/>
  <c r="K21" i="1"/>
  <c r="K20" i="1" s="1"/>
  <c r="E13" i="2" s="1"/>
  <c r="AX32" i="1"/>
  <c r="AV32" i="1" s="1"/>
  <c r="K62" i="1"/>
  <c r="AX62" i="1"/>
  <c r="AL21" i="1"/>
  <c r="AU20" i="1" s="1"/>
  <c r="M21" i="1"/>
  <c r="BC28" i="1"/>
  <c r="AV28" i="1"/>
  <c r="L12" i="1"/>
  <c r="AL13" i="1"/>
  <c r="AU12" i="1" s="1"/>
  <c r="BI13" i="1"/>
  <c r="AC13" i="1" s="1"/>
  <c r="M32" i="1"/>
  <c r="BI32" i="1"/>
  <c r="AC32" i="1" s="1"/>
  <c r="AW45" i="1"/>
  <c r="J45" i="1"/>
  <c r="M51" i="1"/>
  <c r="BI51" i="1"/>
  <c r="AC51" i="1" s="1"/>
  <c r="BC60" i="1"/>
  <c r="AV60" i="1"/>
  <c r="AX79" i="1"/>
  <c r="BC79" i="1" s="1"/>
  <c r="K79" i="1"/>
  <c r="BI79" i="1"/>
  <c r="AC79" i="1" s="1"/>
  <c r="K117" i="1"/>
  <c r="BI117" i="1"/>
  <c r="AE117" i="1" s="1"/>
  <c r="AX117" i="1"/>
  <c r="BC117" i="1" s="1"/>
  <c r="BC124" i="1"/>
  <c r="AV124" i="1"/>
  <c r="J140" i="1"/>
  <c r="J139" i="1" s="1"/>
  <c r="D23" i="2" s="1"/>
  <c r="BH140" i="1"/>
  <c r="AD140" i="1" s="1"/>
  <c r="AW140" i="1"/>
  <c r="AV18" i="1"/>
  <c r="C20" i="3"/>
  <c r="M13" i="1"/>
  <c r="AX31" i="1"/>
  <c r="BC31" i="1" s="1"/>
  <c r="K31" i="1"/>
  <c r="J35" i="1"/>
  <c r="BH39" i="1"/>
  <c r="AB39" i="1" s="1"/>
  <c r="K46" i="1"/>
  <c r="AX49" i="1"/>
  <c r="BC49" i="1" s="1"/>
  <c r="K49" i="1"/>
  <c r="AV55" i="1"/>
  <c r="BC55" i="1"/>
  <c r="J60" i="1"/>
  <c r="J59" i="1" s="1"/>
  <c r="D16" i="2" s="1"/>
  <c r="L61" i="1"/>
  <c r="F17" i="2" s="1"/>
  <c r="I17" i="2" s="1"/>
  <c r="AL62" i="1"/>
  <c r="J66" i="1"/>
  <c r="AX69" i="1"/>
  <c r="BI69" i="1"/>
  <c r="AC69" i="1" s="1"/>
  <c r="K69" i="1"/>
  <c r="BC21" i="1"/>
  <c r="AV21" i="1"/>
  <c r="AS25" i="1"/>
  <c r="AX51" i="1"/>
  <c r="BI21" i="1"/>
  <c r="AC21" i="1" s="1"/>
  <c r="L25" i="1"/>
  <c r="F14" i="2" s="1"/>
  <c r="I14" i="2" s="1"/>
  <c r="AW26" i="1"/>
  <c r="J26" i="1"/>
  <c r="K28" i="1"/>
  <c r="BF13" i="1"/>
  <c r="P12" i="1"/>
  <c r="G11" i="2" s="1"/>
  <c r="AL28" i="1"/>
  <c r="M28" i="1"/>
  <c r="BH28" i="1"/>
  <c r="AB28" i="1" s="1"/>
  <c r="AV35" i="1"/>
  <c r="AW41" i="1"/>
  <c r="P43" i="1"/>
  <c r="G15" i="2" s="1"/>
  <c r="AL46" i="1"/>
  <c r="M46" i="1"/>
  <c r="BH46" i="1"/>
  <c r="AB46" i="1" s="1"/>
  <c r="J55" i="1"/>
  <c r="M62" i="1"/>
  <c r="BI62" i="1"/>
  <c r="AG62" i="1" s="1"/>
  <c r="C19" i="3" s="1"/>
  <c r="AW123" i="1"/>
  <c r="J123" i="1"/>
  <c r="BC131" i="1"/>
  <c r="AV131" i="1"/>
  <c r="AW13" i="1"/>
  <c r="BH18" i="1"/>
  <c r="AB18" i="1" s="1"/>
  <c r="BF26" i="1"/>
  <c r="BH31" i="1"/>
  <c r="AB31" i="1" s="1"/>
  <c r="BI35" i="1"/>
  <c r="AC35" i="1" s="1"/>
  <c r="BH49" i="1"/>
  <c r="AB49" i="1" s="1"/>
  <c r="BI55" i="1"/>
  <c r="AC55" i="1" s="1"/>
  <c r="J58" i="1"/>
  <c r="BI60" i="1"/>
  <c r="P61" i="1"/>
  <c r="G17" i="2" s="1"/>
  <c r="AV73" i="1"/>
  <c r="BC73" i="1"/>
  <c r="L77" i="1"/>
  <c r="F18" i="2" s="1"/>
  <c r="I18" i="2" s="1"/>
  <c r="M116" i="1"/>
  <c r="AL116" i="1"/>
  <c r="C21" i="3"/>
  <c r="C27" i="3"/>
  <c r="K15" i="1"/>
  <c r="J23" i="1"/>
  <c r="J20" i="1" s="1"/>
  <c r="D13" i="2" s="1"/>
  <c r="J30" i="1"/>
  <c r="K34" i="1"/>
  <c r="J47" i="1"/>
  <c r="K53" i="1"/>
  <c r="K64" i="1"/>
  <c r="J68" i="1"/>
  <c r="M69" i="1"/>
  <c r="BH69" i="1"/>
  <c r="AB69" i="1" s="1"/>
  <c r="AS77" i="1"/>
  <c r="AW91" i="1"/>
  <c r="AW105" i="1"/>
  <c r="L109" i="1"/>
  <c r="F21" i="2" s="1"/>
  <c r="I21" i="2" s="1"/>
  <c r="AL117" i="1"/>
  <c r="M117" i="1"/>
  <c r="AX137" i="1"/>
  <c r="AV137" i="1" s="1"/>
  <c r="K137" i="1"/>
  <c r="AU139" i="1"/>
  <c r="BH58" i="1"/>
  <c r="AL75" i="1"/>
  <c r="M75" i="1"/>
  <c r="C28" i="3"/>
  <c r="F28" i="3" s="1"/>
  <c r="AL44" i="1"/>
  <c r="AX66" i="1"/>
  <c r="BC66" i="1" s="1"/>
  <c r="J73" i="1"/>
  <c r="AT77" i="1"/>
  <c r="M79" i="1"/>
  <c r="AL79" i="1"/>
  <c r="AX80" i="1"/>
  <c r="AW96" i="1"/>
  <c r="J96" i="1"/>
  <c r="J95" i="1" s="1"/>
  <c r="D19" i="2" s="1"/>
  <c r="AW103" i="1"/>
  <c r="J103" i="1"/>
  <c r="BF117" i="1"/>
  <c r="P109" i="1"/>
  <c r="G21" i="2" s="1"/>
  <c r="AW110" i="1"/>
  <c r="J110" i="1"/>
  <c r="J13" i="1"/>
  <c r="J12" i="1" s="1"/>
  <c r="D11" i="2" s="1"/>
  <c r="J32" i="1"/>
  <c r="K37" i="1"/>
  <c r="K44" i="1"/>
  <c r="J51" i="1"/>
  <c r="K57" i="1"/>
  <c r="J62" i="1"/>
  <c r="K73" i="1"/>
  <c r="BH73" i="1"/>
  <c r="AB73" i="1" s="1"/>
  <c r="BC83" i="1"/>
  <c r="AW88" i="1"/>
  <c r="J88" i="1"/>
  <c r="BH91" i="1"/>
  <c r="AB91" i="1" s="1"/>
  <c r="AV99" i="1"/>
  <c r="BH105" i="1"/>
  <c r="AD105" i="1" s="1"/>
  <c r="AX116" i="1"/>
  <c r="AV116" i="1" s="1"/>
  <c r="K116" i="1"/>
  <c r="BH123" i="1"/>
  <c r="AD123" i="1" s="1"/>
  <c r="AT130" i="1"/>
  <c r="BI137" i="1"/>
  <c r="AE137" i="1" s="1"/>
  <c r="AV120" i="1"/>
  <c r="AX128" i="1"/>
  <c r="BC128" i="1" s="1"/>
  <c r="K128" i="1"/>
  <c r="BH68" i="1"/>
  <c r="AF68" i="1" s="1"/>
  <c r="M73" i="1"/>
  <c r="AL73" i="1"/>
  <c r="BI73" i="1"/>
  <c r="AC73" i="1" s="1"/>
  <c r="BI80" i="1"/>
  <c r="AC80" i="1" s="1"/>
  <c r="BC107" i="1"/>
  <c r="M128" i="1"/>
  <c r="AL128" i="1"/>
  <c r="AT139" i="1"/>
  <c r="AX68" i="1"/>
  <c r="BC68" i="1" s="1"/>
  <c r="M71" i="1"/>
  <c r="M78" i="1"/>
  <c r="AW82" i="1"/>
  <c r="AX88" i="1"/>
  <c r="M94" i="1"/>
  <c r="AX96" i="1"/>
  <c r="AX103" i="1"/>
  <c r="M107" i="1"/>
  <c r="AX110" i="1"/>
  <c r="M114" i="1"/>
  <c r="AW118" i="1"/>
  <c r="AX123" i="1"/>
  <c r="M126" i="1"/>
  <c r="M134" i="1"/>
  <c r="M130" i="1" s="1"/>
  <c r="M142" i="1"/>
  <c r="J79" i="1"/>
  <c r="K83" i="1"/>
  <c r="BH83" i="1"/>
  <c r="AB83" i="1" s="1"/>
  <c r="BI91" i="1"/>
  <c r="AC91" i="1" s="1"/>
  <c r="K99" i="1"/>
  <c r="BH99" i="1"/>
  <c r="AD99" i="1" s="1"/>
  <c r="BI105" i="1"/>
  <c r="AE105" i="1" s="1"/>
  <c r="BI113" i="1"/>
  <c r="AE113" i="1" s="1"/>
  <c r="J116" i="1"/>
  <c r="K120" i="1"/>
  <c r="BH120" i="1"/>
  <c r="AD120" i="1" s="1"/>
  <c r="AW121" i="1"/>
  <c r="BI124" i="1"/>
  <c r="AE124" i="1" s="1"/>
  <c r="AX126" i="1"/>
  <c r="BC126" i="1" s="1"/>
  <c r="J128" i="1"/>
  <c r="BI131" i="1"/>
  <c r="AE131" i="1" s="1"/>
  <c r="AX134" i="1"/>
  <c r="J137" i="1"/>
  <c r="J130" i="1" s="1"/>
  <c r="D22" i="2" s="1"/>
  <c r="AX142" i="1"/>
  <c r="BC142" i="1" s="1"/>
  <c r="BH79" i="1"/>
  <c r="AB79" i="1" s="1"/>
  <c r="BI83" i="1"/>
  <c r="AC83" i="1" s="1"/>
  <c r="BI99" i="1"/>
  <c r="AE99" i="1" s="1"/>
  <c r="BH116" i="1"/>
  <c r="AD116" i="1" s="1"/>
  <c r="BI120" i="1"/>
  <c r="AE120" i="1" s="1"/>
  <c r="BH128" i="1"/>
  <c r="AD128" i="1" s="1"/>
  <c r="BH137" i="1"/>
  <c r="AD137" i="1" s="1"/>
  <c r="AL78" i="1"/>
  <c r="P98" i="1"/>
  <c r="G20" i="2" s="1"/>
  <c r="K71" i="1"/>
  <c r="K78" i="1"/>
  <c r="J85" i="1"/>
  <c r="K94" i="1"/>
  <c r="J101" i="1"/>
  <c r="K107" i="1"/>
  <c r="K114" i="1"/>
  <c r="J121" i="1"/>
  <c r="K126" i="1"/>
  <c r="K134" i="1"/>
  <c r="K142" i="1"/>
  <c r="K139" i="1" s="1"/>
  <c r="E23" i="2" s="1"/>
  <c r="C18" i="3" l="1"/>
  <c r="BC15" i="1"/>
  <c r="AV23" i="1"/>
  <c r="BC134" i="1"/>
  <c r="BC71" i="1"/>
  <c r="AV75" i="1"/>
  <c r="AV68" i="1"/>
  <c r="AV34" i="1"/>
  <c r="AV51" i="1"/>
  <c r="M12" i="1"/>
  <c r="BC62" i="1"/>
  <c r="BC30" i="1"/>
  <c r="BC114" i="1"/>
  <c r="AV80" i="1"/>
  <c r="AV142" i="1"/>
  <c r="M139" i="1"/>
  <c r="BC137" i="1"/>
  <c r="AV117" i="1"/>
  <c r="AV114" i="1"/>
  <c r="AU98" i="1"/>
  <c r="AV101" i="1"/>
  <c r="M98" i="1"/>
  <c r="BC80" i="1"/>
  <c r="AU77" i="1"/>
  <c r="AV79" i="1"/>
  <c r="AV71" i="1"/>
  <c r="AV69" i="1"/>
  <c r="AV64" i="1"/>
  <c r="AV62" i="1"/>
  <c r="BC58" i="1"/>
  <c r="BC53" i="1"/>
  <c r="BC47" i="1"/>
  <c r="AV46" i="1"/>
  <c r="AU43" i="1"/>
  <c r="J43" i="1"/>
  <c r="D15" i="2" s="1"/>
  <c r="M25" i="1"/>
  <c r="BC32" i="1"/>
  <c r="BC23" i="1"/>
  <c r="K109" i="1"/>
  <c r="E21" i="2" s="1"/>
  <c r="BC85" i="1"/>
  <c r="AV85" i="1"/>
  <c r="AU109" i="1"/>
  <c r="M20" i="1"/>
  <c r="J98" i="1"/>
  <c r="D20" i="2" s="1"/>
  <c r="C16" i="3"/>
  <c r="AV31" i="1"/>
  <c r="M109" i="1"/>
  <c r="M77" i="1"/>
  <c r="J109" i="1"/>
  <c r="D21" i="2" s="1"/>
  <c r="BC37" i="1"/>
  <c r="AV37" i="1"/>
  <c r="K130" i="1"/>
  <c r="E22" i="2" s="1"/>
  <c r="C14" i="3"/>
  <c r="M43" i="1"/>
  <c r="AV53" i="1"/>
  <c r="K25" i="1"/>
  <c r="E14" i="2" s="1"/>
  <c r="C17" i="3"/>
  <c r="AV128" i="1"/>
  <c r="AU61" i="1"/>
  <c r="BC57" i="1"/>
  <c r="AV57" i="1"/>
  <c r="BC44" i="1"/>
  <c r="AV44" i="1"/>
  <c r="BC101" i="1"/>
  <c r="J77" i="1"/>
  <c r="D18" i="2" s="1"/>
  <c r="K43" i="1"/>
  <c r="E15" i="2" s="1"/>
  <c r="AV103" i="1"/>
  <c r="BC103" i="1"/>
  <c r="BC13" i="1"/>
  <c r="AV13" i="1"/>
  <c r="AV39" i="1"/>
  <c r="BC39" i="1"/>
  <c r="BC105" i="1"/>
  <c r="AV105" i="1"/>
  <c r="AV45" i="1"/>
  <c r="BC45" i="1"/>
  <c r="BC41" i="1"/>
  <c r="AV41" i="1"/>
  <c r="K77" i="1"/>
  <c r="E18" i="2" s="1"/>
  <c r="AV88" i="1"/>
  <c r="BC88" i="1"/>
  <c r="AV134" i="1"/>
  <c r="AV126" i="1"/>
  <c r="M61" i="1"/>
  <c r="BC113" i="1"/>
  <c r="AV113" i="1"/>
  <c r="AV96" i="1"/>
  <c r="BC96" i="1"/>
  <c r="AV121" i="1"/>
  <c r="BC121" i="1"/>
  <c r="C29" i="3"/>
  <c r="F29" i="3" s="1"/>
  <c r="BC140" i="1"/>
  <c r="AV140" i="1"/>
  <c r="AV49" i="1"/>
  <c r="C15" i="3"/>
  <c r="K61" i="1"/>
  <c r="E17" i="2" s="1"/>
  <c r="AV66" i="1"/>
  <c r="AV118" i="1"/>
  <c r="BC118" i="1"/>
  <c r="K98" i="1"/>
  <c r="E20" i="2" s="1"/>
  <c r="BC116" i="1"/>
  <c r="AU25" i="1"/>
  <c r="J25" i="1"/>
  <c r="D14" i="2" s="1"/>
  <c r="BC51" i="1"/>
  <c r="AV82" i="1"/>
  <c r="BC82" i="1"/>
  <c r="AV110" i="1"/>
  <c r="BC110" i="1"/>
  <c r="BC91" i="1"/>
  <c r="AV91" i="1"/>
  <c r="J61" i="1"/>
  <c r="D17" i="2" s="1"/>
  <c r="BC69" i="1"/>
  <c r="AV123" i="1"/>
  <c r="BC123" i="1"/>
  <c r="AV26" i="1"/>
  <c r="BC26" i="1"/>
  <c r="F11" i="2"/>
  <c r="I11" i="2" s="1"/>
  <c r="F24" i="2" s="1"/>
  <c r="L144" i="1"/>
  <c r="M144" i="1" l="1"/>
  <c r="C22" i="3"/>
  <c r="I28" i="3"/>
  <c r="I29" i="3" s="1"/>
  <c r="N123" i="1"/>
  <c r="N110" i="1"/>
  <c r="N103" i="1"/>
  <c r="N96" i="1"/>
  <c r="N88" i="1"/>
  <c r="N137" i="1"/>
  <c r="N128" i="1"/>
  <c r="N116" i="1"/>
  <c r="N109" i="1"/>
  <c r="N95" i="1"/>
  <c r="N79" i="1"/>
  <c r="N73" i="1"/>
  <c r="N120" i="1"/>
  <c r="N99" i="1"/>
  <c r="N83" i="1"/>
  <c r="N139" i="1"/>
  <c r="N130" i="1"/>
  <c r="N117" i="1"/>
  <c r="N80" i="1"/>
  <c r="N121" i="1"/>
  <c r="N101" i="1"/>
  <c r="N85" i="1"/>
  <c r="N118" i="1"/>
  <c r="N82" i="1"/>
  <c r="N77" i="1"/>
  <c r="N126" i="1"/>
  <c r="N105" i="1"/>
  <c r="N68" i="1"/>
  <c r="N64" i="1"/>
  <c r="N53" i="1"/>
  <c r="N34" i="1"/>
  <c r="N15" i="1"/>
  <c r="N98" i="1"/>
  <c r="N58" i="1"/>
  <c r="N45" i="1"/>
  <c r="N39" i="1"/>
  <c r="N26" i="1"/>
  <c r="N124" i="1"/>
  <c r="N107" i="1"/>
  <c r="N59" i="1"/>
  <c r="N140" i="1"/>
  <c r="N113" i="1"/>
  <c r="N69" i="1"/>
  <c r="N49" i="1"/>
  <c r="N31" i="1"/>
  <c r="N25" i="1"/>
  <c r="N18" i="1"/>
  <c r="N78" i="1"/>
  <c r="N131" i="1"/>
  <c r="N75" i="1"/>
  <c r="N66" i="1"/>
  <c r="N60" i="1"/>
  <c r="N55" i="1"/>
  <c r="N35" i="1"/>
  <c r="N17" i="1"/>
  <c r="N94" i="1"/>
  <c r="N142" i="1"/>
  <c r="N71" i="1"/>
  <c r="N62" i="1"/>
  <c r="N51" i="1"/>
  <c r="N32" i="1"/>
  <c r="N20" i="1"/>
  <c r="N13" i="1"/>
  <c r="N114" i="1"/>
  <c r="N91" i="1"/>
  <c r="N21" i="1"/>
  <c r="N41" i="1"/>
  <c r="N43" i="1"/>
  <c r="N61" i="1"/>
  <c r="N47" i="1"/>
  <c r="N30" i="1"/>
  <c r="N57" i="1"/>
  <c r="N46" i="1"/>
  <c r="N37" i="1"/>
  <c r="N44" i="1"/>
  <c r="N28" i="1"/>
  <c r="N23" i="1"/>
  <c r="N12" i="1"/>
  <c r="N134" i="1"/>
</calcChain>
</file>

<file path=xl/sharedStrings.xml><?xml version="1.0" encoding="utf-8"?>
<sst xmlns="http://schemas.openxmlformats.org/spreadsheetml/2006/main" count="1383" uniqueCount="435">
  <si>
    <t>Stavební rozpočet</t>
  </si>
  <si>
    <t>Název stavby:</t>
  </si>
  <si>
    <t>Rekonstrukce tělocvičny č.p. 387 v areálu ZŠ Stochov</t>
  </si>
  <si>
    <t>Objednatel:</t>
  </si>
  <si>
    <t>Město Stochov</t>
  </si>
  <si>
    <t>Druh stavby:</t>
  </si>
  <si>
    <t>Udržovací práce a oprava stávajícícho objektu</t>
  </si>
  <si>
    <t>Začátek výstavby:</t>
  </si>
  <si>
    <t xml:space="preserve"> </t>
  </si>
  <si>
    <t>Projektant:</t>
  </si>
  <si>
    <t>ARIPROS s.r.o.</t>
  </si>
  <si>
    <t>Lokalita:</t>
  </si>
  <si>
    <t>ZŠ Stochov, Jaroslava Šípka 387, 273 03 Stochov</t>
  </si>
  <si>
    <t>Konec výstavby:</t>
  </si>
  <si>
    <t>Zhotovitel:</t>
  </si>
  <si>
    <t>Dle výběrového řízení</t>
  </si>
  <si>
    <t>JKSO:</t>
  </si>
  <si>
    <t>80151</t>
  </si>
  <si>
    <t>Zpracováno dne:</t>
  </si>
  <si>
    <t>Zpracoval:</t>
  </si>
  <si>
    <t>Č</t>
  </si>
  <si>
    <t>Objekt</t>
  </si>
  <si>
    <t>Kód</t>
  </si>
  <si>
    <t>Zkrácený popis / Varianta</t>
  </si>
  <si>
    <t>MJ</t>
  </si>
  <si>
    <t>Množství</t>
  </si>
  <si>
    <t>Cena/MJ</t>
  </si>
  <si>
    <t>Sazba DPH</t>
  </si>
  <si>
    <t>Náklady (Kč)</t>
  </si>
  <si>
    <t>%</t>
  </si>
  <si>
    <t>Hmotnost (t)</t>
  </si>
  <si>
    <t>Cenová</t>
  </si>
  <si>
    <t>ISWORK</t>
  </si>
  <si>
    <t>GROUPCODE</t>
  </si>
  <si>
    <t>VATTAX</t>
  </si>
  <si>
    <t>Rozměry</t>
  </si>
  <si>
    <t>(Kč)</t>
  </si>
  <si>
    <t>Dodávka</t>
  </si>
  <si>
    <t>Montáž</t>
  </si>
  <si>
    <t>Celkem</t>
  </si>
  <si>
    <t>Celkem vč. DPH</t>
  </si>
  <si>
    <t>Jednot.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</si>
  <si>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</si>
  <si>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</si>
  <si>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</si>
  <si>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</si>
  <si>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</si>
  <si>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</si>
  <si>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</si>
  <si>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</si>
  <si>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</si>
  <si>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</si>
  <si>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</si>
  <si>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</si>
  <si>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</si>
  <si>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</si>
  <si>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59</t>
  </si>
  <si>
    <t>Kryty pozemních komunikací, letišť a ploch dlážděných (předlažby)</t>
  </si>
  <si>
    <t>1</t>
  </si>
  <si>
    <t>596100030RAF</t>
  </si>
  <si>
    <t>Chodník z dlažby betonové tl. 5 cm, podklad štěrkodrť - přeložení chodníku</t>
  </si>
  <si>
    <t>m2</t>
  </si>
  <si>
    <t>RTS I / 2025</t>
  </si>
  <si>
    <t>59_</t>
  </si>
  <si>
    <t>5_</t>
  </si>
  <si>
    <t>_</t>
  </si>
  <si>
    <t>P</t>
  </si>
  <si>
    <t>demontáž + montáž, doplnění podkladu ze štěrkodrti, vč. zemních prací</t>
  </si>
  <si>
    <t>2</t>
  </si>
  <si>
    <t>596100030RAD</t>
  </si>
  <si>
    <t>Chodník okapový z dlažby betonové, podklad štěrkodrť</t>
  </si>
  <si>
    <t>podklad ze ŠD 15 cm, lože z kameniva 4 cm, dlažba betonová 50x50x5 cm, vč. zemních prací</t>
  </si>
  <si>
    <t>61</t>
  </si>
  <si>
    <t>Úprava povrchů vnitřní</t>
  </si>
  <si>
    <t>3</t>
  </si>
  <si>
    <t>612100030RAA</t>
  </si>
  <si>
    <t>Oprava omítky stěn vnitřní vápenocementová štuková</t>
  </si>
  <si>
    <t>61_</t>
  </si>
  <si>
    <t>6_</t>
  </si>
  <si>
    <t>otlučení a zřizení omítky po výměně oken a elektroinstalaci, penetrace a malba 2x</t>
  </si>
  <si>
    <t>94</t>
  </si>
  <si>
    <t>Lešení a stavební výtahy</t>
  </si>
  <si>
    <t>4</t>
  </si>
  <si>
    <t>941940031RAD</t>
  </si>
  <si>
    <t>Lešení lehké fasádní, šířka 1 m, výška do 10 m</t>
  </si>
  <si>
    <t>94_</t>
  </si>
  <si>
    <t>9_</t>
  </si>
  <si>
    <t>montáž, demontáž, doprava, revize, pronájem 4 měsíce</t>
  </si>
  <si>
    <t>5</t>
  </si>
  <si>
    <t>944946111RT2</t>
  </si>
  <si>
    <t>Textílie ochranná pro lešení - montáž a demontáž</t>
  </si>
  <si>
    <t>včetně dodávky textílie (ochr. sítě)</t>
  </si>
  <si>
    <t>95</t>
  </si>
  <si>
    <t>Různé dokončovací konstrukce a práce na pozemních stavbách</t>
  </si>
  <si>
    <t>6</t>
  </si>
  <si>
    <t>953945211R00</t>
  </si>
  <si>
    <t>Síť ochran., oka 20x20 mm, nerez kotvy</t>
  </si>
  <si>
    <t>95_</t>
  </si>
  <si>
    <t>ochrana oken v tělocvičně</t>
  </si>
  <si>
    <t>7</t>
  </si>
  <si>
    <t>639571210R00</t>
  </si>
  <si>
    <t>Okapový chodník z beton. desek 50x50x5 cm, podklad ŠD tl. 100 mm</t>
  </si>
  <si>
    <t>bez obrubníku</t>
  </si>
  <si>
    <t>8</t>
  </si>
  <si>
    <t>721242112R00</t>
  </si>
  <si>
    <t>Lapač střešních splavenin HL600NHO, D 110 až 125 mm</t>
  </si>
  <si>
    <t>kus</t>
  </si>
  <si>
    <t>9</t>
  </si>
  <si>
    <t>900      R01</t>
  </si>
  <si>
    <t>HZS - kompletační a drobné práce v rozpočtu nespecifikované nutné pro řádné provedení stavby</t>
  </si>
  <si>
    <t>h</t>
  </si>
  <si>
    <t>10</t>
  </si>
  <si>
    <t>073111105RA0</t>
  </si>
  <si>
    <t>Vnitřní ostění a nadpraží, dvouvrstvá tepelněizolační vápenocementová omítka tl. 15 mm včetně malby</t>
  </si>
  <si>
    <t>m</t>
  </si>
  <si>
    <t>Skladba položky: - malba - penetrace podkladu pod malbou - tepelněizolační vápenocementová omítka tl. 15 mm (jádrová omítka+ štuková omítka) - vnitřního začišťovací profil - rohová lišta  Hloubka ostění 300 mm.</t>
  </si>
  <si>
    <t>11</t>
  </si>
  <si>
    <t>765311752R00</t>
  </si>
  <si>
    <t>Sněhový zachytávací systém dvoutrubkový, pro plechovou krytinu</t>
  </si>
  <si>
    <t>12</t>
  </si>
  <si>
    <t>612409991R</t>
  </si>
  <si>
    <t>Očištění a úprava spáry</t>
  </si>
  <si>
    <t>viz. příloha č. 1 TZ - statické posouzení trhliny</t>
  </si>
  <si>
    <t>13</t>
  </si>
  <si>
    <t>771111133R</t>
  </si>
  <si>
    <t>Vložení těsnicího provazce do dilatační spáry</t>
  </si>
  <si>
    <t>vč. dodávky PE provazce, viz. příloha č. 1 TZ - statické posouzení trhliny</t>
  </si>
  <si>
    <t>14</t>
  </si>
  <si>
    <t>782999100R</t>
  </si>
  <si>
    <t>Výplň dilatační spáry hybrid. tmelem šířky do 3 cm, H 3 - 10 cm</t>
  </si>
  <si>
    <t>15</t>
  </si>
  <si>
    <t>342091213R</t>
  </si>
  <si>
    <t>Povrchová úprava dilatační spáry</t>
  </si>
  <si>
    <t>96</t>
  </si>
  <si>
    <t>Bourání konstrukcí</t>
  </si>
  <si>
    <t>16</t>
  </si>
  <si>
    <t>968083004R00</t>
  </si>
  <si>
    <t>Vybourání plastových oken</t>
  </si>
  <si>
    <t>96_</t>
  </si>
  <si>
    <t>17</t>
  </si>
  <si>
    <t>767392802R00</t>
  </si>
  <si>
    <t>Demontáž krytin střech z plechů</t>
  </si>
  <si>
    <t>18</t>
  </si>
  <si>
    <t>767311810R00</t>
  </si>
  <si>
    <t>Demontáž střešního výlezu všech typů včetně zasklení</t>
  </si>
  <si>
    <t>19</t>
  </si>
  <si>
    <t>210293001R01</t>
  </si>
  <si>
    <t>Demontáž stávající soustavy hromosvodu</t>
  </si>
  <si>
    <t>kompletní systém</t>
  </si>
  <si>
    <t>20</t>
  </si>
  <si>
    <t>764900050RAA</t>
  </si>
  <si>
    <t>Demontáž oplechování parapetů</t>
  </si>
  <si>
    <t>z plechu pozinkovaného</t>
  </si>
  <si>
    <t>21</t>
  </si>
  <si>
    <t>HZS - bourání doplňkových prvků a konstr.</t>
  </si>
  <si>
    <t>stavební dělník v tarifní třídě 4 - klempířské a stavební prvky jinde neuvedené</t>
  </si>
  <si>
    <t>22</t>
  </si>
  <si>
    <t>9790999VD</t>
  </si>
  <si>
    <t>Poplatek za přistavění a odvoz kontejneru na směs. odpad</t>
  </si>
  <si>
    <t>ks</t>
  </si>
  <si>
    <t>RTS II / 2021</t>
  </si>
  <si>
    <t>objem 9 m3, vč. skládkovného, dopravy, naložení</t>
  </si>
  <si>
    <t>23</t>
  </si>
  <si>
    <t>979100013RAB</t>
  </si>
  <si>
    <t>Odvoz suti a vybouraných hmot do 15 km, vnitrostaveništní přesun do 15 m</t>
  </si>
  <si>
    <t>t</t>
  </si>
  <si>
    <t>svislá doprava s ručním nošením, vč. poplatku</t>
  </si>
  <si>
    <t>24</t>
  </si>
  <si>
    <t>979990163R00</t>
  </si>
  <si>
    <t>Poplatek za uložení suti - plast + sklo, skupina odpadu 170904</t>
  </si>
  <si>
    <t>25</t>
  </si>
  <si>
    <t>979951131R00</t>
  </si>
  <si>
    <t>Výkup kovů - plechy</t>
  </si>
  <si>
    <t>H01</t>
  </si>
  <si>
    <t>Budovy občanské výstavby</t>
  </si>
  <si>
    <t>26</t>
  </si>
  <si>
    <t>998011003R00</t>
  </si>
  <si>
    <t>Přesun hmot pro budovy zděné výšky do 24 m</t>
  </si>
  <si>
    <t>H01_</t>
  </si>
  <si>
    <t>M21</t>
  </si>
  <si>
    <t>Elektromontáže</t>
  </si>
  <si>
    <t>27</t>
  </si>
  <si>
    <t>210200020RAA</t>
  </si>
  <si>
    <t>Hromosvod</t>
  </si>
  <si>
    <t>kompl</t>
  </si>
  <si>
    <t>M21_</t>
  </si>
  <si>
    <t>kompletní dodávka a montáž vč. zemních prací</t>
  </si>
  <si>
    <t>28</t>
  </si>
  <si>
    <t>070212161R1</t>
  </si>
  <si>
    <t>Řetězový elektro pohon pro otevírání oken, 230V, 2 ks/okno</t>
  </si>
  <si>
    <t>dodávka a montáž vč. napájecího zdroje, montážní konzoly, IQ boxu, drobného montážního materiálu</t>
  </si>
  <si>
    <t>29</t>
  </si>
  <si>
    <t>210810015RT1</t>
  </si>
  <si>
    <t>Kabel CYKY-m 750 V 5 x 1,5 mm2, uložený v liště</t>
  </si>
  <si>
    <t>včetně dodávky kabelu</t>
  </si>
  <si>
    <t>30</t>
  </si>
  <si>
    <t>222260603R00</t>
  </si>
  <si>
    <t>Lišta vkládací 20x20, na úchyt. body, zavíčkování</t>
  </si>
  <si>
    <t>31</t>
  </si>
  <si>
    <t>2199999VD</t>
  </si>
  <si>
    <t>Úprava objektového rozvaděče pro napájení elektro otevírání oken</t>
  </si>
  <si>
    <t>soubor</t>
  </si>
  <si>
    <t>montáž vč. materiálu</t>
  </si>
  <si>
    <t>32</t>
  </si>
  <si>
    <t>650061611R00</t>
  </si>
  <si>
    <t>Montáž jističe modulárního jednopólového do 25 A</t>
  </si>
  <si>
    <t>vložení do objektového rozvaděče</t>
  </si>
  <si>
    <t>33</t>
  </si>
  <si>
    <t>35822001013</t>
  </si>
  <si>
    <t>Jistič 1-pólový OEZ LTN-10B-1, Icn 10 kA</t>
  </si>
  <si>
    <t>M</t>
  </si>
  <si>
    <t>dodávka jističe LTE, LTN, LVN, LST-DC pro nadproudovou ochranu v instalacích občanské výstavby, administrativních budovách a průmyslových instalacích se jmenovitými proudy od 0,3 A do 125 A</t>
  </si>
  <si>
    <t>34</t>
  </si>
  <si>
    <t>650052412R00</t>
  </si>
  <si>
    <t>Montáž spínače žaluziového, bílý, ABB</t>
  </si>
  <si>
    <t>dodávka a montáž</t>
  </si>
  <si>
    <t>62</t>
  </si>
  <si>
    <t>Úprava povrchů vnější</t>
  </si>
  <si>
    <t>35</t>
  </si>
  <si>
    <t>622904112R00</t>
  </si>
  <si>
    <t>Očištění fasád tlakovou vodou složitost 1 - 2</t>
  </si>
  <si>
    <t>62_</t>
  </si>
  <si>
    <t>36</t>
  </si>
  <si>
    <t>622421723R00</t>
  </si>
  <si>
    <t>Oprava vnějších omítek cement. do 30 % plochy, stupeň složitosti II, ze suchých vápenných směsí</t>
  </si>
  <si>
    <t>37</t>
  </si>
  <si>
    <t>620991121R00</t>
  </si>
  <si>
    <t>Zakrývání výplní vnějších otvorů z lešení</t>
  </si>
  <si>
    <t>zakrývání a odkrývání výplní vnějších otvorů s rámy a zárubněmi, prováděné z lešení</t>
  </si>
  <si>
    <t>38</t>
  </si>
  <si>
    <t>622311016R00</t>
  </si>
  <si>
    <t>Soklová lišta hliníková pro kontaktní zateplovací systém Baumit tl. 180 mm</t>
  </si>
  <si>
    <t>39</t>
  </si>
  <si>
    <t>622311336RT3</t>
  </si>
  <si>
    <t>Zateplovací systém Baumit, fasáda, EPS F s grafitem, tl. 180 mm, omítkovina šedá</t>
  </si>
  <si>
    <t>s omítkou SilikonTop K2, pol. obsahuje dodávku a montáž kompletního systému KZS</t>
  </si>
  <si>
    <t>40</t>
  </si>
  <si>
    <t>Zateplovací systém Baumit, fasáda, EPS F s grafitem, tl. 180 mm, omítkovina béžová</t>
  </si>
  <si>
    <t>Položka obsahuje: nanesení lepicího tmelu na izolační desky, nalepení desek, zajištění talířovými hmoždinkami (6 ks/m2), přebroušení desek, natažení stěrky, vtlačení výztužné tkaniny (1,15 m2/m2), přehlazení stěrky, kontaktní nátěr a povrchovou úpravu omítkou. V položce je obsaženo 0,14 m rohových lišt na m2. Součinitel tepelné vodivosti  izolantu 0,032 W/mK</t>
  </si>
  <si>
    <t>41</t>
  </si>
  <si>
    <t>622311525RU1</t>
  </si>
  <si>
    <t>Zateplovací systém Baumit, sokl, XPS, tl. 160 mm</t>
  </si>
  <si>
    <t>s mozaikovou omítkou 5,5 kg/m2</t>
  </si>
  <si>
    <t>Položka obsahuje: nanesení lepicího tmelu na izolační desky, nalepení desek, zajištění talířovými hmoždinkami (6 ks/m2), přebroušení desek, natažení stěrky, vtlačení výztužné tkaniny (1,15 m2/m2), přehlazení stěrky, kontaktní nátěr a povrchovou úpravu omítkou. V položce je obsaženo 0,14 m rohových lišt na m2. Součinitel tepelné vodivosti izolantu 0,038 W/mK</t>
  </si>
  <si>
    <t>42</t>
  </si>
  <si>
    <t>622311353RT3</t>
  </si>
  <si>
    <t>Zateplovací systém Baumit, ostění, EPS F s grafitem, tl. 30 mm, omítkovina šedá+béžová</t>
  </si>
  <si>
    <t>s omítkou SilikonTop K2</t>
  </si>
  <si>
    <t>Položka obsahuje: nanesení lepicího tmelu na izolační desky, nalepení desek, přebroušení desek, osazení lišt, natažení stěrky, vtlačení výztužné tkaniny, přehlazení stěrky, kontaktní nátěr a povrchovou úpravu omítkou. V položce je obsaženo 3,33 m rohových lišt, 1,67 m lišt s okapničkou, 5 m napojovacích lišt na m2 a 1,68 m2 výztužné tkaniny. Součinitel tepelné vodivosti  izolantu 0,032 W/mK</t>
  </si>
  <si>
    <t>43</t>
  </si>
  <si>
    <t>622311111R00</t>
  </si>
  <si>
    <t>Dilatační průběžný a rohový profil, zateplovací systém Baumit</t>
  </si>
  <si>
    <t>713</t>
  </si>
  <si>
    <t>Izolace tepelné</t>
  </si>
  <si>
    <t>44</t>
  </si>
  <si>
    <t>713100010RAB</t>
  </si>
  <si>
    <t>Izolace tepelná volně položená, desky minerální Isover UNI, tl. 120 mm</t>
  </si>
  <si>
    <t>713_</t>
  </si>
  <si>
    <t>71_</t>
  </si>
  <si>
    <t>součinitel tepelné vodivosti 0,035 W.m-1.K-1</t>
  </si>
  <si>
    <t>762</t>
  </si>
  <si>
    <t>Konstrukce tesařské</t>
  </si>
  <si>
    <t>45</t>
  </si>
  <si>
    <t>762950015RAB</t>
  </si>
  <si>
    <t>Výměna laťování, kontralatí a bednění střech</t>
  </si>
  <si>
    <t>762_</t>
  </si>
  <si>
    <t>76_</t>
  </si>
  <si>
    <t>dodávka a montáž vč. řeziva, kompletní výměna v rozsahu 100% plochy střechy</t>
  </si>
  <si>
    <t>46</t>
  </si>
  <si>
    <t>713100010RAC</t>
  </si>
  <si>
    <t>Izolace tepelná volně položená, desky minerální Isover UNI, tl. 100 mm</t>
  </si>
  <si>
    <t>47</t>
  </si>
  <si>
    <t>765799313RN3</t>
  </si>
  <si>
    <t>Montáž fólie na bednění přibitím, přelepení spojů</t>
  </si>
  <si>
    <t>difúzní pojistná hydroizolace</t>
  </si>
  <si>
    <t>48</t>
  </si>
  <si>
    <t>762334190RT2</t>
  </si>
  <si>
    <t>Oprava vázan. krovů nepravidel. do profilu 450 cm2</t>
  </si>
  <si>
    <t>včetně dodávky řeziva, lokální oprava stávajícího krovu</t>
  </si>
  <si>
    <t>49</t>
  </si>
  <si>
    <t>421958111R1</t>
  </si>
  <si>
    <t>Lávka dřevěná (servisní) v půdním prostoru, nad úrovní min. tep. izolace</t>
  </si>
  <si>
    <t>dodávka a montáž, dřev. hranoly + OSB desky tl. 22 mm</t>
  </si>
  <si>
    <t>764</t>
  </si>
  <si>
    <t>Konstrukce klempířské</t>
  </si>
  <si>
    <t>50</t>
  </si>
  <si>
    <t>764901102RU1</t>
  </si>
  <si>
    <t>Dodávka a montáž krytiny z vícevrstvé plechové krytiny, lakované Pz plechy, na latě, do 30°, vč. doplňků a tvarovek</t>
  </si>
  <si>
    <t>764_</t>
  </si>
  <si>
    <t>charakteristická krytina Satjam Rapid Deluxe vč. doplňků (viz. pavilon č.p. 434, ZŠ Stochov)</t>
  </si>
  <si>
    <t>Dodávka a montáž krytiny z velkoformátových tabulí, na latě a záklop, lakovaný žárově zinkovaný ocel. plech tl. 0,6 mm, povrchová úprava polyester, barva červeno-hnědé, kotvicí materiál, správková barva a těsnění</t>
  </si>
  <si>
    <t>51</t>
  </si>
  <si>
    <t>764901201R00</t>
  </si>
  <si>
    <t>Dodávka a montáž krytiny z vícevrstvé plechové krytiny, příplatek nad 30°</t>
  </si>
  <si>
    <t>52</t>
  </si>
  <si>
    <t>764816134R00</t>
  </si>
  <si>
    <t>Oplechování parapetů, lak. Pz plech, rš 360 mm</t>
  </si>
  <si>
    <t xml:space="preserve">Dodávka a montáž oplechování parapetu včetně krytek, spojovacího materiálu a nalepení na podklad lepidlem. </t>
  </si>
  <si>
    <t>53</t>
  </si>
  <si>
    <t>764816420R00</t>
  </si>
  <si>
    <t>Okapnice z lakovaného Pz plechu, rš 200 mm</t>
  </si>
  <si>
    <t>54</t>
  </si>
  <si>
    <t>764551604R00</t>
  </si>
  <si>
    <t>Svod kruhový z lak. Pz plechu, D 120 mm</t>
  </si>
  <si>
    <t>55</t>
  </si>
  <si>
    <t>764815212R00</t>
  </si>
  <si>
    <t>Žlab podokapní půlkruh.z lak.Pz plechu, rš 330 mm</t>
  </si>
  <si>
    <t>dodávka a montáž podokapního půlkruhového žlabu včetně háků, čel a spojek žlabu</t>
  </si>
  <si>
    <t>56</t>
  </si>
  <si>
    <t>764815832R00</t>
  </si>
  <si>
    <t>Kotlík z lak. Pz plechu pro podokapní žlaby rš 330 mm</t>
  </si>
  <si>
    <t>57</t>
  </si>
  <si>
    <t>764812660R00</t>
  </si>
  <si>
    <t>Oplechování říms z lakovaného Pz plechu, rš 400 mm</t>
  </si>
  <si>
    <t>Zhotovení, dodávka a montáž oplechování říms včetně spojovacího materiálu a připevnění k podkladu mechanicky</t>
  </si>
  <si>
    <t>58</t>
  </si>
  <si>
    <t>446122001R00</t>
  </si>
  <si>
    <t>Montáž výlezů na střechu</t>
  </si>
  <si>
    <t>553507494</t>
  </si>
  <si>
    <t>Výlez střešní systémový prosklen., rozměr 600 x 600 mm</t>
  </si>
  <si>
    <t>výlez ke krytině, odstín červeno-hnědý</t>
  </si>
  <si>
    <t>60</t>
  </si>
  <si>
    <t>764901203RT3</t>
  </si>
  <si>
    <t>Štítové lemování vrchní, lakovaný Pz plech</t>
  </si>
  <si>
    <t>dodávku a montáž štítového lemování včetně připevnění samovrtnými šrouby</t>
  </si>
  <si>
    <t>7649999VD</t>
  </si>
  <si>
    <t>Ostatní konstrukce a drobný montážní materiál vč. montáže</t>
  </si>
  <si>
    <t>klempířské konstrukce a montážní materiál jinde neuvedený</t>
  </si>
  <si>
    <t>766</t>
  </si>
  <si>
    <t>Konstrukce truhlářské</t>
  </si>
  <si>
    <t>070121114RA0</t>
  </si>
  <si>
    <t>Okno plastové bílé, sklopné a otvíravé plochy do 4 m2, zapuštěná montáž, těsnění spáry</t>
  </si>
  <si>
    <t>766_</t>
  </si>
  <si>
    <t>63</t>
  </si>
  <si>
    <t>766670029RA0</t>
  </si>
  <si>
    <t>Okno plastové bílé, spodní díl sklopný + vrchní díl FIX, zapuštěná montáž, těsnění spáry</t>
  </si>
  <si>
    <t>bezpečnostní 3-sklo, mléčné provedení, vrchní díl s elektro otevíráním (el. otevírání samostatná položka rozpočtu)</t>
  </si>
  <si>
    <t>64</t>
  </si>
  <si>
    <t>073111242RA0</t>
  </si>
  <si>
    <t>Vnitřní parapet, laminátová parapetní deska</t>
  </si>
  <si>
    <t>Skladba položky: - vnitřní parapet včetně krytek - vyrovnání podkladu  Hloubka ostění 300 mm.</t>
  </si>
  <si>
    <t>767</t>
  </si>
  <si>
    <t>Konstrukce doplňkové stavební (zámečnické)</t>
  </si>
  <si>
    <t>65</t>
  </si>
  <si>
    <t>767990010RAC</t>
  </si>
  <si>
    <t>Atypické ocelové konstrukce - bezp. mříž oken, 1,5x1,3 m</t>
  </si>
  <si>
    <t>kg</t>
  </si>
  <si>
    <t>767_</t>
  </si>
  <si>
    <t>10 - 50 kg/kus, vč. povrchové úpravy 1xZ+2xK, dodávk a montáž</t>
  </si>
  <si>
    <t>66</t>
  </si>
  <si>
    <t>767849116R01</t>
  </si>
  <si>
    <t>Instalace záchytného lanového systému, nerez. lano 8 mm</t>
  </si>
  <si>
    <t>dodávka a montáž vč. realizační PD</t>
  </si>
  <si>
    <t>Celkem:</t>
  </si>
  <si>
    <t>Poznámka:</t>
  </si>
  <si>
    <t>PD je vytvořena digitálním způsobem v programu AutoCAD. Výměry v rozpočtu jsou jeho zpracovatelem stanoveny dle digitálního modelu - funkce měření ploch, délek atd. Uchazeč ve všech listech neoceněného rozpočtového souboru může měnit pouze buňky se žlutým pozadím. Jedná se o údaje o uchazeči a zpracovateli ocenění rozpočtu včetně data zpracování, J.C. (Kč) položek zadané na maximálně dvě desetinná místa a dobu výstavby ve dnech.</t>
  </si>
  <si>
    <t>Stavební rozpočet - rekapitulace</t>
  </si>
  <si>
    <t>Zkrácený popis</t>
  </si>
  <si>
    <t>Náklady (Kč) - dodávka</t>
  </si>
  <si>
    <t>Náklady (Kč) - Montáž</t>
  </si>
  <si>
    <t>Náklady (Kč) - celkem</t>
  </si>
  <si>
    <t>Celková hmotnost (t)</t>
  </si>
  <si>
    <t>T</t>
  </si>
  <si>
    <t>Krycí list rozpočtu</t>
  </si>
  <si>
    <t>IČO/DIČ:</t>
  </si>
  <si>
    <t>00234923/CZ00234923</t>
  </si>
  <si>
    <t>26174936/CZ26174936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</si>
  <si>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</si>
  <si>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</si>
  <si>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</si>
  <si>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</si>
  <si>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</si>
  <si>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</si>
  <si>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</si>
  <si>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</si>
  <si>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</si>
  <si>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</si>
  <si>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</si>
  <si>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</si>
  <si>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Zařízení staveniště</t>
  </si>
  <si>
    <t>Bez pevné podl.</t>
  </si>
  <si>
    <t>Mimostav. doprava</t>
  </si>
  <si>
    <t>PSV</t>
  </si>
  <si>
    <t>Kulturní památka</t>
  </si>
  <si>
    <t>Územní vlivy</t>
  </si>
  <si>
    <t>Investiční rezerva</t>
  </si>
  <si>
    <t>Provozní vlivy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</si>
  <si>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</si>
  <si>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</si>
  <si>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</si>
  <si>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</si>
  <si>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</si>
  <si>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</si>
  <si>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</si>
  <si>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</si>
  <si>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</si>
  <si>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</si>
  <si>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</si>
  <si>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</si>
  <si>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</si>
  <si>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</si>
  <si>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</si>
  <si>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</si>
  <si>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</si>
  <si>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</si>
  <si>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</si>
  <si>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</si>
  <si>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</si>
  <si>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</si>
  <si>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</si>
  <si>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a ostatní rozpočtové náklady</t>
  </si>
  <si>
    <t>Vedlejší rozpočtové náklady VRN</t>
  </si>
  <si>
    <t>Doplňkové náklady DN</t>
  </si>
  <si>
    <t>Kč</t>
  </si>
  <si>
    <t>Základna</t>
  </si>
  <si>
    <t>Celkem DN</t>
  </si>
  <si>
    <t>Celkem NUS</t>
  </si>
  <si>
    <t>Celkem VRN</t>
  </si>
  <si>
    <t>Ostatní rozpočtové náklady ORN</t>
  </si>
  <si>
    <t>Ostatní rozpočtové náklady (ORN)</t>
  </si>
  <si>
    <t>Celkem ORN</t>
  </si>
  <si>
    <t>Doba výstavby (dny):</t>
  </si>
  <si>
    <t>skladba položky - malba - penetrace podkladu pod malbou - tepelněizolační vápenocementová omítka tl. 15 mm (jádrová omítka+ štuková omítka) - vnitřního začišťovací profil - rohová lišta, hloubka ostění do 300 mm</t>
  </si>
  <si>
    <t>bezpečnostní TI 3-sklo, mléčné provedení, Uw =0,9 W/m2.K, kování</t>
  </si>
  <si>
    <t>skladba položky: vnitřní parapet včetně krytek - vyrovnání podkladu, hloubka ostění do 300 mm</t>
  </si>
  <si>
    <t xml:space="preserve">dodávka a montáž oplechování parapetu včetně krytek, spojovacího materiálu a nalepení na podklad lepidlem. </t>
  </si>
  <si>
    <t>dodávka a montáž krytiny z velkoformátových tabulí, na latě a záklop, lakovaný žárově zinkovaný ocel. plech tl. 0,6 mm, povrchová úprava polyester, barva červeno-hnědé, kotvicí materiál, správková barva a těsnění</t>
  </si>
  <si>
    <t>Zateplovací systém (např. Baumit), fasáda, EPS F s grafitem, tl. 180 mm, omítkovina šedá</t>
  </si>
  <si>
    <t>Zateplovací systém (např. Baumit), fasáda, EPS F s grafitem, tl. 180 mm, omítkovina béžová</t>
  </si>
  <si>
    <t>Zateplovací systém (např. Baumit), sokl, XPS, tl. 160 mm</t>
  </si>
  <si>
    <t>Zateplovací systém (např. Baumit), ostění, EPS F s grafitem, tl. 30 mm, omítkovina šedá+béžová</t>
  </si>
  <si>
    <t>položka obsahuje: nanesení lepicího tmelu na izolační desky, nalepení desek, přebroušení desek, osazení lišt, natažení stěrky, vtlačení výztužné tkaniny, přehlazení stěrky, kontaktní nátěr a povrchovou úpravu omítkou. V položce je obsaženo 3,33 m rohových lišt, 1,67 m lišt s okapničkou, 5 m napojovacích lišt na m2 a 1,68 m2 výztužné tkaniny, součinitel tepelné vodivosti  izolantu 0,032 W/mK</t>
  </si>
  <si>
    <t>položka obsahuje: nanesení lepicího tmelu na izolační desky, nalepení desek, zajištění talířovými hmoždinkami (6 ks/m2), přebroušení desek, natažení stěrky, vtlačení výztužné tkaniny (1,15 m2/m2), přehlazení stěrky, kontaktní nátěr a povrchovou úpravu omítkou. V položce je obsaženo 0,14 m rohových lišt na m2, součinitel tepelné vodivosti izolantu 0,038 W/mK</t>
  </si>
  <si>
    <t>Soklová lišta hliníková pro kontaktní zateplovací systém (např. Baumit) tl. 180 mm</t>
  </si>
  <si>
    <t>položka obsahuje: nanesení lepicího tmelu na izolační desky, nalepení desek, zajištění talířovými hmoždinkami (6 ks/m2), přebroušení desek, natažení stěrky, vtlačení výztužné tkaniny (1,15 m2/m2), přehlazení stěrky, kontaktní nátěr a povrchovou úpravu omítkou. V položce je obsaženo 0,14 m rohových lišt na m2, součinitel tepelné vodivosti  izolantu 0,031 W/mK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</si>
</sst>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charset val="1"/>
    </font>
    <font>
      <sz val="18"/>
      <color rgb="FF000000"/>
      <name val="Arial"/>
      <charset val="238"/>
    </font>
    <font>
      <b/>
      <sz val="10"/>
      <color rgb="FF000000"/>
      <name val="Arial"/>
      <charset val="238"/>
    </font>
    <font>
      <sz val="10"/>
      <color rgb="FF000000"/>
      <name val="Arial"/>
      <charset val="238"/>
    </font>
    <font>
      <i/>
      <sz val="10"/>
      <color rgb="FF000000"/>
      <name val="Arial"/>
      <charset val="238"/>
    </font>
    <font>
      <i/>
      <sz val="8"/>
      <color rgb="FF000000"/>
      <name val="Arial"/>
      <charset val="238"/>
    </font>
    <font>
      <b/>
      <sz val="12"/>
      <color rgb="FF000000"/>
      <name val="Arial"/>
      <charset val="238"/>
    </font>
    <font>
      <b/>
      <sz val="1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4" fontId="2" fillId="2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4" fontId="2" fillId="2" borderId="35" xfId="0" applyNumberFormat="1" applyFont="1" applyFill="1" applyBorder="1" applyAlignment="1">
      <alignment horizontal="right" vertical="center"/>
    </xf>
    <xf numFmtId="9" fontId="2" fillId="2" borderId="35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36" xfId="0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9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5" xfId="0" applyBorder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37" xfId="0" applyBorder="1"/>
    <xf numFmtId="0" fontId="0" fillId="0" borderId="38" xfId="0" applyBorder="1"/>
    <xf numFmtId="0" fontId="4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4" fontId="2" fillId="0" borderId="4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4" fontId="3" fillId="0" borderId="35" xfId="0" applyNumberFormat="1" applyFont="1" applyBorder="1" applyAlignment="1">
      <alignment horizontal="right" vertical="center"/>
    </xf>
    <xf numFmtId="4" fontId="3" fillId="0" borderId="36" xfId="0" applyNumberFormat="1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4" fontId="3" fillId="0" borderId="38" xfId="0" applyNumberFormat="1" applyFont="1" applyBorder="1" applyAlignment="1">
      <alignment horizontal="right" vertical="center"/>
    </xf>
    <xf numFmtId="4" fontId="3" fillId="0" borderId="39" xfId="0" applyNumberFormat="1" applyFont="1" applyBorder="1" applyAlignment="1">
      <alignment horizontal="right" vertical="center"/>
    </xf>
    <xf numFmtId="0" fontId="5" fillId="0" borderId="35" xfId="0" applyFont="1" applyBorder="1" applyAlignment="1">
      <alignment horizontal="left" vertical="center"/>
    </xf>
    <xf numFmtId="0" fontId="2" fillId="0" borderId="75" xfId="0" applyFont="1" applyBorder="1" applyAlignment="1">
      <alignment horizontal="right" vertical="center"/>
    </xf>
    <xf numFmtId="4" fontId="3" fillId="0" borderId="52" xfId="0" applyNumberFormat="1" applyFont="1" applyBorder="1" applyAlignment="1">
      <alignment horizontal="right" vertical="center"/>
    </xf>
    <xf numFmtId="0" fontId="3" fillId="0" borderId="52" xfId="0" applyFont="1" applyBorder="1" applyAlignment="1">
      <alignment horizontal="left" vertical="center"/>
    </xf>
    <xf numFmtId="4" fontId="3" fillId="0" borderId="79" xfId="0" applyNumberFormat="1" applyFont="1" applyBorder="1" applyAlignment="1">
      <alignment horizontal="right" vertical="center"/>
    </xf>
    <xf numFmtId="0" fontId="3" fillId="0" borderId="79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83" xfId="0" applyFont="1" applyBorder="1" applyAlignment="1">
      <alignment horizontal="right" vertical="center"/>
    </xf>
    <xf numFmtId="4" fontId="2" fillId="0" borderId="83" xfId="0" applyNumberFormat="1" applyFont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4" fontId="8" fillId="0" borderId="52" xfId="0" applyNumberFormat="1" applyFont="1" applyBorder="1" applyAlignment="1">
      <alignment horizontal="right" vertical="center"/>
    </xf>
    <xf numFmtId="0" fontId="10" fillId="0" borderId="55" xfId="0" applyFont="1" applyBorder="1" applyAlignment="1">
      <alignment horizontal="left" vertical="center"/>
    </xf>
    <xf numFmtId="0" fontId="8" fillId="0" borderId="52" xfId="0" applyFont="1" applyBorder="1" applyAlignment="1">
      <alignment horizontal="right" vertical="center"/>
    </xf>
    <xf numFmtId="4" fontId="8" fillId="0" borderId="59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4" fontId="8" fillId="0" borderId="50" xfId="0" applyNumberFormat="1" applyFont="1" applyBorder="1" applyAlignment="1">
      <alignment horizontal="right" vertical="center"/>
    </xf>
    <xf numFmtId="0" fontId="11" fillId="0" borderId="0" xfId="0" applyFont="1"/>
    <xf numFmtId="4" fontId="10" fillId="2" borderId="49" xfId="0" applyNumberFormat="1" applyFont="1" applyFill="1" applyBorder="1" applyAlignment="1">
      <alignment horizontal="right" vertical="center"/>
    </xf>
    <xf numFmtId="4" fontId="10" fillId="2" borderId="54" xfId="0" applyNumberFormat="1" applyFont="1" applyFill="1" applyBorder="1" applyAlignment="1">
      <alignment horizontal="right" vertical="center"/>
    </xf>
    <xf numFmtId="4" fontId="8" fillId="0" borderId="85" xfId="0" applyNumberFormat="1" applyFont="1" applyBorder="1" applyAlignment="1">
      <alignment horizontal="right" vertical="center"/>
    </xf>
    <xf numFmtId="4" fontId="8" fillId="3" borderId="5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3" fillId="0" borderId="6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3" fillId="3" borderId="38" xfId="0" applyFont="1" applyFill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7" xfId="0" applyFont="1" applyBorder="1" applyAlignment="1">
      <alignment horizontal="left" vertical="center"/>
    </xf>
    <xf numFmtId="0" fontId="10" fillId="0" borderId="58" xfId="0" applyFont="1" applyBorder="1" applyAlignment="1">
      <alignment horizontal="left" vertical="center"/>
    </xf>
    <xf numFmtId="0" fontId="10" fillId="0" borderId="6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10" fillId="2" borderId="61" xfId="0" applyFont="1" applyFill="1" applyBorder="1" applyAlignment="1">
      <alignment horizontal="left" vertical="center"/>
    </xf>
    <xf numFmtId="0" fontId="10" fillId="2" borderId="62" xfId="0" applyFont="1" applyFill="1" applyBorder="1" applyAlignment="1">
      <alignment horizontal="left" vertical="center"/>
    </xf>
    <xf numFmtId="0" fontId="10" fillId="2" borderId="56" xfId="0" applyFont="1" applyFill="1" applyBorder="1" applyAlignment="1">
      <alignment horizontal="left" vertical="center"/>
    </xf>
    <xf numFmtId="0" fontId="10" fillId="2" borderId="63" xfId="0" applyFont="1" applyFill="1" applyBorder="1" applyAlignment="1">
      <alignment horizontal="left" vertical="center"/>
    </xf>
    <xf numFmtId="0" fontId="10" fillId="2" borderId="48" xfId="0" applyFont="1" applyFill="1" applyBorder="1" applyAlignment="1">
      <alignment horizontal="left" vertical="center"/>
    </xf>
    <xf numFmtId="0" fontId="10" fillId="2" borderId="53" xfId="0" applyFont="1" applyFill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8" fillId="0" borderId="66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74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8" fillId="0" borderId="7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68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6" fillId="0" borderId="80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4" fontId="6" fillId="0" borderId="84" xfId="0" applyNumberFormat="1" applyFont="1" applyBorder="1" applyAlignment="1">
      <alignment horizontal="right" vertical="center"/>
    </xf>
    <xf numFmtId="0" fontId="6" fillId="0" borderId="81" xfId="0" applyFont="1" applyBorder="1" applyAlignment="1">
      <alignment horizontal="right" vertical="center"/>
    </xf>
    <xf numFmtId="0" fontId="6" fillId="0" borderId="8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146"/>
  <sheetViews>
    <sheetView topLeftCell="A113" workbookViewId="0">
      <selection activeCell="D143" sqref="D143:Q143"/>
    </sheetView>
  </sheetViews>
  <sheetFormatPr defaultColWidth="12.140625" defaultRowHeight="15" customHeight="1" x14ac:dyDescent="0.25"/>
  <cols>
    <col min="1" max="1" width="4" customWidth="1"/>
    <col min="2" max="2" width="7.5703125" customWidth="1"/>
    <col min="3" max="3" width="15.7109375" customWidth="1"/>
    <col min="4" max="4" width="42.85546875" customWidth="1"/>
    <col min="5" max="5" width="35.7109375" customWidth="1"/>
    <col min="6" max="6" width="6.42578125" customWidth="1"/>
    <col min="7" max="7" width="12.85546875" customWidth="1"/>
    <col min="8" max="8" width="12" customWidth="1"/>
    <col min="9" max="9" width="11.140625" customWidth="1"/>
    <col min="10" max="12" width="15.7109375" customWidth="1"/>
    <col min="13" max="13" width="15.7109375" hidden="1" customWidth="1"/>
    <col min="14" max="14" width="7.140625" customWidth="1"/>
    <col min="15" max="16" width="11.7109375" customWidth="1"/>
    <col min="17" max="17" width="13.42578125" customWidth="1"/>
    <col min="25" max="75" width="12.140625" hidden="1"/>
    <col min="76" max="76" width="78.5703125" hidden="1" customWidth="1"/>
    <col min="77" max="78" width="12.140625" hidden="1"/>
  </cols>
  <sheetData>
    <row r="1" spans="1:76" ht="54.7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AS1" s="1">
        <f>SUM(AJ1:AJ2)</f>
        <v>0</v>
      </c>
      <c r="AT1" s="1">
        <f>SUM(AK1:AK2)</f>
        <v>0</v>
      </c>
      <c r="AU1" s="1">
        <f>SUM(AL1:AL2)</f>
        <v>0</v>
      </c>
    </row>
    <row r="2" spans="1:76" x14ac:dyDescent="0.25">
      <c r="A2" s="93" t="s">
        <v>1</v>
      </c>
      <c r="B2" s="94"/>
      <c r="C2" s="94"/>
      <c r="D2" s="104" t="s">
        <v>2</v>
      </c>
      <c r="E2" s="105"/>
      <c r="F2" s="147" t="s">
        <v>421</v>
      </c>
      <c r="G2" s="94"/>
      <c r="H2" s="161"/>
      <c r="I2" s="99" t="s">
        <v>3</v>
      </c>
      <c r="J2" s="99" t="s">
        <v>4</v>
      </c>
      <c r="K2" s="94"/>
      <c r="L2" s="94"/>
      <c r="M2" s="94"/>
      <c r="N2" s="94"/>
      <c r="O2" s="94"/>
      <c r="P2" s="94"/>
      <c r="Q2" s="101"/>
    </row>
    <row r="3" spans="1:76" x14ac:dyDescent="0.25">
      <c r="A3" s="95"/>
      <c r="B3" s="96"/>
      <c r="C3" s="96"/>
      <c r="D3" s="106"/>
      <c r="E3" s="106"/>
      <c r="F3" s="96"/>
      <c r="G3" s="96"/>
      <c r="H3" s="108"/>
      <c r="I3" s="96"/>
      <c r="J3" s="96"/>
      <c r="K3" s="96"/>
      <c r="L3" s="96"/>
      <c r="M3" s="96"/>
      <c r="N3" s="96"/>
      <c r="O3" s="96"/>
      <c r="P3" s="96"/>
      <c r="Q3" s="102"/>
    </row>
    <row r="4" spans="1:76" x14ac:dyDescent="0.25">
      <c r="A4" s="97" t="s">
        <v>5</v>
      </c>
      <c r="B4" s="96"/>
      <c r="C4" s="96"/>
      <c r="D4" s="100" t="s">
        <v>6</v>
      </c>
      <c r="E4" s="96"/>
      <c r="F4" s="96" t="s">
        <v>7</v>
      </c>
      <c r="G4" s="96"/>
      <c r="H4" s="96" t="s">
        <v>8</v>
      </c>
      <c r="I4" s="100" t="s">
        <v>9</v>
      </c>
      <c r="J4" s="100" t="s">
        <v>10</v>
      </c>
      <c r="K4" s="96"/>
      <c r="L4" s="96"/>
      <c r="M4" s="96"/>
      <c r="N4" s="96"/>
      <c r="O4" s="96"/>
      <c r="P4" s="96"/>
      <c r="Q4" s="102"/>
    </row>
    <row r="5" spans="1:76" x14ac:dyDescent="0.25">
      <c r="A5" s="95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102"/>
    </row>
    <row r="6" spans="1:76" x14ac:dyDescent="0.25">
      <c r="A6" s="97" t="s">
        <v>11</v>
      </c>
      <c r="B6" s="96"/>
      <c r="C6" s="96"/>
      <c r="D6" s="100" t="s">
        <v>12</v>
      </c>
      <c r="E6" s="96"/>
      <c r="F6" s="96" t="s">
        <v>13</v>
      </c>
      <c r="G6" s="96"/>
      <c r="H6" s="96"/>
      <c r="I6" s="100" t="s">
        <v>14</v>
      </c>
      <c r="J6" s="100" t="s">
        <v>15</v>
      </c>
      <c r="K6" s="96"/>
      <c r="L6" s="96"/>
      <c r="M6" s="96"/>
      <c r="N6" s="96"/>
      <c r="O6" s="96"/>
      <c r="P6" s="96"/>
      <c r="Q6" s="102"/>
    </row>
    <row r="7" spans="1:76" x14ac:dyDescent="0.25">
      <c r="A7" s="95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102"/>
    </row>
    <row r="8" spans="1:76" x14ac:dyDescent="0.25">
      <c r="A8" s="97" t="s">
        <v>16</v>
      </c>
      <c r="B8" s="96"/>
      <c r="C8" s="96"/>
      <c r="D8" s="100" t="s">
        <v>17</v>
      </c>
      <c r="E8" s="96"/>
      <c r="F8" s="96" t="s">
        <v>18</v>
      </c>
      <c r="G8" s="96"/>
      <c r="H8" s="108"/>
      <c r="I8" s="100" t="s">
        <v>19</v>
      </c>
      <c r="J8" s="107"/>
      <c r="K8" s="108"/>
      <c r="L8" s="108"/>
      <c r="M8" s="108"/>
      <c r="N8" s="108"/>
      <c r="O8" s="108"/>
      <c r="P8" s="108"/>
      <c r="Q8" s="156"/>
    </row>
    <row r="9" spans="1:76" x14ac:dyDescent="0.25">
      <c r="A9" s="145"/>
      <c r="B9" s="146"/>
      <c r="C9" s="146"/>
      <c r="D9" s="146"/>
      <c r="E9" s="146"/>
      <c r="F9" s="146"/>
      <c r="G9" s="146"/>
      <c r="H9" s="157"/>
      <c r="I9" s="146"/>
      <c r="J9" s="157"/>
      <c r="K9" s="157"/>
      <c r="L9" s="157"/>
      <c r="M9" s="157"/>
      <c r="N9" s="157"/>
      <c r="O9" s="157"/>
      <c r="P9" s="157"/>
      <c r="Q9" s="158"/>
    </row>
    <row r="10" spans="1:76" x14ac:dyDescent="0.25">
      <c r="A10" s="5" t="s">
        <v>20</v>
      </c>
      <c r="B10" s="6" t="s">
        <v>21</v>
      </c>
      <c r="C10" s="6" t="s">
        <v>22</v>
      </c>
      <c r="D10" s="159" t="s">
        <v>23</v>
      </c>
      <c r="E10" s="160"/>
      <c r="F10" s="6" t="s">
        <v>24</v>
      </c>
      <c r="G10" s="7" t="s">
        <v>25</v>
      </c>
      <c r="H10" s="8" t="s">
        <v>26</v>
      </c>
      <c r="I10" s="9" t="s">
        <v>27</v>
      </c>
      <c r="J10" s="150" t="s">
        <v>28</v>
      </c>
      <c r="K10" s="151"/>
      <c r="L10" s="152"/>
      <c r="M10" s="10" t="s">
        <v>28</v>
      </c>
      <c r="N10" s="9" t="s">
        <v>29</v>
      </c>
      <c r="O10" s="150" t="s">
        <v>30</v>
      </c>
      <c r="P10" s="153"/>
      <c r="Q10" s="11" t="s">
        <v>31</v>
      </c>
      <c r="BK10" s="12" t="s">
        <v>32</v>
      </c>
      <c r="BL10" s="13" t="s">
        <v>33</v>
      </c>
      <c r="BW10" s="13" t="s">
        <v>34</v>
      </c>
    </row>
    <row r="11" spans="1:76" x14ac:dyDescent="0.25">
      <c r="A11" s="14" t="s">
        <v>8</v>
      </c>
      <c r="B11" s="15" t="s">
        <v>8</v>
      </c>
      <c r="C11" s="15" t="s">
        <v>8</v>
      </c>
      <c r="D11" s="148" t="s">
        <v>35</v>
      </c>
      <c r="E11" s="149"/>
      <c r="F11" s="15" t="s">
        <v>8</v>
      </c>
      <c r="G11" s="15" t="s">
        <v>8</v>
      </c>
      <c r="H11" s="16" t="s">
        <v>36</v>
      </c>
      <c r="I11" s="17" t="s">
        <v>8</v>
      </c>
      <c r="J11" s="18" t="s">
        <v>37</v>
      </c>
      <c r="K11" s="19" t="s">
        <v>38</v>
      </c>
      <c r="L11" s="20" t="s">
        <v>39</v>
      </c>
      <c r="M11" s="21" t="s">
        <v>40</v>
      </c>
      <c r="N11" s="22" t="s">
        <v>8</v>
      </c>
      <c r="O11" s="18" t="s">
        <v>41</v>
      </c>
      <c r="P11" s="23" t="s">
        <v>39</v>
      </c>
      <c r="Q11" s="24" t="s">
        <v>42</v>
      </c>
      <c r="Z11" s="12" t="s">
        <v>43</v>
      </c>
      <c r="AA11" s="12" t="s">
        <v>44</v>
      </c>
      <c r="AB11" s="12" t="s">
        <v>45</v>
      </c>
      <c r="AC11" s="12" t="s">
        <v>46</v>
      </c>
      <c r="AD11" s="12" t="s">
        <v>47</v>
      </c>
      <c r="AE11" s="12" t="s">
        <v>48</v>
      </c>
      <c r="AF11" s="12" t="s">
        <v>49</v>
      </c>
      <c r="AG11" s="12" t="s">
        <v>50</v>
      </c>
      <c r="AH11" s="12" t="s">
        <v>51</v>
      </c>
      <c r="BH11" s="12" t="s">
        <v>52</v>
      </c>
      <c r="BI11" s="12" t="s">
        <v>53</v>
      </c>
      <c r="BJ11" s="12" t="s">
        <v>54</v>
      </c>
    </row>
    <row r="12" spans="1:76" x14ac:dyDescent="0.25">
      <c r="A12" s="25" t="s">
        <v>55</v>
      </c>
      <c r="B12" s="26" t="s">
        <v>55</v>
      </c>
      <c r="C12" s="26" t="s">
        <v>56</v>
      </c>
      <c r="D12" s="154" t="s">
        <v>57</v>
      </c>
      <c r="E12" s="155"/>
      <c r="F12" s="27" t="s">
        <v>8</v>
      </c>
      <c r="G12" s="27" t="s">
        <v>8</v>
      </c>
      <c r="H12" s="27" t="s">
        <v>8</v>
      </c>
      <c r="I12" s="27" t="s">
        <v>8</v>
      </c>
      <c r="J12" s="28">
        <f>SUM(J13:J15)</f>
        <v>0</v>
      </c>
      <c r="K12" s="28">
        <f>SUM(K13:K15)</f>
        <v>0</v>
      </c>
      <c r="L12" s="28">
        <f>SUM(L13:L15)</f>
        <v>0</v>
      </c>
      <c r="M12" s="28">
        <f>SUM(M13:M15)</f>
        <v>0</v>
      </c>
      <c r="N12" s="29">
        <f>IF(L144=0,0,L12/L144)</f>
        <v>0</v>
      </c>
      <c r="O12" s="30" t="s">
        <v>55</v>
      </c>
      <c r="P12" s="28">
        <f>SUM(P13:P15)</f>
        <v>29.3007922</v>
      </c>
      <c r="Q12" s="31" t="s">
        <v>55</v>
      </c>
      <c r="AI12" s="12" t="s">
        <v>55</v>
      </c>
      <c r="AS12" s="1">
        <f>SUM(AJ13:AJ15)</f>
        <v>0</v>
      </c>
      <c r="AT12" s="1">
        <f>SUM(AK13:AK15)</f>
        <v>0</v>
      </c>
      <c r="AU12" s="1">
        <f>SUM(AL13:AL15)</f>
        <v>0</v>
      </c>
    </row>
    <row r="13" spans="1:76" x14ac:dyDescent="0.25">
      <c r="A13" s="2" t="s">
        <v>58</v>
      </c>
      <c r="B13" s="3" t="s">
        <v>55</v>
      </c>
      <c r="C13" s="3" t="s">
        <v>59</v>
      </c>
      <c r="D13" s="100" t="s">
        <v>60</v>
      </c>
      <c r="E13" s="96"/>
      <c r="F13" s="3" t="s">
        <v>61</v>
      </c>
      <c r="G13" s="32">
        <v>26.42</v>
      </c>
      <c r="H13" s="75">
        <v>0</v>
      </c>
      <c r="I13" s="33">
        <v>21</v>
      </c>
      <c r="J13" s="32">
        <f>ROUND(G13*AO13,2)</f>
        <v>0</v>
      </c>
      <c r="K13" s="32">
        <f>ROUND(G13*AP13,2)</f>
        <v>0</v>
      </c>
      <c r="L13" s="32">
        <f>ROUND(G13*H13,2)</f>
        <v>0</v>
      </c>
      <c r="M13" s="32">
        <f>L13*(1+BW13/100)</f>
        <v>0</v>
      </c>
      <c r="N13" s="34">
        <f>IF(L144=0,0,L13/L144)</f>
        <v>0</v>
      </c>
      <c r="O13" s="32">
        <v>0.59140999999999999</v>
      </c>
      <c r="P13" s="32">
        <f>G13*O13</f>
        <v>15.625052200000001</v>
      </c>
      <c r="Q13" s="35" t="s">
        <v>62</v>
      </c>
      <c r="Z13" s="32">
        <f>ROUND(IF(AQ13="5",BJ13,0),2)</f>
        <v>0</v>
      </c>
      <c r="AB13" s="32">
        <f>ROUND(IF(AQ13="1",BH13,0),2)</f>
        <v>0</v>
      </c>
      <c r="AC13" s="32">
        <f>ROUND(IF(AQ13="1",BI13,0),2)</f>
        <v>0</v>
      </c>
      <c r="AD13" s="32">
        <f>ROUND(IF(AQ13="7",BH13,0),2)</f>
        <v>0</v>
      </c>
      <c r="AE13" s="32">
        <f>ROUND(IF(AQ13="7",BI13,0),2)</f>
        <v>0</v>
      </c>
      <c r="AF13" s="32">
        <f>ROUND(IF(AQ13="2",BH13,0),2)</f>
        <v>0</v>
      </c>
      <c r="AG13" s="32">
        <f>ROUND(IF(AQ13="2",BI13,0),2)</f>
        <v>0</v>
      </c>
      <c r="AH13" s="32">
        <f>ROUND(IF(AQ13="0",BJ13,0),2)</f>
        <v>0</v>
      </c>
      <c r="AI13" s="12" t="s">
        <v>55</v>
      </c>
      <c r="AJ13" s="32">
        <f>IF(AN13=0,L13,0)</f>
        <v>0</v>
      </c>
      <c r="AK13" s="32">
        <f>IF(AN13=12,L13,0)</f>
        <v>0</v>
      </c>
      <c r="AL13" s="32">
        <f>IF(AN13=21,L13,0)</f>
        <v>0</v>
      </c>
      <c r="AN13" s="32">
        <v>21</v>
      </c>
      <c r="AO13" s="32">
        <f>H13*0.550490543</f>
        <v>0</v>
      </c>
      <c r="AP13" s="32">
        <f>H13*(1-0.550490543)</f>
        <v>0</v>
      </c>
      <c r="AQ13" s="36" t="s">
        <v>58</v>
      </c>
      <c r="AV13" s="32">
        <f>ROUND(AW13+AX13,2)</f>
        <v>0</v>
      </c>
      <c r="AW13" s="32">
        <f>ROUND(G13*AO13,2)</f>
        <v>0</v>
      </c>
      <c r="AX13" s="32">
        <f>ROUND(G13*AP13,2)</f>
        <v>0</v>
      </c>
      <c r="AY13" s="36" t="s">
        <v>63</v>
      </c>
      <c r="AZ13" s="36" t="s">
        <v>64</v>
      </c>
      <c r="BA13" s="12" t="s">
        <v>65</v>
      </c>
      <c r="BC13" s="32">
        <f>AW13+AX13</f>
        <v>0</v>
      </c>
      <c r="BD13" s="32">
        <f>H13/(100-BE13)*100</f>
        <v>0</v>
      </c>
      <c r="BE13" s="32">
        <v>0</v>
      </c>
      <c r="BF13" s="32">
        <f>P13</f>
        <v>15.625052200000001</v>
      </c>
      <c r="BH13" s="32">
        <f>G13*AO13</f>
        <v>0</v>
      </c>
      <c r="BI13" s="32">
        <f>G13*AP13</f>
        <v>0</v>
      </c>
      <c r="BJ13" s="32">
        <f>G13*H13</f>
        <v>0</v>
      </c>
      <c r="BK13" s="36" t="s">
        <v>66</v>
      </c>
      <c r="BL13" s="32">
        <v>59</v>
      </c>
      <c r="BW13" s="32">
        <f>I13</f>
        <v>21</v>
      </c>
      <c r="BX13" s="4" t="s">
        <v>60</v>
      </c>
    </row>
    <row r="14" spans="1:76" ht="13.5" customHeight="1" x14ac:dyDescent="0.25">
      <c r="A14" s="37"/>
      <c r="C14" s="38"/>
      <c r="D14" s="162" t="s">
        <v>67</v>
      </c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4"/>
    </row>
    <row r="15" spans="1:76" x14ac:dyDescent="0.25">
      <c r="A15" s="2" t="s">
        <v>68</v>
      </c>
      <c r="B15" s="3" t="s">
        <v>55</v>
      </c>
      <c r="C15" s="3" t="s">
        <v>69</v>
      </c>
      <c r="D15" s="100" t="s">
        <v>70</v>
      </c>
      <c r="E15" s="96"/>
      <c r="F15" s="3" t="s">
        <v>61</v>
      </c>
      <c r="G15" s="32">
        <v>22.25</v>
      </c>
      <c r="H15" s="75">
        <v>0</v>
      </c>
      <c r="I15" s="33">
        <v>21</v>
      </c>
      <c r="J15" s="32">
        <f>ROUND(G15*AO15,2)</f>
        <v>0</v>
      </c>
      <c r="K15" s="32">
        <f>ROUND(G15*AP15,2)</f>
        <v>0</v>
      </c>
      <c r="L15" s="32">
        <f>ROUND(G15*H15,2)</f>
        <v>0</v>
      </c>
      <c r="M15" s="32">
        <f>L15*(1+BW15/100)</f>
        <v>0</v>
      </c>
      <c r="N15" s="34">
        <f>IF(L144=0,0,L15/L144)</f>
        <v>0</v>
      </c>
      <c r="O15" s="32">
        <v>0.61463999999999996</v>
      </c>
      <c r="P15" s="32">
        <f>G15*O15</f>
        <v>13.675739999999999</v>
      </c>
      <c r="Q15" s="35" t="s">
        <v>62</v>
      </c>
      <c r="Z15" s="32">
        <f>ROUND(IF(AQ15="5",BJ15,0),2)</f>
        <v>0</v>
      </c>
      <c r="AB15" s="32">
        <f>ROUND(IF(AQ15="1",BH15,0),2)</f>
        <v>0</v>
      </c>
      <c r="AC15" s="32">
        <f>ROUND(IF(AQ15="1",BI15,0),2)</f>
        <v>0</v>
      </c>
      <c r="AD15" s="32">
        <f>ROUND(IF(AQ15="7",BH15,0),2)</f>
        <v>0</v>
      </c>
      <c r="AE15" s="32">
        <f>ROUND(IF(AQ15="7",BI15,0),2)</f>
        <v>0</v>
      </c>
      <c r="AF15" s="32">
        <f>ROUND(IF(AQ15="2",BH15,0),2)</f>
        <v>0</v>
      </c>
      <c r="AG15" s="32">
        <f>ROUND(IF(AQ15="2",BI15,0),2)</f>
        <v>0</v>
      </c>
      <c r="AH15" s="32">
        <f>ROUND(IF(AQ15="0",BJ15,0),2)</f>
        <v>0</v>
      </c>
      <c r="AI15" s="12" t="s">
        <v>55</v>
      </c>
      <c r="AJ15" s="32">
        <f>IF(AN15=0,L15,0)</f>
        <v>0</v>
      </c>
      <c r="AK15" s="32">
        <f>IF(AN15=12,L15,0)</f>
        <v>0</v>
      </c>
      <c r="AL15" s="32">
        <f>IF(AN15=21,L15,0)</f>
        <v>0</v>
      </c>
      <c r="AN15" s="32">
        <v>21</v>
      </c>
      <c r="AO15" s="32">
        <f>H15*0.562677395</f>
        <v>0</v>
      </c>
      <c r="AP15" s="32">
        <f>H15*(1-0.562677395)</f>
        <v>0</v>
      </c>
      <c r="AQ15" s="36" t="s">
        <v>58</v>
      </c>
      <c r="AV15" s="32">
        <f>ROUND(AW15+AX15,2)</f>
        <v>0</v>
      </c>
      <c r="AW15" s="32">
        <f>ROUND(G15*AO15,2)</f>
        <v>0</v>
      </c>
      <c r="AX15" s="32">
        <f>ROUND(G15*AP15,2)</f>
        <v>0</v>
      </c>
      <c r="AY15" s="36" t="s">
        <v>63</v>
      </c>
      <c r="AZ15" s="36" t="s">
        <v>64</v>
      </c>
      <c r="BA15" s="12" t="s">
        <v>65</v>
      </c>
      <c r="BC15" s="32">
        <f>AW15+AX15</f>
        <v>0</v>
      </c>
      <c r="BD15" s="32">
        <f>H15/(100-BE15)*100</f>
        <v>0</v>
      </c>
      <c r="BE15" s="32">
        <v>0</v>
      </c>
      <c r="BF15" s="32">
        <f>P15</f>
        <v>13.675739999999999</v>
      </c>
      <c r="BH15" s="32">
        <f>G15*AO15</f>
        <v>0</v>
      </c>
      <c r="BI15" s="32">
        <f>G15*AP15</f>
        <v>0</v>
      </c>
      <c r="BJ15" s="32">
        <f>G15*H15</f>
        <v>0</v>
      </c>
      <c r="BK15" s="36" t="s">
        <v>66</v>
      </c>
      <c r="BL15" s="32">
        <v>59</v>
      </c>
      <c r="BW15" s="32">
        <f>I15</f>
        <v>21</v>
      </c>
      <c r="BX15" s="4" t="s">
        <v>70</v>
      </c>
    </row>
    <row r="16" spans="1:76" ht="13.5" customHeight="1" x14ac:dyDescent="0.25">
      <c r="A16" s="37"/>
      <c r="C16" s="38"/>
      <c r="D16" s="162" t="s">
        <v>71</v>
      </c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4"/>
    </row>
    <row r="17" spans="1:76" x14ac:dyDescent="0.25">
      <c r="A17" s="40" t="s">
        <v>55</v>
      </c>
      <c r="B17" s="41" t="s">
        <v>55</v>
      </c>
      <c r="C17" s="41" t="s">
        <v>72</v>
      </c>
      <c r="D17" s="165" t="s">
        <v>73</v>
      </c>
      <c r="E17" s="166"/>
      <c r="F17" s="42" t="s">
        <v>8</v>
      </c>
      <c r="G17" s="42" t="s">
        <v>8</v>
      </c>
      <c r="H17" s="42" t="s">
        <v>8</v>
      </c>
      <c r="I17" s="42" t="s">
        <v>8</v>
      </c>
      <c r="J17" s="1">
        <f>SUM(J18:J18)</f>
        <v>0</v>
      </c>
      <c r="K17" s="1">
        <f>SUM(K18:K18)</f>
        <v>0</v>
      </c>
      <c r="L17" s="1">
        <f>SUM(L18:L18)</f>
        <v>0</v>
      </c>
      <c r="M17" s="1">
        <f>SUM(M18:M18)</f>
        <v>0</v>
      </c>
      <c r="N17" s="43">
        <f>IF(L144=0,0,L17/L144)</f>
        <v>0</v>
      </c>
      <c r="O17" s="12" t="s">
        <v>55</v>
      </c>
      <c r="P17" s="1">
        <f>SUM(P18:P18)</f>
        <v>6.1022000000000007</v>
      </c>
      <c r="Q17" s="44" t="s">
        <v>55</v>
      </c>
      <c r="AI17" s="12" t="s">
        <v>55</v>
      </c>
      <c r="AS17" s="1">
        <f>SUM(AJ18:AJ18)</f>
        <v>0</v>
      </c>
      <c r="AT17" s="1">
        <f>SUM(AK18:AK18)</f>
        <v>0</v>
      </c>
      <c r="AU17" s="1">
        <f>SUM(AL18:AL18)</f>
        <v>0</v>
      </c>
    </row>
    <row r="18" spans="1:76" x14ac:dyDescent="0.25">
      <c r="A18" s="2" t="s">
        <v>74</v>
      </c>
      <c r="B18" s="3" t="s">
        <v>55</v>
      </c>
      <c r="C18" s="3" t="s">
        <v>75</v>
      </c>
      <c r="D18" s="100" t="s">
        <v>76</v>
      </c>
      <c r="E18" s="96"/>
      <c r="F18" s="3" t="s">
        <v>61</v>
      </c>
      <c r="G18" s="32">
        <v>65</v>
      </c>
      <c r="H18" s="75">
        <v>0</v>
      </c>
      <c r="I18" s="33">
        <v>21</v>
      </c>
      <c r="J18" s="32">
        <f>ROUND(G18*AO18,2)</f>
        <v>0</v>
      </c>
      <c r="K18" s="32">
        <f>ROUND(G18*AP18,2)</f>
        <v>0</v>
      </c>
      <c r="L18" s="32">
        <f>ROUND(G18*H18,2)</f>
        <v>0</v>
      </c>
      <c r="M18" s="32">
        <f>L18*(1+BW18/100)</f>
        <v>0</v>
      </c>
      <c r="N18" s="34">
        <f>IF(L144=0,0,L18/L144)</f>
        <v>0</v>
      </c>
      <c r="O18" s="32">
        <v>9.3880000000000005E-2</v>
      </c>
      <c r="P18" s="32">
        <f>G18*O18</f>
        <v>6.1022000000000007</v>
      </c>
      <c r="Q18" s="35" t="s">
        <v>62</v>
      </c>
      <c r="Z18" s="32">
        <f>ROUND(IF(AQ18="5",BJ18,0),2)</f>
        <v>0</v>
      </c>
      <c r="AB18" s="32">
        <f>ROUND(IF(AQ18="1",BH18,0),2)</f>
        <v>0</v>
      </c>
      <c r="AC18" s="32">
        <f>ROUND(IF(AQ18="1",BI18,0),2)</f>
        <v>0</v>
      </c>
      <c r="AD18" s="32">
        <f>ROUND(IF(AQ18="7",BH18,0),2)</f>
        <v>0</v>
      </c>
      <c r="AE18" s="32">
        <f>ROUND(IF(AQ18="7",BI18,0),2)</f>
        <v>0</v>
      </c>
      <c r="AF18" s="32">
        <f>ROUND(IF(AQ18="2",BH18,0),2)</f>
        <v>0</v>
      </c>
      <c r="AG18" s="32">
        <f>ROUND(IF(AQ18="2",BI18,0),2)</f>
        <v>0</v>
      </c>
      <c r="AH18" s="32">
        <f>ROUND(IF(AQ18="0",BJ18,0),2)</f>
        <v>0</v>
      </c>
      <c r="AI18" s="12" t="s">
        <v>55</v>
      </c>
      <c r="AJ18" s="32">
        <f>IF(AN18=0,L18,0)</f>
        <v>0</v>
      </c>
      <c r="AK18" s="32">
        <f>IF(AN18=12,L18,0)</f>
        <v>0</v>
      </c>
      <c r="AL18" s="32">
        <f>IF(AN18=21,L18,0)</f>
        <v>0</v>
      </c>
      <c r="AN18" s="32">
        <v>21</v>
      </c>
      <c r="AO18" s="32">
        <f>H18*0.075631142</f>
        <v>0</v>
      </c>
      <c r="AP18" s="32">
        <f>H18*(1-0.075631142)</f>
        <v>0</v>
      </c>
      <c r="AQ18" s="36" t="s">
        <v>58</v>
      </c>
      <c r="AV18" s="32">
        <f>ROUND(AW18+AX18,2)</f>
        <v>0</v>
      </c>
      <c r="AW18" s="32">
        <f>ROUND(G18*AO18,2)</f>
        <v>0</v>
      </c>
      <c r="AX18" s="32">
        <f>ROUND(G18*AP18,2)</f>
        <v>0</v>
      </c>
      <c r="AY18" s="36" t="s">
        <v>77</v>
      </c>
      <c r="AZ18" s="36" t="s">
        <v>78</v>
      </c>
      <c r="BA18" s="12" t="s">
        <v>65</v>
      </c>
      <c r="BC18" s="32">
        <f>AW18+AX18</f>
        <v>0</v>
      </c>
      <c r="BD18" s="32">
        <f>H18/(100-BE18)*100</f>
        <v>0</v>
      </c>
      <c r="BE18" s="32">
        <v>0</v>
      </c>
      <c r="BF18" s="32">
        <f>P18</f>
        <v>6.1022000000000007</v>
      </c>
      <c r="BH18" s="32">
        <f>G18*AO18</f>
        <v>0</v>
      </c>
      <c r="BI18" s="32">
        <f>G18*AP18</f>
        <v>0</v>
      </c>
      <c r="BJ18" s="32">
        <f>G18*H18</f>
        <v>0</v>
      </c>
      <c r="BK18" s="36" t="s">
        <v>66</v>
      </c>
      <c r="BL18" s="32">
        <v>61</v>
      </c>
      <c r="BW18" s="32">
        <f>I18</f>
        <v>21</v>
      </c>
      <c r="BX18" s="4" t="s">
        <v>76</v>
      </c>
    </row>
    <row r="19" spans="1:76" ht="13.5" customHeight="1" x14ac:dyDescent="0.25">
      <c r="A19" s="37"/>
      <c r="C19" s="38"/>
      <c r="D19" s="162" t="s">
        <v>79</v>
      </c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4"/>
    </row>
    <row r="20" spans="1:76" x14ac:dyDescent="0.25">
      <c r="A20" s="40" t="s">
        <v>55</v>
      </c>
      <c r="B20" s="41" t="s">
        <v>55</v>
      </c>
      <c r="C20" s="41" t="s">
        <v>80</v>
      </c>
      <c r="D20" s="165" t="s">
        <v>81</v>
      </c>
      <c r="E20" s="166"/>
      <c r="F20" s="42" t="s">
        <v>8</v>
      </c>
      <c r="G20" s="42" t="s">
        <v>8</v>
      </c>
      <c r="H20" s="42" t="s">
        <v>8</v>
      </c>
      <c r="I20" s="42" t="s">
        <v>8</v>
      </c>
      <c r="J20" s="1">
        <f>SUM(J21:J23)</f>
        <v>0</v>
      </c>
      <c r="K20" s="1">
        <f>SUM(K21:K23)</f>
        <v>0</v>
      </c>
      <c r="L20" s="1">
        <f>SUM(L21:L23)</f>
        <v>0</v>
      </c>
      <c r="M20" s="1">
        <f>SUM(M21:M23)</f>
        <v>0</v>
      </c>
      <c r="N20" s="43">
        <f>IF(L144=0,0,L20/L144)</f>
        <v>0</v>
      </c>
      <c r="O20" s="12" t="s">
        <v>55</v>
      </c>
      <c r="P20" s="1">
        <f>SUM(P21:P23)</f>
        <v>9.6720182000000001</v>
      </c>
      <c r="Q20" s="44" t="s">
        <v>55</v>
      </c>
      <c r="AI20" s="12" t="s">
        <v>55</v>
      </c>
      <c r="AS20" s="1">
        <f>SUM(AJ21:AJ23)</f>
        <v>0</v>
      </c>
      <c r="AT20" s="1">
        <f>SUM(AK21:AK23)</f>
        <v>0</v>
      </c>
      <c r="AU20" s="1">
        <f>SUM(AL21:AL23)</f>
        <v>0</v>
      </c>
    </row>
    <row r="21" spans="1:76" x14ac:dyDescent="0.25">
      <c r="A21" s="2" t="s">
        <v>82</v>
      </c>
      <c r="B21" s="3" t="s">
        <v>55</v>
      </c>
      <c r="C21" s="3" t="s">
        <v>83</v>
      </c>
      <c r="D21" s="100" t="s">
        <v>84</v>
      </c>
      <c r="E21" s="96"/>
      <c r="F21" s="3" t="s">
        <v>61</v>
      </c>
      <c r="G21" s="32">
        <v>509.59</v>
      </c>
      <c r="H21" s="75">
        <v>0</v>
      </c>
      <c r="I21" s="33">
        <v>21</v>
      </c>
      <c r="J21" s="32">
        <f>ROUND(G21*AO21,2)</f>
        <v>0</v>
      </c>
      <c r="K21" s="32">
        <f>ROUND(G21*AP21,2)</f>
        <v>0</v>
      </c>
      <c r="L21" s="32">
        <f>ROUND(G21*H21,2)</f>
        <v>0</v>
      </c>
      <c r="M21" s="32">
        <f>L21*(1+BW21/100)</f>
        <v>0</v>
      </c>
      <c r="N21" s="34">
        <f>IF(L144=0,0,L21/L144)</f>
        <v>0</v>
      </c>
      <c r="O21" s="32">
        <v>1.8380000000000001E-2</v>
      </c>
      <c r="P21" s="32">
        <f>G21*O21</f>
        <v>9.3662641999999998</v>
      </c>
      <c r="Q21" s="35" t="s">
        <v>62</v>
      </c>
      <c r="Z21" s="32">
        <f>ROUND(IF(AQ21="5",BJ21,0),2)</f>
        <v>0</v>
      </c>
      <c r="AB21" s="32">
        <f>ROUND(IF(AQ21="1",BH21,0),2)</f>
        <v>0</v>
      </c>
      <c r="AC21" s="32">
        <f>ROUND(IF(AQ21="1",BI21,0),2)</f>
        <v>0</v>
      </c>
      <c r="AD21" s="32">
        <f>ROUND(IF(AQ21="7",BH21,0),2)</f>
        <v>0</v>
      </c>
      <c r="AE21" s="32">
        <f>ROUND(IF(AQ21="7",BI21,0),2)</f>
        <v>0</v>
      </c>
      <c r="AF21" s="32">
        <f>ROUND(IF(AQ21="2",BH21,0),2)</f>
        <v>0</v>
      </c>
      <c r="AG21" s="32">
        <f>ROUND(IF(AQ21="2",BI21,0),2)</f>
        <v>0</v>
      </c>
      <c r="AH21" s="32">
        <f>ROUND(IF(AQ21="0",BJ21,0),2)</f>
        <v>0</v>
      </c>
      <c r="AI21" s="12" t="s">
        <v>55</v>
      </c>
      <c r="AJ21" s="32">
        <f>IF(AN21=0,L21,0)</f>
        <v>0</v>
      </c>
      <c r="AK21" s="32">
        <f>IF(AN21=12,L21,0)</f>
        <v>0</v>
      </c>
      <c r="AL21" s="32">
        <f>IF(AN21=21,L21,0)</f>
        <v>0</v>
      </c>
      <c r="AN21" s="32">
        <v>21</v>
      </c>
      <c r="AO21" s="32">
        <f>H21*0.000075672</f>
        <v>0</v>
      </c>
      <c r="AP21" s="32">
        <f>H21*(1-0.000075672)</f>
        <v>0</v>
      </c>
      <c r="AQ21" s="36" t="s">
        <v>58</v>
      </c>
      <c r="AV21" s="32">
        <f>ROUND(AW21+AX21,2)</f>
        <v>0</v>
      </c>
      <c r="AW21" s="32">
        <f>ROUND(G21*AO21,2)</f>
        <v>0</v>
      </c>
      <c r="AX21" s="32">
        <f>ROUND(G21*AP21,2)</f>
        <v>0</v>
      </c>
      <c r="AY21" s="36" t="s">
        <v>85</v>
      </c>
      <c r="AZ21" s="36" t="s">
        <v>86</v>
      </c>
      <c r="BA21" s="12" t="s">
        <v>65</v>
      </c>
      <c r="BC21" s="32">
        <f>AW21+AX21</f>
        <v>0</v>
      </c>
      <c r="BD21" s="32">
        <f>H21/(100-BE21)*100</f>
        <v>0</v>
      </c>
      <c r="BE21" s="32">
        <v>0</v>
      </c>
      <c r="BF21" s="32">
        <f>P21</f>
        <v>9.3662641999999998</v>
      </c>
      <c r="BH21" s="32">
        <f>G21*AO21</f>
        <v>0</v>
      </c>
      <c r="BI21" s="32">
        <f>G21*AP21</f>
        <v>0</v>
      </c>
      <c r="BJ21" s="32">
        <f>G21*H21</f>
        <v>0</v>
      </c>
      <c r="BK21" s="36" t="s">
        <v>66</v>
      </c>
      <c r="BL21" s="32">
        <v>94</v>
      </c>
      <c r="BW21" s="32">
        <f>I21</f>
        <v>21</v>
      </c>
      <c r="BX21" s="4" t="s">
        <v>84</v>
      </c>
    </row>
    <row r="22" spans="1:76" ht="13.5" customHeight="1" x14ac:dyDescent="0.25">
      <c r="A22" s="37"/>
      <c r="C22" s="38"/>
      <c r="D22" s="162" t="s">
        <v>87</v>
      </c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4"/>
    </row>
    <row r="23" spans="1:76" x14ac:dyDescent="0.25">
      <c r="A23" s="2" t="s">
        <v>88</v>
      </c>
      <c r="B23" s="3" t="s">
        <v>55</v>
      </c>
      <c r="C23" s="3" t="s">
        <v>89</v>
      </c>
      <c r="D23" s="100" t="s">
        <v>90</v>
      </c>
      <c r="E23" s="96"/>
      <c r="F23" s="3" t="s">
        <v>61</v>
      </c>
      <c r="G23" s="32">
        <v>509.59</v>
      </c>
      <c r="H23" s="75">
        <v>0</v>
      </c>
      <c r="I23" s="33">
        <v>21</v>
      </c>
      <c r="J23" s="32">
        <f>ROUND(G23*AO23,2)</f>
        <v>0</v>
      </c>
      <c r="K23" s="32">
        <f>ROUND(G23*AP23,2)</f>
        <v>0</v>
      </c>
      <c r="L23" s="32">
        <f>ROUND(G23*H23,2)</f>
        <v>0</v>
      </c>
      <c r="M23" s="32">
        <f>L23*(1+BW23/100)</f>
        <v>0</v>
      </c>
      <c r="N23" s="34">
        <f>IF(L144=0,0,L23/L144)</f>
        <v>0</v>
      </c>
      <c r="O23" s="32">
        <v>5.9999999999999995E-4</v>
      </c>
      <c r="P23" s="32">
        <f>G23*O23</f>
        <v>0.30575399999999997</v>
      </c>
      <c r="Q23" s="35" t="s">
        <v>62</v>
      </c>
      <c r="Z23" s="32">
        <f>ROUND(IF(AQ23="5",BJ23,0),2)</f>
        <v>0</v>
      </c>
      <c r="AB23" s="32">
        <f>ROUND(IF(AQ23="1",BH23,0),2)</f>
        <v>0</v>
      </c>
      <c r="AC23" s="32">
        <f>ROUND(IF(AQ23="1",BI23,0),2)</f>
        <v>0</v>
      </c>
      <c r="AD23" s="32">
        <f>ROUND(IF(AQ23="7",BH23,0),2)</f>
        <v>0</v>
      </c>
      <c r="AE23" s="32">
        <f>ROUND(IF(AQ23="7",BI23,0),2)</f>
        <v>0</v>
      </c>
      <c r="AF23" s="32">
        <f>ROUND(IF(AQ23="2",BH23,0),2)</f>
        <v>0</v>
      </c>
      <c r="AG23" s="32">
        <f>ROUND(IF(AQ23="2",BI23,0),2)</f>
        <v>0</v>
      </c>
      <c r="AH23" s="32">
        <f>ROUND(IF(AQ23="0",BJ23,0),2)</f>
        <v>0</v>
      </c>
      <c r="AI23" s="12" t="s">
        <v>55</v>
      </c>
      <c r="AJ23" s="32">
        <f>IF(AN23=0,L23,0)</f>
        <v>0</v>
      </c>
      <c r="AK23" s="32">
        <f>IF(AN23=12,L23,0)</f>
        <v>0</v>
      </c>
      <c r="AL23" s="32">
        <f>IF(AN23=21,L23,0)</f>
        <v>0</v>
      </c>
      <c r="AN23" s="32">
        <v>21</v>
      </c>
      <c r="AO23" s="32">
        <f>H23*0.587328237</f>
        <v>0</v>
      </c>
      <c r="AP23" s="32">
        <f>H23*(1-0.587328237)</f>
        <v>0</v>
      </c>
      <c r="AQ23" s="36" t="s">
        <v>58</v>
      </c>
      <c r="AV23" s="32">
        <f>ROUND(AW23+AX23,2)</f>
        <v>0</v>
      </c>
      <c r="AW23" s="32">
        <f>ROUND(G23*AO23,2)</f>
        <v>0</v>
      </c>
      <c r="AX23" s="32">
        <f>ROUND(G23*AP23,2)</f>
        <v>0</v>
      </c>
      <c r="AY23" s="36" t="s">
        <v>85</v>
      </c>
      <c r="AZ23" s="36" t="s">
        <v>86</v>
      </c>
      <c r="BA23" s="12" t="s">
        <v>65</v>
      </c>
      <c r="BC23" s="32">
        <f>AW23+AX23</f>
        <v>0</v>
      </c>
      <c r="BD23" s="32">
        <f>H23/(100-BE23)*100</f>
        <v>0</v>
      </c>
      <c r="BE23" s="32">
        <v>0</v>
      </c>
      <c r="BF23" s="32">
        <f>P23</f>
        <v>0.30575399999999997</v>
      </c>
      <c r="BH23" s="32">
        <f>G23*AO23</f>
        <v>0</v>
      </c>
      <c r="BI23" s="32">
        <f>G23*AP23</f>
        <v>0</v>
      </c>
      <c r="BJ23" s="32">
        <f>G23*H23</f>
        <v>0</v>
      </c>
      <c r="BK23" s="36" t="s">
        <v>66</v>
      </c>
      <c r="BL23" s="32">
        <v>94</v>
      </c>
      <c r="BW23" s="32">
        <f>I23</f>
        <v>21</v>
      </c>
      <c r="BX23" s="4" t="s">
        <v>90</v>
      </c>
    </row>
    <row r="24" spans="1:76" ht="13.5" customHeight="1" x14ac:dyDescent="0.25">
      <c r="A24" s="37"/>
      <c r="C24" s="38"/>
      <c r="D24" s="162" t="s">
        <v>91</v>
      </c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4"/>
    </row>
    <row r="25" spans="1:76" x14ac:dyDescent="0.25">
      <c r="A25" s="40" t="s">
        <v>55</v>
      </c>
      <c r="B25" s="41" t="s">
        <v>55</v>
      </c>
      <c r="C25" s="41" t="s">
        <v>92</v>
      </c>
      <c r="D25" s="165" t="s">
        <v>93</v>
      </c>
      <c r="E25" s="166"/>
      <c r="F25" s="42" t="s">
        <v>8</v>
      </c>
      <c r="G25" s="42" t="s">
        <v>8</v>
      </c>
      <c r="H25" s="42" t="s">
        <v>8</v>
      </c>
      <c r="I25" s="42" t="s">
        <v>8</v>
      </c>
      <c r="J25" s="1">
        <f>SUM(J26:J41)</f>
        <v>0</v>
      </c>
      <c r="K25" s="1">
        <f>SUM(K26:K41)</f>
        <v>0</v>
      </c>
      <c r="L25" s="1">
        <f>SUM(L26:L41)</f>
        <v>0</v>
      </c>
      <c r="M25" s="1">
        <f>SUM(M26:M41)</f>
        <v>0</v>
      </c>
      <c r="N25" s="43">
        <f>IF(L144=0,0,L25/L144)</f>
        <v>0</v>
      </c>
      <c r="O25" s="12" t="s">
        <v>55</v>
      </c>
      <c r="P25" s="1">
        <f>SUM(P26:P41)</f>
        <v>4.7607059999999999</v>
      </c>
      <c r="Q25" s="44" t="s">
        <v>55</v>
      </c>
      <c r="AI25" s="12" t="s">
        <v>55</v>
      </c>
      <c r="AS25" s="1">
        <f>SUM(AJ26:AJ41)</f>
        <v>0</v>
      </c>
      <c r="AT25" s="1">
        <f>SUM(AK26:AK41)</f>
        <v>0</v>
      </c>
      <c r="AU25" s="1">
        <f>SUM(AL26:AL41)</f>
        <v>0</v>
      </c>
    </row>
    <row r="26" spans="1:76" x14ac:dyDescent="0.25">
      <c r="A26" s="2" t="s">
        <v>94</v>
      </c>
      <c r="B26" s="3" t="s">
        <v>55</v>
      </c>
      <c r="C26" s="3" t="s">
        <v>95</v>
      </c>
      <c r="D26" s="100" t="s">
        <v>96</v>
      </c>
      <c r="E26" s="96"/>
      <c r="F26" s="3" t="s">
        <v>61</v>
      </c>
      <c r="G26" s="32">
        <v>75</v>
      </c>
      <c r="H26" s="75">
        <v>0</v>
      </c>
      <c r="I26" s="33">
        <v>21</v>
      </c>
      <c r="J26" s="32">
        <f>ROUND(G26*AO26,2)</f>
        <v>0</v>
      </c>
      <c r="K26" s="32">
        <f>ROUND(G26*AP26,2)</f>
        <v>0</v>
      </c>
      <c r="L26" s="32">
        <f>ROUND(G26*H26,2)</f>
        <v>0</v>
      </c>
      <c r="M26" s="32">
        <f>L26*(1+BW26/100)</f>
        <v>0</v>
      </c>
      <c r="N26" s="34">
        <f>IF(L144=0,0,L26/L144)</f>
        <v>0</v>
      </c>
      <c r="O26" s="32">
        <v>2.2000000000000001E-4</v>
      </c>
      <c r="P26" s="32">
        <f>G26*O26</f>
        <v>1.6500000000000001E-2</v>
      </c>
      <c r="Q26" s="35" t="s">
        <v>62</v>
      </c>
      <c r="Z26" s="32">
        <f>ROUND(IF(AQ26="5",BJ26,0),2)</f>
        <v>0</v>
      </c>
      <c r="AB26" s="32">
        <f>ROUND(IF(AQ26="1",BH26,0),2)</f>
        <v>0</v>
      </c>
      <c r="AC26" s="32">
        <f>ROUND(IF(AQ26="1",BI26,0),2)</f>
        <v>0</v>
      </c>
      <c r="AD26" s="32">
        <f>ROUND(IF(AQ26="7",BH26,0),2)</f>
        <v>0</v>
      </c>
      <c r="AE26" s="32">
        <f>ROUND(IF(AQ26="7",BI26,0),2)</f>
        <v>0</v>
      </c>
      <c r="AF26" s="32">
        <f>ROUND(IF(AQ26="2",BH26,0),2)</f>
        <v>0</v>
      </c>
      <c r="AG26" s="32">
        <f>ROUND(IF(AQ26="2",BI26,0),2)</f>
        <v>0</v>
      </c>
      <c r="AH26" s="32">
        <f>ROUND(IF(AQ26="0",BJ26,0),2)</f>
        <v>0</v>
      </c>
      <c r="AI26" s="12" t="s">
        <v>55</v>
      </c>
      <c r="AJ26" s="32">
        <f>IF(AN26=0,L26,0)</f>
        <v>0</v>
      </c>
      <c r="AK26" s="32">
        <f>IF(AN26=12,L26,0)</f>
        <v>0</v>
      </c>
      <c r="AL26" s="32">
        <f>IF(AN26=21,L26,0)</f>
        <v>0</v>
      </c>
      <c r="AN26" s="32">
        <v>21</v>
      </c>
      <c r="AO26" s="32">
        <f>H26*0.336956522</f>
        <v>0</v>
      </c>
      <c r="AP26" s="32">
        <f>H26*(1-0.336956522)</f>
        <v>0</v>
      </c>
      <c r="AQ26" s="36" t="s">
        <v>58</v>
      </c>
      <c r="AV26" s="32">
        <f>ROUND(AW26+AX26,2)</f>
        <v>0</v>
      </c>
      <c r="AW26" s="32">
        <f>ROUND(G26*AO26,2)</f>
        <v>0</v>
      </c>
      <c r="AX26" s="32">
        <f>ROUND(G26*AP26,2)</f>
        <v>0</v>
      </c>
      <c r="AY26" s="36" t="s">
        <v>97</v>
      </c>
      <c r="AZ26" s="36" t="s">
        <v>86</v>
      </c>
      <c r="BA26" s="12" t="s">
        <v>65</v>
      </c>
      <c r="BC26" s="32">
        <f>AW26+AX26</f>
        <v>0</v>
      </c>
      <c r="BD26" s="32">
        <f>H26/(100-BE26)*100</f>
        <v>0</v>
      </c>
      <c r="BE26" s="32">
        <v>0</v>
      </c>
      <c r="BF26" s="32">
        <f>P26</f>
        <v>1.6500000000000001E-2</v>
      </c>
      <c r="BH26" s="32">
        <f>G26*AO26</f>
        <v>0</v>
      </c>
      <c r="BI26" s="32">
        <f>G26*AP26</f>
        <v>0</v>
      </c>
      <c r="BJ26" s="32">
        <f>G26*H26</f>
        <v>0</v>
      </c>
      <c r="BK26" s="36" t="s">
        <v>66</v>
      </c>
      <c r="BL26" s="32">
        <v>95</v>
      </c>
      <c r="BW26" s="32">
        <f>I26</f>
        <v>21</v>
      </c>
      <c r="BX26" s="4" t="s">
        <v>96</v>
      </c>
    </row>
    <row r="27" spans="1:76" ht="13.5" customHeight="1" x14ac:dyDescent="0.25">
      <c r="A27" s="37"/>
      <c r="C27" s="38"/>
      <c r="D27" s="162" t="s">
        <v>98</v>
      </c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4"/>
    </row>
    <row r="28" spans="1:76" x14ac:dyDescent="0.25">
      <c r="A28" s="2" t="s">
        <v>99</v>
      </c>
      <c r="B28" s="3" t="s">
        <v>55</v>
      </c>
      <c r="C28" s="3" t="s">
        <v>100</v>
      </c>
      <c r="D28" s="100" t="s">
        <v>101</v>
      </c>
      <c r="E28" s="96"/>
      <c r="F28" s="3" t="s">
        <v>61</v>
      </c>
      <c r="G28" s="32">
        <v>22.25</v>
      </c>
      <c r="H28" s="75">
        <v>0</v>
      </c>
      <c r="I28" s="33">
        <v>21</v>
      </c>
      <c r="J28" s="32">
        <f>ROUND(G28*AO28,2)</f>
        <v>0</v>
      </c>
      <c r="K28" s="32">
        <f>ROUND(G28*AP28,2)</f>
        <v>0</v>
      </c>
      <c r="L28" s="32">
        <f>ROUND(G28*H28,2)</f>
        <v>0</v>
      </c>
      <c r="M28" s="32">
        <f>L28*(1+BW28/100)</f>
        <v>0</v>
      </c>
      <c r="N28" s="34">
        <f>IF(L144=0,0,L28/L144)</f>
        <v>0</v>
      </c>
      <c r="O28" s="32">
        <v>0.16800000000000001</v>
      </c>
      <c r="P28" s="32">
        <f>G28*O28</f>
        <v>3.7380000000000004</v>
      </c>
      <c r="Q28" s="35" t="s">
        <v>62</v>
      </c>
      <c r="Z28" s="32">
        <f>ROUND(IF(AQ28="5",BJ28,0),2)</f>
        <v>0</v>
      </c>
      <c r="AB28" s="32">
        <f>ROUND(IF(AQ28="1",BH28,0),2)</f>
        <v>0</v>
      </c>
      <c r="AC28" s="32">
        <f>ROUND(IF(AQ28="1",BI28,0),2)</f>
        <v>0</v>
      </c>
      <c r="AD28" s="32">
        <f>ROUND(IF(AQ28="7",BH28,0),2)</f>
        <v>0</v>
      </c>
      <c r="AE28" s="32">
        <f>ROUND(IF(AQ28="7",BI28,0),2)</f>
        <v>0</v>
      </c>
      <c r="AF28" s="32">
        <f>ROUND(IF(AQ28="2",BH28,0),2)</f>
        <v>0</v>
      </c>
      <c r="AG28" s="32">
        <f>ROUND(IF(AQ28="2",BI28,0),2)</f>
        <v>0</v>
      </c>
      <c r="AH28" s="32">
        <f>ROUND(IF(AQ28="0",BJ28,0),2)</f>
        <v>0</v>
      </c>
      <c r="AI28" s="12" t="s">
        <v>55</v>
      </c>
      <c r="AJ28" s="32">
        <f>IF(AN28=0,L28,0)</f>
        <v>0</v>
      </c>
      <c r="AK28" s="32">
        <f>IF(AN28=12,L28,0)</f>
        <v>0</v>
      </c>
      <c r="AL28" s="32">
        <f>IF(AN28=21,L28,0)</f>
        <v>0</v>
      </c>
      <c r="AN28" s="32">
        <v>21</v>
      </c>
      <c r="AO28" s="32">
        <f>H28*0.872036515</f>
        <v>0</v>
      </c>
      <c r="AP28" s="32">
        <f>H28*(1-0.872036515)</f>
        <v>0</v>
      </c>
      <c r="AQ28" s="36" t="s">
        <v>58</v>
      </c>
      <c r="AV28" s="32">
        <f>ROUND(AW28+AX28,2)</f>
        <v>0</v>
      </c>
      <c r="AW28" s="32">
        <f>ROUND(G28*AO28,2)</f>
        <v>0</v>
      </c>
      <c r="AX28" s="32">
        <f>ROUND(G28*AP28,2)</f>
        <v>0</v>
      </c>
      <c r="AY28" s="36" t="s">
        <v>97</v>
      </c>
      <c r="AZ28" s="36" t="s">
        <v>86</v>
      </c>
      <c r="BA28" s="12" t="s">
        <v>65</v>
      </c>
      <c r="BC28" s="32">
        <f>AW28+AX28</f>
        <v>0</v>
      </c>
      <c r="BD28" s="32">
        <f>H28/(100-BE28)*100</f>
        <v>0</v>
      </c>
      <c r="BE28" s="32">
        <v>0</v>
      </c>
      <c r="BF28" s="32">
        <f>P28</f>
        <v>3.7380000000000004</v>
      </c>
      <c r="BH28" s="32">
        <f>G28*AO28</f>
        <v>0</v>
      </c>
      <c r="BI28" s="32">
        <f>G28*AP28</f>
        <v>0</v>
      </c>
      <c r="BJ28" s="32">
        <f>G28*H28</f>
        <v>0</v>
      </c>
      <c r="BK28" s="36" t="s">
        <v>66</v>
      </c>
      <c r="BL28" s="32">
        <v>95</v>
      </c>
      <c r="BW28" s="32">
        <f>I28</f>
        <v>21</v>
      </c>
      <c r="BX28" s="4" t="s">
        <v>101</v>
      </c>
    </row>
    <row r="29" spans="1:76" ht="13.5" customHeight="1" x14ac:dyDescent="0.25">
      <c r="A29" s="37"/>
      <c r="C29" s="38"/>
      <c r="D29" s="162" t="s">
        <v>102</v>
      </c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4"/>
    </row>
    <row r="30" spans="1:76" x14ac:dyDescent="0.25">
      <c r="A30" s="2" t="s">
        <v>103</v>
      </c>
      <c r="B30" s="3" t="s">
        <v>55</v>
      </c>
      <c r="C30" s="3" t="s">
        <v>104</v>
      </c>
      <c r="D30" s="100" t="s">
        <v>105</v>
      </c>
      <c r="E30" s="96"/>
      <c r="F30" s="3" t="s">
        <v>106</v>
      </c>
      <c r="G30" s="32">
        <v>6</v>
      </c>
      <c r="H30" s="75">
        <v>0</v>
      </c>
      <c r="I30" s="33">
        <v>21</v>
      </c>
      <c r="J30" s="32">
        <f>ROUND(G30*AO30,2)</f>
        <v>0</v>
      </c>
      <c r="K30" s="32">
        <f>ROUND(G30*AP30,2)</f>
        <v>0</v>
      </c>
      <c r="L30" s="32">
        <f>ROUND(G30*H30,2)</f>
        <v>0</v>
      </c>
      <c r="M30" s="32">
        <f>L30*(1+BW30/100)</f>
        <v>0</v>
      </c>
      <c r="N30" s="34">
        <f>IF(L144=0,0,L30/L144)</f>
        <v>0</v>
      </c>
      <c r="O30" s="32">
        <v>7.6630000000000004E-2</v>
      </c>
      <c r="P30" s="32">
        <f>G30*O30</f>
        <v>0.45978000000000002</v>
      </c>
      <c r="Q30" s="35" t="s">
        <v>62</v>
      </c>
      <c r="Z30" s="32">
        <f>ROUND(IF(AQ30="5",BJ30,0),2)</f>
        <v>0</v>
      </c>
      <c r="AB30" s="32">
        <f>ROUND(IF(AQ30="1",BH30,0),2)</f>
        <v>0</v>
      </c>
      <c r="AC30" s="32">
        <f>ROUND(IF(AQ30="1",BI30,0),2)</f>
        <v>0</v>
      </c>
      <c r="AD30" s="32">
        <f>ROUND(IF(AQ30="7",BH30,0),2)</f>
        <v>0</v>
      </c>
      <c r="AE30" s="32">
        <f>ROUND(IF(AQ30="7",BI30,0),2)</f>
        <v>0</v>
      </c>
      <c r="AF30" s="32">
        <f>ROUND(IF(AQ30="2",BH30,0),2)</f>
        <v>0</v>
      </c>
      <c r="AG30" s="32">
        <f>ROUND(IF(AQ30="2",BI30,0),2)</f>
        <v>0</v>
      </c>
      <c r="AH30" s="32">
        <f>ROUND(IF(AQ30="0",BJ30,0),2)</f>
        <v>0</v>
      </c>
      <c r="AI30" s="12" t="s">
        <v>55</v>
      </c>
      <c r="AJ30" s="32">
        <f>IF(AN30=0,L30,0)</f>
        <v>0</v>
      </c>
      <c r="AK30" s="32">
        <f>IF(AN30=12,L30,0)</f>
        <v>0</v>
      </c>
      <c r="AL30" s="32">
        <f>IF(AN30=21,L30,0)</f>
        <v>0</v>
      </c>
      <c r="AN30" s="32">
        <v>21</v>
      </c>
      <c r="AO30" s="32">
        <f>H30*0.909154181</f>
        <v>0</v>
      </c>
      <c r="AP30" s="32">
        <f>H30*(1-0.909154181)</f>
        <v>0</v>
      </c>
      <c r="AQ30" s="36" t="s">
        <v>58</v>
      </c>
      <c r="AV30" s="32">
        <f>ROUND(AW30+AX30,2)</f>
        <v>0</v>
      </c>
      <c r="AW30" s="32">
        <f>ROUND(G30*AO30,2)</f>
        <v>0</v>
      </c>
      <c r="AX30" s="32">
        <f>ROUND(G30*AP30,2)</f>
        <v>0</v>
      </c>
      <c r="AY30" s="36" t="s">
        <v>97</v>
      </c>
      <c r="AZ30" s="36" t="s">
        <v>86</v>
      </c>
      <c r="BA30" s="12" t="s">
        <v>65</v>
      </c>
      <c r="BC30" s="32">
        <f>AW30+AX30</f>
        <v>0</v>
      </c>
      <c r="BD30" s="32">
        <f>H30/(100-BE30)*100</f>
        <v>0</v>
      </c>
      <c r="BE30" s="32">
        <v>0</v>
      </c>
      <c r="BF30" s="32">
        <f>P30</f>
        <v>0.45978000000000002</v>
      </c>
      <c r="BH30" s="32">
        <f>G30*AO30</f>
        <v>0</v>
      </c>
      <c r="BI30" s="32">
        <f>G30*AP30</f>
        <v>0</v>
      </c>
      <c r="BJ30" s="32">
        <f>G30*H30</f>
        <v>0</v>
      </c>
      <c r="BK30" s="36" t="s">
        <v>66</v>
      </c>
      <c r="BL30" s="32">
        <v>95</v>
      </c>
      <c r="BW30" s="32">
        <f>I30</f>
        <v>21</v>
      </c>
      <c r="BX30" s="4" t="s">
        <v>105</v>
      </c>
    </row>
    <row r="31" spans="1:76" ht="25.5" x14ac:dyDescent="0.25">
      <c r="A31" s="2" t="s">
        <v>107</v>
      </c>
      <c r="B31" s="3" t="s">
        <v>55</v>
      </c>
      <c r="C31" s="3" t="s">
        <v>108</v>
      </c>
      <c r="D31" s="100" t="s">
        <v>109</v>
      </c>
      <c r="E31" s="96"/>
      <c r="F31" s="3" t="s">
        <v>110</v>
      </c>
      <c r="G31" s="32">
        <v>50</v>
      </c>
      <c r="H31" s="75">
        <v>0</v>
      </c>
      <c r="I31" s="33">
        <v>21</v>
      </c>
      <c r="J31" s="32">
        <f>ROUND(G31*AO31,2)</f>
        <v>0</v>
      </c>
      <c r="K31" s="32">
        <f>ROUND(G31*AP31,2)</f>
        <v>0</v>
      </c>
      <c r="L31" s="32">
        <f>ROUND(G31*H31,2)</f>
        <v>0</v>
      </c>
      <c r="M31" s="32">
        <f>L31*(1+BW31/100)</f>
        <v>0</v>
      </c>
      <c r="N31" s="34">
        <f>IF(L144=0,0,L31/L144)</f>
        <v>0</v>
      </c>
      <c r="O31" s="32">
        <v>0</v>
      </c>
      <c r="P31" s="32">
        <f>G31*O31</f>
        <v>0</v>
      </c>
      <c r="Q31" s="35" t="s">
        <v>62</v>
      </c>
      <c r="Z31" s="32">
        <f>ROUND(IF(AQ31="5",BJ31,0),2)</f>
        <v>0</v>
      </c>
      <c r="AB31" s="32">
        <f>ROUND(IF(AQ31="1",BH31,0),2)</f>
        <v>0</v>
      </c>
      <c r="AC31" s="32">
        <f>ROUND(IF(AQ31="1",BI31,0),2)</f>
        <v>0</v>
      </c>
      <c r="AD31" s="32">
        <f>ROUND(IF(AQ31="7",BH31,0),2)</f>
        <v>0</v>
      </c>
      <c r="AE31" s="32">
        <f>ROUND(IF(AQ31="7",BI31,0),2)</f>
        <v>0</v>
      </c>
      <c r="AF31" s="32">
        <f>ROUND(IF(AQ31="2",BH31,0),2)</f>
        <v>0</v>
      </c>
      <c r="AG31" s="32">
        <f>ROUND(IF(AQ31="2",BI31,0),2)</f>
        <v>0</v>
      </c>
      <c r="AH31" s="32">
        <f>ROUND(IF(AQ31="0",BJ31,0),2)</f>
        <v>0</v>
      </c>
      <c r="AI31" s="12" t="s">
        <v>55</v>
      </c>
      <c r="AJ31" s="32">
        <f>IF(AN31=0,L31,0)</f>
        <v>0</v>
      </c>
      <c r="AK31" s="32">
        <f>IF(AN31=12,L31,0)</f>
        <v>0</v>
      </c>
      <c r="AL31" s="32">
        <f>IF(AN31=21,L31,0)</f>
        <v>0</v>
      </c>
      <c r="AN31" s="32">
        <v>21</v>
      </c>
      <c r="AO31" s="32">
        <f>H31*0</f>
        <v>0</v>
      </c>
      <c r="AP31" s="32">
        <f>H31*(1-0)</f>
        <v>0</v>
      </c>
      <c r="AQ31" s="36" t="s">
        <v>58</v>
      </c>
      <c r="AV31" s="32">
        <f>ROUND(AW31+AX31,2)</f>
        <v>0</v>
      </c>
      <c r="AW31" s="32">
        <f>ROUND(G31*AO31,2)</f>
        <v>0</v>
      </c>
      <c r="AX31" s="32">
        <f>ROUND(G31*AP31,2)</f>
        <v>0</v>
      </c>
      <c r="AY31" s="36" t="s">
        <v>97</v>
      </c>
      <c r="AZ31" s="36" t="s">
        <v>86</v>
      </c>
      <c r="BA31" s="12" t="s">
        <v>65</v>
      </c>
      <c r="BC31" s="32">
        <f>AW31+AX31</f>
        <v>0</v>
      </c>
      <c r="BD31" s="32">
        <f>H31/(100-BE31)*100</f>
        <v>0</v>
      </c>
      <c r="BE31" s="32">
        <v>0</v>
      </c>
      <c r="BF31" s="32">
        <f>P31</f>
        <v>0</v>
      </c>
      <c r="BH31" s="32">
        <f>G31*AO31</f>
        <v>0</v>
      </c>
      <c r="BI31" s="32">
        <f>G31*AP31</f>
        <v>0</v>
      </c>
      <c r="BJ31" s="32">
        <f>G31*H31</f>
        <v>0</v>
      </c>
      <c r="BK31" s="36" t="s">
        <v>66</v>
      </c>
      <c r="BL31" s="32">
        <v>95</v>
      </c>
      <c r="BW31" s="32">
        <f>I31</f>
        <v>21</v>
      </c>
      <c r="BX31" s="4" t="s">
        <v>109</v>
      </c>
    </row>
    <row r="32" spans="1:76" ht="25.5" x14ac:dyDescent="0.25">
      <c r="A32" s="2" t="s">
        <v>111</v>
      </c>
      <c r="B32" s="3" t="s">
        <v>55</v>
      </c>
      <c r="C32" s="3" t="s">
        <v>112</v>
      </c>
      <c r="D32" s="100" t="s">
        <v>113</v>
      </c>
      <c r="E32" s="96"/>
      <c r="F32" s="3" t="s">
        <v>114</v>
      </c>
      <c r="G32" s="32">
        <v>85.4</v>
      </c>
      <c r="H32" s="75">
        <v>0</v>
      </c>
      <c r="I32" s="33">
        <v>21</v>
      </c>
      <c r="J32" s="32">
        <f>ROUND(G32*AO32,2)</f>
        <v>0</v>
      </c>
      <c r="K32" s="32">
        <f>ROUND(G32*AP32,2)</f>
        <v>0</v>
      </c>
      <c r="L32" s="32">
        <f>ROUND(G32*H32,2)</f>
        <v>0</v>
      </c>
      <c r="M32" s="32">
        <f>L32*(1+BW32/100)</f>
        <v>0</v>
      </c>
      <c r="N32" s="34">
        <f>IF(L144=0,0,L32/L144)</f>
        <v>0</v>
      </c>
      <c r="O32" s="32">
        <v>3.48E-3</v>
      </c>
      <c r="P32" s="32">
        <f>G32*O32</f>
        <v>0.29719200000000001</v>
      </c>
      <c r="Q32" s="35" t="s">
        <v>62</v>
      </c>
      <c r="Z32" s="32">
        <f>ROUND(IF(AQ32="5",BJ32,0),2)</f>
        <v>0</v>
      </c>
      <c r="AB32" s="32">
        <f>ROUND(IF(AQ32="1",BH32,0),2)</f>
        <v>0</v>
      </c>
      <c r="AC32" s="32">
        <f>ROUND(IF(AQ32="1",BI32,0),2)</f>
        <v>0</v>
      </c>
      <c r="AD32" s="32">
        <f>ROUND(IF(AQ32="7",BH32,0),2)</f>
        <v>0</v>
      </c>
      <c r="AE32" s="32">
        <f>ROUND(IF(AQ32="7",BI32,0),2)</f>
        <v>0</v>
      </c>
      <c r="AF32" s="32">
        <f>ROUND(IF(AQ32="2",BH32,0),2)</f>
        <v>0</v>
      </c>
      <c r="AG32" s="32">
        <f>ROUND(IF(AQ32="2",BI32,0),2)</f>
        <v>0</v>
      </c>
      <c r="AH32" s="32">
        <f>ROUND(IF(AQ32="0",BJ32,0),2)</f>
        <v>0</v>
      </c>
      <c r="AI32" s="12" t="s">
        <v>55</v>
      </c>
      <c r="AJ32" s="32">
        <f>IF(AN32=0,L32,0)</f>
        <v>0</v>
      </c>
      <c r="AK32" s="32">
        <f>IF(AN32=12,L32,0)</f>
        <v>0</v>
      </c>
      <c r="AL32" s="32">
        <f>IF(AN32=21,L32,0)</f>
        <v>0</v>
      </c>
      <c r="AN32" s="32">
        <v>21</v>
      </c>
      <c r="AO32" s="32">
        <f>H32*0.488515479</f>
        <v>0</v>
      </c>
      <c r="AP32" s="32">
        <f>H32*(1-0.488515479)</f>
        <v>0</v>
      </c>
      <c r="AQ32" s="36" t="s">
        <v>58</v>
      </c>
      <c r="AV32" s="32">
        <f>ROUND(AW32+AX32,2)</f>
        <v>0</v>
      </c>
      <c r="AW32" s="32">
        <f>ROUND(G32*AO32,2)</f>
        <v>0</v>
      </c>
      <c r="AX32" s="32">
        <f>ROUND(G32*AP32,2)</f>
        <v>0</v>
      </c>
      <c r="AY32" s="36" t="s">
        <v>97</v>
      </c>
      <c r="AZ32" s="36" t="s">
        <v>86</v>
      </c>
      <c r="BA32" s="12" t="s">
        <v>65</v>
      </c>
      <c r="BC32" s="32">
        <f>AW32+AX32</f>
        <v>0</v>
      </c>
      <c r="BD32" s="32">
        <f>H32/(100-BE32)*100</f>
        <v>0</v>
      </c>
      <c r="BE32" s="32">
        <v>0</v>
      </c>
      <c r="BF32" s="32">
        <f>P32</f>
        <v>0.29719200000000001</v>
      </c>
      <c r="BH32" s="32">
        <f>G32*AO32</f>
        <v>0</v>
      </c>
      <c r="BI32" s="32">
        <f>G32*AP32</f>
        <v>0</v>
      </c>
      <c r="BJ32" s="32">
        <f>G32*H32</f>
        <v>0</v>
      </c>
      <c r="BK32" s="36" t="s">
        <v>66</v>
      </c>
      <c r="BL32" s="32">
        <v>95</v>
      </c>
      <c r="BW32" s="32">
        <f>I32</f>
        <v>21</v>
      </c>
      <c r="BX32" s="4" t="s">
        <v>113</v>
      </c>
    </row>
    <row r="33" spans="1:76" ht="13.5" customHeight="1" x14ac:dyDescent="0.25">
      <c r="A33" s="37"/>
      <c r="C33" s="38"/>
      <c r="D33" s="167" t="s">
        <v>422</v>
      </c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4"/>
      <c r="BX33" t="s">
        <v>115</v>
      </c>
    </row>
    <row r="34" spans="1:76" x14ac:dyDescent="0.25">
      <c r="A34" s="2" t="s">
        <v>116</v>
      </c>
      <c r="B34" s="3" t="s">
        <v>55</v>
      </c>
      <c r="C34" s="3" t="s">
        <v>117</v>
      </c>
      <c r="D34" s="100" t="s">
        <v>118</v>
      </c>
      <c r="E34" s="96"/>
      <c r="F34" s="3" t="s">
        <v>114</v>
      </c>
      <c r="G34" s="32">
        <v>75.2</v>
      </c>
      <c r="H34" s="75">
        <v>0</v>
      </c>
      <c r="I34" s="33">
        <v>21</v>
      </c>
      <c r="J34" s="32">
        <f>ROUND(G34*AO34,2)</f>
        <v>0</v>
      </c>
      <c r="K34" s="32">
        <f>ROUND(G34*AP34,2)</f>
        <v>0</v>
      </c>
      <c r="L34" s="32">
        <f>ROUND(G34*H34,2)</f>
        <v>0</v>
      </c>
      <c r="M34" s="32">
        <f>L34*(1+BW34/100)</f>
        <v>0</v>
      </c>
      <c r="N34" s="34">
        <f>IF(L144=0,0,L34/L144)</f>
        <v>0</v>
      </c>
      <c r="O34" s="32">
        <v>3.0000000000000001E-3</v>
      </c>
      <c r="P34" s="32">
        <f>G34*O34</f>
        <v>0.22560000000000002</v>
      </c>
      <c r="Q34" s="35" t="s">
        <v>62</v>
      </c>
      <c r="Z34" s="32">
        <f>ROUND(IF(AQ34="5",BJ34,0),2)</f>
        <v>0</v>
      </c>
      <c r="AB34" s="32">
        <f>ROUND(IF(AQ34="1",BH34,0),2)</f>
        <v>0</v>
      </c>
      <c r="AC34" s="32">
        <f>ROUND(IF(AQ34="1",BI34,0),2)</f>
        <v>0</v>
      </c>
      <c r="AD34" s="32">
        <f>ROUND(IF(AQ34="7",BH34,0),2)</f>
        <v>0</v>
      </c>
      <c r="AE34" s="32">
        <f>ROUND(IF(AQ34="7",BI34,0),2)</f>
        <v>0</v>
      </c>
      <c r="AF34" s="32">
        <f>ROUND(IF(AQ34="2",BH34,0),2)</f>
        <v>0</v>
      </c>
      <c r="AG34" s="32">
        <f>ROUND(IF(AQ34="2",BI34,0),2)</f>
        <v>0</v>
      </c>
      <c r="AH34" s="32">
        <f>ROUND(IF(AQ34="0",BJ34,0),2)</f>
        <v>0</v>
      </c>
      <c r="AI34" s="12" t="s">
        <v>55</v>
      </c>
      <c r="AJ34" s="32">
        <f>IF(AN34=0,L34,0)</f>
        <v>0</v>
      </c>
      <c r="AK34" s="32">
        <f>IF(AN34=12,L34,0)</f>
        <v>0</v>
      </c>
      <c r="AL34" s="32">
        <f>IF(AN34=21,L34,0)</f>
        <v>0</v>
      </c>
      <c r="AN34" s="32">
        <v>21</v>
      </c>
      <c r="AO34" s="32">
        <f>H34*0.702489221</f>
        <v>0</v>
      </c>
      <c r="AP34" s="32">
        <f>H34*(1-0.702489221)</f>
        <v>0</v>
      </c>
      <c r="AQ34" s="36" t="s">
        <v>58</v>
      </c>
      <c r="AV34" s="32">
        <f>ROUND(AW34+AX34,2)</f>
        <v>0</v>
      </c>
      <c r="AW34" s="32">
        <f>ROUND(G34*AO34,2)</f>
        <v>0</v>
      </c>
      <c r="AX34" s="32">
        <f>ROUND(G34*AP34,2)</f>
        <v>0</v>
      </c>
      <c r="AY34" s="36" t="s">
        <v>97</v>
      </c>
      <c r="AZ34" s="36" t="s">
        <v>86</v>
      </c>
      <c r="BA34" s="12" t="s">
        <v>65</v>
      </c>
      <c r="BC34" s="32">
        <f>AW34+AX34</f>
        <v>0</v>
      </c>
      <c r="BD34" s="32">
        <f>H34/(100-BE34)*100</f>
        <v>0</v>
      </c>
      <c r="BE34" s="32">
        <v>0</v>
      </c>
      <c r="BF34" s="32">
        <f>P34</f>
        <v>0.22560000000000002</v>
      </c>
      <c r="BH34" s="32">
        <f>G34*AO34</f>
        <v>0</v>
      </c>
      <c r="BI34" s="32">
        <f>G34*AP34</f>
        <v>0</v>
      </c>
      <c r="BJ34" s="32">
        <f>G34*H34</f>
        <v>0</v>
      </c>
      <c r="BK34" s="36" t="s">
        <v>66</v>
      </c>
      <c r="BL34" s="32">
        <v>95</v>
      </c>
      <c r="BW34" s="32">
        <f>I34</f>
        <v>21</v>
      </c>
      <c r="BX34" s="4" t="s">
        <v>118</v>
      </c>
    </row>
    <row r="35" spans="1:76" x14ac:dyDescent="0.25">
      <c r="A35" s="2" t="s">
        <v>119</v>
      </c>
      <c r="B35" s="3" t="s">
        <v>55</v>
      </c>
      <c r="C35" s="3" t="s">
        <v>120</v>
      </c>
      <c r="D35" s="100" t="s">
        <v>121</v>
      </c>
      <c r="E35" s="96"/>
      <c r="F35" s="3" t="s">
        <v>114</v>
      </c>
      <c r="G35" s="32">
        <v>7.8</v>
      </c>
      <c r="H35" s="75">
        <v>0</v>
      </c>
      <c r="I35" s="33">
        <v>21</v>
      </c>
      <c r="J35" s="32">
        <f>ROUND(G35*AO35,2)</f>
        <v>0</v>
      </c>
      <c r="K35" s="32">
        <f>ROUND(G35*AP35,2)</f>
        <v>0</v>
      </c>
      <c r="L35" s="32">
        <f>ROUND(G35*H35,2)</f>
        <v>0</v>
      </c>
      <c r="M35" s="32">
        <f>L35*(1+BW35/100)</f>
        <v>0</v>
      </c>
      <c r="N35" s="34">
        <f>IF(L144=0,0,L35/L144)</f>
        <v>0</v>
      </c>
      <c r="O35" s="32">
        <v>2.5100000000000001E-3</v>
      </c>
      <c r="P35" s="32">
        <f>G35*O35</f>
        <v>1.9578000000000002E-2</v>
      </c>
      <c r="Q35" s="35" t="s">
        <v>62</v>
      </c>
      <c r="Z35" s="32">
        <f>ROUND(IF(AQ35="5",BJ35,0),2)</f>
        <v>0</v>
      </c>
      <c r="AB35" s="32">
        <f>ROUND(IF(AQ35="1",BH35,0),2)</f>
        <v>0</v>
      </c>
      <c r="AC35" s="32">
        <f>ROUND(IF(AQ35="1",BI35,0),2)</f>
        <v>0</v>
      </c>
      <c r="AD35" s="32">
        <f>ROUND(IF(AQ35="7",BH35,0),2)</f>
        <v>0</v>
      </c>
      <c r="AE35" s="32">
        <f>ROUND(IF(AQ35="7",BI35,0),2)</f>
        <v>0</v>
      </c>
      <c r="AF35" s="32">
        <f>ROUND(IF(AQ35="2",BH35,0),2)</f>
        <v>0</v>
      </c>
      <c r="AG35" s="32">
        <f>ROUND(IF(AQ35="2",BI35,0),2)</f>
        <v>0</v>
      </c>
      <c r="AH35" s="32">
        <f>ROUND(IF(AQ35="0",BJ35,0),2)</f>
        <v>0</v>
      </c>
      <c r="AI35" s="12" t="s">
        <v>55</v>
      </c>
      <c r="AJ35" s="32">
        <f>IF(AN35=0,L35,0)</f>
        <v>0</v>
      </c>
      <c r="AK35" s="32">
        <f>IF(AN35=12,L35,0)</f>
        <v>0</v>
      </c>
      <c r="AL35" s="32">
        <f>IF(AN35=21,L35,0)</f>
        <v>0</v>
      </c>
      <c r="AN35" s="32">
        <v>21</v>
      </c>
      <c r="AO35" s="32">
        <f>H35*0.191261687</f>
        <v>0</v>
      </c>
      <c r="AP35" s="32">
        <f>H35*(1-0.191261687)</f>
        <v>0</v>
      </c>
      <c r="AQ35" s="36" t="s">
        <v>58</v>
      </c>
      <c r="AV35" s="32">
        <f>ROUND(AW35+AX35,2)</f>
        <v>0</v>
      </c>
      <c r="AW35" s="32">
        <f>ROUND(G35*AO35,2)</f>
        <v>0</v>
      </c>
      <c r="AX35" s="32">
        <f>ROUND(G35*AP35,2)</f>
        <v>0</v>
      </c>
      <c r="AY35" s="36" t="s">
        <v>97</v>
      </c>
      <c r="AZ35" s="36" t="s">
        <v>86</v>
      </c>
      <c r="BA35" s="12" t="s">
        <v>65</v>
      </c>
      <c r="BC35" s="32">
        <f>AW35+AX35</f>
        <v>0</v>
      </c>
      <c r="BD35" s="32">
        <f>H35/(100-BE35)*100</f>
        <v>0</v>
      </c>
      <c r="BE35" s="32">
        <v>0</v>
      </c>
      <c r="BF35" s="32">
        <f>P35</f>
        <v>1.9578000000000002E-2</v>
      </c>
      <c r="BH35" s="32">
        <f>G35*AO35</f>
        <v>0</v>
      </c>
      <c r="BI35" s="32">
        <f>G35*AP35</f>
        <v>0</v>
      </c>
      <c r="BJ35" s="32">
        <f>G35*H35</f>
        <v>0</v>
      </c>
      <c r="BK35" s="36" t="s">
        <v>66</v>
      </c>
      <c r="BL35" s="32">
        <v>95</v>
      </c>
      <c r="BW35" s="32">
        <f>I35</f>
        <v>21</v>
      </c>
      <c r="BX35" s="4" t="s">
        <v>121</v>
      </c>
    </row>
    <row r="36" spans="1:76" ht="13.5" customHeight="1" x14ac:dyDescent="0.25">
      <c r="A36" s="37"/>
      <c r="C36" s="38"/>
      <c r="D36" s="162" t="s">
        <v>122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4"/>
    </row>
    <row r="37" spans="1:76" x14ac:dyDescent="0.25">
      <c r="A37" s="2" t="s">
        <v>123</v>
      </c>
      <c r="B37" s="3" t="s">
        <v>55</v>
      </c>
      <c r="C37" s="3" t="s">
        <v>124</v>
      </c>
      <c r="D37" s="100" t="s">
        <v>125</v>
      </c>
      <c r="E37" s="96"/>
      <c r="F37" s="3" t="s">
        <v>114</v>
      </c>
      <c r="G37" s="32">
        <v>7.8</v>
      </c>
      <c r="H37" s="75">
        <v>0</v>
      </c>
      <c r="I37" s="33">
        <v>21</v>
      </c>
      <c r="J37" s="32">
        <f>ROUND(G37*AO37,2)</f>
        <v>0</v>
      </c>
      <c r="K37" s="32">
        <f>ROUND(G37*AP37,2)</f>
        <v>0</v>
      </c>
      <c r="L37" s="32">
        <f>ROUND(G37*H37,2)</f>
        <v>0</v>
      </c>
      <c r="M37" s="32">
        <f>L37*(1+BW37/100)</f>
        <v>0</v>
      </c>
      <c r="N37" s="34">
        <f>IF(L144=0,0,L37/L144)</f>
        <v>0</v>
      </c>
      <c r="O37" s="32">
        <v>0</v>
      </c>
      <c r="P37" s="32">
        <f>G37*O37</f>
        <v>0</v>
      </c>
      <c r="Q37" s="35" t="s">
        <v>62</v>
      </c>
      <c r="Z37" s="32">
        <f>ROUND(IF(AQ37="5",BJ37,0),2)</f>
        <v>0</v>
      </c>
      <c r="AB37" s="32">
        <f>ROUND(IF(AQ37="1",BH37,0),2)</f>
        <v>0</v>
      </c>
      <c r="AC37" s="32">
        <f>ROUND(IF(AQ37="1",BI37,0),2)</f>
        <v>0</v>
      </c>
      <c r="AD37" s="32">
        <f>ROUND(IF(AQ37="7",BH37,0),2)</f>
        <v>0</v>
      </c>
      <c r="AE37" s="32">
        <f>ROUND(IF(AQ37="7",BI37,0),2)</f>
        <v>0</v>
      </c>
      <c r="AF37" s="32">
        <f>ROUND(IF(AQ37="2",BH37,0),2)</f>
        <v>0</v>
      </c>
      <c r="AG37" s="32">
        <f>ROUND(IF(AQ37="2",BI37,0),2)</f>
        <v>0</v>
      </c>
      <c r="AH37" s="32">
        <f>ROUND(IF(AQ37="0",BJ37,0),2)</f>
        <v>0</v>
      </c>
      <c r="AI37" s="12" t="s">
        <v>55</v>
      </c>
      <c r="AJ37" s="32">
        <f>IF(AN37=0,L37,0)</f>
        <v>0</v>
      </c>
      <c r="AK37" s="32">
        <f>IF(AN37=12,L37,0)</f>
        <v>0</v>
      </c>
      <c r="AL37" s="32">
        <f>IF(AN37=21,L37,0)</f>
        <v>0</v>
      </c>
      <c r="AN37" s="32">
        <v>21</v>
      </c>
      <c r="AO37" s="32">
        <f>H37*0.795586527</f>
        <v>0</v>
      </c>
      <c r="AP37" s="32">
        <f>H37*(1-0.795586527)</f>
        <v>0</v>
      </c>
      <c r="AQ37" s="36" t="s">
        <v>58</v>
      </c>
      <c r="AV37" s="32">
        <f>ROUND(AW37+AX37,2)</f>
        <v>0</v>
      </c>
      <c r="AW37" s="32">
        <f>ROUND(G37*AO37,2)</f>
        <v>0</v>
      </c>
      <c r="AX37" s="32">
        <f>ROUND(G37*AP37,2)</f>
        <v>0</v>
      </c>
      <c r="AY37" s="36" t="s">
        <v>97</v>
      </c>
      <c r="AZ37" s="36" t="s">
        <v>86</v>
      </c>
      <c r="BA37" s="12" t="s">
        <v>65</v>
      </c>
      <c r="BC37" s="32">
        <f>AW37+AX37</f>
        <v>0</v>
      </c>
      <c r="BD37" s="32">
        <f>H37/(100-BE37)*100</f>
        <v>0</v>
      </c>
      <c r="BE37" s="32">
        <v>0</v>
      </c>
      <c r="BF37" s="32">
        <f>P37</f>
        <v>0</v>
      </c>
      <c r="BH37" s="32">
        <f>G37*AO37</f>
        <v>0</v>
      </c>
      <c r="BI37" s="32">
        <f>G37*AP37</f>
        <v>0</v>
      </c>
      <c r="BJ37" s="32">
        <f>G37*H37</f>
        <v>0</v>
      </c>
      <c r="BK37" s="36" t="s">
        <v>66</v>
      </c>
      <c r="BL37" s="32">
        <v>95</v>
      </c>
      <c r="BW37" s="32">
        <f>I37</f>
        <v>21</v>
      </c>
      <c r="BX37" s="4" t="s">
        <v>125</v>
      </c>
    </row>
    <row r="38" spans="1:76" ht="13.5" customHeight="1" x14ac:dyDescent="0.25">
      <c r="A38" s="37"/>
      <c r="C38" s="38"/>
      <c r="D38" s="162" t="s">
        <v>126</v>
      </c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4"/>
    </row>
    <row r="39" spans="1:76" x14ac:dyDescent="0.25">
      <c r="A39" s="2" t="s">
        <v>127</v>
      </c>
      <c r="B39" s="3" t="s">
        <v>55</v>
      </c>
      <c r="C39" s="3" t="s">
        <v>128</v>
      </c>
      <c r="D39" s="100" t="s">
        <v>129</v>
      </c>
      <c r="E39" s="96"/>
      <c r="F39" s="3" t="s">
        <v>114</v>
      </c>
      <c r="G39" s="32">
        <v>7.8</v>
      </c>
      <c r="H39" s="75">
        <v>0</v>
      </c>
      <c r="I39" s="33">
        <v>21</v>
      </c>
      <c r="J39" s="32">
        <f>ROUND(G39*AO39,2)</f>
        <v>0</v>
      </c>
      <c r="K39" s="32">
        <f>ROUND(G39*AP39,2)</f>
        <v>0</v>
      </c>
      <c r="L39" s="32">
        <f>ROUND(G39*H39,2)</f>
        <v>0</v>
      </c>
      <c r="M39" s="32">
        <f>L39*(1+BW39/100)</f>
        <v>0</v>
      </c>
      <c r="N39" s="34">
        <f>IF(L144=0,0,L39/L144)</f>
        <v>0</v>
      </c>
      <c r="O39" s="32">
        <v>1.2999999999999999E-4</v>
      </c>
      <c r="P39" s="32">
        <f>G39*O39</f>
        <v>1.0139999999999999E-3</v>
      </c>
      <c r="Q39" s="35" t="s">
        <v>62</v>
      </c>
      <c r="Z39" s="32">
        <f>ROUND(IF(AQ39="5",BJ39,0),2)</f>
        <v>0</v>
      </c>
      <c r="AB39" s="32">
        <f>ROUND(IF(AQ39="1",BH39,0),2)</f>
        <v>0</v>
      </c>
      <c r="AC39" s="32">
        <f>ROUND(IF(AQ39="1",BI39,0),2)</f>
        <v>0</v>
      </c>
      <c r="AD39" s="32">
        <f>ROUND(IF(AQ39="7",BH39,0),2)</f>
        <v>0</v>
      </c>
      <c r="AE39" s="32">
        <f>ROUND(IF(AQ39="7",BI39,0),2)</f>
        <v>0</v>
      </c>
      <c r="AF39" s="32">
        <f>ROUND(IF(AQ39="2",BH39,0),2)</f>
        <v>0</v>
      </c>
      <c r="AG39" s="32">
        <f>ROUND(IF(AQ39="2",BI39,0),2)</f>
        <v>0</v>
      </c>
      <c r="AH39" s="32">
        <f>ROUND(IF(AQ39="0",BJ39,0),2)</f>
        <v>0</v>
      </c>
      <c r="AI39" s="12" t="s">
        <v>55</v>
      </c>
      <c r="AJ39" s="32">
        <f>IF(AN39=0,L39,0)</f>
        <v>0</v>
      </c>
      <c r="AK39" s="32">
        <f>IF(AN39=12,L39,0)</f>
        <v>0</v>
      </c>
      <c r="AL39" s="32">
        <f>IF(AN39=21,L39,0)</f>
        <v>0</v>
      </c>
      <c r="AN39" s="32">
        <v>21</v>
      </c>
      <c r="AO39" s="32">
        <f>H39*0.142514182</f>
        <v>0</v>
      </c>
      <c r="AP39" s="32">
        <f>H39*(1-0.142514182)</f>
        <v>0</v>
      </c>
      <c r="AQ39" s="36" t="s">
        <v>58</v>
      </c>
      <c r="AV39" s="32">
        <f>ROUND(AW39+AX39,2)</f>
        <v>0</v>
      </c>
      <c r="AW39" s="32">
        <f>ROUND(G39*AO39,2)</f>
        <v>0</v>
      </c>
      <c r="AX39" s="32">
        <f>ROUND(G39*AP39,2)</f>
        <v>0</v>
      </c>
      <c r="AY39" s="36" t="s">
        <v>97</v>
      </c>
      <c r="AZ39" s="36" t="s">
        <v>86</v>
      </c>
      <c r="BA39" s="12" t="s">
        <v>65</v>
      </c>
      <c r="BC39" s="32">
        <f>AW39+AX39</f>
        <v>0</v>
      </c>
      <c r="BD39" s="32">
        <f>H39/(100-BE39)*100</f>
        <v>0</v>
      </c>
      <c r="BE39" s="32">
        <v>0</v>
      </c>
      <c r="BF39" s="32">
        <f>P39</f>
        <v>1.0139999999999999E-3</v>
      </c>
      <c r="BH39" s="32">
        <f>G39*AO39</f>
        <v>0</v>
      </c>
      <c r="BI39" s="32">
        <f>G39*AP39</f>
        <v>0</v>
      </c>
      <c r="BJ39" s="32">
        <f>G39*H39</f>
        <v>0</v>
      </c>
      <c r="BK39" s="36" t="s">
        <v>66</v>
      </c>
      <c r="BL39" s="32">
        <v>95</v>
      </c>
      <c r="BW39" s="32">
        <f>I39</f>
        <v>21</v>
      </c>
      <c r="BX39" s="4" t="s">
        <v>129</v>
      </c>
    </row>
    <row r="40" spans="1:76" ht="13.5" customHeight="1" x14ac:dyDescent="0.25">
      <c r="A40" s="37"/>
      <c r="C40" s="38"/>
      <c r="D40" s="162" t="s">
        <v>122</v>
      </c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4"/>
    </row>
    <row r="41" spans="1:76" x14ac:dyDescent="0.25">
      <c r="A41" s="2" t="s">
        <v>130</v>
      </c>
      <c r="B41" s="3" t="s">
        <v>55</v>
      </c>
      <c r="C41" s="3" t="s">
        <v>131</v>
      </c>
      <c r="D41" s="100" t="s">
        <v>132</v>
      </c>
      <c r="E41" s="96"/>
      <c r="F41" s="3" t="s">
        <v>114</v>
      </c>
      <c r="G41" s="32">
        <v>7.8</v>
      </c>
      <c r="H41" s="75">
        <v>0</v>
      </c>
      <c r="I41" s="33">
        <v>21</v>
      </c>
      <c r="J41" s="32">
        <f>ROUND(G41*AO41,2)</f>
        <v>0</v>
      </c>
      <c r="K41" s="32">
        <f>ROUND(G41*AP41,2)</f>
        <v>0</v>
      </c>
      <c r="L41" s="32">
        <f>ROUND(G41*H41,2)</f>
        <v>0</v>
      </c>
      <c r="M41" s="32">
        <f>L41*(1+BW41/100)</f>
        <v>0</v>
      </c>
      <c r="N41" s="34">
        <f>IF(L144=0,0,L41/L144)</f>
        <v>0</v>
      </c>
      <c r="O41" s="32">
        <v>3.8999999999999999E-4</v>
      </c>
      <c r="P41" s="32">
        <f>G41*O41</f>
        <v>3.042E-3</v>
      </c>
      <c r="Q41" s="35" t="s">
        <v>62</v>
      </c>
      <c r="Z41" s="32">
        <f>ROUND(IF(AQ41="5",BJ41,0),2)</f>
        <v>0</v>
      </c>
      <c r="AB41" s="32">
        <f>ROUND(IF(AQ41="1",BH41,0),2)</f>
        <v>0</v>
      </c>
      <c r="AC41" s="32">
        <f>ROUND(IF(AQ41="1",BI41,0),2)</f>
        <v>0</v>
      </c>
      <c r="AD41" s="32">
        <f>ROUND(IF(AQ41="7",BH41,0),2)</f>
        <v>0</v>
      </c>
      <c r="AE41" s="32">
        <f>ROUND(IF(AQ41="7",BI41,0),2)</f>
        <v>0</v>
      </c>
      <c r="AF41" s="32">
        <f>ROUND(IF(AQ41="2",BH41,0),2)</f>
        <v>0</v>
      </c>
      <c r="AG41" s="32">
        <f>ROUND(IF(AQ41="2",BI41,0),2)</f>
        <v>0</v>
      </c>
      <c r="AH41" s="32">
        <f>ROUND(IF(AQ41="0",BJ41,0),2)</f>
        <v>0</v>
      </c>
      <c r="AI41" s="12" t="s">
        <v>55</v>
      </c>
      <c r="AJ41" s="32">
        <f>IF(AN41=0,L41,0)</f>
        <v>0</v>
      </c>
      <c r="AK41" s="32">
        <f>IF(AN41=12,L41,0)</f>
        <v>0</v>
      </c>
      <c r="AL41" s="32">
        <f>IF(AN41=21,L41,0)</f>
        <v>0</v>
      </c>
      <c r="AN41" s="32">
        <v>21</v>
      </c>
      <c r="AO41" s="32">
        <f>H41*0.090652532</f>
        <v>0</v>
      </c>
      <c r="AP41" s="32">
        <f>H41*(1-0.090652532)</f>
        <v>0</v>
      </c>
      <c r="AQ41" s="36" t="s">
        <v>58</v>
      </c>
      <c r="AV41" s="32">
        <f>ROUND(AW41+AX41,2)</f>
        <v>0</v>
      </c>
      <c r="AW41" s="32">
        <f>ROUND(G41*AO41,2)</f>
        <v>0</v>
      </c>
      <c r="AX41" s="32">
        <f>ROUND(G41*AP41,2)</f>
        <v>0</v>
      </c>
      <c r="AY41" s="36" t="s">
        <v>97</v>
      </c>
      <c r="AZ41" s="36" t="s">
        <v>86</v>
      </c>
      <c r="BA41" s="12" t="s">
        <v>65</v>
      </c>
      <c r="BC41" s="32">
        <f>AW41+AX41</f>
        <v>0</v>
      </c>
      <c r="BD41" s="32">
        <f>H41/(100-BE41)*100</f>
        <v>0</v>
      </c>
      <c r="BE41" s="32">
        <v>0</v>
      </c>
      <c r="BF41" s="32">
        <f>P41</f>
        <v>3.042E-3</v>
      </c>
      <c r="BH41" s="32">
        <f>G41*AO41</f>
        <v>0</v>
      </c>
      <c r="BI41" s="32">
        <f>G41*AP41</f>
        <v>0</v>
      </c>
      <c r="BJ41" s="32">
        <f>G41*H41</f>
        <v>0</v>
      </c>
      <c r="BK41" s="36" t="s">
        <v>66</v>
      </c>
      <c r="BL41" s="32">
        <v>95</v>
      </c>
      <c r="BW41" s="32">
        <f>I41</f>
        <v>21</v>
      </c>
      <c r="BX41" s="4" t="s">
        <v>132</v>
      </c>
    </row>
    <row r="42" spans="1:76" ht="13.5" customHeight="1" x14ac:dyDescent="0.25">
      <c r="A42" s="37"/>
      <c r="C42" s="38"/>
      <c r="D42" s="162" t="s">
        <v>122</v>
      </c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4"/>
    </row>
    <row r="43" spans="1:76" x14ac:dyDescent="0.25">
      <c r="A43" s="40" t="s">
        <v>55</v>
      </c>
      <c r="B43" s="41" t="s">
        <v>55</v>
      </c>
      <c r="C43" s="41" t="s">
        <v>133</v>
      </c>
      <c r="D43" s="165" t="s">
        <v>134</v>
      </c>
      <c r="E43" s="166"/>
      <c r="F43" s="42" t="s">
        <v>8</v>
      </c>
      <c r="G43" s="42" t="s">
        <v>8</v>
      </c>
      <c r="H43" s="42" t="s">
        <v>8</v>
      </c>
      <c r="I43" s="42" t="s">
        <v>8</v>
      </c>
      <c r="J43" s="1">
        <f>SUM(J44:J58)</f>
        <v>0</v>
      </c>
      <c r="K43" s="1">
        <f>SUM(K44:K58)</f>
        <v>0</v>
      </c>
      <c r="L43" s="1">
        <f>SUM(L44:L58)</f>
        <v>0</v>
      </c>
      <c r="M43" s="1">
        <f>SUM(M44:M58)</f>
        <v>0</v>
      </c>
      <c r="N43" s="43">
        <f>IF(L144=0,0,L43/L144)</f>
        <v>0</v>
      </c>
      <c r="O43" s="12" t="s">
        <v>55</v>
      </c>
      <c r="P43" s="1">
        <f>SUM(P44:P58)</f>
        <v>6.0644534999999991</v>
      </c>
      <c r="Q43" s="44" t="s">
        <v>55</v>
      </c>
      <c r="AI43" s="12" t="s">
        <v>55</v>
      </c>
      <c r="AS43" s="1">
        <f>SUM(AJ44:AJ58)</f>
        <v>0</v>
      </c>
      <c r="AT43" s="1">
        <f>SUM(AK44:AK58)</f>
        <v>0</v>
      </c>
      <c r="AU43" s="1">
        <f>SUM(AL44:AL58)</f>
        <v>0</v>
      </c>
    </row>
    <row r="44" spans="1:76" x14ac:dyDescent="0.25">
      <c r="A44" s="2" t="s">
        <v>135</v>
      </c>
      <c r="B44" s="3" t="s">
        <v>55</v>
      </c>
      <c r="C44" s="3" t="s">
        <v>136</v>
      </c>
      <c r="D44" s="100" t="s">
        <v>137</v>
      </c>
      <c r="E44" s="96"/>
      <c r="F44" s="3" t="s">
        <v>61</v>
      </c>
      <c r="G44" s="32">
        <v>48.3</v>
      </c>
      <c r="H44" s="75">
        <v>0</v>
      </c>
      <c r="I44" s="33">
        <v>21</v>
      </c>
      <c r="J44" s="32">
        <f>ROUND(G44*AO44,2)</f>
        <v>0</v>
      </c>
      <c r="K44" s="32">
        <f>ROUND(G44*AP44,2)</f>
        <v>0</v>
      </c>
      <c r="L44" s="32">
        <f>ROUND(G44*H44,2)</f>
        <v>0</v>
      </c>
      <c r="M44" s="32">
        <f>L44*(1+BW44/100)</f>
        <v>0</v>
      </c>
      <c r="N44" s="34">
        <f>IF(L144=0,0,L44/L144)</f>
        <v>0</v>
      </c>
      <c r="O44" s="32">
        <v>5.5820000000000002E-2</v>
      </c>
      <c r="P44" s="32">
        <f>G44*O44</f>
        <v>2.6961059999999999</v>
      </c>
      <c r="Q44" s="35" t="s">
        <v>62</v>
      </c>
      <c r="Z44" s="32">
        <f>ROUND(IF(AQ44="5",BJ44,0),2)</f>
        <v>0</v>
      </c>
      <c r="AB44" s="32">
        <f>ROUND(IF(AQ44="1",BH44,0),2)</f>
        <v>0</v>
      </c>
      <c r="AC44" s="32">
        <f>ROUND(IF(AQ44="1",BI44,0),2)</f>
        <v>0</v>
      </c>
      <c r="AD44" s="32">
        <f>ROUND(IF(AQ44="7",BH44,0),2)</f>
        <v>0</v>
      </c>
      <c r="AE44" s="32">
        <f>ROUND(IF(AQ44="7",BI44,0),2)</f>
        <v>0</v>
      </c>
      <c r="AF44" s="32">
        <f>ROUND(IF(AQ44="2",BH44,0),2)</f>
        <v>0</v>
      </c>
      <c r="AG44" s="32">
        <f>ROUND(IF(AQ44="2",BI44,0),2)</f>
        <v>0</v>
      </c>
      <c r="AH44" s="32">
        <f>ROUND(IF(AQ44="0",BJ44,0),2)</f>
        <v>0</v>
      </c>
      <c r="AI44" s="12" t="s">
        <v>55</v>
      </c>
      <c r="AJ44" s="32">
        <f>IF(AN44=0,L44,0)</f>
        <v>0</v>
      </c>
      <c r="AK44" s="32">
        <f>IF(AN44=12,L44,0)</f>
        <v>0</v>
      </c>
      <c r="AL44" s="32">
        <f>IF(AN44=21,L44,0)</f>
        <v>0</v>
      </c>
      <c r="AN44" s="32">
        <v>21</v>
      </c>
      <c r="AO44" s="32">
        <f>H44*0.116504854</f>
        <v>0</v>
      </c>
      <c r="AP44" s="32">
        <f>H44*(1-0.116504854)</f>
        <v>0</v>
      </c>
      <c r="AQ44" s="36" t="s">
        <v>58</v>
      </c>
      <c r="AV44" s="32">
        <f>ROUND(AW44+AX44,2)</f>
        <v>0</v>
      </c>
      <c r="AW44" s="32">
        <f>ROUND(G44*AO44,2)</f>
        <v>0</v>
      </c>
      <c r="AX44" s="32">
        <f>ROUND(G44*AP44,2)</f>
        <v>0</v>
      </c>
      <c r="AY44" s="36" t="s">
        <v>138</v>
      </c>
      <c r="AZ44" s="36" t="s">
        <v>86</v>
      </c>
      <c r="BA44" s="12" t="s">
        <v>65</v>
      </c>
      <c r="BC44" s="32">
        <f>AW44+AX44</f>
        <v>0</v>
      </c>
      <c r="BD44" s="32">
        <f>H44/(100-BE44)*100</f>
        <v>0</v>
      </c>
      <c r="BE44" s="32">
        <v>0</v>
      </c>
      <c r="BF44" s="32">
        <f>P44</f>
        <v>2.6961059999999999</v>
      </c>
      <c r="BH44" s="32">
        <f>G44*AO44</f>
        <v>0</v>
      </c>
      <c r="BI44" s="32">
        <f>G44*AP44</f>
        <v>0</v>
      </c>
      <c r="BJ44" s="32">
        <f>G44*H44</f>
        <v>0</v>
      </c>
      <c r="BK44" s="36" t="s">
        <v>66</v>
      </c>
      <c r="BL44" s="32">
        <v>96</v>
      </c>
      <c r="BW44" s="32">
        <f>I44</f>
        <v>21</v>
      </c>
      <c r="BX44" s="4" t="s">
        <v>137</v>
      </c>
    </row>
    <row r="45" spans="1:76" x14ac:dyDescent="0.25">
      <c r="A45" s="2" t="s">
        <v>139</v>
      </c>
      <c r="B45" s="3" t="s">
        <v>55</v>
      </c>
      <c r="C45" s="3" t="s">
        <v>140</v>
      </c>
      <c r="D45" s="100" t="s">
        <v>141</v>
      </c>
      <c r="E45" s="96"/>
      <c r="F45" s="3" t="s">
        <v>61</v>
      </c>
      <c r="G45" s="32">
        <v>474.07499999999999</v>
      </c>
      <c r="H45" s="75">
        <v>0</v>
      </c>
      <c r="I45" s="33">
        <v>21</v>
      </c>
      <c r="J45" s="32">
        <f>ROUND(G45*AO45,2)</f>
        <v>0</v>
      </c>
      <c r="K45" s="32">
        <f>ROUND(G45*AP45,2)</f>
        <v>0</v>
      </c>
      <c r="L45" s="32">
        <f>ROUND(G45*H45,2)</f>
        <v>0</v>
      </c>
      <c r="M45" s="32">
        <f>L45*(1+BW45/100)</f>
        <v>0</v>
      </c>
      <c r="N45" s="34">
        <f>IF(L144=0,0,L45/L144)</f>
        <v>0</v>
      </c>
      <c r="O45" s="32">
        <v>7.0000000000000001E-3</v>
      </c>
      <c r="P45" s="32">
        <f>G45*O45</f>
        <v>3.3185250000000002</v>
      </c>
      <c r="Q45" s="35" t="s">
        <v>62</v>
      </c>
      <c r="Z45" s="32">
        <f>ROUND(IF(AQ45="5",BJ45,0),2)</f>
        <v>0</v>
      </c>
      <c r="AB45" s="32">
        <f>ROUND(IF(AQ45="1",BH45,0),2)</f>
        <v>0</v>
      </c>
      <c r="AC45" s="32">
        <f>ROUND(IF(AQ45="1",BI45,0),2)</f>
        <v>0</v>
      </c>
      <c r="AD45" s="32">
        <f>ROUND(IF(AQ45="7",BH45,0),2)</f>
        <v>0</v>
      </c>
      <c r="AE45" s="32">
        <f>ROUND(IF(AQ45="7",BI45,0),2)</f>
        <v>0</v>
      </c>
      <c r="AF45" s="32">
        <f>ROUND(IF(AQ45="2",BH45,0),2)</f>
        <v>0</v>
      </c>
      <c r="AG45" s="32">
        <f>ROUND(IF(AQ45="2",BI45,0),2)</f>
        <v>0</v>
      </c>
      <c r="AH45" s="32">
        <f>ROUND(IF(AQ45="0",BJ45,0),2)</f>
        <v>0</v>
      </c>
      <c r="AI45" s="12" t="s">
        <v>55</v>
      </c>
      <c r="AJ45" s="32">
        <f>IF(AN45=0,L45,0)</f>
        <v>0</v>
      </c>
      <c r="AK45" s="32">
        <f>IF(AN45=12,L45,0)</f>
        <v>0</v>
      </c>
      <c r="AL45" s="32">
        <f>IF(AN45=21,L45,0)</f>
        <v>0</v>
      </c>
      <c r="AN45" s="32">
        <v>21</v>
      </c>
      <c r="AO45" s="32">
        <f>H45*0</f>
        <v>0</v>
      </c>
      <c r="AP45" s="32">
        <f>H45*(1-0)</f>
        <v>0</v>
      </c>
      <c r="AQ45" s="36" t="s">
        <v>58</v>
      </c>
      <c r="AV45" s="32">
        <f>ROUND(AW45+AX45,2)</f>
        <v>0</v>
      </c>
      <c r="AW45" s="32">
        <f>ROUND(G45*AO45,2)</f>
        <v>0</v>
      </c>
      <c r="AX45" s="32">
        <f>ROUND(G45*AP45,2)</f>
        <v>0</v>
      </c>
      <c r="AY45" s="36" t="s">
        <v>138</v>
      </c>
      <c r="AZ45" s="36" t="s">
        <v>86</v>
      </c>
      <c r="BA45" s="12" t="s">
        <v>65</v>
      </c>
      <c r="BC45" s="32">
        <f>AW45+AX45</f>
        <v>0</v>
      </c>
      <c r="BD45" s="32">
        <f>H45/(100-BE45)*100</f>
        <v>0</v>
      </c>
      <c r="BE45" s="32">
        <v>0</v>
      </c>
      <c r="BF45" s="32">
        <f>P45</f>
        <v>3.3185250000000002</v>
      </c>
      <c r="BH45" s="32">
        <f>G45*AO45</f>
        <v>0</v>
      </c>
      <c r="BI45" s="32">
        <f>G45*AP45</f>
        <v>0</v>
      </c>
      <c r="BJ45" s="32">
        <f>G45*H45</f>
        <v>0</v>
      </c>
      <c r="BK45" s="36" t="s">
        <v>66</v>
      </c>
      <c r="BL45" s="32">
        <v>96</v>
      </c>
      <c r="BW45" s="32">
        <f>I45</f>
        <v>21</v>
      </c>
      <c r="BX45" s="4" t="s">
        <v>141</v>
      </c>
    </row>
    <row r="46" spans="1:76" x14ac:dyDescent="0.25">
      <c r="A46" s="2" t="s">
        <v>142</v>
      </c>
      <c r="B46" s="3" t="s">
        <v>55</v>
      </c>
      <c r="C46" s="3" t="s">
        <v>143</v>
      </c>
      <c r="D46" s="100" t="s">
        <v>144</v>
      </c>
      <c r="E46" s="96"/>
      <c r="F46" s="3" t="s">
        <v>61</v>
      </c>
      <c r="G46" s="32">
        <v>0.5625</v>
      </c>
      <c r="H46" s="75">
        <v>0</v>
      </c>
      <c r="I46" s="33">
        <v>21</v>
      </c>
      <c r="J46" s="32">
        <f>ROUND(G46*AO46,2)</f>
        <v>0</v>
      </c>
      <c r="K46" s="32">
        <f>ROUND(G46*AP46,2)</f>
        <v>0</v>
      </c>
      <c r="L46" s="32">
        <f>ROUND(G46*H46,2)</f>
        <v>0</v>
      </c>
      <c r="M46" s="32">
        <f>L46*(1+BW46/100)</f>
        <v>0</v>
      </c>
      <c r="N46" s="34">
        <f>IF(L144=0,0,L46/L144)</f>
        <v>0</v>
      </c>
      <c r="O46" s="32">
        <v>2.1000000000000001E-2</v>
      </c>
      <c r="P46" s="32">
        <f>G46*O46</f>
        <v>1.18125E-2</v>
      </c>
      <c r="Q46" s="35" t="s">
        <v>62</v>
      </c>
      <c r="Z46" s="32">
        <f>ROUND(IF(AQ46="5",BJ46,0),2)</f>
        <v>0</v>
      </c>
      <c r="AB46" s="32">
        <f>ROUND(IF(AQ46="1",BH46,0),2)</f>
        <v>0</v>
      </c>
      <c r="AC46" s="32">
        <f>ROUND(IF(AQ46="1",BI46,0),2)</f>
        <v>0</v>
      </c>
      <c r="AD46" s="32">
        <f>ROUND(IF(AQ46="7",BH46,0),2)</f>
        <v>0</v>
      </c>
      <c r="AE46" s="32">
        <f>ROUND(IF(AQ46="7",BI46,0),2)</f>
        <v>0</v>
      </c>
      <c r="AF46" s="32">
        <f>ROUND(IF(AQ46="2",BH46,0),2)</f>
        <v>0</v>
      </c>
      <c r="AG46" s="32">
        <f>ROUND(IF(AQ46="2",BI46,0),2)</f>
        <v>0</v>
      </c>
      <c r="AH46" s="32">
        <f>ROUND(IF(AQ46="0",BJ46,0),2)</f>
        <v>0</v>
      </c>
      <c r="AI46" s="12" t="s">
        <v>55</v>
      </c>
      <c r="AJ46" s="32">
        <f>IF(AN46=0,L46,0)</f>
        <v>0</v>
      </c>
      <c r="AK46" s="32">
        <f>IF(AN46=12,L46,0)</f>
        <v>0</v>
      </c>
      <c r="AL46" s="32">
        <f>IF(AN46=21,L46,0)</f>
        <v>0</v>
      </c>
      <c r="AN46" s="32">
        <v>21</v>
      </c>
      <c r="AO46" s="32">
        <f>H46*0</f>
        <v>0</v>
      </c>
      <c r="AP46" s="32">
        <f>H46*(1-0)</f>
        <v>0</v>
      </c>
      <c r="AQ46" s="36" t="s">
        <v>58</v>
      </c>
      <c r="AV46" s="32">
        <f>ROUND(AW46+AX46,2)</f>
        <v>0</v>
      </c>
      <c r="AW46" s="32">
        <f>ROUND(G46*AO46,2)</f>
        <v>0</v>
      </c>
      <c r="AX46" s="32">
        <f>ROUND(G46*AP46,2)</f>
        <v>0</v>
      </c>
      <c r="AY46" s="36" t="s">
        <v>138</v>
      </c>
      <c r="AZ46" s="36" t="s">
        <v>86</v>
      </c>
      <c r="BA46" s="12" t="s">
        <v>65</v>
      </c>
      <c r="BC46" s="32">
        <f>AW46+AX46</f>
        <v>0</v>
      </c>
      <c r="BD46" s="32">
        <f>H46/(100-BE46)*100</f>
        <v>0</v>
      </c>
      <c r="BE46" s="32">
        <v>0</v>
      </c>
      <c r="BF46" s="32">
        <f>P46</f>
        <v>1.18125E-2</v>
      </c>
      <c r="BH46" s="32">
        <f>G46*AO46</f>
        <v>0</v>
      </c>
      <c r="BI46" s="32">
        <f>G46*AP46</f>
        <v>0</v>
      </c>
      <c r="BJ46" s="32">
        <f>G46*H46</f>
        <v>0</v>
      </c>
      <c r="BK46" s="36" t="s">
        <v>66</v>
      </c>
      <c r="BL46" s="32">
        <v>96</v>
      </c>
      <c r="BW46" s="32">
        <f>I46</f>
        <v>21</v>
      </c>
      <c r="BX46" s="4" t="s">
        <v>144</v>
      </c>
    </row>
    <row r="47" spans="1:76" x14ac:dyDescent="0.25">
      <c r="A47" s="2" t="s">
        <v>145</v>
      </c>
      <c r="B47" s="3" t="s">
        <v>55</v>
      </c>
      <c r="C47" s="3" t="s">
        <v>146</v>
      </c>
      <c r="D47" s="100" t="s">
        <v>147</v>
      </c>
      <c r="E47" s="96"/>
      <c r="F47" s="3" t="s">
        <v>114</v>
      </c>
      <c r="G47" s="32">
        <v>87.5</v>
      </c>
      <c r="H47" s="75">
        <v>0</v>
      </c>
      <c r="I47" s="33">
        <v>21</v>
      </c>
      <c r="J47" s="32">
        <f>ROUND(G47*AO47,2)</f>
        <v>0</v>
      </c>
      <c r="K47" s="32">
        <f>ROUND(G47*AP47,2)</f>
        <v>0</v>
      </c>
      <c r="L47" s="32">
        <f>ROUND(G47*H47,2)</f>
        <v>0</v>
      </c>
      <c r="M47" s="32">
        <f>L47*(1+BW47/100)</f>
        <v>0</v>
      </c>
      <c r="N47" s="34">
        <f>IF(L144=0,0,L47/L144)</f>
        <v>0</v>
      </c>
      <c r="O47" s="32">
        <v>0</v>
      </c>
      <c r="P47" s="32">
        <f>G47*O47</f>
        <v>0</v>
      </c>
      <c r="Q47" s="35" t="s">
        <v>62</v>
      </c>
      <c r="Z47" s="32">
        <f>ROUND(IF(AQ47="5",BJ47,0),2)</f>
        <v>0</v>
      </c>
      <c r="AB47" s="32">
        <f>ROUND(IF(AQ47="1",BH47,0),2)</f>
        <v>0</v>
      </c>
      <c r="AC47" s="32">
        <f>ROUND(IF(AQ47="1",BI47,0),2)</f>
        <v>0</v>
      </c>
      <c r="AD47" s="32">
        <f>ROUND(IF(AQ47="7",BH47,0),2)</f>
        <v>0</v>
      </c>
      <c r="AE47" s="32">
        <f>ROUND(IF(AQ47="7",BI47,0),2)</f>
        <v>0</v>
      </c>
      <c r="AF47" s="32">
        <f>ROUND(IF(AQ47="2",BH47,0),2)</f>
        <v>0</v>
      </c>
      <c r="AG47" s="32">
        <f>ROUND(IF(AQ47="2",BI47,0),2)</f>
        <v>0</v>
      </c>
      <c r="AH47" s="32">
        <f>ROUND(IF(AQ47="0",BJ47,0),2)</f>
        <v>0</v>
      </c>
      <c r="AI47" s="12" t="s">
        <v>55</v>
      </c>
      <c r="AJ47" s="32">
        <f>IF(AN47=0,L47,0)</f>
        <v>0</v>
      </c>
      <c r="AK47" s="32">
        <f>IF(AN47=12,L47,0)</f>
        <v>0</v>
      </c>
      <c r="AL47" s="32">
        <f>IF(AN47=21,L47,0)</f>
        <v>0</v>
      </c>
      <c r="AN47" s="32">
        <v>21</v>
      </c>
      <c r="AO47" s="32">
        <f>H47*0</f>
        <v>0</v>
      </c>
      <c r="AP47" s="32">
        <f>H47*(1-0)</f>
        <v>0</v>
      </c>
      <c r="AQ47" s="36" t="s">
        <v>68</v>
      </c>
      <c r="AV47" s="32">
        <f>ROUND(AW47+AX47,2)</f>
        <v>0</v>
      </c>
      <c r="AW47" s="32">
        <f>ROUND(G47*AO47,2)</f>
        <v>0</v>
      </c>
      <c r="AX47" s="32">
        <f>ROUND(G47*AP47,2)</f>
        <v>0</v>
      </c>
      <c r="AY47" s="36" t="s">
        <v>138</v>
      </c>
      <c r="AZ47" s="36" t="s">
        <v>86</v>
      </c>
      <c r="BA47" s="12" t="s">
        <v>65</v>
      </c>
      <c r="BC47" s="32">
        <f>AW47+AX47</f>
        <v>0</v>
      </c>
      <c r="BD47" s="32">
        <f>H47/(100-BE47)*100</f>
        <v>0</v>
      </c>
      <c r="BE47" s="32">
        <v>0</v>
      </c>
      <c r="BF47" s="32">
        <f>P47</f>
        <v>0</v>
      </c>
      <c r="BH47" s="32">
        <f>G47*AO47</f>
        <v>0</v>
      </c>
      <c r="BI47" s="32">
        <f>G47*AP47</f>
        <v>0</v>
      </c>
      <c r="BJ47" s="32">
        <f>G47*H47</f>
        <v>0</v>
      </c>
      <c r="BK47" s="36" t="s">
        <v>66</v>
      </c>
      <c r="BL47" s="32">
        <v>96</v>
      </c>
      <c r="BW47" s="32">
        <f>I47</f>
        <v>21</v>
      </c>
      <c r="BX47" s="4" t="s">
        <v>147</v>
      </c>
    </row>
    <row r="48" spans="1:76" ht="13.5" customHeight="1" x14ac:dyDescent="0.25">
      <c r="A48" s="37"/>
      <c r="C48" s="38"/>
      <c r="D48" s="162" t="s">
        <v>148</v>
      </c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4"/>
    </row>
    <row r="49" spans="1:76" x14ac:dyDescent="0.25">
      <c r="A49" s="2" t="s">
        <v>149</v>
      </c>
      <c r="B49" s="3" t="s">
        <v>55</v>
      </c>
      <c r="C49" s="3" t="s">
        <v>150</v>
      </c>
      <c r="D49" s="100" t="s">
        <v>151</v>
      </c>
      <c r="E49" s="96"/>
      <c r="F49" s="3" t="s">
        <v>114</v>
      </c>
      <c r="G49" s="32">
        <v>21</v>
      </c>
      <c r="H49" s="75">
        <v>0</v>
      </c>
      <c r="I49" s="33">
        <v>21</v>
      </c>
      <c r="J49" s="32">
        <f>ROUND(G49*AO49,2)</f>
        <v>0</v>
      </c>
      <c r="K49" s="32">
        <f>ROUND(G49*AP49,2)</f>
        <v>0</v>
      </c>
      <c r="L49" s="32">
        <f>ROUND(G49*H49,2)</f>
        <v>0</v>
      </c>
      <c r="M49" s="32">
        <f>L49*(1+BW49/100)</f>
        <v>0</v>
      </c>
      <c r="N49" s="34">
        <f>IF(L144=0,0,L49/L144)</f>
        <v>0</v>
      </c>
      <c r="O49" s="32">
        <v>1.81E-3</v>
      </c>
      <c r="P49" s="32">
        <f>G49*O49</f>
        <v>3.8010000000000002E-2</v>
      </c>
      <c r="Q49" s="35" t="s">
        <v>62</v>
      </c>
      <c r="Z49" s="32">
        <f>ROUND(IF(AQ49="5",BJ49,0),2)</f>
        <v>0</v>
      </c>
      <c r="AB49" s="32">
        <f>ROUND(IF(AQ49="1",BH49,0),2)</f>
        <v>0</v>
      </c>
      <c r="AC49" s="32">
        <f>ROUND(IF(AQ49="1",BI49,0),2)</f>
        <v>0</v>
      </c>
      <c r="AD49" s="32">
        <f>ROUND(IF(AQ49="7",BH49,0),2)</f>
        <v>0</v>
      </c>
      <c r="AE49" s="32">
        <f>ROUND(IF(AQ49="7",BI49,0),2)</f>
        <v>0</v>
      </c>
      <c r="AF49" s="32">
        <f>ROUND(IF(AQ49="2",BH49,0),2)</f>
        <v>0</v>
      </c>
      <c r="AG49" s="32">
        <f>ROUND(IF(AQ49="2",BI49,0),2)</f>
        <v>0</v>
      </c>
      <c r="AH49" s="32">
        <f>ROUND(IF(AQ49="0",BJ49,0),2)</f>
        <v>0</v>
      </c>
      <c r="AI49" s="12" t="s">
        <v>55</v>
      </c>
      <c r="AJ49" s="32">
        <f>IF(AN49=0,L49,0)</f>
        <v>0</v>
      </c>
      <c r="AK49" s="32">
        <f>IF(AN49=12,L49,0)</f>
        <v>0</v>
      </c>
      <c r="AL49" s="32">
        <f>IF(AN49=21,L49,0)</f>
        <v>0</v>
      </c>
      <c r="AN49" s="32">
        <v>21</v>
      </c>
      <c r="AO49" s="32">
        <f>H49*0</f>
        <v>0</v>
      </c>
      <c r="AP49" s="32">
        <f>H49*(1-0)</f>
        <v>0</v>
      </c>
      <c r="AQ49" s="36" t="s">
        <v>58</v>
      </c>
      <c r="AV49" s="32">
        <f>ROUND(AW49+AX49,2)</f>
        <v>0</v>
      </c>
      <c r="AW49" s="32">
        <f>ROUND(G49*AO49,2)</f>
        <v>0</v>
      </c>
      <c r="AX49" s="32">
        <f>ROUND(G49*AP49,2)</f>
        <v>0</v>
      </c>
      <c r="AY49" s="36" t="s">
        <v>138</v>
      </c>
      <c r="AZ49" s="36" t="s">
        <v>86</v>
      </c>
      <c r="BA49" s="12" t="s">
        <v>65</v>
      </c>
      <c r="BC49" s="32">
        <f>AW49+AX49</f>
        <v>0</v>
      </c>
      <c r="BD49" s="32">
        <f>H49/(100-BE49)*100</f>
        <v>0</v>
      </c>
      <c r="BE49" s="32">
        <v>0</v>
      </c>
      <c r="BF49" s="32">
        <f>P49</f>
        <v>3.8010000000000002E-2</v>
      </c>
      <c r="BH49" s="32">
        <f>G49*AO49</f>
        <v>0</v>
      </c>
      <c r="BI49" s="32">
        <f>G49*AP49</f>
        <v>0</v>
      </c>
      <c r="BJ49" s="32">
        <f>G49*H49</f>
        <v>0</v>
      </c>
      <c r="BK49" s="36" t="s">
        <v>66</v>
      </c>
      <c r="BL49" s="32">
        <v>96</v>
      </c>
      <c r="BW49" s="32">
        <f>I49</f>
        <v>21</v>
      </c>
      <c r="BX49" s="4" t="s">
        <v>151</v>
      </c>
    </row>
    <row r="50" spans="1:76" ht="13.5" customHeight="1" x14ac:dyDescent="0.25">
      <c r="A50" s="37"/>
      <c r="C50" s="38"/>
      <c r="D50" s="162" t="s">
        <v>152</v>
      </c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4"/>
    </row>
    <row r="51" spans="1:76" x14ac:dyDescent="0.25">
      <c r="A51" s="2" t="s">
        <v>153</v>
      </c>
      <c r="B51" s="3" t="s">
        <v>55</v>
      </c>
      <c r="C51" s="3" t="s">
        <v>108</v>
      </c>
      <c r="D51" s="100" t="s">
        <v>154</v>
      </c>
      <c r="E51" s="96"/>
      <c r="F51" s="3" t="s">
        <v>110</v>
      </c>
      <c r="G51" s="32">
        <v>50</v>
      </c>
      <c r="H51" s="75">
        <v>0</v>
      </c>
      <c r="I51" s="33">
        <v>21</v>
      </c>
      <c r="J51" s="32">
        <f>ROUND(G51*AO51,2)</f>
        <v>0</v>
      </c>
      <c r="K51" s="32">
        <f>ROUND(G51*AP51,2)</f>
        <v>0</v>
      </c>
      <c r="L51" s="32">
        <f>ROUND(G51*H51,2)</f>
        <v>0</v>
      </c>
      <c r="M51" s="32">
        <f>L51*(1+BW51/100)</f>
        <v>0</v>
      </c>
      <c r="N51" s="34">
        <f>IF(L144=0,0,L51/L144)</f>
        <v>0</v>
      </c>
      <c r="O51" s="32">
        <v>0</v>
      </c>
      <c r="P51" s="32">
        <f>G51*O51</f>
        <v>0</v>
      </c>
      <c r="Q51" s="35" t="s">
        <v>62</v>
      </c>
      <c r="Z51" s="32">
        <f>ROUND(IF(AQ51="5",BJ51,0),2)</f>
        <v>0</v>
      </c>
      <c r="AB51" s="32">
        <f>ROUND(IF(AQ51="1",BH51,0),2)</f>
        <v>0</v>
      </c>
      <c r="AC51" s="32">
        <f>ROUND(IF(AQ51="1",BI51,0),2)</f>
        <v>0</v>
      </c>
      <c r="AD51" s="32">
        <f>ROUND(IF(AQ51="7",BH51,0),2)</f>
        <v>0</v>
      </c>
      <c r="AE51" s="32">
        <f>ROUND(IF(AQ51="7",BI51,0),2)</f>
        <v>0</v>
      </c>
      <c r="AF51" s="32">
        <f>ROUND(IF(AQ51="2",BH51,0),2)</f>
        <v>0</v>
      </c>
      <c r="AG51" s="32">
        <f>ROUND(IF(AQ51="2",BI51,0),2)</f>
        <v>0</v>
      </c>
      <c r="AH51" s="32">
        <f>ROUND(IF(AQ51="0",BJ51,0),2)</f>
        <v>0</v>
      </c>
      <c r="AI51" s="12" t="s">
        <v>55</v>
      </c>
      <c r="AJ51" s="32">
        <f>IF(AN51=0,L51,0)</f>
        <v>0</v>
      </c>
      <c r="AK51" s="32">
        <f>IF(AN51=12,L51,0)</f>
        <v>0</v>
      </c>
      <c r="AL51" s="32">
        <f>IF(AN51=21,L51,0)</f>
        <v>0</v>
      </c>
      <c r="AN51" s="32">
        <v>21</v>
      </c>
      <c r="AO51" s="32">
        <f>H51*0</f>
        <v>0</v>
      </c>
      <c r="AP51" s="32">
        <f>H51*(1-0)</f>
        <v>0</v>
      </c>
      <c r="AQ51" s="36" t="s">
        <v>58</v>
      </c>
      <c r="AV51" s="32">
        <f>ROUND(AW51+AX51,2)</f>
        <v>0</v>
      </c>
      <c r="AW51" s="32">
        <f>ROUND(G51*AO51,2)</f>
        <v>0</v>
      </c>
      <c r="AX51" s="32">
        <f>ROUND(G51*AP51,2)</f>
        <v>0</v>
      </c>
      <c r="AY51" s="36" t="s">
        <v>138</v>
      </c>
      <c r="AZ51" s="36" t="s">
        <v>86</v>
      </c>
      <c r="BA51" s="12" t="s">
        <v>65</v>
      </c>
      <c r="BC51" s="32">
        <f>AW51+AX51</f>
        <v>0</v>
      </c>
      <c r="BD51" s="32">
        <f>H51/(100-BE51)*100</f>
        <v>0</v>
      </c>
      <c r="BE51" s="32">
        <v>0</v>
      </c>
      <c r="BF51" s="32">
        <f>P51</f>
        <v>0</v>
      </c>
      <c r="BH51" s="32">
        <f>G51*AO51</f>
        <v>0</v>
      </c>
      <c r="BI51" s="32">
        <f>G51*AP51</f>
        <v>0</v>
      </c>
      <c r="BJ51" s="32">
        <f>G51*H51</f>
        <v>0</v>
      </c>
      <c r="BK51" s="36" t="s">
        <v>66</v>
      </c>
      <c r="BL51" s="32">
        <v>96</v>
      </c>
      <c r="BW51" s="32">
        <f>I51</f>
        <v>21</v>
      </c>
      <c r="BX51" s="4" t="s">
        <v>154</v>
      </c>
    </row>
    <row r="52" spans="1:76" ht="13.5" customHeight="1" x14ac:dyDescent="0.25">
      <c r="A52" s="37"/>
      <c r="C52" s="38"/>
      <c r="D52" s="162" t="s">
        <v>155</v>
      </c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4"/>
    </row>
    <row r="53" spans="1:76" x14ac:dyDescent="0.25">
      <c r="A53" s="2" t="s">
        <v>156</v>
      </c>
      <c r="B53" s="3" t="s">
        <v>55</v>
      </c>
      <c r="C53" s="3" t="s">
        <v>157</v>
      </c>
      <c r="D53" s="100" t="s">
        <v>158</v>
      </c>
      <c r="E53" s="96"/>
      <c r="F53" s="3" t="s">
        <v>159</v>
      </c>
      <c r="G53" s="32">
        <v>3</v>
      </c>
      <c r="H53" s="75">
        <v>0</v>
      </c>
      <c r="I53" s="33">
        <v>21</v>
      </c>
      <c r="J53" s="32">
        <f>ROUND(G53*AO53,2)</f>
        <v>0</v>
      </c>
      <c r="K53" s="32">
        <f>ROUND(G53*AP53,2)</f>
        <v>0</v>
      </c>
      <c r="L53" s="32">
        <f>ROUND(G53*H53,2)</f>
        <v>0</v>
      </c>
      <c r="M53" s="32">
        <f>L53*(1+BW53/100)</f>
        <v>0</v>
      </c>
      <c r="N53" s="34">
        <f>IF(L144=0,0,L53/L144)</f>
        <v>0</v>
      </c>
      <c r="O53" s="32">
        <v>0</v>
      </c>
      <c r="P53" s="32">
        <f>G53*O53</f>
        <v>0</v>
      </c>
      <c r="Q53" s="35" t="s">
        <v>160</v>
      </c>
      <c r="Z53" s="32">
        <f>ROUND(IF(AQ53="5",BJ53,0),2)</f>
        <v>0</v>
      </c>
      <c r="AB53" s="32">
        <f>ROUND(IF(AQ53="1",BH53,0),2)</f>
        <v>0</v>
      </c>
      <c r="AC53" s="32">
        <f>ROUND(IF(AQ53="1",BI53,0),2)</f>
        <v>0</v>
      </c>
      <c r="AD53" s="32">
        <f>ROUND(IF(AQ53="7",BH53,0),2)</f>
        <v>0</v>
      </c>
      <c r="AE53" s="32">
        <f>ROUND(IF(AQ53="7",BI53,0),2)</f>
        <v>0</v>
      </c>
      <c r="AF53" s="32">
        <f>ROUND(IF(AQ53="2",BH53,0),2)</f>
        <v>0</v>
      </c>
      <c r="AG53" s="32">
        <f>ROUND(IF(AQ53="2",BI53,0),2)</f>
        <v>0</v>
      </c>
      <c r="AH53" s="32">
        <f>ROUND(IF(AQ53="0",BJ53,0),2)</f>
        <v>0</v>
      </c>
      <c r="AI53" s="12" t="s">
        <v>55</v>
      </c>
      <c r="AJ53" s="32">
        <f>IF(AN53=0,L53,0)</f>
        <v>0</v>
      </c>
      <c r="AK53" s="32">
        <f>IF(AN53=12,L53,0)</f>
        <v>0</v>
      </c>
      <c r="AL53" s="32">
        <f>IF(AN53=21,L53,0)</f>
        <v>0</v>
      </c>
      <c r="AN53" s="32">
        <v>21</v>
      </c>
      <c r="AO53" s="32">
        <f>H53*0</f>
        <v>0</v>
      </c>
      <c r="AP53" s="32">
        <f>H53*(1-0)</f>
        <v>0</v>
      </c>
      <c r="AQ53" s="36" t="s">
        <v>88</v>
      </c>
      <c r="AV53" s="32">
        <f>ROUND(AW53+AX53,2)</f>
        <v>0</v>
      </c>
      <c r="AW53" s="32">
        <f>ROUND(G53*AO53,2)</f>
        <v>0</v>
      </c>
      <c r="AX53" s="32">
        <f>ROUND(G53*AP53,2)</f>
        <v>0</v>
      </c>
      <c r="AY53" s="36" t="s">
        <v>138</v>
      </c>
      <c r="AZ53" s="36" t="s">
        <v>86</v>
      </c>
      <c r="BA53" s="12" t="s">
        <v>65</v>
      </c>
      <c r="BC53" s="32">
        <f>AW53+AX53</f>
        <v>0</v>
      </c>
      <c r="BD53" s="32">
        <f>H53/(100-BE53)*100</f>
        <v>0</v>
      </c>
      <c r="BE53" s="32">
        <v>0</v>
      </c>
      <c r="BF53" s="32">
        <f>P53</f>
        <v>0</v>
      </c>
      <c r="BH53" s="32">
        <f>G53*AO53</f>
        <v>0</v>
      </c>
      <c r="BI53" s="32">
        <f>G53*AP53</f>
        <v>0</v>
      </c>
      <c r="BJ53" s="32">
        <f>G53*H53</f>
        <v>0</v>
      </c>
      <c r="BK53" s="36" t="s">
        <v>66</v>
      </c>
      <c r="BL53" s="32">
        <v>96</v>
      </c>
      <c r="BW53" s="32">
        <f>I53</f>
        <v>21</v>
      </c>
      <c r="BX53" s="4" t="s">
        <v>158</v>
      </c>
    </row>
    <row r="54" spans="1:76" ht="13.5" customHeight="1" x14ac:dyDescent="0.25">
      <c r="A54" s="37"/>
      <c r="C54" s="38"/>
      <c r="D54" s="162" t="s">
        <v>161</v>
      </c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4"/>
    </row>
    <row r="55" spans="1:76" x14ac:dyDescent="0.25">
      <c r="A55" s="2" t="s">
        <v>162</v>
      </c>
      <c r="B55" s="3" t="s">
        <v>55</v>
      </c>
      <c r="C55" s="3" t="s">
        <v>163</v>
      </c>
      <c r="D55" s="100" t="s">
        <v>164</v>
      </c>
      <c r="E55" s="96"/>
      <c r="F55" s="3" t="s">
        <v>165</v>
      </c>
      <c r="G55" s="32">
        <v>5.88</v>
      </c>
      <c r="H55" s="75">
        <v>0</v>
      </c>
      <c r="I55" s="33">
        <v>21</v>
      </c>
      <c r="J55" s="32">
        <f>ROUND(G55*AO55,2)</f>
        <v>0</v>
      </c>
      <c r="K55" s="32">
        <f>ROUND(G55*AP55,2)</f>
        <v>0</v>
      </c>
      <c r="L55" s="32">
        <f>ROUND(G55*H55,2)</f>
        <v>0</v>
      </c>
      <c r="M55" s="32">
        <f>L55*(1+BW55/100)</f>
        <v>0</v>
      </c>
      <c r="N55" s="34">
        <f>IF(L144=0,0,L55/L144)</f>
        <v>0</v>
      </c>
      <c r="O55" s="32">
        <v>0</v>
      </c>
      <c r="P55" s="32">
        <f>G55*O55</f>
        <v>0</v>
      </c>
      <c r="Q55" s="35" t="s">
        <v>62</v>
      </c>
      <c r="Z55" s="32">
        <f>ROUND(IF(AQ55="5",BJ55,0),2)</f>
        <v>0</v>
      </c>
      <c r="AB55" s="32">
        <f>ROUND(IF(AQ55="1",BH55,0),2)</f>
        <v>0</v>
      </c>
      <c r="AC55" s="32">
        <f>ROUND(IF(AQ55="1",BI55,0),2)</f>
        <v>0</v>
      </c>
      <c r="AD55" s="32">
        <f>ROUND(IF(AQ55="7",BH55,0),2)</f>
        <v>0</v>
      </c>
      <c r="AE55" s="32">
        <f>ROUND(IF(AQ55="7",BI55,0),2)</f>
        <v>0</v>
      </c>
      <c r="AF55" s="32">
        <f>ROUND(IF(AQ55="2",BH55,0),2)</f>
        <v>0</v>
      </c>
      <c r="AG55" s="32">
        <f>ROUND(IF(AQ55="2",BI55,0),2)</f>
        <v>0</v>
      </c>
      <c r="AH55" s="32">
        <f>ROUND(IF(AQ55="0",BJ55,0),2)</f>
        <v>0</v>
      </c>
      <c r="AI55" s="12" t="s">
        <v>55</v>
      </c>
      <c r="AJ55" s="32">
        <f>IF(AN55=0,L55,0)</f>
        <v>0</v>
      </c>
      <c r="AK55" s="32">
        <f>IF(AN55=12,L55,0)</f>
        <v>0</v>
      </c>
      <c r="AL55" s="32">
        <f>IF(AN55=21,L55,0)</f>
        <v>0</v>
      </c>
      <c r="AN55" s="32">
        <v>21</v>
      </c>
      <c r="AO55" s="32">
        <f>H55*0</f>
        <v>0</v>
      </c>
      <c r="AP55" s="32">
        <f>H55*(1-0)</f>
        <v>0</v>
      </c>
      <c r="AQ55" s="36" t="s">
        <v>58</v>
      </c>
      <c r="AV55" s="32">
        <f>ROUND(AW55+AX55,2)</f>
        <v>0</v>
      </c>
      <c r="AW55" s="32">
        <f>ROUND(G55*AO55,2)</f>
        <v>0</v>
      </c>
      <c r="AX55" s="32">
        <f>ROUND(G55*AP55,2)</f>
        <v>0</v>
      </c>
      <c r="AY55" s="36" t="s">
        <v>138</v>
      </c>
      <c r="AZ55" s="36" t="s">
        <v>86</v>
      </c>
      <c r="BA55" s="12" t="s">
        <v>65</v>
      </c>
      <c r="BC55" s="32">
        <f>AW55+AX55</f>
        <v>0</v>
      </c>
      <c r="BD55" s="32">
        <f>H55/(100-BE55)*100</f>
        <v>0</v>
      </c>
      <c r="BE55" s="32">
        <v>0</v>
      </c>
      <c r="BF55" s="32">
        <f>P55</f>
        <v>0</v>
      </c>
      <c r="BH55" s="32">
        <f>G55*AO55</f>
        <v>0</v>
      </c>
      <c r="BI55" s="32">
        <f>G55*AP55</f>
        <v>0</v>
      </c>
      <c r="BJ55" s="32">
        <f>G55*H55</f>
        <v>0</v>
      </c>
      <c r="BK55" s="36" t="s">
        <v>66</v>
      </c>
      <c r="BL55" s="32">
        <v>96</v>
      </c>
      <c r="BW55" s="32">
        <f>I55</f>
        <v>21</v>
      </c>
      <c r="BX55" s="4" t="s">
        <v>164</v>
      </c>
    </row>
    <row r="56" spans="1:76" ht="13.5" customHeight="1" x14ac:dyDescent="0.25">
      <c r="A56" s="37"/>
      <c r="C56" s="38"/>
      <c r="D56" s="162" t="s">
        <v>166</v>
      </c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4"/>
    </row>
    <row r="57" spans="1:76" x14ac:dyDescent="0.25">
      <c r="A57" s="2" t="s">
        <v>167</v>
      </c>
      <c r="B57" s="3" t="s">
        <v>55</v>
      </c>
      <c r="C57" s="3" t="s">
        <v>168</v>
      </c>
      <c r="D57" s="100" t="s">
        <v>169</v>
      </c>
      <c r="E57" s="96"/>
      <c r="F57" s="3" t="s">
        <v>165</v>
      </c>
      <c r="G57" s="32">
        <v>2.6960000000000002</v>
      </c>
      <c r="H57" s="75">
        <v>0</v>
      </c>
      <c r="I57" s="33">
        <v>21</v>
      </c>
      <c r="J57" s="32">
        <f>ROUND(G57*AO57,2)</f>
        <v>0</v>
      </c>
      <c r="K57" s="32">
        <f>ROUND(G57*AP57,2)</f>
        <v>0</v>
      </c>
      <c r="L57" s="32">
        <f>ROUND(G57*H57,2)</f>
        <v>0</v>
      </c>
      <c r="M57" s="32">
        <f>L57*(1+BW57/100)</f>
        <v>0</v>
      </c>
      <c r="N57" s="34">
        <f>IF(L144=0,0,L57/L144)</f>
        <v>0</v>
      </c>
      <c r="O57" s="32">
        <v>0</v>
      </c>
      <c r="P57" s="32">
        <f>G57*O57</f>
        <v>0</v>
      </c>
      <c r="Q57" s="35" t="s">
        <v>62</v>
      </c>
      <c r="Z57" s="32">
        <f>ROUND(IF(AQ57="5",BJ57,0),2)</f>
        <v>0</v>
      </c>
      <c r="AB57" s="32">
        <f>ROUND(IF(AQ57="1",BH57,0),2)</f>
        <v>0</v>
      </c>
      <c r="AC57" s="32">
        <f>ROUND(IF(AQ57="1",BI57,0),2)</f>
        <v>0</v>
      </c>
      <c r="AD57" s="32">
        <f>ROUND(IF(AQ57="7",BH57,0),2)</f>
        <v>0</v>
      </c>
      <c r="AE57" s="32">
        <f>ROUND(IF(AQ57="7",BI57,0),2)</f>
        <v>0</v>
      </c>
      <c r="AF57" s="32">
        <f>ROUND(IF(AQ57="2",BH57,0),2)</f>
        <v>0</v>
      </c>
      <c r="AG57" s="32">
        <f>ROUND(IF(AQ57="2",BI57,0),2)</f>
        <v>0</v>
      </c>
      <c r="AH57" s="32">
        <f>ROUND(IF(AQ57="0",BJ57,0),2)</f>
        <v>0</v>
      </c>
      <c r="AI57" s="12" t="s">
        <v>55</v>
      </c>
      <c r="AJ57" s="32">
        <f>IF(AN57=0,L57,0)</f>
        <v>0</v>
      </c>
      <c r="AK57" s="32">
        <f>IF(AN57=12,L57,0)</f>
        <v>0</v>
      </c>
      <c r="AL57" s="32">
        <f>IF(AN57=21,L57,0)</f>
        <v>0</v>
      </c>
      <c r="AN57" s="32">
        <v>21</v>
      </c>
      <c r="AO57" s="32">
        <f>H57*0</f>
        <v>0</v>
      </c>
      <c r="AP57" s="32">
        <f>H57*(1-0)</f>
        <v>0</v>
      </c>
      <c r="AQ57" s="36" t="s">
        <v>88</v>
      </c>
      <c r="AV57" s="32">
        <f>ROUND(AW57+AX57,2)</f>
        <v>0</v>
      </c>
      <c r="AW57" s="32">
        <f>ROUND(G57*AO57,2)</f>
        <v>0</v>
      </c>
      <c r="AX57" s="32">
        <f>ROUND(G57*AP57,2)</f>
        <v>0</v>
      </c>
      <c r="AY57" s="36" t="s">
        <v>138</v>
      </c>
      <c r="AZ57" s="36" t="s">
        <v>86</v>
      </c>
      <c r="BA57" s="12" t="s">
        <v>65</v>
      </c>
      <c r="BC57" s="32">
        <f>AW57+AX57</f>
        <v>0</v>
      </c>
      <c r="BD57" s="32">
        <f>H57/(100-BE57)*100</f>
        <v>0</v>
      </c>
      <c r="BE57" s="32">
        <v>0</v>
      </c>
      <c r="BF57" s="32">
        <f>P57</f>
        <v>0</v>
      </c>
      <c r="BH57" s="32">
        <f>G57*AO57</f>
        <v>0</v>
      </c>
      <c r="BI57" s="32">
        <f>G57*AP57</f>
        <v>0</v>
      </c>
      <c r="BJ57" s="32">
        <f>G57*H57</f>
        <v>0</v>
      </c>
      <c r="BK57" s="36" t="s">
        <v>66</v>
      </c>
      <c r="BL57" s="32">
        <v>96</v>
      </c>
      <c r="BW57" s="32">
        <f>I57</f>
        <v>21</v>
      </c>
      <c r="BX57" s="4" t="s">
        <v>169</v>
      </c>
    </row>
    <row r="58" spans="1:76" x14ac:dyDescent="0.25">
      <c r="A58" s="2" t="s">
        <v>170</v>
      </c>
      <c r="B58" s="3" t="s">
        <v>55</v>
      </c>
      <c r="C58" s="3" t="s">
        <v>171</v>
      </c>
      <c r="D58" s="100" t="s">
        <v>172</v>
      </c>
      <c r="E58" s="96"/>
      <c r="F58" s="3" t="s">
        <v>165</v>
      </c>
      <c r="G58" s="32">
        <v>3.1339999999999999</v>
      </c>
      <c r="H58" s="75">
        <v>0</v>
      </c>
      <c r="I58" s="33">
        <v>21</v>
      </c>
      <c r="J58" s="32">
        <f>ROUND(G58*AO58,2)</f>
        <v>0</v>
      </c>
      <c r="K58" s="32">
        <f>ROUND(G58*AP58,2)</f>
        <v>0</v>
      </c>
      <c r="L58" s="32">
        <f>ROUND(G58*H58,2)</f>
        <v>0</v>
      </c>
      <c r="M58" s="32">
        <f>L58*(1+BW58/100)</f>
        <v>0</v>
      </c>
      <c r="N58" s="34">
        <f>IF(L144=0,0,L58/L144)</f>
        <v>0</v>
      </c>
      <c r="O58" s="32">
        <v>0</v>
      </c>
      <c r="P58" s="32">
        <f>G58*O58</f>
        <v>0</v>
      </c>
      <c r="Q58" s="35" t="s">
        <v>62</v>
      </c>
      <c r="Z58" s="32">
        <f>ROUND(IF(AQ58="5",BJ58,0),2)</f>
        <v>0</v>
      </c>
      <c r="AB58" s="32">
        <f>ROUND(IF(AQ58="1",BH58,0),2)</f>
        <v>0</v>
      </c>
      <c r="AC58" s="32">
        <f>ROUND(IF(AQ58="1",BI58,0),2)</f>
        <v>0</v>
      </c>
      <c r="AD58" s="32">
        <f>ROUND(IF(AQ58="7",BH58,0),2)</f>
        <v>0</v>
      </c>
      <c r="AE58" s="32">
        <f>ROUND(IF(AQ58="7",BI58,0),2)</f>
        <v>0</v>
      </c>
      <c r="AF58" s="32">
        <f>ROUND(IF(AQ58="2",BH58,0),2)</f>
        <v>0</v>
      </c>
      <c r="AG58" s="32">
        <f>ROUND(IF(AQ58="2",BI58,0),2)</f>
        <v>0</v>
      </c>
      <c r="AH58" s="32">
        <f>ROUND(IF(AQ58="0",BJ58,0),2)</f>
        <v>0</v>
      </c>
      <c r="AI58" s="12" t="s">
        <v>55</v>
      </c>
      <c r="AJ58" s="32">
        <f>IF(AN58=0,L58,0)</f>
        <v>0</v>
      </c>
      <c r="AK58" s="32">
        <f>IF(AN58=12,L58,0)</f>
        <v>0</v>
      </c>
      <c r="AL58" s="32">
        <f>IF(AN58=21,L58,0)</f>
        <v>0</v>
      </c>
      <c r="AN58" s="32">
        <v>21</v>
      </c>
      <c r="AO58" s="32">
        <f>H58*0</f>
        <v>0</v>
      </c>
      <c r="AP58" s="32">
        <f>H58*(1-0)</f>
        <v>0</v>
      </c>
      <c r="AQ58" s="36" t="s">
        <v>88</v>
      </c>
      <c r="AV58" s="32">
        <f>ROUND(AW58+AX58,2)</f>
        <v>0</v>
      </c>
      <c r="AW58" s="32">
        <f>ROUND(G58*AO58,2)</f>
        <v>0</v>
      </c>
      <c r="AX58" s="32">
        <f>ROUND(G58*AP58,2)</f>
        <v>0</v>
      </c>
      <c r="AY58" s="36" t="s">
        <v>138</v>
      </c>
      <c r="AZ58" s="36" t="s">
        <v>86</v>
      </c>
      <c r="BA58" s="12" t="s">
        <v>65</v>
      </c>
      <c r="BC58" s="32">
        <f>AW58+AX58</f>
        <v>0</v>
      </c>
      <c r="BD58" s="32">
        <f>H58/(100-BE58)*100</f>
        <v>0</v>
      </c>
      <c r="BE58" s="32">
        <v>0</v>
      </c>
      <c r="BF58" s="32">
        <f>P58</f>
        <v>0</v>
      </c>
      <c r="BH58" s="32">
        <f>G58*AO58</f>
        <v>0</v>
      </c>
      <c r="BI58" s="32">
        <f>G58*AP58</f>
        <v>0</v>
      </c>
      <c r="BJ58" s="32">
        <f>G58*H58</f>
        <v>0</v>
      </c>
      <c r="BK58" s="36" t="s">
        <v>66</v>
      </c>
      <c r="BL58" s="32">
        <v>96</v>
      </c>
      <c r="BW58" s="32">
        <f>I58</f>
        <v>21</v>
      </c>
      <c r="BX58" s="4" t="s">
        <v>172</v>
      </c>
    </row>
    <row r="59" spans="1:76" x14ac:dyDescent="0.25">
      <c r="A59" s="40" t="s">
        <v>55</v>
      </c>
      <c r="B59" s="41" t="s">
        <v>55</v>
      </c>
      <c r="C59" s="41" t="s">
        <v>173</v>
      </c>
      <c r="D59" s="165" t="s">
        <v>174</v>
      </c>
      <c r="E59" s="166"/>
      <c r="F59" s="42" t="s">
        <v>8</v>
      </c>
      <c r="G59" s="42" t="s">
        <v>8</v>
      </c>
      <c r="H59" s="42" t="s">
        <v>8</v>
      </c>
      <c r="I59" s="42" t="s">
        <v>8</v>
      </c>
      <c r="J59" s="1">
        <f>SUM(J60:J60)</f>
        <v>0</v>
      </c>
      <c r="K59" s="1">
        <f>SUM(K60:K60)</f>
        <v>0</v>
      </c>
      <c r="L59" s="1">
        <f>SUM(L60:L60)</f>
        <v>0</v>
      </c>
      <c r="M59" s="1">
        <f>SUM(M60:M60)</f>
        <v>0</v>
      </c>
      <c r="N59" s="43">
        <f>IF(L144=0,0,L59/L144)</f>
        <v>0</v>
      </c>
      <c r="O59" s="12" t="s">
        <v>55</v>
      </c>
      <c r="P59" s="1">
        <f>SUM(P60:P60)</f>
        <v>0</v>
      </c>
      <c r="Q59" s="44" t="s">
        <v>55</v>
      </c>
      <c r="AI59" s="12" t="s">
        <v>55</v>
      </c>
      <c r="AS59" s="1">
        <f>SUM(AJ60:AJ60)</f>
        <v>0</v>
      </c>
      <c r="AT59" s="1">
        <f>SUM(AK60:AK60)</f>
        <v>0</v>
      </c>
      <c r="AU59" s="1">
        <f>SUM(AL60:AL60)</f>
        <v>0</v>
      </c>
    </row>
    <row r="60" spans="1:76" x14ac:dyDescent="0.25">
      <c r="A60" s="2" t="s">
        <v>175</v>
      </c>
      <c r="B60" s="3" t="s">
        <v>55</v>
      </c>
      <c r="C60" s="3" t="s">
        <v>176</v>
      </c>
      <c r="D60" s="100" t="s">
        <v>177</v>
      </c>
      <c r="E60" s="96"/>
      <c r="F60" s="3" t="s">
        <v>165</v>
      </c>
      <c r="G60" s="32">
        <v>94.450999999999993</v>
      </c>
      <c r="H60" s="75">
        <v>0</v>
      </c>
      <c r="I60" s="33">
        <v>21</v>
      </c>
      <c r="J60" s="32">
        <f>ROUND(G60*AO60,2)</f>
        <v>0</v>
      </c>
      <c r="K60" s="32">
        <f>ROUND(G60*AP60,2)</f>
        <v>0</v>
      </c>
      <c r="L60" s="32">
        <f>ROUND(G60*H60,2)</f>
        <v>0</v>
      </c>
      <c r="M60" s="32">
        <f>L60*(1+BW60/100)</f>
        <v>0</v>
      </c>
      <c r="N60" s="34">
        <f>IF(L144=0,0,L60/L144)</f>
        <v>0</v>
      </c>
      <c r="O60" s="32">
        <v>0</v>
      </c>
      <c r="P60" s="32">
        <f>G60*O60</f>
        <v>0</v>
      </c>
      <c r="Q60" s="35" t="s">
        <v>62</v>
      </c>
      <c r="Z60" s="32">
        <f>ROUND(IF(AQ60="5",BJ60,0),2)</f>
        <v>0</v>
      </c>
      <c r="AB60" s="32">
        <f>ROUND(IF(AQ60="1",BH60,0),2)</f>
        <v>0</v>
      </c>
      <c r="AC60" s="32">
        <f>ROUND(IF(AQ60="1",BI60,0),2)</f>
        <v>0</v>
      </c>
      <c r="AD60" s="32">
        <f>ROUND(IF(AQ60="7",BH60,0),2)</f>
        <v>0</v>
      </c>
      <c r="AE60" s="32">
        <f>ROUND(IF(AQ60="7",BI60,0),2)</f>
        <v>0</v>
      </c>
      <c r="AF60" s="32">
        <f>ROUND(IF(AQ60="2",BH60,0),2)</f>
        <v>0</v>
      </c>
      <c r="AG60" s="32">
        <f>ROUND(IF(AQ60="2",BI60,0),2)</f>
        <v>0</v>
      </c>
      <c r="AH60" s="32">
        <f>ROUND(IF(AQ60="0",BJ60,0),2)</f>
        <v>0</v>
      </c>
      <c r="AI60" s="12" t="s">
        <v>55</v>
      </c>
      <c r="AJ60" s="32">
        <f>IF(AN60=0,L60,0)</f>
        <v>0</v>
      </c>
      <c r="AK60" s="32">
        <f>IF(AN60=12,L60,0)</f>
        <v>0</v>
      </c>
      <c r="AL60" s="32">
        <f>IF(AN60=21,L60,0)</f>
        <v>0</v>
      </c>
      <c r="AN60" s="32">
        <v>21</v>
      </c>
      <c r="AO60" s="32">
        <f>H60*0</f>
        <v>0</v>
      </c>
      <c r="AP60" s="32">
        <f>H60*(1-0)</f>
        <v>0</v>
      </c>
      <c r="AQ60" s="36" t="s">
        <v>88</v>
      </c>
      <c r="AV60" s="32">
        <f>ROUND(AW60+AX60,2)</f>
        <v>0</v>
      </c>
      <c r="AW60" s="32">
        <f>ROUND(G60*AO60,2)</f>
        <v>0</v>
      </c>
      <c r="AX60" s="32">
        <f>ROUND(G60*AP60,2)</f>
        <v>0</v>
      </c>
      <c r="AY60" s="36" t="s">
        <v>178</v>
      </c>
      <c r="AZ60" s="36" t="s">
        <v>86</v>
      </c>
      <c r="BA60" s="12" t="s">
        <v>65</v>
      </c>
      <c r="BC60" s="32">
        <f>AW60+AX60</f>
        <v>0</v>
      </c>
      <c r="BD60" s="32">
        <f>H60/(100-BE60)*100</f>
        <v>0</v>
      </c>
      <c r="BE60" s="32">
        <v>0</v>
      </c>
      <c r="BF60" s="32">
        <f>P60</f>
        <v>0</v>
      </c>
      <c r="BH60" s="32">
        <f>G60*AO60</f>
        <v>0</v>
      </c>
      <c r="BI60" s="32">
        <f>G60*AP60</f>
        <v>0</v>
      </c>
      <c r="BJ60" s="32">
        <f>G60*H60</f>
        <v>0</v>
      </c>
      <c r="BK60" s="36" t="s">
        <v>66</v>
      </c>
      <c r="BL60" s="32"/>
      <c r="BW60" s="32">
        <f>I60</f>
        <v>21</v>
      </c>
      <c r="BX60" s="4" t="s">
        <v>177</v>
      </c>
    </row>
    <row r="61" spans="1:76" x14ac:dyDescent="0.25">
      <c r="A61" s="40" t="s">
        <v>55</v>
      </c>
      <c r="B61" s="41" t="s">
        <v>55</v>
      </c>
      <c r="C61" s="41" t="s">
        <v>179</v>
      </c>
      <c r="D61" s="165" t="s">
        <v>180</v>
      </c>
      <c r="E61" s="166"/>
      <c r="F61" s="42" t="s">
        <v>8</v>
      </c>
      <c r="G61" s="42" t="s">
        <v>8</v>
      </c>
      <c r="H61" s="42" t="s">
        <v>8</v>
      </c>
      <c r="I61" s="42" t="s">
        <v>8</v>
      </c>
      <c r="J61" s="1">
        <f>SUM(J62:J75)</f>
        <v>0</v>
      </c>
      <c r="K61" s="1">
        <f>SUM(K62:K75)</f>
        <v>0</v>
      </c>
      <c r="L61" s="1">
        <f>SUM(L62:L75)</f>
        <v>0</v>
      </c>
      <c r="M61" s="1">
        <f>SUM(M62:M75)</f>
        <v>0</v>
      </c>
      <c r="N61" s="43">
        <f>IF(L144=0,0,L61/L144)</f>
        <v>0</v>
      </c>
      <c r="O61" s="12" t="s">
        <v>55</v>
      </c>
      <c r="P61" s="1">
        <f>SUM(P62:P75)</f>
        <v>1.967228</v>
      </c>
      <c r="Q61" s="44" t="s">
        <v>55</v>
      </c>
      <c r="AI61" s="12" t="s">
        <v>55</v>
      </c>
      <c r="AS61" s="1">
        <f>SUM(AJ62:AJ75)</f>
        <v>0</v>
      </c>
      <c r="AT61" s="1">
        <f>SUM(AK62:AK75)</f>
        <v>0</v>
      </c>
      <c r="AU61" s="1">
        <f>SUM(AL62:AL75)</f>
        <v>0</v>
      </c>
    </row>
    <row r="62" spans="1:76" x14ac:dyDescent="0.25">
      <c r="A62" s="2" t="s">
        <v>181</v>
      </c>
      <c r="B62" s="3" t="s">
        <v>55</v>
      </c>
      <c r="C62" s="3" t="s">
        <v>182</v>
      </c>
      <c r="D62" s="100" t="s">
        <v>183</v>
      </c>
      <c r="E62" s="96"/>
      <c r="F62" s="3" t="s">
        <v>184</v>
      </c>
      <c r="G62" s="32">
        <v>1</v>
      </c>
      <c r="H62" s="75">
        <v>0</v>
      </c>
      <c r="I62" s="33">
        <v>21</v>
      </c>
      <c r="J62" s="32">
        <f>ROUND(G62*AO62,2)</f>
        <v>0</v>
      </c>
      <c r="K62" s="32">
        <f>ROUND(G62*AP62,2)</f>
        <v>0</v>
      </c>
      <c r="L62" s="32">
        <f>ROUND(G62*H62,2)</f>
        <v>0</v>
      </c>
      <c r="M62" s="32">
        <f>L62*(1+BW62/100)</f>
        <v>0</v>
      </c>
      <c r="N62" s="34">
        <f>IF(L144=0,0,L62/L144)</f>
        <v>0</v>
      </c>
      <c r="O62" s="32">
        <v>0.17307</v>
      </c>
      <c r="P62" s="32">
        <f>G62*O62</f>
        <v>0.17307</v>
      </c>
      <c r="Q62" s="35" t="s">
        <v>62</v>
      </c>
      <c r="Z62" s="32">
        <f>ROUND(IF(AQ62="5",BJ62,0),2)</f>
        <v>0</v>
      </c>
      <c r="AB62" s="32">
        <f>ROUND(IF(AQ62="1",BH62,0),2)</f>
        <v>0</v>
      </c>
      <c r="AC62" s="32">
        <f>ROUND(IF(AQ62="1",BI62,0),2)</f>
        <v>0</v>
      </c>
      <c r="AD62" s="32">
        <f>ROUND(IF(AQ62="7",BH62,0),2)</f>
        <v>0</v>
      </c>
      <c r="AE62" s="32">
        <f>ROUND(IF(AQ62="7",BI62,0),2)</f>
        <v>0</v>
      </c>
      <c r="AF62" s="32">
        <f>ROUND(IF(AQ62="2",BH62,0),2)</f>
        <v>0</v>
      </c>
      <c r="AG62" s="32">
        <f>ROUND(IF(AQ62="2",BI62,0),2)</f>
        <v>0</v>
      </c>
      <c r="AH62" s="32">
        <f>ROUND(IF(AQ62="0",BJ62,0),2)</f>
        <v>0</v>
      </c>
      <c r="AI62" s="12" t="s">
        <v>55</v>
      </c>
      <c r="AJ62" s="32">
        <f>IF(AN62=0,L62,0)</f>
        <v>0</v>
      </c>
      <c r="AK62" s="32">
        <f>IF(AN62=12,L62,0)</f>
        <v>0</v>
      </c>
      <c r="AL62" s="32">
        <f>IF(AN62=21,L62,0)</f>
        <v>0</v>
      </c>
      <c r="AN62" s="32">
        <v>21</v>
      </c>
      <c r="AO62" s="32">
        <f>H62*0.187932564</f>
        <v>0</v>
      </c>
      <c r="AP62" s="32">
        <f>H62*(1-0.187932564)</f>
        <v>0</v>
      </c>
      <c r="AQ62" s="36" t="s">
        <v>68</v>
      </c>
      <c r="AV62" s="32">
        <f>ROUND(AW62+AX62,2)</f>
        <v>0</v>
      </c>
      <c r="AW62" s="32">
        <f>ROUND(G62*AO62,2)</f>
        <v>0</v>
      </c>
      <c r="AX62" s="32">
        <f>ROUND(G62*AP62,2)</f>
        <v>0</v>
      </c>
      <c r="AY62" s="36" t="s">
        <v>185</v>
      </c>
      <c r="AZ62" s="36" t="s">
        <v>86</v>
      </c>
      <c r="BA62" s="12" t="s">
        <v>65</v>
      </c>
      <c r="BC62" s="32">
        <f>AW62+AX62</f>
        <v>0</v>
      </c>
      <c r="BD62" s="32">
        <f>H62/(100-BE62)*100</f>
        <v>0</v>
      </c>
      <c r="BE62" s="32">
        <v>0</v>
      </c>
      <c r="BF62" s="32">
        <f>P62</f>
        <v>0.17307</v>
      </c>
      <c r="BH62" s="32">
        <f>G62*AO62</f>
        <v>0</v>
      </c>
      <c r="BI62" s="32">
        <f>G62*AP62</f>
        <v>0</v>
      </c>
      <c r="BJ62" s="32">
        <f>G62*H62</f>
        <v>0</v>
      </c>
      <c r="BK62" s="36" t="s">
        <v>66</v>
      </c>
      <c r="BL62" s="32"/>
      <c r="BW62" s="32">
        <f>I62</f>
        <v>21</v>
      </c>
      <c r="BX62" s="4" t="s">
        <v>183</v>
      </c>
    </row>
    <row r="63" spans="1:76" ht="13.5" customHeight="1" x14ac:dyDescent="0.25">
      <c r="A63" s="37"/>
      <c r="C63" s="38"/>
      <c r="D63" s="162" t="s">
        <v>186</v>
      </c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4"/>
    </row>
    <row r="64" spans="1:76" x14ac:dyDescent="0.25">
      <c r="A64" s="2" t="s">
        <v>187</v>
      </c>
      <c r="B64" s="3" t="s">
        <v>55</v>
      </c>
      <c r="C64" s="3" t="s">
        <v>188</v>
      </c>
      <c r="D64" s="100" t="s">
        <v>189</v>
      </c>
      <c r="E64" s="96"/>
      <c r="F64" s="3" t="s">
        <v>106</v>
      </c>
      <c r="G64" s="32">
        <v>20</v>
      </c>
      <c r="H64" s="75">
        <v>0</v>
      </c>
      <c r="I64" s="33">
        <v>21</v>
      </c>
      <c r="J64" s="32">
        <f>ROUND(G64*AO64,2)</f>
        <v>0</v>
      </c>
      <c r="K64" s="32">
        <f>ROUND(G64*AP64,2)</f>
        <v>0</v>
      </c>
      <c r="L64" s="32">
        <f>ROUND(G64*H64,2)</f>
        <v>0</v>
      </c>
      <c r="M64" s="32">
        <f>L64*(1+BW64/100)</f>
        <v>0</v>
      </c>
      <c r="N64" s="34">
        <f>IF(L144=0,0,L64/L144)</f>
        <v>0</v>
      </c>
      <c r="O64" s="32">
        <v>8.7510000000000004E-2</v>
      </c>
      <c r="P64" s="32">
        <f>G64*O64</f>
        <v>1.7502</v>
      </c>
      <c r="Q64" s="35" t="s">
        <v>55</v>
      </c>
      <c r="Z64" s="32">
        <f>ROUND(IF(AQ64="5",BJ64,0),2)</f>
        <v>0</v>
      </c>
      <c r="AB64" s="32">
        <f>ROUND(IF(AQ64="1",BH64,0),2)</f>
        <v>0</v>
      </c>
      <c r="AC64" s="32">
        <f>ROUND(IF(AQ64="1",BI64,0),2)</f>
        <v>0</v>
      </c>
      <c r="AD64" s="32">
        <f>ROUND(IF(AQ64="7",BH64,0),2)</f>
        <v>0</v>
      </c>
      <c r="AE64" s="32">
        <f>ROUND(IF(AQ64="7",BI64,0),2)</f>
        <v>0</v>
      </c>
      <c r="AF64" s="32">
        <f>ROUND(IF(AQ64="2",BH64,0),2)</f>
        <v>0</v>
      </c>
      <c r="AG64" s="32">
        <f>ROUND(IF(AQ64="2",BI64,0),2)</f>
        <v>0</v>
      </c>
      <c r="AH64" s="32">
        <f>ROUND(IF(AQ64="0",BJ64,0),2)</f>
        <v>0</v>
      </c>
      <c r="AI64" s="12" t="s">
        <v>55</v>
      </c>
      <c r="AJ64" s="32">
        <f>IF(AN64=0,L64,0)</f>
        <v>0</v>
      </c>
      <c r="AK64" s="32">
        <f>IF(AN64=12,L64,0)</f>
        <v>0</v>
      </c>
      <c r="AL64" s="32">
        <f>IF(AN64=21,L64,0)</f>
        <v>0</v>
      </c>
      <c r="AN64" s="32">
        <v>21</v>
      </c>
      <c r="AO64" s="32">
        <f>H64*0.663826776</f>
        <v>0</v>
      </c>
      <c r="AP64" s="32">
        <f>H64*(1-0.663826776)</f>
        <v>0</v>
      </c>
      <c r="AQ64" s="36" t="s">
        <v>68</v>
      </c>
      <c r="AV64" s="32">
        <f>ROUND(AW64+AX64,2)</f>
        <v>0</v>
      </c>
      <c r="AW64" s="32">
        <f>ROUND(G64*AO64,2)</f>
        <v>0</v>
      </c>
      <c r="AX64" s="32">
        <f>ROUND(G64*AP64,2)</f>
        <v>0</v>
      </c>
      <c r="AY64" s="36" t="s">
        <v>185</v>
      </c>
      <c r="AZ64" s="36" t="s">
        <v>86</v>
      </c>
      <c r="BA64" s="12" t="s">
        <v>65</v>
      </c>
      <c r="BC64" s="32">
        <f>AW64+AX64</f>
        <v>0</v>
      </c>
      <c r="BD64" s="32">
        <f>H64/(100-BE64)*100</f>
        <v>0</v>
      </c>
      <c r="BE64" s="32">
        <v>0</v>
      </c>
      <c r="BF64" s="32">
        <f>P64</f>
        <v>1.7502</v>
      </c>
      <c r="BH64" s="32">
        <f>G64*AO64</f>
        <v>0</v>
      </c>
      <c r="BI64" s="32">
        <f>G64*AP64</f>
        <v>0</v>
      </c>
      <c r="BJ64" s="32">
        <f>G64*H64</f>
        <v>0</v>
      </c>
      <c r="BK64" s="36" t="s">
        <v>66</v>
      </c>
      <c r="BL64" s="32"/>
      <c r="BW64" s="32">
        <f>I64</f>
        <v>21</v>
      </c>
      <c r="BX64" s="4" t="s">
        <v>189</v>
      </c>
    </row>
    <row r="65" spans="1:76" ht="13.5" customHeight="1" x14ac:dyDescent="0.25">
      <c r="A65" s="37"/>
      <c r="C65" s="38"/>
      <c r="D65" s="162" t="s">
        <v>190</v>
      </c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4"/>
    </row>
    <row r="66" spans="1:76" x14ac:dyDescent="0.25">
      <c r="A66" s="2" t="s">
        <v>191</v>
      </c>
      <c r="B66" s="3" t="s">
        <v>55</v>
      </c>
      <c r="C66" s="3" t="s">
        <v>192</v>
      </c>
      <c r="D66" s="100" t="s">
        <v>193</v>
      </c>
      <c r="E66" s="96"/>
      <c r="F66" s="3" t="s">
        <v>114</v>
      </c>
      <c r="G66" s="32">
        <v>196.4</v>
      </c>
      <c r="H66" s="75">
        <v>0</v>
      </c>
      <c r="I66" s="33">
        <v>21</v>
      </c>
      <c r="J66" s="32">
        <f>ROUND(G66*AO66,2)</f>
        <v>0</v>
      </c>
      <c r="K66" s="32">
        <f>ROUND(G66*AP66,2)</f>
        <v>0</v>
      </c>
      <c r="L66" s="32">
        <f>ROUND(G66*H66,2)</f>
        <v>0</v>
      </c>
      <c r="M66" s="32">
        <f>L66*(1+BW66/100)</f>
        <v>0</v>
      </c>
      <c r="N66" s="34">
        <f>IF(L144=0,0,L66/L144)</f>
        <v>0</v>
      </c>
      <c r="O66" s="32">
        <v>2.2000000000000001E-4</v>
      </c>
      <c r="P66" s="32">
        <f>G66*O66</f>
        <v>4.3208000000000003E-2</v>
      </c>
      <c r="Q66" s="35" t="s">
        <v>62</v>
      </c>
      <c r="Z66" s="32">
        <f>ROUND(IF(AQ66="5",BJ66,0),2)</f>
        <v>0</v>
      </c>
      <c r="AB66" s="32">
        <f>ROUND(IF(AQ66="1",BH66,0),2)</f>
        <v>0</v>
      </c>
      <c r="AC66" s="32">
        <f>ROUND(IF(AQ66="1",BI66,0),2)</f>
        <v>0</v>
      </c>
      <c r="AD66" s="32">
        <f>ROUND(IF(AQ66="7",BH66,0),2)</f>
        <v>0</v>
      </c>
      <c r="AE66" s="32">
        <f>ROUND(IF(AQ66="7",BI66,0),2)</f>
        <v>0</v>
      </c>
      <c r="AF66" s="32">
        <f>ROUND(IF(AQ66="2",BH66,0),2)</f>
        <v>0</v>
      </c>
      <c r="AG66" s="32">
        <f>ROUND(IF(AQ66="2",BI66,0),2)</f>
        <v>0</v>
      </c>
      <c r="AH66" s="32">
        <f>ROUND(IF(AQ66="0",BJ66,0),2)</f>
        <v>0</v>
      </c>
      <c r="AI66" s="12" t="s">
        <v>55</v>
      </c>
      <c r="AJ66" s="32">
        <f>IF(AN66=0,L66,0)</f>
        <v>0</v>
      </c>
      <c r="AK66" s="32">
        <f>IF(AN66=12,L66,0)</f>
        <v>0</v>
      </c>
      <c r="AL66" s="32">
        <f>IF(AN66=21,L66,0)</f>
        <v>0</v>
      </c>
      <c r="AN66" s="32">
        <v>21</v>
      </c>
      <c r="AO66" s="32">
        <f>H66*0.444849607</f>
        <v>0</v>
      </c>
      <c r="AP66" s="32">
        <f>H66*(1-0.444849607)</f>
        <v>0</v>
      </c>
      <c r="AQ66" s="36" t="s">
        <v>68</v>
      </c>
      <c r="AV66" s="32">
        <f>ROUND(AW66+AX66,2)</f>
        <v>0</v>
      </c>
      <c r="AW66" s="32">
        <f>ROUND(G66*AO66,2)</f>
        <v>0</v>
      </c>
      <c r="AX66" s="32">
        <f>ROUND(G66*AP66,2)</f>
        <v>0</v>
      </c>
      <c r="AY66" s="36" t="s">
        <v>185</v>
      </c>
      <c r="AZ66" s="36" t="s">
        <v>86</v>
      </c>
      <c r="BA66" s="12" t="s">
        <v>65</v>
      </c>
      <c r="BC66" s="32">
        <f>AW66+AX66</f>
        <v>0</v>
      </c>
      <c r="BD66" s="32">
        <f>H66/(100-BE66)*100</f>
        <v>0</v>
      </c>
      <c r="BE66" s="32">
        <v>0</v>
      </c>
      <c r="BF66" s="32">
        <f>P66</f>
        <v>4.3208000000000003E-2</v>
      </c>
      <c r="BH66" s="32">
        <f>G66*AO66</f>
        <v>0</v>
      </c>
      <c r="BI66" s="32">
        <f>G66*AP66</f>
        <v>0</v>
      </c>
      <c r="BJ66" s="32">
        <f>G66*H66</f>
        <v>0</v>
      </c>
      <c r="BK66" s="36" t="s">
        <v>66</v>
      </c>
      <c r="BL66" s="32"/>
      <c r="BW66" s="32">
        <f>I66</f>
        <v>21</v>
      </c>
      <c r="BX66" s="4" t="s">
        <v>193</v>
      </c>
    </row>
    <row r="67" spans="1:76" ht="13.5" customHeight="1" x14ac:dyDescent="0.25">
      <c r="A67" s="37"/>
      <c r="C67" s="38"/>
      <c r="D67" s="162" t="s">
        <v>194</v>
      </c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4"/>
    </row>
    <row r="68" spans="1:76" x14ac:dyDescent="0.25">
      <c r="A68" s="2" t="s">
        <v>195</v>
      </c>
      <c r="B68" s="3" t="s">
        <v>55</v>
      </c>
      <c r="C68" s="3" t="s">
        <v>196</v>
      </c>
      <c r="D68" s="100" t="s">
        <v>197</v>
      </c>
      <c r="E68" s="96"/>
      <c r="F68" s="3" t="s">
        <v>114</v>
      </c>
      <c r="G68" s="32">
        <v>57</v>
      </c>
      <c r="H68" s="75">
        <v>0</v>
      </c>
      <c r="I68" s="33">
        <v>21</v>
      </c>
      <c r="J68" s="32">
        <f>ROUND(G68*AO68,2)</f>
        <v>0</v>
      </c>
      <c r="K68" s="32">
        <f>ROUND(G68*AP68,2)</f>
        <v>0</v>
      </c>
      <c r="L68" s="32">
        <f>ROUND(G68*H68,2)</f>
        <v>0</v>
      </c>
      <c r="M68" s="32">
        <f>L68*(1+BW68/100)</f>
        <v>0</v>
      </c>
      <c r="N68" s="34">
        <f>IF(L144=0,0,L68/L144)</f>
        <v>0</v>
      </c>
      <c r="O68" s="32">
        <v>0</v>
      </c>
      <c r="P68" s="32">
        <f>G68*O68</f>
        <v>0</v>
      </c>
      <c r="Q68" s="35" t="s">
        <v>62</v>
      </c>
      <c r="Z68" s="32">
        <f>ROUND(IF(AQ68="5",BJ68,0),2)</f>
        <v>0</v>
      </c>
      <c r="AB68" s="32">
        <f>ROUND(IF(AQ68="1",BH68,0),2)</f>
        <v>0</v>
      </c>
      <c r="AC68" s="32">
        <f>ROUND(IF(AQ68="1",BI68,0),2)</f>
        <v>0</v>
      </c>
      <c r="AD68" s="32">
        <f>ROUND(IF(AQ68="7",BH68,0),2)</f>
        <v>0</v>
      </c>
      <c r="AE68" s="32">
        <f>ROUND(IF(AQ68="7",BI68,0),2)</f>
        <v>0</v>
      </c>
      <c r="AF68" s="32">
        <f>ROUND(IF(AQ68="2",BH68,0),2)</f>
        <v>0</v>
      </c>
      <c r="AG68" s="32">
        <f>ROUND(IF(AQ68="2",BI68,0),2)</f>
        <v>0</v>
      </c>
      <c r="AH68" s="32">
        <f>ROUND(IF(AQ68="0",BJ68,0),2)</f>
        <v>0</v>
      </c>
      <c r="AI68" s="12" t="s">
        <v>55</v>
      </c>
      <c r="AJ68" s="32">
        <f>IF(AN68=0,L68,0)</f>
        <v>0</v>
      </c>
      <c r="AK68" s="32">
        <f>IF(AN68=12,L68,0)</f>
        <v>0</v>
      </c>
      <c r="AL68" s="32">
        <f>IF(AN68=21,L68,0)</f>
        <v>0</v>
      </c>
      <c r="AN68" s="32">
        <v>21</v>
      </c>
      <c r="AO68" s="32">
        <f>H68*0</f>
        <v>0</v>
      </c>
      <c r="AP68" s="32">
        <f>H68*(1-0)</f>
        <v>0</v>
      </c>
      <c r="AQ68" s="36" t="s">
        <v>68</v>
      </c>
      <c r="AV68" s="32">
        <f>ROUND(AW68+AX68,2)</f>
        <v>0</v>
      </c>
      <c r="AW68" s="32">
        <f>ROUND(G68*AO68,2)</f>
        <v>0</v>
      </c>
      <c r="AX68" s="32">
        <f>ROUND(G68*AP68,2)</f>
        <v>0</v>
      </c>
      <c r="AY68" s="36" t="s">
        <v>185</v>
      </c>
      <c r="AZ68" s="36" t="s">
        <v>86</v>
      </c>
      <c r="BA68" s="12" t="s">
        <v>65</v>
      </c>
      <c r="BC68" s="32">
        <f>AW68+AX68</f>
        <v>0</v>
      </c>
      <c r="BD68" s="32">
        <f>H68/(100-BE68)*100</f>
        <v>0</v>
      </c>
      <c r="BE68" s="32">
        <v>0</v>
      </c>
      <c r="BF68" s="32">
        <f>P68</f>
        <v>0</v>
      </c>
      <c r="BH68" s="32">
        <f>G68*AO68</f>
        <v>0</v>
      </c>
      <c r="BI68" s="32">
        <f>G68*AP68</f>
        <v>0</v>
      </c>
      <c r="BJ68" s="32">
        <f>G68*H68</f>
        <v>0</v>
      </c>
      <c r="BK68" s="36" t="s">
        <v>66</v>
      </c>
      <c r="BL68" s="32"/>
      <c r="BW68" s="32">
        <f>I68</f>
        <v>21</v>
      </c>
      <c r="BX68" s="4" t="s">
        <v>197</v>
      </c>
    </row>
    <row r="69" spans="1:76" x14ac:dyDescent="0.25">
      <c r="A69" s="2" t="s">
        <v>198</v>
      </c>
      <c r="B69" s="3" t="s">
        <v>55</v>
      </c>
      <c r="C69" s="3" t="s">
        <v>199</v>
      </c>
      <c r="D69" s="100" t="s">
        <v>200</v>
      </c>
      <c r="E69" s="96"/>
      <c r="F69" s="3" t="s">
        <v>201</v>
      </c>
      <c r="G69" s="32">
        <v>1</v>
      </c>
      <c r="H69" s="75">
        <v>0</v>
      </c>
      <c r="I69" s="33">
        <v>21</v>
      </c>
      <c r="J69" s="32">
        <f>ROUND(G69*AO69,2)</f>
        <v>0</v>
      </c>
      <c r="K69" s="32">
        <f>ROUND(G69*AP69,2)</f>
        <v>0</v>
      </c>
      <c r="L69" s="32">
        <f>ROUND(G69*H69,2)</f>
        <v>0</v>
      </c>
      <c r="M69" s="32">
        <f>L69*(1+BW69/100)</f>
        <v>0</v>
      </c>
      <c r="N69" s="34">
        <f>IF(L144=0,0,L69/L144)</f>
        <v>0</v>
      </c>
      <c r="O69" s="32">
        <v>3.0000000000000001E-5</v>
      </c>
      <c r="P69" s="32">
        <f>G69*O69</f>
        <v>3.0000000000000001E-5</v>
      </c>
      <c r="Q69" s="35" t="s">
        <v>55</v>
      </c>
      <c r="Z69" s="32">
        <f>ROUND(IF(AQ69="5",BJ69,0),2)</f>
        <v>0</v>
      </c>
      <c r="AB69" s="32">
        <f>ROUND(IF(AQ69="1",BH69,0),2)</f>
        <v>0</v>
      </c>
      <c r="AC69" s="32">
        <f>ROUND(IF(AQ69="1",BI69,0),2)</f>
        <v>0</v>
      </c>
      <c r="AD69" s="32">
        <f>ROUND(IF(AQ69="7",BH69,0),2)</f>
        <v>0</v>
      </c>
      <c r="AE69" s="32">
        <f>ROUND(IF(AQ69="7",BI69,0),2)</f>
        <v>0</v>
      </c>
      <c r="AF69" s="32">
        <f>ROUND(IF(AQ69="2",BH69,0),2)</f>
        <v>0</v>
      </c>
      <c r="AG69" s="32">
        <f>ROUND(IF(AQ69="2",BI69,0),2)</f>
        <v>0</v>
      </c>
      <c r="AH69" s="32">
        <f>ROUND(IF(AQ69="0",BJ69,0),2)</f>
        <v>0</v>
      </c>
      <c r="AI69" s="12" t="s">
        <v>55</v>
      </c>
      <c r="AJ69" s="32">
        <f>IF(AN69=0,L69,0)</f>
        <v>0</v>
      </c>
      <c r="AK69" s="32">
        <f>IF(AN69=12,L69,0)</f>
        <v>0</v>
      </c>
      <c r="AL69" s="32">
        <f>IF(AN69=21,L69,0)</f>
        <v>0</v>
      </c>
      <c r="AN69" s="32">
        <v>21</v>
      </c>
      <c r="AO69" s="32">
        <f>H69*0.426783707</f>
        <v>0</v>
      </c>
      <c r="AP69" s="32">
        <f>H69*(1-0.426783707)</f>
        <v>0</v>
      </c>
      <c r="AQ69" s="36" t="s">
        <v>58</v>
      </c>
      <c r="AV69" s="32">
        <f>ROUND(AW69+AX69,2)</f>
        <v>0</v>
      </c>
      <c r="AW69" s="32">
        <f>ROUND(G69*AO69,2)</f>
        <v>0</v>
      </c>
      <c r="AX69" s="32">
        <f>ROUND(G69*AP69,2)</f>
        <v>0</v>
      </c>
      <c r="AY69" s="36" t="s">
        <v>185</v>
      </c>
      <c r="AZ69" s="36" t="s">
        <v>86</v>
      </c>
      <c r="BA69" s="12" t="s">
        <v>65</v>
      </c>
      <c r="BC69" s="32">
        <f>AW69+AX69</f>
        <v>0</v>
      </c>
      <c r="BD69" s="32">
        <f>H69/(100-BE69)*100</f>
        <v>0</v>
      </c>
      <c r="BE69" s="32">
        <v>0</v>
      </c>
      <c r="BF69" s="32">
        <f>P69</f>
        <v>3.0000000000000001E-5</v>
      </c>
      <c r="BH69" s="32">
        <f>G69*AO69</f>
        <v>0</v>
      </c>
      <c r="BI69" s="32">
        <f>G69*AP69</f>
        <v>0</v>
      </c>
      <c r="BJ69" s="32">
        <f>G69*H69</f>
        <v>0</v>
      </c>
      <c r="BK69" s="36" t="s">
        <v>66</v>
      </c>
      <c r="BL69" s="32"/>
      <c r="BW69" s="32">
        <f>I69</f>
        <v>21</v>
      </c>
      <c r="BX69" s="4" t="s">
        <v>200</v>
      </c>
    </row>
    <row r="70" spans="1:76" ht="13.5" customHeight="1" x14ac:dyDescent="0.25">
      <c r="A70" s="37"/>
      <c r="C70" s="38"/>
      <c r="D70" s="162" t="s">
        <v>202</v>
      </c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4"/>
    </row>
    <row r="71" spans="1:76" x14ac:dyDescent="0.25">
      <c r="A71" s="2" t="s">
        <v>203</v>
      </c>
      <c r="B71" s="3" t="s">
        <v>55</v>
      </c>
      <c r="C71" s="3" t="s">
        <v>204</v>
      </c>
      <c r="D71" s="100" t="s">
        <v>205</v>
      </c>
      <c r="E71" s="96"/>
      <c r="F71" s="3" t="s">
        <v>106</v>
      </c>
      <c r="G71" s="32">
        <v>4</v>
      </c>
      <c r="H71" s="75">
        <v>0</v>
      </c>
      <c r="I71" s="33">
        <v>21</v>
      </c>
      <c r="J71" s="32">
        <f>ROUND(G71*AO71,2)</f>
        <v>0</v>
      </c>
      <c r="K71" s="32">
        <f>ROUND(G71*AP71,2)</f>
        <v>0</v>
      </c>
      <c r="L71" s="32">
        <f>ROUND(G71*H71,2)</f>
        <v>0</v>
      </c>
      <c r="M71" s="32">
        <f>L71*(1+BW71/100)</f>
        <v>0</v>
      </c>
      <c r="N71" s="34">
        <f>IF(L144=0,0,L71/L144)</f>
        <v>0</v>
      </c>
      <c r="O71" s="32">
        <v>0</v>
      </c>
      <c r="P71" s="32">
        <f>G71*O71</f>
        <v>0</v>
      </c>
      <c r="Q71" s="35" t="s">
        <v>62</v>
      </c>
      <c r="Z71" s="32">
        <f>ROUND(IF(AQ71="5",BJ71,0),2)</f>
        <v>0</v>
      </c>
      <c r="AB71" s="32">
        <f>ROUND(IF(AQ71="1",BH71,0),2)</f>
        <v>0</v>
      </c>
      <c r="AC71" s="32">
        <f>ROUND(IF(AQ71="1",BI71,0),2)</f>
        <v>0</v>
      </c>
      <c r="AD71" s="32">
        <f>ROUND(IF(AQ71="7",BH71,0),2)</f>
        <v>0</v>
      </c>
      <c r="AE71" s="32">
        <f>ROUND(IF(AQ71="7",BI71,0),2)</f>
        <v>0</v>
      </c>
      <c r="AF71" s="32">
        <f>ROUND(IF(AQ71="2",BH71,0),2)</f>
        <v>0</v>
      </c>
      <c r="AG71" s="32">
        <f>ROUND(IF(AQ71="2",BI71,0),2)</f>
        <v>0</v>
      </c>
      <c r="AH71" s="32">
        <f>ROUND(IF(AQ71="0",BJ71,0),2)</f>
        <v>0</v>
      </c>
      <c r="AI71" s="12" t="s">
        <v>55</v>
      </c>
      <c r="AJ71" s="32">
        <f>IF(AN71=0,L71,0)</f>
        <v>0</v>
      </c>
      <c r="AK71" s="32">
        <f>IF(AN71=12,L71,0)</f>
        <v>0</v>
      </c>
      <c r="AL71" s="32">
        <f>IF(AN71=21,L71,0)</f>
        <v>0</v>
      </c>
      <c r="AN71" s="32">
        <v>21</v>
      </c>
      <c r="AO71" s="32">
        <f>H71*0</f>
        <v>0</v>
      </c>
      <c r="AP71" s="32">
        <f>H71*(1-0)</f>
        <v>0</v>
      </c>
      <c r="AQ71" s="36" t="s">
        <v>68</v>
      </c>
      <c r="AV71" s="32">
        <f>ROUND(AW71+AX71,2)</f>
        <v>0</v>
      </c>
      <c r="AW71" s="32">
        <f>ROUND(G71*AO71,2)</f>
        <v>0</v>
      </c>
      <c r="AX71" s="32">
        <f>ROUND(G71*AP71,2)</f>
        <v>0</v>
      </c>
      <c r="AY71" s="36" t="s">
        <v>185</v>
      </c>
      <c r="AZ71" s="36" t="s">
        <v>86</v>
      </c>
      <c r="BA71" s="12" t="s">
        <v>65</v>
      </c>
      <c r="BC71" s="32">
        <f>AW71+AX71</f>
        <v>0</v>
      </c>
      <c r="BD71" s="32">
        <f>H71/(100-BE71)*100</f>
        <v>0</v>
      </c>
      <c r="BE71" s="32">
        <v>0</v>
      </c>
      <c r="BF71" s="32">
        <f>P71</f>
        <v>0</v>
      </c>
      <c r="BH71" s="32">
        <f>G71*AO71</f>
        <v>0</v>
      </c>
      <c r="BI71" s="32">
        <f>G71*AP71</f>
        <v>0</v>
      </c>
      <c r="BJ71" s="32">
        <f>G71*H71</f>
        <v>0</v>
      </c>
      <c r="BK71" s="36" t="s">
        <v>66</v>
      </c>
      <c r="BL71" s="32"/>
      <c r="BW71" s="32">
        <f>I71</f>
        <v>21</v>
      </c>
      <c r="BX71" s="4" t="s">
        <v>205</v>
      </c>
    </row>
    <row r="72" spans="1:76" ht="13.5" customHeight="1" x14ac:dyDescent="0.25">
      <c r="A72" s="37"/>
      <c r="C72" s="38"/>
      <c r="D72" s="162" t="s">
        <v>206</v>
      </c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4"/>
    </row>
    <row r="73" spans="1:76" x14ac:dyDescent="0.25">
      <c r="A73" s="2" t="s">
        <v>207</v>
      </c>
      <c r="B73" s="3" t="s">
        <v>55</v>
      </c>
      <c r="C73" s="3" t="s">
        <v>208</v>
      </c>
      <c r="D73" s="100" t="s">
        <v>209</v>
      </c>
      <c r="E73" s="96"/>
      <c r="F73" s="3" t="s">
        <v>106</v>
      </c>
      <c r="G73" s="32">
        <v>4</v>
      </c>
      <c r="H73" s="75">
        <v>0</v>
      </c>
      <c r="I73" s="33">
        <v>21</v>
      </c>
      <c r="J73" s="32">
        <f>ROUND(G73*AO73,2)</f>
        <v>0</v>
      </c>
      <c r="K73" s="32">
        <f>ROUND(G73*AP73,2)</f>
        <v>0</v>
      </c>
      <c r="L73" s="32">
        <f>ROUND(G73*H73,2)</f>
        <v>0</v>
      </c>
      <c r="M73" s="32">
        <f>L73*(1+BW73/100)</f>
        <v>0</v>
      </c>
      <c r="N73" s="34">
        <f>IF(L144=0,0,L73/L144)</f>
        <v>0</v>
      </c>
      <c r="O73" s="32">
        <v>1.8000000000000001E-4</v>
      </c>
      <c r="P73" s="32">
        <f>G73*O73</f>
        <v>7.2000000000000005E-4</v>
      </c>
      <c r="Q73" s="35" t="s">
        <v>62</v>
      </c>
      <c r="Z73" s="32">
        <f>ROUND(IF(AQ73="5",BJ73,0),2)</f>
        <v>0</v>
      </c>
      <c r="AB73" s="32">
        <f>ROUND(IF(AQ73="1",BH73,0),2)</f>
        <v>0</v>
      </c>
      <c r="AC73" s="32">
        <f>ROUND(IF(AQ73="1",BI73,0),2)</f>
        <v>0</v>
      </c>
      <c r="AD73" s="32">
        <f>ROUND(IF(AQ73="7",BH73,0),2)</f>
        <v>0</v>
      </c>
      <c r="AE73" s="32">
        <f>ROUND(IF(AQ73="7",BI73,0),2)</f>
        <v>0</v>
      </c>
      <c r="AF73" s="32">
        <f>ROUND(IF(AQ73="2",BH73,0),2)</f>
        <v>0</v>
      </c>
      <c r="AG73" s="32">
        <f>ROUND(IF(AQ73="2",BI73,0),2)</f>
        <v>0</v>
      </c>
      <c r="AH73" s="32">
        <f>ROUND(IF(AQ73="0",BJ73,0),2)</f>
        <v>0</v>
      </c>
      <c r="AI73" s="12" t="s">
        <v>55</v>
      </c>
      <c r="AJ73" s="32">
        <f>IF(AN73=0,L73,0)</f>
        <v>0</v>
      </c>
      <c r="AK73" s="32">
        <f>IF(AN73=12,L73,0)</f>
        <v>0</v>
      </c>
      <c r="AL73" s="32">
        <f>IF(AN73=21,L73,0)</f>
        <v>0</v>
      </c>
      <c r="AN73" s="32">
        <v>21</v>
      </c>
      <c r="AO73" s="32">
        <f>H73*1</f>
        <v>0</v>
      </c>
      <c r="AP73" s="32">
        <f>H73*(1-1)</f>
        <v>0</v>
      </c>
      <c r="AQ73" s="36" t="s">
        <v>58</v>
      </c>
      <c r="AV73" s="32">
        <f>ROUND(AW73+AX73,2)</f>
        <v>0</v>
      </c>
      <c r="AW73" s="32">
        <f>ROUND(G73*AO73,2)</f>
        <v>0</v>
      </c>
      <c r="AX73" s="32">
        <f>ROUND(G73*AP73,2)</f>
        <v>0</v>
      </c>
      <c r="AY73" s="36" t="s">
        <v>185</v>
      </c>
      <c r="AZ73" s="36" t="s">
        <v>86</v>
      </c>
      <c r="BA73" s="12" t="s">
        <v>65</v>
      </c>
      <c r="BC73" s="32">
        <f>AW73+AX73</f>
        <v>0</v>
      </c>
      <c r="BD73" s="32">
        <f>H73/(100-BE73)*100</f>
        <v>0</v>
      </c>
      <c r="BE73" s="32">
        <v>0</v>
      </c>
      <c r="BF73" s="32">
        <f>P73</f>
        <v>7.2000000000000005E-4</v>
      </c>
      <c r="BH73" s="32">
        <f>G73*AO73</f>
        <v>0</v>
      </c>
      <c r="BI73" s="32">
        <f>G73*AP73</f>
        <v>0</v>
      </c>
      <c r="BJ73" s="32">
        <f>G73*H73</f>
        <v>0</v>
      </c>
      <c r="BK73" s="36" t="s">
        <v>210</v>
      </c>
      <c r="BL73" s="32"/>
      <c r="BW73" s="32">
        <f>I73</f>
        <v>21</v>
      </c>
      <c r="BX73" s="4" t="s">
        <v>209</v>
      </c>
    </row>
    <row r="74" spans="1:76" ht="13.5" customHeight="1" x14ac:dyDescent="0.25">
      <c r="A74" s="37"/>
      <c r="C74" s="38"/>
      <c r="D74" s="162" t="s">
        <v>211</v>
      </c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4"/>
      <c r="BX74" t="s">
        <v>211</v>
      </c>
    </row>
    <row r="75" spans="1:76" x14ac:dyDescent="0.25">
      <c r="A75" s="2" t="s">
        <v>212</v>
      </c>
      <c r="B75" s="3" t="s">
        <v>55</v>
      </c>
      <c r="C75" s="3" t="s">
        <v>213</v>
      </c>
      <c r="D75" s="100" t="s">
        <v>214</v>
      </c>
      <c r="E75" s="96"/>
      <c r="F75" s="3" t="s">
        <v>106</v>
      </c>
      <c r="G75" s="32">
        <v>4</v>
      </c>
      <c r="H75" s="75">
        <v>0</v>
      </c>
      <c r="I75" s="33">
        <v>21</v>
      </c>
      <c r="J75" s="32">
        <f>ROUND(G75*AO75,2)</f>
        <v>0</v>
      </c>
      <c r="K75" s="32">
        <f>ROUND(G75*AP75,2)</f>
        <v>0</v>
      </c>
      <c r="L75" s="32">
        <f>ROUND(G75*H75,2)</f>
        <v>0</v>
      </c>
      <c r="M75" s="32">
        <f>L75*(1+BW75/100)</f>
        <v>0</v>
      </c>
      <c r="N75" s="34">
        <f>IF(L144=0,0,L75/L144)</f>
        <v>0</v>
      </c>
      <c r="O75" s="32">
        <v>0</v>
      </c>
      <c r="P75" s="32">
        <f>G75*O75</f>
        <v>0</v>
      </c>
      <c r="Q75" s="35" t="s">
        <v>62</v>
      </c>
      <c r="Z75" s="32">
        <f>ROUND(IF(AQ75="5",BJ75,0),2)</f>
        <v>0</v>
      </c>
      <c r="AB75" s="32">
        <f>ROUND(IF(AQ75="1",BH75,0),2)</f>
        <v>0</v>
      </c>
      <c r="AC75" s="32">
        <f>ROUND(IF(AQ75="1",BI75,0),2)</f>
        <v>0</v>
      </c>
      <c r="AD75" s="32">
        <f>ROUND(IF(AQ75="7",BH75,0),2)</f>
        <v>0</v>
      </c>
      <c r="AE75" s="32">
        <f>ROUND(IF(AQ75="7",BI75,0),2)</f>
        <v>0</v>
      </c>
      <c r="AF75" s="32">
        <f>ROUND(IF(AQ75="2",BH75,0),2)</f>
        <v>0</v>
      </c>
      <c r="AG75" s="32">
        <f>ROUND(IF(AQ75="2",BI75,0),2)</f>
        <v>0</v>
      </c>
      <c r="AH75" s="32">
        <f>ROUND(IF(AQ75="0",BJ75,0),2)</f>
        <v>0</v>
      </c>
      <c r="AI75" s="12" t="s">
        <v>55</v>
      </c>
      <c r="AJ75" s="32">
        <f>IF(AN75=0,L75,0)</f>
        <v>0</v>
      </c>
      <c r="AK75" s="32">
        <f>IF(AN75=12,L75,0)</f>
        <v>0</v>
      </c>
      <c r="AL75" s="32">
        <f>IF(AN75=21,L75,0)</f>
        <v>0</v>
      </c>
      <c r="AN75" s="32">
        <v>21</v>
      </c>
      <c r="AO75" s="32">
        <f>H75*0.490149724</f>
        <v>0</v>
      </c>
      <c r="AP75" s="32">
        <f>H75*(1-0.490149724)</f>
        <v>0</v>
      </c>
      <c r="AQ75" s="36" t="s">
        <v>68</v>
      </c>
      <c r="AV75" s="32">
        <f>ROUND(AW75+AX75,2)</f>
        <v>0</v>
      </c>
      <c r="AW75" s="32">
        <f>ROUND(G75*AO75,2)</f>
        <v>0</v>
      </c>
      <c r="AX75" s="32">
        <f>ROUND(G75*AP75,2)</f>
        <v>0</v>
      </c>
      <c r="AY75" s="36" t="s">
        <v>185</v>
      </c>
      <c r="AZ75" s="36" t="s">
        <v>86</v>
      </c>
      <c r="BA75" s="12" t="s">
        <v>65</v>
      </c>
      <c r="BC75" s="32">
        <f>AW75+AX75</f>
        <v>0</v>
      </c>
      <c r="BD75" s="32">
        <f>H75/(100-BE75)*100</f>
        <v>0</v>
      </c>
      <c r="BE75" s="32">
        <v>0</v>
      </c>
      <c r="BF75" s="32">
        <f>P75</f>
        <v>0</v>
      </c>
      <c r="BH75" s="32">
        <f>G75*AO75</f>
        <v>0</v>
      </c>
      <c r="BI75" s="32">
        <f>G75*AP75</f>
        <v>0</v>
      </c>
      <c r="BJ75" s="32">
        <f>G75*H75</f>
        <v>0</v>
      </c>
      <c r="BK75" s="36" t="s">
        <v>66</v>
      </c>
      <c r="BL75" s="32"/>
      <c r="BW75" s="32">
        <f>I75</f>
        <v>21</v>
      </c>
      <c r="BX75" s="4" t="s">
        <v>214</v>
      </c>
    </row>
    <row r="76" spans="1:76" ht="13.5" customHeight="1" x14ac:dyDescent="0.25">
      <c r="A76" s="37"/>
      <c r="C76" s="38"/>
      <c r="D76" s="162" t="s">
        <v>215</v>
      </c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4"/>
    </row>
    <row r="77" spans="1:76" x14ac:dyDescent="0.25">
      <c r="A77" s="40" t="s">
        <v>55</v>
      </c>
      <c r="B77" s="41" t="s">
        <v>55</v>
      </c>
      <c r="C77" s="41" t="s">
        <v>216</v>
      </c>
      <c r="D77" s="165" t="s">
        <v>217</v>
      </c>
      <c r="E77" s="166"/>
      <c r="F77" s="42" t="s">
        <v>8</v>
      </c>
      <c r="G77" s="42" t="s">
        <v>8</v>
      </c>
      <c r="H77" s="42" t="s">
        <v>8</v>
      </c>
      <c r="I77" s="42" t="s">
        <v>8</v>
      </c>
      <c r="J77" s="1">
        <f>SUM(J78:J94)</f>
        <v>0</v>
      </c>
      <c r="K77" s="1">
        <f>SUM(K78:K94)</f>
        <v>0</v>
      </c>
      <c r="L77" s="1">
        <f>SUM(L78:L94)</f>
        <v>0</v>
      </c>
      <c r="M77" s="1">
        <f>SUM(M78:M94)</f>
        <v>0</v>
      </c>
      <c r="N77" s="43">
        <f>IF(L144=0,0,L77/L144)</f>
        <v>0</v>
      </c>
      <c r="O77" s="12" t="s">
        <v>55</v>
      </c>
      <c r="P77" s="1">
        <f>SUM(P78:P94)</f>
        <v>9.3341938500000019</v>
      </c>
      <c r="Q77" s="44" t="s">
        <v>55</v>
      </c>
      <c r="AI77" s="12" t="s">
        <v>55</v>
      </c>
      <c r="AS77" s="1">
        <f>SUM(AJ78:AJ94)</f>
        <v>0</v>
      </c>
      <c r="AT77" s="1">
        <f>SUM(AK78:AK94)</f>
        <v>0</v>
      </c>
      <c r="AU77" s="1">
        <f>SUM(AL78:AL94)</f>
        <v>0</v>
      </c>
    </row>
    <row r="78" spans="1:76" x14ac:dyDescent="0.25">
      <c r="A78" s="2" t="s">
        <v>218</v>
      </c>
      <c r="B78" s="3" t="s">
        <v>55</v>
      </c>
      <c r="C78" s="3" t="s">
        <v>219</v>
      </c>
      <c r="D78" s="100" t="s">
        <v>220</v>
      </c>
      <c r="E78" s="96"/>
      <c r="F78" s="3" t="s">
        <v>61</v>
      </c>
      <c r="G78" s="32">
        <v>461.29</v>
      </c>
      <c r="H78" s="75">
        <v>0</v>
      </c>
      <c r="I78" s="33">
        <v>21</v>
      </c>
      <c r="J78" s="32">
        <f>ROUND(G78*AO78,2)</f>
        <v>0</v>
      </c>
      <c r="K78" s="32">
        <f>ROUND(G78*AP78,2)</f>
        <v>0</v>
      </c>
      <c r="L78" s="32">
        <f>ROUND(G78*H78,2)</f>
        <v>0</v>
      </c>
      <c r="M78" s="32">
        <f>L78*(1+BW78/100)</f>
        <v>0</v>
      </c>
      <c r="N78" s="34">
        <f>IF(L144=0,0,L78/L144)</f>
        <v>0</v>
      </c>
      <c r="O78" s="32">
        <v>2.0000000000000002E-5</v>
      </c>
      <c r="P78" s="32">
        <f>G78*O78</f>
        <v>9.225800000000001E-3</v>
      </c>
      <c r="Q78" s="35" t="s">
        <v>62</v>
      </c>
      <c r="Z78" s="32">
        <f>ROUND(IF(AQ78="5",BJ78,0),2)</f>
        <v>0</v>
      </c>
      <c r="AB78" s="32">
        <f>ROUND(IF(AQ78="1",BH78,0),2)</f>
        <v>0</v>
      </c>
      <c r="AC78" s="32">
        <f>ROUND(IF(AQ78="1",BI78,0),2)</f>
        <v>0</v>
      </c>
      <c r="AD78" s="32">
        <f>ROUND(IF(AQ78="7",BH78,0),2)</f>
        <v>0</v>
      </c>
      <c r="AE78" s="32">
        <f>ROUND(IF(AQ78="7",BI78,0),2)</f>
        <v>0</v>
      </c>
      <c r="AF78" s="32">
        <f>ROUND(IF(AQ78="2",BH78,0),2)</f>
        <v>0</v>
      </c>
      <c r="AG78" s="32">
        <f>ROUND(IF(AQ78="2",BI78,0),2)</f>
        <v>0</v>
      </c>
      <c r="AH78" s="32">
        <f>ROUND(IF(AQ78="0",BJ78,0),2)</f>
        <v>0</v>
      </c>
      <c r="AI78" s="12" t="s">
        <v>55</v>
      </c>
      <c r="AJ78" s="32">
        <f>IF(AN78=0,L78,0)</f>
        <v>0</v>
      </c>
      <c r="AK78" s="32">
        <f>IF(AN78=12,L78,0)</f>
        <v>0</v>
      </c>
      <c r="AL78" s="32">
        <f>IF(AN78=21,L78,0)</f>
        <v>0</v>
      </c>
      <c r="AN78" s="32">
        <v>21</v>
      </c>
      <c r="AO78" s="32">
        <f>H78*0.065386021</f>
        <v>0</v>
      </c>
      <c r="AP78" s="32">
        <f>H78*(1-0.065386021)</f>
        <v>0</v>
      </c>
      <c r="AQ78" s="36" t="s">
        <v>58</v>
      </c>
      <c r="AV78" s="32">
        <f>ROUND(AW78+AX78,2)</f>
        <v>0</v>
      </c>
      <c r="AW78" s="32">
        <f>ROUND(G78*AO78,2)</f>
        <v>0</v>
      </c>
      <c r="AX78" s="32">
        <f>ROUND(G78*AP78,2)</f>
        <v>0</v>
      </c>
      <c r="AY78" s="36" t="s">
        <v>221</v>
      </c>
      <c r="AZ78" s="36" t="s">
        <v>78</v>
      </c>
      <c r="BA78" s="12" t="s">
        <v>65</v>
      </c>
      <c r="BC78" s="32">
        <f>AW78+AX78</f>
        <v>0</v>
      </c>
      <c r="BD78" s="32">
        <f>H78/(100-BE78)*100</f>
        <v>0</v>
      </c>
      <c r="BE78" s="32">
        <v>0</v>
      </c>
      <c r="BF78" s="32">
        <f>P78</f>
        <v>9.225800000000001E-3</v>
      </c>
      <c r="BH78" s="32">
        <f>G78*AO78</f>
        <v>0</v>
      </c>
      <c r="BI78" s="32">
        <f>G78*AP78</f>
        <v>0</v>
      </c>
      <c r="BJ78" s="32">
        <f>G78*H78</f>
        <v>0</v>
      </c>
      <c r="BK78" s="36" t="s">
        <v>66</v>
      </c>
      <c r="BL78" s="32">
        <v>62</v>
      </c>
      <c r="BW78" s="32">
        <f>I78</f>
        <v>21</v>
      </c>
      <c r="BX78" s="4" t="s">
        <v>220</v>
      </c>
    </row>
    <row r="79" spans="1:76" ht="25.5" x14ac:dyDescent="0.25">
      <c r="A79" s="2" t="s">
        <v>222</v>
      </c>
      <c r="B79" s="3" t="s">
        <v>55</v>
      </c>
      <c r="C79" s="3" t="s">
        <v>223</v>
      </c>
      <c r="D79" s="100" t="s">
        <v>224</v>
      </c>
      <c r="E79" s="96"/>
      <c r="F79" s="3" t="s">
        <v>61</v>
      </c>
      <c r="G79" s="32">
        <v>118.245</v>
      </c>
      <c r="H79" s="75">
        <v>0</v>
      </c>
      <c r="I79" s="33">
        <v>21</v>
      </c>
      <c r="J79" s="32">
        <f>ROUND(G79*AO79,2)</f>
        <v>0</v>
      </c>
      <c r="K79" s="32">
        <f>ROUND(G79*AP79,2)</f>
        <v>0</v>
      </c>
      <c r="L79" s="32">
        <f>ROUND(G79*H79,2)</f>
        <v>0</v>
      </c>
      <c r="M79" s="32">
        <f>L79*(1+BW79/100)</f>
        <v>0</v>
      </c>
      <c r="N79" s="34">
        <f>IF(L144=0,0,L79/L144)</f>
        <v>0</v>
      </c>
      <c r="O79" s="32">
        <v>9.4500000000000001E-3</v>
      </c>
      <c r="P79" s="32">
        <f>G79*O79</f>
        <v>1.1174152500000001</v>
      </c>
      <c r="Q79" s="35" t="s">
        <v>62</v>
      </c>
      <c r="Z79" s="32">
        <f>ROUND(IF(AQ79="5",BJ79,0),2)</f>
        <v>0</v>
      </c>
      <c r="AB79" s="32">
        <f>ROUND(IF(AQ79="1",BH79,0),2)</f>
        <v>0</v>
      </c>
      <c r="AC79" s="32">
        <f>ROUND(IF(AQ79="1",BI79,0),2)</f>
        <v>0</v>
      </c>
      <c r="AD79" s="32">
        <f>ROUND(IF(AQ79="7",BH79,0),2)</f>
        <v>0</v>
      </c>
      <c r="AE79" s="32">
        <f>ROUND(IF(AQ79="7",BI79,0),2)</f>
        <v>0</v>
      </c>
      <c r="AF79" s="32">
        <f>ROUND(IF(AQ79="2",BH79,0),2)</f>
        <v>0</v>
      </c>
      <c r="AG79" s="32">
        <f>ROUND(IF(AQ79="2",BI79,0),2)</f>
        <v>0</v>
      </c>
      <c r="AH79" s="32">
        <f>ROUND(IF(AQ79="0",BJ79,0),2)</f>
        <v>0</v>
      </c>
      <c r="AI79" s="12" t="s">
        <v>55</v>
      </c>
      <c r="AJ79" s="32">
        <f>IF(AN79=0,L79,0)</f>
        <v>0</v>
      </c>
      <c r="AK79" s="32">
        <f>IF(AN79=12,L79,0)</f>
        <v>0</v>
      </c>
      <c r="AL79" s="32">
        <f>IF(AN79=21,L79,0)</f>
        <v>0</v>
      </c>
      <c r="AN79" s="32">
        <v>21</v>
      </c>
      <c r="AO79" s="32">
        <f>H79*0.226629151</f>
        <v>0</v>
      </c>
      <c r="AP79" s="32">
        <f>H79*(1-0.226629151)</f>
        <v>0</v>
      </c>
      <c r="AQ79" s="36" t="s">
        <v>58</v>
      </c>
      <c r="AV79" s="32">
        <f>ROUND(AW79+AX79,2)</f>
        <v>0</v>
      </c>
      <c r="AW79" s="32">
        <f>ROUND(G79*AO79,2)</f>
        <v>0</v>
      </c>
      <c r="AX79" s="32">
        <f>ROUND(G79*AP79,2)</f>
        <v>0</v>
      </c>
      <c r="AY79" s="36" t="s">
        <v>221</v>
      </c>
      <c r="AZ79" s="36" t="s">
        <v>78</v>
      </c>
      <c r="BA79" s="12" t="s">
        <v>65</v>
      </c>
      <c r="BC79" s="32">
        <f>AW79+AX79</f>
        <v>0</v>
      </c>
      <c r="BD79" s="32">
        <f>H79/(100-BE79)*100</f>
        <v>0</v>
      </c>
      <c r="BE79" s="32">
        <v>0</v>
      </c>
      <c r="BF79" s="32">
        <f>P79</f>
        <v>1.1174152500000001</v>
      </c>
      <c r="BH79" s="32">
        <f>G79*AO79</f>
        <v>0</v>
      </c>
      <c r="BI79" s="32">
        <f>G79*AP79</f>
        <v>0</v>
      </c>
      <c r="BJ79" s="32">
        <f>G79*H79</f>
        <v>0</v>
      </c>
      <c r="BK79" s="36" t="s">
        <v>66</v>
      </c>
      <c r="BL79" s="32">
        <v>62</v>
      </c>
      <c r="BW79" s="32">
        <f>I79</f>
        <v>21</v>
      </c>
      <c r="BX79" s="4" t="s">
        <v>224</v>
      </c>
    </row>
    <row r="80" spans="1:76" x14ac:dyDescent="0.25">
      <c r="A80" s="2" t="s">
        <v>225</v>
      </c>
      <c r="B80" s="3" t="s">
        <v>55</v>
      </c>
      <c r="C80" s="3" t="s">
        <v>226</v>
      </c>
      <c r="D80" s="100" t="s">
        <v>227</v>
      </c>
      <c r="E80" s="96"/>
      <c r="F80" s="3" t="s">
        <v>61</v>
      </c>
      <c r="G80" s="32">
        <v>62.79</v>
      </c>
      <c r="H80" s="75">
        <v>0</v>
      </c>
      <c r="I80" s="33">
        <v>21</v>
      </c>
      <c r="J80" s="32">
        <f>ROUND(G80*AO80,2)</f>
        <v>0</v>
      </c>
      <c r="K80" s="32">
        <f>ROUND(G80*AP80,2)</f>
        <v>0</v>
      </c>
      <c r="L80" s="32">
        <f>ROUND(G80*H80,2)</f>
        <v>0</v>
      </c>
      <c r="M80" s="32">
        <f>L80*(1+BW80/100)</f>
        <v>0</v>
      </c>
      <c r="N80" s="34">
        <f>IF(L144=0,0,L80/L144)</f>
        <v>0</v>
      </c>
      <c r="O80" s="32">
        <v>4.0000000000000003E-5</v>
      </c>
      <c r="P80" s="32">
        <f>G80*O80</f>
        <v>2.5116000000000001E-3</v>
      </c>
      <c r="Q80" s="35" t="s">
        <v>62</v>
      </c>
      <c r="Z80" s="32">
        <f>ROUND(IF(AQ80="5",BJ80,0),2)</f>
        <v>0</v>
      </c>
      <c r="AB80" s="32">
        <f>ROUND(IF(AQ80="1",BH80,0),2)</f>
        <v>0</v>
      </c>
      <c r="AC80" s="32">
        <f>ROUND(IF(AQ80="1",BI80,0),2)</f>
        <v>0</v>
      </c>
      <c r="AD80" s="32">
        <f>ROUND(IF(AQ80="7",BH80,0),2)</f>
        <v>0</v>
      </c>
      <c r="AE80" s="32">
        <f>ROUND(IF(AQ80="7",BI80,0),2)</f>
        <v>0</v>
      </c>
      <c r="AF80" s="32">
        <f>ROUND(IF(AQ80="2",BH80,0),2)</f>
        <v>0</v>
      </c>
      <c r="AG80" s="32">
        <f>ROUND(IF(AQ80="2",BI80,0),2)</f>
        <v>0</v>
      </c>
      <c r="AH80" s="32">
        <f>ROUND(IF(AQ80="0",BJ80,0),2)</f>
        <v>0</v>
      </c>
      <c r="AI80" s="12" t="s">
        <v>55</v>
      </c>
      <c r="AJ80" s="32">
        <f>IF(AN80=0,L80,0)</f>
        <v>0</v>
      </c>
      <c r="AK80" s="32">
        <f>IF(AN80=12,L80,0)</f>
        <v>0</v>
      </c>
      <c r="AL80" s="32">
        <f>IF(AN80=21,L80,0)</f>
        <v>0</v>
      </c>
      <c r="AN80" s="32">
        <v>21</v>
      </c>
      <c r="AO80" s="32">
        <f>H80*0.269062088</f>
        <v>0</v>
      </c>
      <c r="AP80" s="32">
        <f>H80*(1-0.269062088)</f>
        <v>0</v>
      </c>
      <c r="AQ80" s="36" t="s">
        <v>58</v>
      </c>
      <c r="AV80" s="32">
        <f>ROUND(AW80+AX80,2)</f>
        <v>0</v>
      </c>
      <c r="AW80" s="32">
        <f>ROUND(G80*AO80,2)</f>
        <v>0</v>
      </c>
      <c r="AX80" s="32">
        <f>ROUND(G80*AP80,2)</f>
        <v>0</v>
      </c>
      <c r="AY80" s="36" t="s">
        <v>221</v>
      </c>
      <c r="AZ80" s="36" t="s">
        <v>78</v>
      </c>
      <c r="BA80" s="12" t="s">
        <v>65</v>
      </c>
      <c r="BC80" s="32">
        <f>AW80+AX80</f>
        <v>0</v>
      </c>
      <c r="BD80" s="32">
        <f>H80/(100-BE80)*100</f>
        <v>0</v>
      </c>
      <c r="BE80" s="32">
        <v>0</v>
      </c>
      <c r="BF80" s="32">
        <f>P80</f>
        <v>2.5116000000000001E-3</v>
      </c>
      <c r="BH80" s="32">
        <f>G80*AO80</f>
        <v>0</v>
      </c>
      <c r="BI80" s="32">
        <f>G80*AP80</f>
        <v>0</v>
      </c>
      <c r="BJ80" s="32">
        <f>G80*H80</f>
        <v>0</v>
      </c>
      <c r="BK80" s="36" t="s">
        <v>66</v>
      </c>
      <c r="BL80" s="32">
        <v>62</v>
      </c>
      <c r="BW80" s="32">
        <f>I80</f>
        <v>21</v>
      </c>
      <c r="BX80" s="4" t="s">
        <v>227</v>
      </c>
    </row>
    <row r="81" spans="1:76" x14ac:dyDescent="0.25">
      <c r="A81" s="37"/>
      <c r="C81" s="38"/>
      <c r="D81" s="162" t="s">
        <v>228</v>
      </c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4"/>
      <c r="BX81" s="39" t="s">
        <v>228</v>
      </c>
    </row>
    <row r="82" spans="1:76" x14ac:dyDescent="0.25">
      <c r="A82" s="2" t="s">
        <v>229</v>
      </c>
      <c r="B82" s="3" t="s">
        <v>55</v>
      </c>
      <c r="C82" s="3" t="s">
        <v>230</v>
      </c>
      <c r="D82" s="168" t="s">
        <v>433</v>
      </c>
      <c r="E82" s="96"/>
      <c r="F82" s="3" t="s">
        <v>114</v>
      </c>
      <c r="G82" s="32">
        <v>76.05</v>
      </c>
      <c r="H82" s="75">
        <v>0</v>
      </c>
      <c r="I82" s="33">
        <v>21</v>
      </c>
      <c r="J82" s="32">
        <f>ROUND(G82*AO82,2)</f>
        <v>0</v>
      </c>
      <c r="K82" s="32">
        <f>ROUND(G82*AP82,2)</f>
        <v>0</v>
      </c>
      <c r="L82" s="32">
        <f>ROUND(G82*H82,2)</f>
        <v>0</v>
      </c>
      <c r="M82" s="32">
        <f>L82*(1+BW82/100)</f>
        <v>0</v>
      </c>
      <c r="N82" s="34">
        <f>IF(L144=0,0,L82/L144)</f>
        <v>0</v>
      </c>
      <c r="O82" s="32">
        <v>5.6999999999999998E-4</v>
      </c>
      <c r="P82" s="32">
        <f>G82*O82</f>
        <v>4.3348499999999998E-2</v>
      </c>
      <c r="Q82" s="35" t="s">
        <v>62</v>
      </c>
      <c r="Z82" s="32">
        <f>ROUND(IF(AQ82="5",BJ82,0),2)</f>
        <v>0</v>
      </c>
      <c r="AB82" s="32">
        <f>ROUND(IF(AQ82="1",BH82,0),2)</f>
        <v>0</v>
      </c>
      <c r="AC82" s="32">
        <f>ROUND(IF(AQ82="1",BI82,0),2)</f>
        <v>0</v>
      </c>
      <c r="AD82" s="32">
        <f>ROUND(IF(AQ82="7",BH82,0),2)</f>
        <v>0</v>
      </c>
      <c r="AE82" s="32">
        <f>ROUND(IF(AQ82="7",BI82,0),2)</f>
        <v>0</v>
      </c>
      <c r="AF82" s="32">
        <f>ROUND(IF(AQ82="2",BH82,0),2)</f>
        <v>0</v>
      </c>
      <c r="AG82" s="32">
        <f>ROUND(IF(AQ82="2",BI82,0),2)</f>
        <v>0</v>
      </c>
      <c r="AH82" s="32">
        <f>ROUND(IF(AQ82="0",BJ82,0),2)</f>
        <v>0</v>
      </c>
      <c r="AI82" s="12" t="s">
        <v>55</v>
      </c>
      <c r="AJ82" s="32">
        <f>IF(AN82=0,L82,0)</f>
        <v>0</v>
      </c>
      <c r="AK82" s="32">
        <f>IF(AN82=12,L82,0)</f>
        <v>0</v>
      </c>
      <c r="AL82" s="32">
        <f>IF(AN82=21,L82,0)</f>
        <v>0</v>
      </c>
      <c r="AN82" s="32">
        <v>21</v>
      </c>
      <c r="AO82" s="32">
        <f>H82*0.523674621</f>
        <v>0</v>
      </c>
      <c r="AP82" s="32">
        <f>H82*(1-0.523674621)</f>
        <v>0</v>
      </c>
      <c r="AQ82" s="36" t="s">
        <v>58</v>
      </c>
      <c r="AV82" s="32">
        <f>ROUND(AW82+AX82,2)</f>
        <v>0</v>
      </c>
      <c r="AW82" s="32">
        <f>ROUND(G82*AO82,2)</f>
        <v>0</v>
      </c>
      <c r="AX82" s="32">
        <f>ROUND(G82*AP82,2)</f>
        <v>0</v>
      </c>
      <c r="AY82" s="36" t="s">
        <v>221</v>
      </c>
      <c r="AZ82" s="36" t="s">
        <v>78</v>
      </c>
      <c r="BA82" s="12" t="s">
        <v>65</v>
      </c>
      <c r="BC82" s="32">
        <f>AW82+AX82</f>
        <v>0</v>
      </c>
      <c r="BD82" s="32">
        <f>H82/(100-BE82)*100</f>
        <v>0</v>
      </c>
      <c r="BE82" s="32">
        <v>0</v>
      </c>
      <c r="BF82" s="32">
        <f>P82</f>
        <v>4.3348499999999998E-2</v>
      </c>
      <c r="BH82" s="32">
        <f>G82*AO82</f>
        <v>0</v>
      </c>
      <c r="BI82" s="32">
        <f>G82*AP82</f>
        <v>0</v>
      </c>
      <c r="BJ82" s="32">
        <f>G82*H82</f>
        <v>0</v>
      </c>
      <c r="BK82" s="36" t="s">
        <v>66</v>
      </c>
      <c r="BL82" s="32">
        <v>62</v>
      </c>
      <c r="BW82" s="32">
        <f>I82</f>
        <v>21</v>
      </c>
      <c r="BX82" s="4" t="s">
        <v>231</v>
      </c>
    </row>
    <row r="83" spans="1:76" x14ac:dyDescent="0.25">
      <c r="A83" s="2" t="s">
        <v>232</v>
      </c>
      <c r="B83" s="3" t="s">
        <v>55</v>
      </c>
      <c r="C83" s="3" t="s">
        <v>233</v>
      </c>
      <c r="D83" s="168" t="s">
        <v>427</v>
      </c>
      <c r="E83" s="96"/>
      <c r="F83" s="3" t="s">
        <v>61</v>
      </c>
      <c r="G83" s="32">
        <v>29.6</v>
      </c>
      <c r="H83" s="75">
        <v>0</v>
      </c>
      <c r="I83" s="33">
        <v>21</v>
      </c>
      <c r="J83" s="32">
        <f>ROUND(G83*AO83,2)</f>
        <v>0</v>
      </c>
      <c r="K83" s="32">
        <f>ROUND(G83*AP83,2)</f>
        <v>0</v>
      </c>
      <c r="L83" s="32">
        <f>ROUND(G83*H83,2)</f>
        <v>0</v>
      </c>
      <c r="M83" s="32">
        <f>L83*(1+BW83/100)</f>
        <v>0</v>
      </c>
      <c r="N83" s="34">
        <f>IF(L144=0,0,L83/L144)</f>
        <v>0</v>
      </c>
      <c r="O83" s="32">
        <v>1.4710000000000001E-2</v>
      </c>
      <c r="P83" s="32">
        <f>G83*O83</f>
        <v>0.43541600000000003</v>
      </c>
      <c r="Q83" s="35" t="s">
        <v>62</v>
      </c>
      <c r="Z83" s="32">
        <f>ROUND(IF(AQ83="5",BJ83,0),2)</f>
        <v>0</v>
      </c>
      <c r="AB83" s="32">
        <f>ROUND(IF(AQ83="1",BH83,0),2)</f>
        <v>0</v>
      </c>
      <c r="AC83" s="32">
        <f>ROUND(IF(AQ83="1",BI83,0),2)</f>
        <v>0</v>
      </c>
      <c r="AD83" s="32">
        <f>ROUND(IF(AQ83="7",BH83,0),2)</f>
        <v>0</v>
      </c>
      <c r="AE83" s="32">
        <f>ROUND(IF(AQ83="7",BI83,0),2)</f>
        <v>0</v>
      </c>
      <c r="AF83" s="32">
        <f>ROUND(IF(AQ83="2",BH83,0),2)</f>
        <v>0</v>
      </c>
      <c r="AG83" s="32">
        <f>ROUND(IF(AQ83="2",BI83,0),2)</f>
        <v>0</v>
      </c>
      <c r="AH83" s="32">
        <f>ROUND(IF(AQ83="0",BJ83,0),2)</f>
        <v>0</v>
      </c>
      <c r="AI83" s="12" t="s">
        <v>55</v>
      </c>
      <c r="AJ83" s="32">
        <f>IF(AN83=0,L83,0)</f>
        <v>0</v>
      </c>
      <c r="AK83" s="32">
        <f>IF(AN83=12,L83,0)</f>
        <v>0</v>
      </c>
      <c r="AL83" s="32">
        <f>IF(AN83=21,L83,0)</f>
        <v>0</v>
      </c>
      <c r="AN83" s="32">
        <v>21</v>
      </c>
      <c r="AO83" s="32">
        <f>H83*0.561398948</f>
        <v>0</v>
      </c>
      <c r="AP83" s="32">
        <f>H83*(1-0.561398948)</f>
        <v>0</v>
      </c>
      <c r="AQ83" s="36" t="s">
        <v>58</v>
      </c>
      <c r="AV83" s="32">
        <f>ROUND(AW83+AX83,2)</f>
        <v>0</v>
      </c>
      <c r="AW83" s="32">
        <f>ROUND(G83*AO83,2)</f>
        <v>0</v>
      </c>
      <c r="AX83" s="32">
        <f>ROUND(G83*AP83,2)</f>
        <v>0</v>
      </c>
      <c r="AY83" s="36" t="s">
        <v>221</v>
      </c>
      <c r="AZ83" s="36" t="s">
        <v>78</v>
      </c>
      <c r="BA83" s="12" t="s">
        <v>65</v>
      </c>
      <c r="BC83" s="32">
        <f>AW83+AX83</f>
        <v>0</v>
      </c>
      <c r="BD83" s="32">
        <f>H83/(100-BE83)*100</f>
        <v>0</v>
      </c>
      <c r="BE83" s="32">
        <v>0</v>
      </c>
      <c r="BF83" s="32">
        <f>P83</f>
        <v>0.43541600000000003</v>
      </c>
      <c r="BH83" s="32">
        <f>G83*AO83</f>
        <v>0</v>
      </c>
      <c r="BI83" s="32">
        <f>G83*AP83</f>
        <v>0</v>
      </c>
      <c r="BJ83" s="32">
        <f>G83*H83</f>
        <v>0</v>
      </c>
      <c r="BK83" s="36" t="s">
        <v>66</v>
      </c>
      <c r="BL83" s="32">
        <v>62</v>
      </c>
      <c r="BW83" s="32">
        <f>I83</f>
        <v>21</v>
      </c>
      <c r="BX83" s="4" t="s">
        <v>234</v>
      </c>
    </row>
    <row r="84" spans="1:76" ht="13.5" customHeight="1" x14ac:dyDescent="0.25">
      <c r="A84" s="37"/>
      <c r="C84" s="38"/>
      <c r="D84" s="162" t="s">
        <v>235</v>
      </c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4"/>
    </row>
    <row r="85" spans="1:76" x14ac:dyDescent="0.25">
      <c r="A85" s="2" t="s">
        <v>236</v>
      </c>
      <c r="B85" s="3" t="s">
        <v>55</v>
      </c>
      <c r="C85" s="3" t="s">
        <v>233</v>
      </c>
      <c r="D85" s="168" t="s">
        <v>428</v>
      </c>
      <c r="E85" s="96"/>
      <c r="F85" s="3" t="s">
        <v>61</v>
      </c>
      <c r="G85" s="32">
        <v>364.55</v>
      </c>
      <c r="H85" s="75">
        <v>0</v>
      </c>
      <c r="I85" s="33">
        <v>21</v>
      </c>
      <c r="J85" s="32">
        <f>ROUND(G85*AO85,2)</f>
        <v>0</v>
      </c>
      <c r="K85" s="32">
        <f>ROUND(G85*AP85,2)</f>
        <v>0</v>
      </c>
      <c r="L85" s="32">
        <f>ROUND(G85*H85,2)</f>
        <v>0</v>
      </c>
      <c r="M85" s="32">
        <f>L85*(1+BW85/100)</f>
        <v>0</v>
      </c>
      <c r="N85" s="34">
        <f>IF(L144=0,0,L85/L144)</f>
        <v>0</v>
      </c>
      <c r="O85" s="32">
        <v>1.4710000000000001E-2</v>
      </c>
      <c r="P85" s="32">
        <f>G85*O85</f>
        <v>5.3625305000000001</v>
      </c>
      <c r="Q85" s="35" t="s">
        <v>62</v>
      </c>
      <c r="Z85" s="32">
        <f>ROUND(IF(AQ85="5",BJ85,0),2)</f>
        <v>0</v>
      </c>
      <c r="AB85" s="32">
        <f>ROUND(IF(AQ85="1",BH85,0),2)</f>
        <v>0</v>
      </c>
      <c r="AC85" s="32">
        <f>ROUND(IF(AQ85="1",BI85,0),2)</f>
        <v>0</v>
      </c>
      <c r="AD85" s="32">
        <f>ROUND(IF(AQ85="7",BH85,0),2)</f>
        <v>0</v>
      </c>
      <c r="AE85" s="32">
        <f>ROUND(IF(AQ85="7",BI85,0),2)</f>
        <v>0</v>
      </c>
      <c r="AF85" s="32">
        <f>ROUND(IF(AQ85="2",BH85,0),2)</f>
        <v>0</v>
      </c>
      <c r="AG85" s="32">
        <f>ROUND(IF(AQ85="2",BI85,0),2)</f>
        <v>0</v>
      </c>
      <c r="AH85" s="32">
        <f>ROUND(IF(AQ85="0",BJ85,0),2)</f>
        <v>0</v>
      </c>
      <c r="AI85" s="12" t="s">
        <v>55</v>
      </c>
      <c r="AJ85" s="32">
        <f>IF(AN85=0,L85,0)</f>
        <v>0</v>
      </c>
      <c r="AK85" s="32">
        <f>IF(AN85=12,L85,0)</f>
        <v>0</v>
      </c>
      <c r="AL85" s="32">
        <f>IF(AN85=21,L85,0)</f>
        <v>0</v>
      </c>
      <c r="AN85" s="32">
        <v>21</v>
      </c>
      <c r="AO85" s="32">
        <f>H85*0.561399012</f>
        <v>0</v>
      </c>
      <c r="AP85" s="32">
        <f>H85*(1-0.561399012)</f>
        <v>0</v>
      </c>
      <c r="AQ85" s="36" t="s">
        <v>58</v>
      </c>
      <c r="AV85" s="32">
        <f>ROUND(AW85+AX85,2)</f>
        <v>0</v>
      </c>
      <c r="AW85" s="32">
        <f>ROUND(G85*AO85,2)</f>
        <v>0</v>
      </c>
      <c r="AX85" s="32">
        <f>ROUND(G85*AP85,2)</f>
        <v>0</v>
      </c>
      <c r="AY85" s="36" t="s">
        <v>221</v>
      </c>
      <c r="AZ85" s="36" t="s">
        <v>78</v>
      </c>
      <c r="BA85" s="12" t="s">
        <v>65</v>
      </c>
      <c r="BC85" s="32">
        <f>AW85+AX85</f>
        <v>0</v>
      </c>
      <c r="BD85" s="32">
        <f>H85/(100-BE85)*100</f>
        <v>0</v>
      </c>
      <c r="BE85" s="32">
        <v>0</v>
      </c>
      <c r="BF85" s="32">
        <f>P85</f>
        <v>5.3625305000000001</v>
      </c>
      <c r="BH85" s="32">
        <f>G85*AO85</f>
        <v>0</v>
      </c>
      <c r="BI85" s="32">
        <f>G85*AP85</f>
        <v>0</v>
      </c>
      <c r="BJ85" s="32">
        <f>G85*H85</f>
        <v>0</v>
      </c>
      <c r="BK85" s="36" t="s">
        <v>66</v>
      </c>
      <c r="BL85" s="32">
        <v>62</v>
      </c>
      <c r="BW85" s="32">
        <f>I85</f>
        <v>21</v>
      </c>
      <c r="BX85" s="4" t="s">
        <v>237</v>
      </c>
    </row>
    <row r="86" spans="1:76" ht="13.5" customHeight="1" x14ac:dyDescent="0.25">
      <c r="A86" s="37"/>
      <c r="C86" s="38"/>
      <c r="D86" s="162" t="s">
        <v>235</v>
      </c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4"/>
    </row>
    <row r="87" spans="1:76" ht="30" customHeight="1" x14ac:dyDescent="0.25">
      <c r="A87" s="37"/>
      <c r="C87" s="38"/>
      <c r="D87" s="167" t="s">
        <v>434</v>
      </c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4"/>
      <c r="BX87" s="39" t="s">
        <v>238</v>
      </c>
    </row>
    <row r="88" spans="1:76" x14ac:dyDescent="0.25">
      <c r="A88" s="2" t="s">
        <v>239</v>
      </c>
      <c r="B88" s="3" t="s">
        <v>55</v>
      </c>
      <c r="C88" s="3" t="s">
        <v>240</v>
      </c>
      <c r="D88" s="168" t="s">
        <v>429</v>
      </c>
      <c r="E88" s="96"/>
      <c r="F88" s="3" t="s">
        <v>61</v>
      </c>
      <c r="G88" s="32">
        <v>67.14</v>
      </c>
      <c r="H88" s="75">
        <v>0</v>
      </c>
      <c r="I88" s="33">
        <v>21</v>
      </c>
      <c r="J88" s="32">
        <f>ROUND(G88*AO88,2)</f>
        <v>0</v>
      </c>
      <c r="K88" s="32">
        <f>ROUND(G88*AP88,2)</f>
        <v>0</v>
      </c>
      <c r="L88" s="32">
        <f>ROUND(G88*H88,2)</f>
        <v>0</v>
      </c>
      <c r="M88" s="32">
        <f>L88*(1+BW88/100)</f>
        <v>0</v>
      </c>
      <c r="N88" s="34">
        <f>IF(L144=0,0,L88/L144)</f>
        <v>0</v>
      </c>
      <c r="O88" s="32">
        <v>1.933E-2</v>
      </c>
      <c r="P88" s="32">
        <f>G88*O88</f>
        <v>1.2978162</v>
      </c>
      <c r="Q88" s="35" t="s">
        <v>62</v>
      </c>
      <c r="Z88" s="32">
        <f>ROUND(IF(AQ88="5",BJ88,0),2)</f>
        <v>0</v>
      </c>
      <c r="AB88" s="32">
        <f>ROUND(IF(AQ88="1",BH88,0),2)</f>
        <v>0</v>
      </c>
      <c r="AC88" s="32">
        <f>ROUND(IF(AQ88="1",BI88,0),2)</f>
        <v>0</v>
      </c>
      <c r="AD88" s="32">
        <f>ROUND(IF(AQ88="7",BH88,0),2)</f>
        <v>0</v>
      </c>
      <c r="AE88" s="32">
        <f>ROUND(IF(AQ88="7",BI88,0),2)</f>
        <v>0</v>
      </c>
      <c r="AF88" s="32">
        <f>ROUND(IF(AQ88="2",BH88,0),2)</f>
        <v>0</v>
      </c>
      <c r="AG88" s="32">
        <f>ROUND(IF(AQ88="2",BI88,0),2)</f>
        <v>0</v>
      </c>
      <c r="AH88" s="32">
        <f>ROUND(IF(AQ88="0",BJ88,0),2)</f>
        <v>0</v>
      </c>
      <c r="AI88" s="12" t="s">
        <v>55</v>
      </c>
      <c r="AJ88" s="32">
        <f>IF(AN88=0,L88,0)</f>
        <v>0</v>
      </c>
      <c r="AK88" s="32">
        <f>IF(AN88=12,L88,0)</f>
        <v>0</v>
      </c>
      <c r="AL88" s="32">
        <f>IF(AN88=21,L88,0)</f>
        <v>0</v>
      </c>
      <c r="AN88" s="32">
        <v>21</v>
      </c>
      <c r="AO88" s="32">
        <f>H88*0.66081524</f>
        <v>0</v>
      </c>
      <c r="AP88" s="32">
        <f>H88*(1-0.66081524)</f>
        <v>0</v>
      </c>
      <c r="AQ88" s="36" t="s">
        <v>58</v>
      </c>
      <c r="AV88" s="32">
        <f>ROUND(AW88+AX88,2)</f>
        <v>0</v>
      </c>
      <c r="AW88" s="32">
        <f>ROUND(G88*AO88,2)</f>
        <v>0</v>
      </c>
      <c r="AX88" s="32">
        <f>ROUND(G88*AP88,2)</f>
        <v>0</v>
      </c>
      <c r="AY88" s="36" t="s">
        <v>221</v>
      </c>
      <c r="AZ88" s="36" t="s">
        <v>78</v>
      </c>
      <c r="BA88" s="12" t="s">
        <v>65</v>
      </c>
      <c r="BC88" s="32">
        <f>AW88+AX88</f>
        <v>0</v>
      </c>
      <c r="BD88" s="32">
        <f>H88/(100-BE88)*100</f>
        <v>0</v>
      </c>
      <c r="BE88" s="32">
        <v>0</v>
      </c>
      <c r="BF88" s="32">
        <f>P88</f>
        <v>1.2978162</v>
      </c>
      <c r="BH88" s="32">
        <f>G88*AO88</f>
        <v>0</v>
      </c>
      <c r="BI88" s="32">
        <f>G88*AP88</f>
        <v>0</v>
      </c>
      <c r="BJ88" s="32">
        <f>G88*H88</f>
        <v>0</v>
      </c>
      <c r="BK88" s="36" t="s">
        <v>66</v>
      </c>
      <c r="BL88" s="32">
        <v>62</v>
      </c>
      <c r="BW88" s="32">
        <f>I88</f>
        <v>21</v>
      </c>
      <c r="BX88" s="4" t="s">
        <v>241</v>
      </c>
    </row>
    <row r="89" spans="1:76" ht="13.5" customHeight="1" x14ac:dyDescent="0.25">
      <c r="A89" s="37"/>
      <c r="C89" s="38"/>
      <c r="D89" s="162" t="s">
        <v>242</v>
      </c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4"/>
    </row>
    <row r="90" spans="1:76" ht="30" customHeight="1" x14ac:dyDescent="0.25">
      <c r="A90" s="37"/>
      <c r="C90" s="38"/>
      <c r="D90" s="167" t="s">
        <v>432</v>
      </c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4"/>
      <c r="BX90" s="39" t="s">
        <v>243</v>
      </c>
    </row>
    <row r="91" spans="1:76" ht="30" customHeight="1" x14ac:dyDescent="0.25">
      <c r="A91" s="2" t="s">
        <v>244</v>
      </c>
      <c r="B91" s="3" t="s">
        <v>55</v>
      </c>
      <c r="C91" s="3" t="s">
        <v>245</v>
      </c>
      <c r="D91" s="168" t="s">
        <v>430</v>
      </c>
      <c r="E91" s="96"/>
      <c r="F91" s="3" t="s">
        <v>61</v>
      </c>
      <c r="G91" s="32">
        <v>85.4</v>
      </c>
      <c r="H91" s="75">
        <v>0</v>
      </c>
      <c r="I91" s="33">
        <v>21</v>
      </c>
      <c r="J91" s="32">
        <f>ROUND(G91*AO91,2)</f>
        <v>0</v>
      </c>
      <c r="K91" s="32">
        <f>ROUND(G91*AP91,2)</f>
        <v>0</v>
      </c>
      <c r="L91" s="32">
        <f>ROUND(G91*H91,2)</f>
        <v>0</v>
      </c>
      <c r="M91" s="32">
        <f>L91*(1+BW91/100)</f>
        <v>0</v>
      </c>
      <c r="N91" s="34">
        <f>IF(L144=0,0,L91/L144)</f>
        <v>0</v>
      </c>
      <c r="O91" s="32">
        <v>1.2449999999999999E-2</v>
      </c>
      <c r="P91" s="32">
        <f>G91*O91</f>
        <v>1.0632299999999999</v>
      </c>
      <c r="Q91" s="35" t="s">
        <v>62</v>
      </c>
      <c r="Z91" s="32">
        <f>ROUND(IF(AQ91="5",BJ91,0),2)</f>
        <v>0</v>
      </c>
      <c r="AB91" s="32">
        <f>ROUND(IF(AQ91="1",BH91,0),2)</f>
        <v>0</v>
      </c>
      <c r="AC91" s="32">
        <f>ROUND(IF(AQ91="1",BI91,0),2)</f>
        <v>0</v>
      </c>
      <c r="AD91" s="32">
        <f>ROUND(IF(AQ91="7",BH91,0),2)</f>
        <v>0</v>
      </c>
      <c r="AE91" s="32">
        <f>ROUND(IF(AQ91="7",BI91,0),2)</f>
        <v>0</v>
      </c>
      <c r="AF91" s="32">
        <f>ROUND(IF(AQ91="2",BH91,0),2)</f>
        <v>0</v>
      </c>
      <c r="AG91" s="32">
        <f>ROUND(IF(AQ91="2",BI91,0),2)</f>
        <v>0</v>
      </c>
      <c r="AH91" s="32">
        <f>ROUND(IF(AQ91="0",BJ91,0),2)</f>
        <v>0</v>
      </c>
      <c r="AI91" s="12" t="s">
        <v>55</v>
      </c>
      <c r="AJ91" s="32">
        <f>IF(AN91=0,L91,0)</f>
        <v>0</v>
      </c>
      <c r="AK91" s="32">
        <f>IF(AN91=12,L91,0)</f>
        <v>0</v>
      </c>
      <c r="AL91" s="32">
        <f>IF(AN91=21,L91,0)</f>
        <v>0</v>
      </c>
      <c r="AN91" s="32">
        <v>21</v>
      </c>
      <c r="AO91" s="32">
        <f>H91*0.309437394</f>
        <v>0</v>
      </c>
      <c r="AP91" s="32">
        <f>H91*(1-0.309437394)</f>
        <v>0</v>
      </c>
      <c r="AQ91" s="36" t="s">
        <v>58</v>
      </c>
      <c r="AV91" s="32">
        <f>ROUND(AW91+AX91,2)</f>
        <v>0</v>
      </c>
      <c r="AW91" s="32">
        <f>ROUND(G91*AO91,2)</f>
        <v>0</v>
      </c>
      <c r="AX91" s="32">
        <f>ROUND(G91*AP91,2)</f>
        <v>0</v>
      </c>
      <c r="AY91" s="36" t="s">
        <v>221</v>
      </c>
      <c r="AZ91" s="36" t="s">
        <v>78</v>
      </c>
      <c r="BA91" s="12" t="s">
        <v>65</v>
      </c>
      <c r="BC91" s="32">
        <f>AW91+AX91</f>
        <v>0</v>
      </c>
      <c r="BD91" s="32">
        <f>H91/(100-BE91)*100</f>
        <v>0</v>
      </c>
      <c r="BE91" s="32">
        <v>0</v>
      </c>
      <c r="BF91" s="32">
        <f>P91</f>
        <v>1.0632299999999999</v>
      </c>
      <c r="BH91" s="32">
        <f>G91*AO91</f>
        <v>0</v>
      </c>
      <c r="BI91" s="32">
        <f>G91*AP91</f>
        <v>0</v>
      </c>
      <c r="BJ91" s="32">
        <f>G91*H91</f>
        <v>0</v>
      </c>
      <c r="BK91" s="36" t="s">
        <v>66</v>
      </c>
      <c r="BL91" s="32">
        <v>62</v>
      </c>
      <c r="BW91" s="32">
        <f>I91</f>
        <v>21</v>
      </c>
      <c r="BX91" s="4" t="s">
        <v>246</v>
      </c>
    </row>
    <row r="92" spans="1:76" ht="13.5" customHeight="1" x14ac:dyDescent="0.25">
      <c r="A92" s="37"/>
      <c r="C92" s="38"/>
      <c r="D92" s="162" t="s">
        <v>247</v>
      </c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4"/>
    </row>
    <row r="93" spans="1:76" ht="30" customHeight="1" x14ac:dyDescent="0.25">
      <c r="A93" s="37"/>
      <c r="C93" s="38"/>
      <c r="D93" s="167" t="s">
        <v>431</v>
      </c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4"/>
      <c r="BX93" s="39" t="s">
        <v>248</v>
      </c>
    </row>
    <row r="94" spans="1:76" x14ac:dyDescent="0.25">
      <c r="A94" s="2" t="s">
        <v>249</v>
      </c>
      <c r="B94" s="3" t="s">
        <v>55</v>
      </c>
      <c r="C94" s="3" t="s">
        <v>250</v>
      </c>
      <c r="D94" s="100" t="s">
        <v>251</v>
      </c>
      <c r="E94" s="96"/>
      <c r="F94" s="3" t="s">
        <v>114</v>
      </c>
      <c r="G94" s="32">
        <v>13.5</v>
      </c>
      <c r="H94" s="75">
        <v>0</v>
      </c>
      <c r="I94" s="33">
        <v>21</v>
      </c>
      <c r="J94" s="32">
        <f>ROUND(G94*AO94,2)</f>
        <v>0</v>
      </c>
      <c r="K94" s="32">
        <f>ROUND(G94*AP94,2)</f>
        <v>0</v>
      </c>
      <c r="L94" s="32">
        <f>ROUND(G94*H94,2)</f>
        <v>0</v>
      </c>
      <c r="M94" s="32">
        <f>L94*(1+BW94/100)</f>
        <v>0</v>
      </c>
      <c r="N94" s="34">
        <f>IF(L144=0,0,L94/L144)</f>
        <v>0</v>
      </c>
      <c r="O94" s="32">
        <v>2.0000000000000001E-4</v>
      </c>
      <c r="P94" s="32">
        <f>G94*O94</f>
        <v>2.7000000000000001E-3</v>
      </c>
      <c r="Q94" s="35" t="s">
        <v>62</v>
      </c>
      <c r="Z94" s="32">
        <f>ROUND(IF(AQ94="5",BJ94,0),2)</f>
        <v>0</v>
      </c>
      <c r="AB94" s="32">
        <f>ROUND(IF(AQ94="1",BH94,0),2)</f>
        <v>0</v>
      </c>
      <c r="AC94" s="32">
        <f>ROUND(IF(AQ94="1",BI94,0),2)</f>
        <v>0</v>
      </c>
      <c r="AD94" s="32">
        <f>ROUND(IF(AQ94="7",BH94,0),2)</f>
        <v>0</v>
      </c>
      <c r="AE94" s="32">
        <f>ROUND(IF(AQ94="7",BI94,0),2)</f>
        <v>0</v>
      </c>
      <c r="AF94" s="32">
        <f>ROUND(IF(AQ94="2",BH94,0),2)</f>
        <v>0</v>
      </c>
      <c r="AG94" s="32">
        <f>ROUND(IF(AQ94="2",BI94,0),2)</f>
        <v>0</v>
      </c>
      <c r="AH94" s="32">
        <f>ROUND(IF(AQ94="0",BJ94,0),2)</f>
        <v>0</v>
      </c>
      <c r="AI94" s="12" t="s">
        <v>55</v>
      </c>
      <c r="AJ94" s="32">
        <f>IF(AN94=0,L94,0)</f>
        <v>0</v>
      </c>
      <c r="AK94" s="32">
        <f>IF(AN94=12,L94,0)</f>
        <v>0</v>
      </c>
      <c r="AL94" s="32">
        <f>IF(AN94=21,L94,0)</f>
        <v>0</v>
      </c>
      <c r="AN94" s="32">
        <v>21</v>
      </c>
      <c r="AO94" s="32">
        <f>H94*0.594440276</f>
        <v>0</v>
      </c>
      <c r="AP94" s="32">
        <f>H94*(1-0.594440276)</f>
        <v>0</v>
      </c>
      <c r="AQ94" s="36" t="s">
        <v>58</v>
      </c>
      <c r="AV94" s="32">
        <f>ROUND(AW94+AX94,2)</f>
        <v>0</v>
      </c>
      <c r="AW94" s="32">
        <f>ROUND(G94*AO94,2)</f>
        <v>0</v>
      </c>
      <c r="AX94" s="32">
        <f>ROUND(G94*AP94,2)</f>
        <v>0</v>
      </c>
      <c r="AY94" s="36" t="s">
        <v>221</v>
      </c>
      <c r="AZ94" s="36" t="s">
        <v>78</v>
      </c>
      <c r="BA94" s="12" t="s">
        <v>65</v>
      </c>
      <c r="BC94" s="32">
        <f>AW94+AX94</f>
        <v>0</v>
      </c>
      <c r="BD94" s="32">
        <f>H94/(100-BE94)*100</f>
        <v>0</v>
      </c>
      <c r="BE94" s="32">
        <v>0</v>
      </c>
      <c r="BF94" s="32">
        <f>P94</f>
        <v>2.7000000000000001E-3</v>
      </c>
      <c r="BH94" s="32">
        <f>G94*AO94</f>
        <v>0</v>
      </c>
      <c r="BI94" s="32">
        <f>G94*AP94</f>
        <v>0</v>
      </c>
      <c r="BJ94" s="32">
        <f>G94*H94</f>
        <v>0</v>
      </c>
      <c r="BK94" s="36" t="s">
        <v>66</v>
      </c>
      <c r="BL94" s="32">
        <v>62</v>
      </c>
      <c r="BW94" s="32">
        <f>I94</f>
        <v>21</v>
      </c>
      <c r="BX94" s="4" t="s">
        <v>251</v>
      </c>
    </row>
    <row r="95" spans="1:76" x14ac:dyDescent="0.25">
      <c r="A95" s="40" t="s">
        <v>55</v>
      </c>
      <c r="B95" s="41" t="s">
        <v>55</v>
      </c>
      <c r="C95" s="41" t="s">
        <v>252</v>
      </c>
      <c r="D95" s="165" t="s">
        <v>253</v>
      </c>
      <c r="E95" s="166"/>
      <c r="F95" s="42" t="s">
        <v>8</v>
      </c>
      <c r="G95" s="42" t="s">
        <v>8</v>
      </c>
      <c r="H95" s="42" t="s">
        <v>8</v>
      </c>
      <c r="I95" s="42" t="s">
        <v>8</v>
      </c>
      <c r="J95" s="1">
        <f>SUM(J96:J96)</f>
        <v>0</v>
      </c>
      <c r="K95" s="1">
        <f>SUM(K96:K96)</f>
        <v>0</v>
      </c>
      <c r="L95" s="1">
        <f>SUM(L96:L96)</f>
        <v>0</v>
      </c>
      <c r="M95" s="1">
        <f>SUM(M96:M96)</f>
        <v>0</v>
      </c>
      <c r="N95" s="43">
        <f>IF(L144=0,0,L95/L144)</f>
        <v>0</v>
      </c>
      <c r="O95" s="12" t="s">
        <v>55</v>
      </c>
      <c r="P95" s="1">
        <f>SUM(P96:P96)</f>
        <v>1.0816680000000001</v>
      </c>
      <c r="Q95" s="44" t="s">
        <v>55</v>
      </c>
      <c r="AI95" s="12" t="s">
        <v>55</v>
      </c>
      <c r="AS95" s="1">
        <f>SUM(AJ96:AJ96)</f>
        <v>0</v>
      </c>
      <c r="AT95" s="1">
        <f>SUM(AK96:AK96)</f>
        <v>0</v>
      </c>
      <c r="AU95" s="1">
        <f>SUM(AL96:AL96)</f>
        <v>0</v>
      </c>
    </row>
    <row r="96" spans="1:76" x14ac:dyDescent="0.25">
      <c r="A96" s="2" t="s">
        <v>254</v>
      </c>
      <c r="B96" s="3" t="s">
        <v>55</v>
      </c>
      <c r="C96" s="3" t="s">
        <v>255</v>
      </c>
      <c r="D96" s="100" t="s">
        <v>256</v>
      </c>
      <c r="E96" s="96"/>
      <c r="F96" s="3" t="s">
        <v>61</v>
      </c>
      <c r="G96" s="32">
        <v>331.8</v>
      </c>
      <c r="H96" s="75">
        <v>0</v>
      </c>
      <c r="I96" s="33">
        <v>21</v>
      </c>
      <c r="J96" s="32">
        <f>ROUND(G96*AO96,2)</f>
        <v>0</v>
      </c>
      <c r="K96" s="32">
        <f>ROUND(G96*AP96,2)</f>
        <v>0</v>
      </c>
      <c r="L96" s="32">
        <f>ROUND(G96*H96,2)</f>
        <v>0</v>
      </c>
      <c r="M96" s="32">
        <f>L96*(1+BW96/100)</f>
        <v>0</v>
      </c>
      <c r="N96" s="34">
        <f>IF(L144=0,0,L96/L144)</f>
        <v>0</v>
      </c>
      <c r="O96" s="32">
        <v>3.2599999999999999E-3</v>
      </c>
      <c r="P96" s="32">
        <f>G96*O96</f>
        <v>1.0816680000000001</v>
      </c>
      <c r="Q96" s="35" t="s">
        <v>62</v>
      </c>
      <c r="Z96" s="32">
        <f>ROUND(IF(AQ96="5",BJ96,0),2)</f>
        <v>0</v>
      </c>
      <c r="AB96" s="32">
        <f>ROUND(IF(AQ96="1",BH96,0),2)</f>
        <v>0</v>
      </c>
      <c r="AC96" s="32">
        <f>ROUND(IF(AQ96="1",BI96,0),2)</f>
        <v>0</v>
      </c>
      <c r="AD96" s="32">
        <f>ROUND(IF(AQ96="7",BH96,0),2)</f>
        <v>0</v>
      </c>
      <c r="AE96" s="32">
        <f>ROUND(IF(AQ96="7",BI96,0),2)</f>
        <v>0</v>
      </c>
      <c r="AF96" s="32">
        <f>ROUND(IF(AQ96="2",BH96,0),2)</f>
        <v>0</v>
      </c>
      <c r="AG96" s="32">
        <f>ROUND(IF(AQ96="2",BI96,0),2)</f>
        <v>0</v>
      </c>
      <c r="AH96" s="32">
        <f>ROUND(IF(AQ96="0",BJ96,0),2)</f>
        <v>0</v>
      </c>
      <c r="AI96" s="12" t="s">
        <v>55</v>
      </c>
      <c r="AJ96" s="32">
        <f>IF(AN96=0,L96,0)</f>
        <v>0</v>
      </c>
      <c r="AK96" s="32">
        <f>IF(AN96=12,L96,0)</f>
        <v>0</v>
      </c>
      <c r="AL96" s="32">
        <f>IF(AN96=21,L96,0)</f>
        <v>0</v>
      </c>
      <c r="AN96" s="32">
        <v>21</v>
      </c>
      <c r="AO96" s="32">
        <f>H96*0.758029979</f>
        <v>0</v>
      </c>
      <c r="AP96" s="32">
        <f>H96*(1-0.758029979)</f>
        <v>0</v>
      </c>
      <c r="AQ96" s="36" t="s">
        <v>99</v>
      </c>
      <c r="AV96" s="32">
        <f>ROUND(AW96+AX96,2)</f>
        <v>0</v>
      </c>
      <c r="AW96" s="32">
        <f>ROUND(G96*AO96,2)</f>
        <v>0</v>
      </c>
      <c r="AX96" s="32">
        <f>ROUND(G96*AP96,2)</f>
        <v>0</v>
      </c>
      <c r="AY96" s="36" t="s">
        <v>257</v>
      </c>
      <c r="AZ96" s="36" t="s">
        <v>258</v>
      </c>
      <c r="BA96" s="12" t="s">
        <v>65</v>
      </c>
      <c r="BC96" s="32">
        <f>AW96+AX96</f>
        <v>0</v>
      </c>
      <c r="BD96" s="32">
        <f>H96/(100-BE96)*100</f>
        <v>0</v>
      </c>
      <c r="BE96" s="32">
        <v>0</v>
      </c>
      <c r="BF96" s="32">
        <f>P96</f>
        <v>1.0816680000000001</v>
      </c>
      <c r="BH96" s="32">
        <f>G96*AO96</f>
        <v>0</v>
      </c>
      <c r="BI96" s="32">
        <f>G96*AP96</f>
        <v>0</v>
      </c>
      <c r="BJ96" s="32">
        <f>G96*H96</f>
        <v>0</v>
      </c>
      <c r="BK96" s="36" t="s">
        <v>66</v>
      </c>
      <c r="BL96" s="32">
        <v>713</v>
      </c>
      <c r="BW96" s="32">
        <f>I96</f>
        <v>21</v>
      </c>
      <c r="BX96" s="4" t="s">
        <v>256</v>
      </c>
    </row>
    <row r="97" spans="1:76" ht="13.5" customHeight="1" x14ac:dyDescent="0.25">
      <c r="A97" s="37"/>
      <c r="C97" s="38"/>
      <c r="D97" s="162" t="s">
        <v>259</v>
      </c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4"/>
    </row>
    <row r="98" spans="1:76" x14ac:dyDescent="0.25">
      <c r="A98" s="40" t="s">
        <v>55</v>
      </c>
      <c r="B98" s="41" t="s">
        <v>55</v>
      </c>
      <c r="C98" s="41" t="s">
        <v>260</v>
      </c>
      <c r="D98" s="165" t="s">
        <v>261</v>
      </c>
      <c r="E98" s="166"/>
      <c r="F98" s="42" t="s">
        <v>8</v>
      </c>
      <c r="G98" s="42" t="s">
        <v>8</v>
      </c>
      <c r="H98" s="42" t="s">
        <v>8</v>
      </c>
      <c r="I98" s="42" t="s">
        <v>8</v>
      </c>
      <c r="J98" s="1">
        <f>SUM(J99:J107)</f>
        <v>0</v>
      </c>
      <c r="K98" s="1">
        <f>SUM(K99:K107)</f>
        <v>0</v>
      </c>
      <c r="L98" s="1">
        <f>SUM(L99:L107)</f>
        <v>0</v>
      </c>
      <c r="M98" s="1">
        <f>SUM(M99:M107)</f>
        <v>0</v>
      </c>
      <c r="N98" s="43">
        <f>IF(L144=0,0,L98/L144)</f>
        <v>0</v>
      </c>
      <c r="O98" s="12" t="s">
        <v>55</v>
      </c>
      <c r="P98" s="1">
        <f>SUM(P99:P107)</f>
        <v>31.958404083999994</v>
      </c>
      <c r="Q98" s="44" t="s">
        <v>55</v>
      </c>
      <c r="AI98" s="12" t="s">
        <v>55</v>
      </c>
      <c r="AS98" s="1">
        <f>SUM(AJ99:AJ107)</f>
        <v>0</v>
      </c>
      <c r="AT98" s="1">
        <f>SUM(AK99:AK107)</f>
        <v>0</v>
      </c>
      <c r="AU98" s="1">
        <f>SUM(AL99:AL107)</f>
        <v>0</v>
      </c>
    </row>
    <row r="99" spans="1:76" x14ac:dyDescent="0.25">
      <c r="A99" s="2" t="s">
        <v>262</v>
      </c>
      <c r="B99" s="3" t="s">
        <v>55</v>
      </c>
      <c r="C99" s="3" t="s">
        <v>263</v>
      </c>
      <c r="D99" s="100" t="s">
        <v>264</v>
      </c>
      <c r="E99" s="96"/>
      <c r="F99" s="3" t="s">
        <v>61</v>
      </c>
      <c r="G99" s="32">
        <v>526.75379999999996</v>
      </c>
      <c r="H99" s="75">
        <v>0</v>
      </c>
      <c r="I99" s="33">
        <v>21</v>
      </c>
      <c r="J99" s="32">
        <f>ROUND(G99*AO99,2)</f>
        <v>0</v>
      </c>
      <c r="K99" s="32">
        <f>ROUND(G99*AP99,2)</f>
        <v>0</v>
      </c>
      <c r="L99" s="32">
        <f>ROUND(G99*H99,2)</f>
        <v>0</v>
      </c>
      <c r="M99" s="32">
        <f>L99*(1+BW99/100)</f>
        <v>0</v>
      </c>
      <c r="N99" s="34">
        <f>IF(L144=0,0,L99/L144)</f>
        <v>0</v>
      </c>
      <c r="O99" s="32">
        <v>3.798E-2</v>
      </c>
      <c r="P99" s="32">
        <f>G99*O99</f>
        <v>20.006109323999997</v>
      </c>
      <c r="Q99" s="35" t="s">
        <v>62</v>
      </c>
      <c r="Z99" s="32">
        <f>ROUND(IF(AQ99="5",BJ99,0),2)</f>
        <v>0</v>
      </c>
      <c r="AB99" s="32">
        <f>ROUND(IF(AQ99="1",BH99,0),2)</f>
        <v>0</v>
      </c>
      <c r="AC99" s="32">
        <f>ROUND(IF(AQ99="1",BI99,0),2)</f>
        <v>0</v>
      </c>
      <c r="AD99" s="32">
        <f>ROUND(IF(AQ99="7",BH99,0),2)</f>
        <v>0</v>
      </c>
      <c r="AE99" s="32">
        <f>ROUND(IF(AQ99="7",BI99,0),2)</f>
        <v>0</v>
      </c>
      <c r="AF99" s="32">
        <f>ROUND(IF(AQ99="2",BH99,0),2)</f>
        <v>0</v>
      </c>
      <c r="AG99" s="32">
        <f>ROUND(IF(AQ99="2",BI99,0),2)</f>
        <v>0</v>
      </c>
      <c r="AH99" s="32">
        <f>ROUND(IF(AQ99="0",BJ99,0),2)</f>
        <v>0</v>
      </c>
      <c r="AI99" s="12" t="s">
        <v>55</v>
      </c>
      <c r="AJ99" s="32">
        <f>IF(AN99=0,L99,0)</f>
        <v>0</v>
      </c>
      <c r="AK99" s="32">
        <f>IF(AN99=12,L99,0)</f>
        <v>0</v>
      </c>
      <c r="AL99" s="32">
        <f>IF(AN99=21,L99,0)</f>
        <v>0</v>
      </c>
      <c r="AN99" s="32">
        <v>21</v>
      </c>
      <c r="AO99" s="32">
        <f>H99*0.374399086</f>
        <v>0</v>
      </c>
      <c r="AP99" s="32">
        <f>H99*(1-0.374399086)</f>
        <v>0</v>
      </c>
      <c r="AQ99" s="36" t="s">
        <v>99</v>
      </c>
      <c r="AV99" s="32">
        <f>ROUND(AW99+AX99,2)</f>
        <v>0</v>
      </c>
      <c r="AW99" s="32">
        <f>ROUND(G99*AO99,2)</f>
        <v>0</v>
      </c>
      <c r="AX99" s="32">
        <f>ROUND(G99*AP99,2)</f>
        <v>0</v>
      </c>
      <c r="AY99" s="36" t="s">
        <v>265</v>
      </c>
      <c r="AZ99" s="36" t="s">
        <v>266</v>
      </c>
      <c r="BA99" s="12" t="s">
        <v>65</v>
      </c>
      <c r="BC99" s="32">
        <f>AW99+AX99</f>
        <v>0</v>
      </c>
      <c r="BD99" s="32">
        <f>H99/(100-BE99)*100</f>
        <v>0</v>
      </c>
      <c r="BE99" s="32">
        <v>0</v>
      </c>
      <c r="BF99" s="32">
        <f>P99</f>
        <v>20.006109323999997</v>
      </c>
      <c r="BH99" s="32">
        <f>G99*AO99</f>
        <v>0</v>
      </c>
      <c r="BI99" s="32">
        <f>G99*AP99</f>
        <v>0</v>
      </c>
      <c r="BJ99" s="32">
        <f>G99*H99</f>
        <v>0</v>
      </c>
      <c r="BK99" s="36" t="s">
        <v>66</v>
      </c>
      <c r="BL99" s="32">
        <v>762</v>
      </c>
      <c r="BW99" s="32">
        <f>I99</f>
        <v>21</v>
      </c>
      <c r="BX99" s="4" t="s">
        <v>264</v>
      </c>
    </row>
    <row r="100" spans="1:76" ht="13.5" customHeight="1" x14ac:dyDescent="0.25">
      <c r="A100" s="37"/>
      <c r="C100" s="38"/>
      <c r="D100" s="162" t="s">
        <v>267</v>
      </c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4"/>
    </row>
    <row r="101" spans="1:76" x14ac:dyDescent="0.25">
      <c r="A101" s="2" t="s">
        <v>268</v>
      </c>
      <c r="B101" s="3" t="s">
        <v>55</v>
      </c>
      <c r="C101" s="3" t="s">
        <v>269</v>
      </c>
      <c r="D101" s="100" t="s">
        <v>270</v>
      </c>
      <c r="E101" s="96"/>
      <c r="F101" s="3" t="s">
        <v>61</v>
      </c>
      <c r="G101" s="32">
        <v>331.8</v>
      </c>
      <c r="H101" s="75">
        <v>0</v>
      </c>
      <c r="I101" s="33">
        <v>21</v>
      </c>
      <c r="J101" s="32">
        <f>ROUND(G101*AO101,2)</f>
        <v>0</v>
      </c>
      <c r="K101" s="32">
        <f>ROUND(G101*AP101,2)</f>
        <v>0</v>
      </c>
      <c r="L101" s="32">
        <f>ROUND(G101*H101,2)</f>
        <v>0</v>
      </c>
      <c r="M101" s="32">
        <f>L101*(1+BW101/100)</f>
        <v>0</v>
      </c>
      <c r="N101" s="34">
        <f>IF(L144=0,0,L101/L144)</f>
        <v>0</v>
      </c>
      <c r="O101" s="32">
        <v>4.0800000000000003E-3</v>
      </c>
      <c r="P101" s="32">
        <f>G101*O101</f>
        <v>1.3537440000000001</v>
      </c>
      <c r="Q101" s="35" t="s">
        <v>62</v>
      </c>
      <c r="Z101" s="32">
        <f>ROUND(IF(AQ101="5",BJ101,0),2)</f>
        <v>0</v>
      </c>
      <c r="AB101" s="32">
        <f>ROUND(IF(AQ101="1",BH101,0),2)</f>
        <v>0</v>
      </c>
      <c r="AC101" s="32">
        <f>ROUND(IF(AQ101="1",BI101,0),2)</f>
        <v>0</v>
      </c>
      <c r="AD101" s="32">
        <f>ROUND(IF(AQ101="7",BH101,0),2)</f>
        <v>0</v>
      </c>
      <c r="AE101" s="32">
        <f>ROUND(IF(AQ101="7",BI101,0),2)</f>
        <v>0</v>
      </c>
      <c r="AF101" s="32">
        <f>ROUND(IF(AQ101="2",BH101,0),2)</f>
        <v>0</v>
      </c>
      <c r="AG101" s="32">
        <f>ROUND(IF(AQ101="2",BI101,0),2)</f>
        <v>0</v>
      </c>
      <c r="AH101" s="32">
        <f>ROUND(IF(AQ101="0",BJ101,0),2)</f>
        <v>0</v>
      </c>
      <c r="AI101" s="12" t="s">
        <v>55</v>
      </c>
      <c r="AJ101" s="32">
        <f>IF(AN101=0,L101,0)</f>
        <v>0</v>
      </c>
      <c r="AK101" s="32">
        <f>IF(AN101=12,L101,0)</f>
        <v>0</v>
      </c>
      <c r="AL101" s="32">
        <f>IF(AN101=21,L101,0)</f>
        <v>0</v>
      </c>
      <c r="AN101" s="32">
        <v>21</v>
      </c>
      <c r="AO101" s="32">
        <f>H101*0.740678709</f>
        <v>0</v>
      </c>
      <c r="AP101" s="32">
        <f>H101*(1-0.740678709)</f>
        <v>0</v>
      </c>
      <c r="AQ101" s="36" t="s">
        <v>99</v>
      </c>
      <c r="AV101" s="32">
        <f>ROUND(AW101+AX101,2)</f>
        <v>0</v>
      </c>
      <c r="AW101" s="32">
        <f>ROUND(G101*AO101,2)</f>
        <v>0</v>
      </c>
      <c r="AX101" s="32">
        <f>ROUND(G101*AP101,2)</f>
        <v>0</v>
      </c>
      <c r="AY101" s="36" t="s">
        <v>265</v>
      </c>
      <c r="AZ101" s="36" t="s">
        <v>266</v>
      </c>
      <c r="BA101" s="12" t="s">
        <v>65</v>
      </c>
      <c r="BC101" s="32">
        <f>AW101+AX101</f>
        <v>0</v>
      </c>
      <c r="BD101" s="32">
        <f>H101/(100-BE101)*100</f>
        <v>0</v>
      </c>
      <c r="BE101" s="32">
        <v>0</v>
      </c>
      <c r="BF101" s="32">
        <f>P101</f>
        <v>1.3537440000000001</v>
      </c>
      <c r="BH101" s="32">
        <f>G101*AO101</f>
        <v>0</v>
      </c>
      <c r="BI101" s="32">
        <f>G101*AP101</f>
        <v>0</v>
      </c>
      <c r="BJ101" s="32">
        <f>G101*H101</f>
        <v>0</v>
      </c>
      <c r="BK101" s="36" t="s">
        <v>66</v>
      </c>
      <c r="BL101" s="32">
        <v>762</v>
      </c>
      <c r="BW101" s="32">
        <f>I101</f>
        <v>21</v>
      </c>
      <c r="BX101" s="4" t="s">
        <v>270</v>
      </c>
    </row>
    <row r="102" spans="1:76" ht="13.5" customHeight="1" x14ac:dyDescent="0.25">
      <c r="A102" s="37"/>
      <c r="C102" s="38"/>
      <c r="D102" s="162" t="s">
        <v>259</v>
      </c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4"/>
    </row>
    <row r="103" spans="1:76" x14ac:dyDescent="0.25">
      <c r="A103" s="2" t="s">
        <v>271</v>
      </c>
      <c r="B103" s="3" t="s">
        <v>55</v>
      </c>
      <c r="C103" s="3" t="s">
        <v>272</v>
      </c>
      <c r="D103" s="100" t="s">
        <v>273</v>
      </c>
      <c r="E103" s="96"/>
      <c r="F103" s="3" t="s">
        <v>61</v>
      </c>
      <c r="G103" s="32">
        <v>526.75379999999996</v>
      </c>
      <c r="H103" s="75">
        <v>0</v>
      </c>
      <c r="I103" s="33">
        <v>21</v>
      </c>
      <c r="J103" s="32">
        <f>ROUND(G103*AO103,2)</f>
        <v>0</v>
      </c>
      <c r="K103" s="32">
        <f>ROUND(G103*AP103,2)</f>
        <v>0</v>
      </c>
      <c r="L103" s="32">
        <f>ROUND(G103*H103,2)</f>
        <v>0</v>
      </c>
      <c r="M103" s="32">
        <f>L103*(1+BW103/100)</f>
        <v>0</v>
      </c>
      <c r="N103" s="34">
        <f>IF(L144=0,0,L103/L144)</f>
        <v>0</v>
      </c>
      <c r="O103" s="32">
        <v>2.0000000000000001E-4</v>
      </c>
      <c r="P103" s="32">
        <f>G103*O103</f>
        <v>0.10535076</v>
      </c>
      <c r="Q103" s="35" t="s">
        <v>62</v>
      </c>
      <c r="Z103" s="32">
        <f>ROUND(IF(AQ103="5",BJ103,0),2)</f>
        <v>0</v>
      </c>
      <c r="AB103" s="32">
        <f>ROUND(IF(AQ103="1",BH103,0),2)</f>
        <v>0</v>
      </c>
      <c r="AC103" s="32">
        <f>ROUND(IF(AQ103="1",BI103,0),2)</f>
        <v>0</v>
      </c>
      <c r="AD103" s="32">
        <f>ROUND(IF(AQ103="7",BH103,0),2)</f>
        <v>0</v>
      </c>
      <c r="AE103" s="32">
        <f>ROUND(IF(AQ103="7",BI103,0),2)</f>
        <v>0</v>
      </c>
      <c r="AF103" s="32">
        <f>ROUND(IF(AQ103="2",BH103,0),2)</f>
        <v>0</v>
      </c>
      <c r="AG103" s="32">
        <f>ROUND(IF(AQ103="2",BI103,0),2)</f>
        <v>0</v>
      </c>
      <c r="AH103" s="32">
        <f>ROUND(IF(AQ103="0",BJ103,0),2)</f>
        <v>0</v>
      </c>
      <c r="AI103" s="12" t="s">
        <v>55</v>
      </c>
      <c r="AJ103" s="32">
        <f>IF(AN103=0,L103,0)</f>
        <v>0</v>
      </c>
      <c r="AK103" s="32">
        <f>IF(AN103=12,L103,0)</f>
        <v>0</v>
      </c>
      <c r="AL103" s="32">
        <f>IF(AN103=21,L103,0)</f>
        <v>0</v>
      </c>
      <c r="AN103" s="32">
        <v>21</v>
      </c>
      <c r="AO103" s="32">
        <f>H103*0.566036853</f>
        <v>0</v>
      </c>
      <c r="AP103" s="32">
        <f>H103*(1-0.566036853)</f>
        <v>0</v>
      </c>
      <c r="AQ103" s="36" t="s">
        <v>99</v>
      </c>
      <c r="AV103" s="32">
        <f>ROUND(AW103+AX103,2)</f>
        <v>0</v>
      </c>
      <c r="AW103" s="32">
        <f>ROUND(G103*AO103,2)</f>
        <v>0</v>
      </c>
      <c r="AX103" s="32">
        <f>ROUND(G103*AP103,2)</f>
        <v>0</v>
      </c>
      <c r="AY103" s="36" t="s">
        <v>265</v>
      </c>
      <c r="AZ103" s="36" t="s">
        <v>266</v>
      </c>
      <c r="BA103" s="12" t="s">
        <v>65</v>
      </c>
      <c r="BC103" s="32">
        <f>AW103+AX103</f>
        <v>0</v>
      </c>
      <c r="BD103" s="32">
        <f>H103/(100-BE103)*100</f>
        <v>0</v>
      </c>
      <c r="BE103" s="32">
        <v>0</v>
      </c>
      <c r="BF103" s="32">
        <f>P103</f>
        <v>0.10535076</v>
      </c>
      <c r="BH103" s="32">
        <f>G103*AO103</f>
        <v>0</v>
      </c>
      <c r="BI103" s="32">
        <f>G103*AP103</f>
        <v>0</v>
      </c>
      <c r="BJ103" s="32">
        <f>G103*H103</f>
        <v>0</v>
      </c>
      <c r="BK103" s="36" t="s">
        <v>66</v>
      </c>
      <c r="BL103" s="32">
        <v>762</v>
      </c>
      <c r="BW103" s="32">
        <f>I103</f>
        <v>21</v>
      </c>
      <c r="BX103" s="4" t="s">
        <v>273</v>
      </c>
    </row>
    <row r="104" spans="1:76" ht="13.5" customHeight="1" x14ac:dyDescent="0.25">
      <c r="A104" s="37"/>
      <c r="C104" s="38"/>
      <c r="D104" s="162" t="s">
        <v>274</v>
      </c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4"/>
    </row>
    <row r="105" spans="1:76" x14ac:dyDescent="0.25">
      <c r="A105" s="2" t="s">
        <v>275</v>
      </c>
      <c r="B105" s="3" t="s">
        <v>55</v>
      </c>
      <c r="C105" s="3" t="s">
        <v>276</v>
      </c>
      <c r="D105" s="100" t="s">
        <v>277</v>
      </c>
      <c r="E105" s="96"/>
      <c r="F105" s="3" t="s">
        <v>114</v>
      </c>
      <c r="G105" s="32">
        <v>65</v>
      </c>
      <c r="H105" s="75">
        <v>0</v>
      </c>
      <c r="I105" s="33">
        <v>21</v>
      </c>
      <c r="J105" s="32">
        <f>ROUND(G105*AO105,2)</f>
        <v>0</v>
      </c>
      <c r="K105" s="32">
        <f>ROUND(G105*AP105,2)</f>
        <v>0</v>
      </c>
      <c r="L105" s="32">
        <f>ROUND(G105*H105,2)</f>
        <v>0</v>
      </c>
      <c r="M105" s="32">
        <f>L105*(1+BW105/100)</f>
        <v>0</v>
      </c>
      <c r="N105" s="34">
        <f>IF(L144=0,0,L105/L144)</f>
        <v>0</v>
      </c>
      <c r="O105" s="32">
        <v>2.2280000000000001E-2</v>
      </c>
      <c r="P105" s="32">
        <f>G105*O105</f>
        <v>1.4482000000000002</v>
      </c>
      <c r="Q105" s="35" t="s">
        <v>62</v>
      </c>
      <c r="Z105" s="32">
        <f>ROUND(IF(AQ105="5",BJ105,0),2)</f>
        <v>0</v>
      </c>
      <c r="AB105" s="32">
        <f>ROUND(IF(AQ105="1",BH105,0),2)</f>
        <v>0</v>
      </c>
      <c r="AC105" s="32">
        <f>ROUND(IF(AQ105="1",BI105,0),2)</f>
        <v>0</v>
      </c>
      <c r="AD105" s="32">
        <f>ROUND(IF(AQ105="7",BH105,0),2)</f>
        <v>0</v>
      </c>
      <c r="AE105" s="32">
        <f>ROUND(IF(AQ105="7",BI105,0),2)</f>
        <v>0</v>
      </c>
      <c r="AF105" s="32">
        <f>ROUND(IF(AQ105="2",BH105,0),2)</f>
        <v>0</v>
      </c>
      <c r="AG105" s="32">
        <f>ROUND(IF(AQ105="2",BI105,0),2)</f>
        <v>0</v>
      </c>
      <c r="AH105" s="32">
        <f>ROUND(IF(AQ105="0",BJ105,0),2)</f>
        <v>0</v>
      </c>
      <c r="AI105" s="12" t="s">
        <v>55</v>
      </c>
      <c r="AJ105" s="32">
        <f>IF(AN105=0,L105,0)</f>
        <v>0</v>
      </c>
      <c r="AK105" s="32">
        <f>IF(AN105=12,L105,0)</f>
        <v>0</v>
      </c>
      <c r="AL105" s="32">
        <f>IF(AN105=21,L105,0)</f>
        <v>0</v>
      </c>
      <c r="AN105" s="32">
        <v>21</v>
      </c>
      <c r="AO105" s="32">
        <f>H105*0.546084314</f>
        <v>0</v>
      </c>
      <c r="AP105" s="32">
        <f>H105*(1-0.546084314)</f>
        <v>0</v>
      </c>
      <c r="AQ105" s="36" t="s">
        <v>99</v>
      </c>
      <c r="AV105" s="32">
        <f>ROUND(AW105+AX105,2)</f>
        <v>0</v>
      </c>
      <c r="AW105" s="32">
        <f>ROUND(G105*AO105,2)</f>
        <v>0</v>
      </c>
      <c r="AX105" s="32">
        <f>ROUND(G105*AP105,2)</f>
        <v>0</v>
      </c>
      <c r="AY105" s="36" t="s">
        <v>265</v>
      </c>
      <c r="AZ105" s="36" t="s">
        <v>266</v>
      </c>
      <c r="BA105" s="12" t="s">
        <v>65</v>
      </c>
      <c r="BC105" s="32">
        <f>AW105+AX105</f>
        <v>0</v>
      </c>
      <c r="BD105" s="32">
        <f>H105/(100-BE105)*100</f>
        <v>0</v>
      </c>
      <c r="BE105" s="32">
        <v>0</v>
      </c>
      <c r="BF105" s="32">
        <f>P105</f>
        <v>1.4482000000000002</v>
      </c>
      <c r="BH105" s="32">
        <f>G105*AO105</f>
        <v>0</v>
      </c>
      <c r="BI105" s="32">
        <f>G105*AP105</f>
        <v>0</v>
      </c>
      <c r="BJ105" s="32">
        <f>G105*H105</f>
        <v>0</v>
      </c>
      <c r="BK105" s="36" t="s">
        <v>66</v>
      </c>
      <c r="BL105" s="32">
        <v>762</v>
      </c>
      <c r="BW105" s="32">
        <f>I105</f>
        <v>21</v>
      </c>
      <c r="BX105" s="4" t="s">
        <v>277</v>
      </c>
    </row>
    <row r="106" spans="1:76" ht="13.5" customHeight="1" x14ac:dyDescent="0.25">
      <c r="A106" s="37"/>
      <c r="C106" s="38"/>
      <c r="D106" s="162" t="s">
        <v>278</v>
      </c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4"/>
    </row>
    <row r="107" spans="1:76" x14ac:dyDescent="0.25">
      <c r="A107" s="2" t="s">
        <v>279</v>
      </c>
      <c r="B107" s="3" t="s">
        <v>55</v>
      </c>
      <c r="C107" s="3" t="s">
        <v>280</v>
      </c>
      <c r="D107" s="100" t="s">
        <v>281</v>
      </c>
      <c r="E107" s="96"/>
      <c r="F107" s="3" t="s">
        <v>61</v>
      </c>
      <c r="G107" s="32">
        <v>56.25</v>
      </c>
      <c r="H107" s="75">
        <v>0</v>
      </c>
      <c r="I107" s="33">
        <v>21</v>
      </c>
      <c r="J107" s="32">
        <f>ROUND(G107*AO107,2)</f>
        <v>0</v>
      </c>
      <c r="K107" s="32">
        <f>ROUND(G107*AP107,2)</f>
        <v>0</v>
      </c>
      <c r="L107" s="32">
        <f>ROUND(G107*H107,2)</f>
        <v>0</v>
      </c>
      <c r="M107" s="32">
        <f>L107*(1+BW107/100)</f>
        <v>0</v>
      </c>
      <c r="N107" s="34">
        <f>IF(L144=0,0,L107/L144)</f>
        <v>0</v>
      </c>
      <c r="O107" s="32">
        <v>0.1608</v>
      </c>
      <c r="P107" s="32">
        <f>G107*O107</f>
        <v>9.0449999999999999</v>
      </c>
      <c r="Q107" s="35" t="s">
        <v>62</v>
      </c>
      <c r="Z107" s="32">
        <f>ROUND(IF(AQ107="5",BJ107,0),2)</f>
        <v>0</v>
      </c>
      <c r="AB107" s="32">
        <f>ROUND(IF(AQ107="1",BH107,0),2)</f>
        <v>0</v>
      </c>
      <c r="AC107" s="32">
        <f>ROUND(IF(AQ107="1",BI107,0),2)</f>
        <v>0</v>
      </c>
      <c r="AD107" s="32">
        <f>ROUND(IF(AQ107="7",BH107,0),2)</f>
        <v>0</v>
      </c>
      <c r="AE107" s="32">
        <f>ROUND(IF(AQ107="7",BI107,0),2)</f>
        <v>0</v>
      </c>
      <c r="AF107" s="32">
        <f>ROUND(IF(AQ107="2",BH107,0),2)</f>
        <v>0</v>
      </c>
      <c r="AG107" s="32">
        <f>ROUND(IF(AQ107="2",BI107,0),2)</f>
        <v>0</v>
      </c>
      <c r="AH107" s="32">
        <f>ROUND(IF(AQ107="0",BJ107,0),2)</f>
        <v>0</v>
      </c>
      <c r="AI107" s="12" t="s">
        <v>55</v>
      </c>
      <c r="AJ107" s="32">
        <f>IF(AN107=0,L107,0)</f>
        <v>0</v>
      </c>
      <c r="AK107" s="32">
        <f>IF(AN107=12,L107,0)</f>
        <v>0</v>
      </c>
      <c r="AL107" s="32">
        <f>IF(AN107=21,L107,0)</f>
        <v>0</v>
      </c>
      <c r="AN107" s="32">
        <v>21</v>
      </c>
      <c r="AO107" s="32">
        <f>H107*0.642993435</f>
        <v>0</v>
      </c>
      <c r="AP107" s="32">
        <f>H107*(1-0.642993435)</f>
        <v>0</v>
      </c>
      <c r="AQ107" s="36" t="s">
        <v>99</v>
      </c>
      <c r="AV107" s="32">
        <f>ROUND(AW107+AX107,2)</f>
        <v>0</v>
      </c>
      <c r="AW107" s="32">
        <f>ROUND(G107*AO107,2)</f>
        <v>0</v>
      </c>
      <c r="AX107" s="32">
        <f>ROUND(G107*AP107,2)</f>
        <v>0</v>
      </c>
      <c r="AY107" s="36" t="s">
        <v>265</v>
      </c>
      <c r="AZ107" s="36" t="s">
        <v>266</v>
      </c>
      <c r="BA107" s="12" t="s">
        <v>65</v>
      </c>
      <c r="BC107" s="32">
        <f>AW107+AX107</f>
        <v>0</v>
      </c>
      <c r="BD107" s="32">
        <f>H107/(100-BE107)*100</f>
        <v>0</v>
      </c>
      <c r="BE107" s="32">
        <v>0</v>
      </c>
      <c r="BF107" s="32">
        <f>P107</f>
        <v>9.0449999999999999</v>
      </c>
      <c r="BH107" s="32">
        <f>G107*AO107</f>
        <v>0</v>
      </c>
      <c r="BI107" s="32">
        <f>G107*AP107</f>
        <v>0</v>
      </c>
      <c r="BJ107" s="32">
        <f>G107*H107</f>
        <v>0</v>
      </c>
      <c r="BK107" s="36" t="s">
        <v>66</v>
      </c>
      <c r="BL107" s="32">
        <v>762</v>
      </c>
      <c r="BW107" s="32">
        <f>I107</f>
        <v>21</v>
      </c>
      <c r="BX107" s="4" t="s">
        <v>281</v>
      </c>
    </row>
    <row r="108" spans="1:76" ht="13.5" customHeight="1" x14ac:dyDescent="0.25">
      <c r="A108" s="37"/>
      <c r="C108" s="38"/>
      <c r="D108" s="162" t="s">
        <v>282</v>
      </c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4"/>
    </row>
    <row r="109" spans="1:76" x14ac:dyDescent="0.25">
      <c r="A109" s="40" t="s">
        <v>55</v>
      </c>
      <c r="B109" s="41" t="s">
        <v>55</v>
      </c>
      <c r="C109" s="41" t="s">
        <v>283</v>
      </c>
      <c r="D109" s="165" t="s">
        <v>284</v>
      </c>
      <c r="E109" s="166"/>
      <c r="F109" s="42" t="s">
        <v>8</v>
      </c>
      <c r="G109" s="42" t="s">
        <v>8</v>
      </c>
      <c r="H109" s="42" t="s">
        <v>8</v>
      </c>
      <c r="I109" s="42" t="s">
        <v>8</v>
      </c>
      <c r="J109" s="1">
        <f>SUM(J110:J128)</f>
        <v>0</v>
      </c>
      <c r="K109" s="1">
        <f>SUM(K110:K128)</f>
        <v>0</v>
      </c>
      <c r="L109" s="1">
        <f>SUM(L110:L128)</f>
        <v>0</v>
      </c>
      <c r="M109" s="1">
        <f>SUM(M110:M128)</f>
        <v>0</v>
      </c>
      <c r="N109" s="43">
        <f>IF(L144=0,0,L109/L144)</f>
        <v>0</v>
      </c>
      <c r="O109" s="12" t="s">
        <v>55</v>
      </c>
      <c r="P109" s="1">
        <f>SUM(P110:P128)</f>
        <v>4.0519097319999986</v>
      </c>
      <c r="Q109" s="44" t="s">
        <v>55</v>
      </c>
      <c r="AI109" s="12" t="s">
        <v>55</v>
      </c>
      <c r="AS109" s="1">
        <f>SUM(AJ110:AJ128)</f>
        <v>0</v>
      </c>
      <c r="AT109" s="1">
        <f>SUM(AK110:AK128)</f>
        <v>0</v>
      </c>
      <c r="AU109" s="1">
        <f>SUM(AL110:AL128)</f>
        <v>0</v>
      </c>
    </row>
    <row r="110" spans="1:76" ht="25.5" x14ac:dyDescent="0.25">
      <c r="A110" s="2" t="s">
        <v>285</v>
      </c>
      <c r="B110" s="3" t="s">
        <v>55</v>
      </c>
      <c r="C110" s="3" t="s">
        <v>286</v>
      </c>
      <c r="D110" s="100" t="s">
        <v>287</v>
      </c>
      <c r="E110" s="96"/>
      <c r="F110" s="3" t="s">
        <v>61</v>
      </c>
      <c r="G110" s="32">
        <v>526.75379999999996</v>
      </c>
      <c r="H110" s="75">
        <v>0</v>
      </c>
      <c r="I110" s="33">
        <v>21</v>
      </c>
      <c r="J110" s="32">
        <f>ROUND(G110*AO110,2)</f>
        <v>0</v>
      </c>
      <c r="K110" s="32">
        <f>ROUND(G110*AP110,2)</f>
        <v>0</v>
      </c>
      <c r="L110" s="32">
        <f>ROUND(G110*H110,2)</f>
        <v>0</v>
      </c>
      <c r="M110" s="32">
        <f>L110*(1+BW110/100)</f>
        <v>0</v>
      </c>
      <c r="N110" s="34">
        <f>IF(L144=0,0,L110/L144)</f>
        <v>0</v>
      </c>
      <c r="O110" s="32">
        <v>6.1399999999999996E-3</v>
      </c>
      <c r="P110" s="32">
        <f>G110*O110</f>
        <v>3.2342683319999996</v>
      </c>
      <c r="Q110" s="35" t="s">
        <v>62</v>
      </c>
      <c r="Z110" s="32">
        <f>ROUND(IF(AQ110="5",BJ110,0),2)</f>
        <v>0</v>
      </c>
      <c r="AB110" s="32">
        <f>ROUND(IF(AQ110="1",BH110,0),2)</f>
        <v>0</v>
      </c>
      <c r="AC110" s="32">
        <f>ROUND(IF(AQ110="1",BI110,0),2)</f>
        <v>0</v>
      </c>
      <c r="AD110" s="32">
        <f>ROUND(IF(AQ110="7",BH110,0),2)</f>
        <v>0</v>
      </c>
      <c r="AE110" s="32">
        <f>ROUND(IF(AQ110="7",BI110,0),2)</f>
        <v>0</v>
      </c>
      <c r="AF110" s="32">
        <f>ROUND(IF(AQ110="2",BH110,0),2)</f>
        <v>0</v>
      </c>
      <c r="AG110" s="32">
        <f>ROUND(IF(AQ110="2",BI110,0),2)</f>
        <v>0</v>
      </c>
      <c r="AH110" s="32">
        <f>ROUND(IF(AQ110="0",BJ110,0),2)</f>
        <v>0</v>
      </c>
      <c r="AI110" s="12" t="s">
        <v>55</v>
      </c>
      <c r="AJ110" s="32">
        <f>IF(AN110=0,L110,0)</f>
        <v>0</v>
      </c>
      <c r="AK110" s="32">
        <f>IF(AN110=12,L110,0)</f>
        <v>0</v>
      </c>
      <c r="AL110" s="32">
        <f>IF(AN110=21,L110,0)</f>
        <v>0</v>
      </c>
      <c r="AN110" s="32">
        <v>21</v>
      </c>
      <c r="AO110" s="32">
        <f>H110*0.751214199</f>
        <v>0</v>
      </c>
      <c r="AP110" s="32">
        <f>H110*(1-0.751214199)</f>
        <v>0</v>
      </c>
      <c r="AQ110" s="36" t="s">
        <v>99</v>
      </c>
      <c r="AV110" s="32">
        <f>ROUND(AW110+AX110,2)</f>
        <v>0</v>
      </c>
      <c r="AW110" s="32">
        <f>ROUND(G110*AO110,2)</f>
        <v>0</v>
      </c>
      <c r="AX110" s="32">
        <f>ROUND(G110*AP110,2)</f>
        <v>0</v>
      </c>
      <c r="AY110" s="36" t="s">
        <v>288</v>
      </c>
      <c r="AZ110" s="36" t="s">
        <v>266</v>
      </c>
      <c r="BA110" s="12" t="s">
        <v>65</v>
      </c>
      <c r="BC110" s="32">
        <f>AW110+AX110</f>
        <v>0</v>
      </c>
      <c r="BD110" s="32">
        <f>H110/(100-BE110)*100</f>
        <v>0</v>
      </c>
      <c r="BE110" s="32">
        <v>0</v>
      </c>
      <c r="BF110" s="32">
        <f>P110</f>
        <v>3.2342683319999996</v>
      </c>
      <c r="BH110" s="32">
        <f>G110*AO110</f>
        <v>0</v>
      </c>
      <c r="BI110" s="32">
        <f>G110*AP110</f>
        <v>0</v>
      </c>
      <c r="BJ110" s="32">
        <f>G110*H110</f>
        <v>0</v>
      </c>
      <c r="BK110" s="36" t="s">
        <v>66</v>
      </c>
      <c r="BL110" s="32">
        <v>764</v>
      </c>
      <c r="BW110" s="32">
        <f>I110</f>
        <v>21</v>
      </c>
      <c r="BX110" s="4" t="s">
        <v>287</v>
      </c>
    </row>
    <row r="111" spans="1:76" ht="13.5" customHeight="1" x14ac:dyDescent="0.25">
      <c r="A111" s="37"/>
      <c r="C111" s="38"/>
      <c r="D111" s="162" t="s">
        <v>289</v>
      </c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4"/>
    </row>
    <row r="112" spans="1:76" ht="13.5" customHeight="1" x14ac:dyDescent="0.25">
      <c r="A112" s="37"/>
      <c r="C112" s="38"/>
      <c r="D112" s="167" t="s">
        <v>426</v>
      </c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4"/>
      <c r="BX112" t="s">
        <v>290</v>
      </c>
    </row>
    <row r="113" spans="1:76" x14ac:dyDescent="0.25">
      <c r="A113" s="2" t="s">
        <v>291</v>
      </c>
      <c r="B113" s="3" t="s">
        <v>55</v>
      </c>
      <c r="C113" s="3" t="s">
        <v>292</v>
      </c>
      <c r="D113" s="100" t="s">
        <v>293</v>
      </c>
      <c r="E113" s="96"/>
      <c r="F113" s="3" t="s">
        <v>61</v>
      </c>
      <c r="G113" s="32">
        <v>458.30880000000002</v>
      </c>
      <c r="H113" s="75">
        <v>0</v>
      </c>
      <c r="I113" s="33">
        <v>21</v>
      </c>
      <c r="J113" s="32">
        <f>ROUND(G113*AO113,2)</f>
        <v>0</v>
      </c>
      <c r="K113" s="32">
        <f>ROUND(G113*AP113,2)</f>
        <v>0</v>
      </c>
      <c r="L113" s="32">
        <f>ROUND(G113*H113,2)</f>
        <v>0</v>
      </c>
      <c r="M113" s="32">
        <f>L113*(1+BW113/100)</f>
        <v>0</v>
      </c>
      <c r="N113" s="34">
        <f>IF(L144=0,0,L113/L144)</f>
        <v>0</v>
      </c>
      <c r="O113" s="32">
        <v>0</v>
      </c>
      <c r="P113" s="32">
        <f>G113*O113</f>
        <v>0</v>
      </c>
      <c r="Q113" s="35" t="s">
        <v>62</v>
      </c>
      <c r="Z113" s="32">
        <f>ROUND(IF(AQ113="5",BJ113,0),2)</f>
        <v>0</v>
      </c>
      <c r="AB113" s="32">
        <f>ROUND(IF(AQ113="1",BH113,0),2)</f>
        <v>0</v>
      </c>
      <c r="AC113" s="32">
        <f>ROUND(IF(AQ113="1",BI113,0),2)</f>
        <v>0</v>
      </c>
      <c r="AD113" s="32">
        <f>ROUND(IF(AQ113="7",BH113,0),2)</f>
        <v>0</v>
      </c>
      <c r="AE113" s="32">
        <f>ROUND(IF(AQ113="7",BI113,0),2)</f>
        <v>0</v>
      </c>
      <c r="AF113" s="32">
        <f>ROUND(IF(AQ113="2",BH113,0),2)</f>
        <v>0</v>
      </c>
      <c r="AG113" s="32">
        <f>ROUND(IF(AQ113="2",BI113,0),2)</f>
        <v>0</v>
      </c>
      <c r="AH113" s="32">
        <f>ROUND(IF(AQ113="0",BJ113,0),2)</f>
        <v>0</v>
      </c>
      <c r="AI113" s="12" t="s">
        <v>55</v>
      </c>
      <c r="AJ113" s="32">
        <f>IF(AN113=0,L113,0)</f>
        <v>0</v>
      </c>
      <c r="AK113" s="32">
        <f>IF(AN113=12,L113,0)</f>
        <v>0</v>
      </c>
      <c r="AL113" s="32">
        <f>IF(AN113=21,L113,0)</f>
        <v>0</v>
      </c>
      <c r="AN113" s="32">
        <v>21</v>
      </c>
      <c r="AO113" s="32">
        <f>H113*0</f>
        <v>0</v>
      </c>
      <c r="AP113" s="32">
        <f>H113*(1-0)</f>
        <v>0</v>
      </c>
      <c r="AQ113" s="36" t="s">
        <v>99</v>
      </c>
      <c r="AV113" s="32">
        <f>ROUND(AW113+AX113,2)</f>
        <v>0</v>
      </c>
      <c r="AW113" s="32">
        <f>ROUND(G113*AO113,2)</f>
        <v>0</v>
      </c>
      <c r="AX113" s="32">
        <f>ROUND(G113*AP113,2)</f>
        <v>0</v>
      </c>
      <c r="AY113" s="36" t="s">
        <v>288</v>
      </c>
      <c r="AZ113" s="36" t="s">
        <v>266</v>
      </c>
      <c r="BA113" s="12" t="s">
        <v>65</v>
      </c>
      <c r="BC113" s="32">
        <f>AW113+AX113</f>
        <v>0</v>
      </c>
      <c r="BD113" s="32">
        <f>H113/(100-BE113)*100</f>
        <v>0</v>
      </c>
      <c r="BE113" s="32">
        <v>0</v>
      </c>
      <c r="BF113" s="32">
        <f>P113</f>
        <v>0</v>
      </c>
      <c r="BH113" s="32">
        <f>G113*AO113</f>
        <v>0</v>
      </c>
      <c r="BI113" s="32">
        <f>G113*AP113</f>
        <v>0</v>
      </c>
      <c r="BJ113" s="32">
        <f>G113*H113</f>
        <v>0</v>
      </c>
      <c r="BK113" s="36" t="s">
        <v>66</v>
      </c>
      <c r="BL113" s="32">
        <v>764</v>
      </c>
      <c r="BW113" s="32">
        <f>I113</f>
        <v>21</v>
      </c>
      <c r="BX113" s="4" t="s">
        <v>293</v>
      </c>
    </row>
    <row r="114" spans="1:76" x14ac:dyDescent="0.25">
      <c r="A114" s="2" t="s">
        <v>294</v>
      </c>
      <c r="B114" s="3" t="s">
        <v>55</v>
      </c>
      <c r="C114" s="3" t="s">
        <v>295</v>
      </c>
      <c r="D114" s="100" t="s">
        <v>296</v>
      </c>
      <c r="E114" s="96"/>
      <c r="F114" s="3" t="s">
        <v>114</v>
      </c>
      <c r="G114" s="32">
        <v>22.4</v>
      </c>
      <c r="H114" s="75">
        <v>0</v>
      </c>
      <c r="I114" s="33">
        <v>21</v>
      </c>
      <c r="J114" s="32">
        <f>ROUND(G114*AO114,2)</f>
        <v>0</v>
      </c>
      <c r="K114" s="32">
        <f>ROUND(G114*AP114,2)</f>
        <v>0</v>
      </c>
      <c r="L114" s="32">
        <f>ROUND(G114*H114,2)</f>
        <v>0</v>
      </c>
      <c r="M114" s="32">
        <f>L114*(1+BW114/100)</f>
        <v>0</v>
      </c>
      <c r="N114" s="34">
        <f>IF(L144=0,0,L114/L144)</f>
        <v>0</v>
      </c>
      <c r="O114" s="32">
        <v>2.8900000000000002E-3</v>
      </c>
      <c r="P114" s="32">
        <f>G114*O114</f>
        <v>6.4736000000000002E-2</v>
      </c>
      <c r="Q114" s="35" t="s">
        <v>62</v>
      </c>
      <c r="Z114" s="32">
        <f>ROUND(IF(AQ114="5",BJ114,0),2)</f>
        <v>0</v>
      </c>
      <c r="AB114" s="32">
        <f>ROUND(IF(AQ114="1",BH114,0),2)</f>
        <v>0</v>
      </c>
      <c r="AC114" s="32">
        <f>ROUND(IF(AQ114="1",BI114,0),2)</f>
        <v>0</v>
      </c>
      <c r="AD114" s="32">
        <f>ROUND(IF(AQ114="7",BH114,0),2)</f>
        <v>0</v>
      </c>
      <c r="AE114" s="32">
        <f>ROUND(IF(AQ114="7",BI114,0),2)</f>
        <v>0</v>
      </c>
      <c r="AF114" s="32">
        <f>ROUND(IF(AQ114="2",BH114,0),2)</f>
        <v>0</v>
      </c>
      <c r="AG114" s="32">
        <f>ROUND(IF(AQ114="2",BI114,0),2)</f>
        <v>0</v>
      </c>
      <c r="AH114" s="32">
        <f>ROUND(IF(AQ114="0",BJ114,0),2)</f>
        <v>0</v>
      </c>
      <c r="AI114" s="12" t="s">
        <v>55</v>
      </c>
      <c r="AJ114" s="32">
        <f>IF(AN114=0,L114,0)</f>
        <v>0</v>
      </c>
      <c r="AK114" s="32">
        <f>IF(AN114=12,L114,0)</f>
        <v>0</v>
      </c>
      <c r="AL114" s="32">
        <f>IF(AN114=21,L114,0)</f>
        <v>0</v>
      </c>
      <c r="AN114" s="32">
        <v>21</v>
      </c>
      <c r="AO114" s="32">
        <f>H114*0.737530652</f>
        <v>0</v>
      </c>
      <c r="AP114" s="32">
        <f>H114*(1-0.737530652)</f>
        <v>0</v>
      </c>
      <c r="AQ114" s="36" t="s">
        <v>99</v>
      </c>
      <c r="AV114" s="32">
        <f>ROUND(AW114+AX114,2)</f>
        <v>0</v>
      </c>
      <c r="AW114" s="32">
        <f>ROUND(G114*AO114,2)</f>
        <v>0</v>
      </c>
      <c r="AX114" s="32">
        <f>ROUND(G114*AP114,2)</f>
        <v>0</v>
      </c>
      <c r="AY114" s="36" t="s">
        <v>288</v>
      </c>
      <c r="AZ114" s="36" t="s">
        <v>266</v>
      </c>
      <c r="BA114" s="12" t="s">
        <v>65</v>
      </c>
      <c r="BC114" s="32">
        <f>AW114+AX114</f>
        <v>0</v>
      </c>
      <c r="BD114" s="32">
        <f>H114/(100-BE114)*100</f>
        <v>0</v>
      </c>
      <c r="BE114" s="32">
        <v>0</v>
      </c>
      <c r="BF114" s="32">
        <f>P114</f>
        <v>6.4736000000000002E-2</v>
      </c>
      <c r="BH114" s="32">
        <f>G114*AO114</f>
        <v>0</v>
      </c>
      <c r="BI114" s="32">
        <f>G114*AP114</f>
        <v>0</v>
      </c>
      <c r="BJ114" s="32">
        <f>G114*H114</f>
        <v>0</v>
      </c>
      <c r="BK114" s="36" t="s">
        <v>66</v>
      </c>
      <c r="BL114" s="32">
        <v>764</v>
      </c>
      <c r="BW114" s="32">
        <f>I114</f>
        <v>21</v>
      </c>
      <c r="BX114" s="4" t="s">
        <v>296</v>
      </c>
    </row>
    <row r="115" spans="1:76" ht="13.5" customHeight="1" x14ac:dyDescent="0.25">
      <c r="A115" s="37"/>
      <c r="C115" s="38"/>
      <c r="D115" s="167" t="s">
        <v>425</v>
      </c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4"/>
      <c r="BX115" t="s">
        <v>297</v>
      </c>
    </row>
    <row r="116" spans="1:76" x14ac:dyDescent="0.25">
      <c r="A116" s="2" t="s">
        <v>298</v>
      </c>
      <c r="B116" s="3" t="s">
        <v>55</v>
      </c>
      <c r="C116" s="3" t="s">
        <v>299</v>
      </c>
      <c r="D116" s="100" t="s">
        <v>300</v>
      </c>
      <c r="E116" s="96"/>
      <c r="F116" s="3" t="s">
        <v>114</v>
      </c>
      <c r="G116" s="32">
        <v>90.16</v>
      </c>
      <c r="H116" s="75">
        <v>0</v>
      </c>
      <c r="I116" s="33">
        <v>21</v>
      </c>
      <c r="J116" s="32">
        <f>ROUND(G116*AO116,2)</f>
        <v>0</v>
      </c>
      <c r="K116" s="32">
        <f>ROUND(G116*AP116,2)</f>
        <v>0</v>
      </c>
      <c r="L116" s="32">
        <f>ROUND(G116*H116,2)</f>
        <v>0</v>
      </c>
      <c r="M116" s="32">
        <f>L116*(1+BW116/100)</f>
        <v>0</v>
      </c>
      <c r="N116" s="34">
        <f>IF(L144=0,0,L116/L144)</f>
        <v>0</v>
      </c>
      <c r="O116" s="32">
        <v>1.1900000000000001E-3</v>
      </c>
      <c r="P116" s="32">
        <f>G116*O116</f>
        <v>0.10729040000000001</v>
      </c>
      <c r="Q116" s="35" t="s">
        <v>62</v>
      </c>
      <c r="Z116" s="32">
        <f>ROUND(IF(AQ116="5",BJ116,0),2)</f>
        <v>0</v>
      </c>
      <c r="AB116" s="32">
        <f>ROUND(IF(AQ116="1",BH116,0),2)</f>
        <v>0</v>
      </c>
      <c r="AC116" s="32">
        <f>ROUND(IF(AQ116="1",BI116,0),2)</f>
        <v>0</v>
      </c>
      <c r="AD116" s="32">
        <f>ROUND(IF(AQ116="7",BH116,0),2)</f>
        <v>0</v>
      </c>
      <c r="AE116" s="32">
        <f>ROUND(IF(AQ116="7",BI116,0),2)</f>
        <v>0</v>
      </c>
      <c r="AF116" s="32">
        <f>ROUND(IF(AQ116="2",BH116,0),2)</f>
        <v>0</v>
      </c>
      <c r="AG116" s="32">
        <f>ROUND(IF(AQ116="2",BI116,0),2)</f>
        <v>0</v>
      </c>
      <c r="AH116" s="32">
        <f>ROUND(IF(AQ116="0",BJ116,0),2)</f>
        <v>0</v>
      </c>
      <c r="AI116" s="12" t="s">
        <v>55</v>
      </c>
      <c r="AJ116" s="32">
        <f>IF(AN116=0,L116,0)</f>
        <v>0</v>
      </c>
      <c r="AK116" s="32">
        <f>IF(AN116=12,L116,0)</f>
        <v>0</v>
      </c>
      <c r="AL116" s="32">
        <f>IF(AN116=21,L116,0)</f>
        <v>0</v>
      </c>
      <c r="AN116" s="32">
        <v>21</v>
      </c>
      <c r="AO116" s="32">
        <f>H116*0.381900663</f>
        <v>0</v>
      </c>
      <c r="AP116" s="32">
        <f>H116*(1-0.381900663)</f>
        <v>0</v>
      </c>
      <c r="AQ116" s="36" t="s">
        <v>99</v>
      </c>
      <c r="AV116" s="32">
        <f>ROUND(AW116+AX116,2)</f>
        <v>0</v>
      </c>
      <c r="AW116" s="32">
        <f>ROUND(G116*AO116,2)</f>
        <v>0</v>
      </c>
      <c r="AX116" s="32">
        <f>ROUND(G116*AP116,2)</f>
        <v>0</v>
      </c>
      <c r="AY116" s="36" t="s">
        <v>288</v>
      </c>
      <c r="AZ116" s="36" t="s">
        <v>266</v>
      </c>
      <c r="BA116" s="12" t="s">
        <v>65</v>
      </c>
      <c r="BC116" s="32">
        <f>AW116+AX116</f>
        <v>0</v>
      </c>
      <c r="BD116" s="32">
        <f>H116/(100-BE116)*100</f>
        <v>0</v>
      </c>
      <c r="BE116" s="32">
        <v>0</v>
      </c>
      <c r="BF116" s="32">
        <f>P116</f>
        <v>0.10729040000000001</v>
      </c>
      <c r="BH116" s="32">
        <f>G116*AO116</f>
        <v>0</v>
      </c>
      <c r="BI116" s="32">
        <f>G116*AP116</f>
        <v>0</v>
      </c>
      <c r="BJ116" s="32">
        <f>G116*H116</f>
        <v>0</v>
      </c>
      <c r="BK116" s="36" t="s">
        <v>66</v>
      </c>
      <c r="BL116" s="32">
        <v>764</v>
      </c>
      <c r="BW116" s="32">
        <f>I116</f>
        <v>21</v>
      </c>
      <c r="BX116" s="4" t="s">
        <v>300</v>
      </c>
    </row>
    <row r="117" spans="1:76" x14ac:dyDescent="0.25">
      <c r="A117" s="2" t="s">
        <v>301</v>
      </c>
      <c r="B117" s="3" t="s">
        <v>55</v>
      </c>
      <c r="C117" s="3" t="s">
        <v>302</v>
      </c>
      <c r="D117" s="100" t="s">
        <v>303</v>
      </c>
      <c r="E117" s="96"/>
      <c r="F117" s="3" t="s">
        <v>114</v>
      </c>
      <c r="G117" s="32">
        <v>45.5</v>
      </c>
      <c r="H117" s="75">
        <v>0</v>
      </c>
      <c r="I117" s="33">
        <v>21</v>
      </c>
      <c r="J117" s="32">
        <f>ROUND(G117*AO117,2)</f>
        <v>0</v>
      </c>
      <c r="K117" s="32">
        <f>ROUND(G117*AP117,2)</f>
        <v>0</v>
      </c>
      <c r="L117" s="32">
        <f>ROUND(G117*H117,2)</f>
        <v>0</v>
      </c>
      <c r="M117" s="32">
        <f>L117*(1+BW117/100)</f>
        <v>0</v>
      </c>
      <c r="N117" s="34">
        <f>IF(L144=0,0,L117/L144)</f>
        <v>0</v>
      </c>
      <c r="O117" s="32">
        <v>2.0300000000000001E-3</v>
      </c>
      <c r="P117" s="32">
        <f>G117*O117</f>
        <v>9.2365000000000003E-2</v>
      </c>
      <c r="Q117" s="35" t="s">
        <v>62</v>
      </c>
      <c r="Z117" s="32">
        <f>ROUND(IF(AQ117="5",BJ117,0),2)</f>
        <v>0</v>
      </c>
      <c r="AB117" s="32">
        <f>ROUND(IF(AQ117="1",BH117,0),2)</f>
        <v>0</v>
      </c>
      <c r="AC117" s="32">
        <f>ROUND(IF(AQ117="1",BI117,0),2)</f>
        <v>0</v>
      </c>
      <c r="AD117" s="32">
        <f>ROUND(IF(AQ117="7",BH117,0),2)</f>
        <v>0</v>
      </c>
      <c r="AE117" s="32">
        <f>ROUND(IF(AQ117="7",BI117,0),2)</f>
        <v>0</v>
      </c>
      <c r="AF117" s="32">
        <f>ROUND(IF(AQ117="2",BH117,0),2)</f>
        <v>0</v>
      </c>
      <c r="AG117" s="32">
        <f>ROUND(IF(AQ117="2",BI117,0),2)</f>
        <v>0</v>
      </c>
      <c r="AH117" s="32">
        <f>ROUND(IF(AQ117="0",BJ117,0),2)</f>
        <v>0</v>
      </c>
      <c r="AI117" s="12" t="s">
        <v>55</v>
      </c>
      <c r="AJ117" s="32">
        <f>IF(AN117=0,L117,0)</f>
        <v>0</v>
      </c>
      <c r="AK117" s="32">
        <f>IF(AN117=12,L117,0)</f>
        <v>0</v>
      </c>
      <c r="AL117" s="32">
        <f>IF(AN117=21,L117,0)</f>
        <v>0</v>
      </c>
      <c r="AN117" s="32">
        <v>21</v>
      </c>
      <c r="AO117" s="32">
        <f>H117*0.701473056</f>
        <v>0</v>
      </c>
      <c r="AP117" s="32">
        <f>H117*(1-0.701473056)</f>
        <v>0</v>
      </c>
      <c r="AQ117" s="36" t="s">
        <v>99</v>
      </c>
      <c r="AV117" s="32">
        <f>ROUND(AW117+AX117,2)</f>
        <v>0</v>
      </c>
      <c r="AW117" s="32">
        <f>ROUND(G117*AO117,2)</f>
        <v>0</v>
      </c>
      <c r="AX117" s="32">
        <f>ROUND(G117*AP117,2)</f>
        <v>0</v>
      </c>
      <c r="AY117" s="36" t="s">
        <v>288</v>
      </c>
      <c r="AZ117" s="36" t="s">
        <v>266</v>
      </c>
      <c r="BA117" s="12" t="s">
        <v>65</v>
      </c>
      <c r="BC117" s="32">
        <f>AW117+AX117</f>
        <v>0</v>
      </c>
      <c r="BD117" s="32">
        <f>H117/(100-BE117)*100</f>
        <v>0</v>
      </c>
      <c r="BE117" s="32">
        <v>0</v>
      </c>
      <c r="BF117" s="32">
        <f>P117</f>
        <v>9.2365000000000003E-2</v>
      </c>
      <c r="BH117" s="32">
        <f>G117*AO117</f>
        <v>0</v>
      </c>
      <c r="BI117" s="32">
        <f>G117*AP117</f>
        <v>0</v>
      </c>
      <c r="BJ117" s="32">
        <f>G117*H117</f>
        <v>0</v>
      </c>
      <c r="BK117" s="36" t="s">
        <v>66</v>
      </c>
      <c r="BL117" s="32">
        <v>764</v>
      </c>
      <c r="BW117" s="32">
        <f>I117</f>
        <v>21</v>
      </c>
      <c r="BX117" s="4" t="s">
        <v>303</v>
      </c>
    </row>
    <row r="118" spans="1:76" x14ac:dyDescent="0.25">
      <c r="A118" s="2" t="s">
        <v>304</v>
      </c>
      <c r="B118" s="3" t="s">
        <v>55</v>
      </c>
      <c r="C118" s="3" t="s">
        <v>305</v>
      </c>
      <c r="D118" s="100" t="s">
        <v>306</v>
      </c>
      <c r="E118" s="96"/>
      <c r="F118" s="3" t="s">
        <v>114</v>
      </c>
      <c r="G118" s="32">
        <v>89.2</v>
      </c>
      <c r="H118" s="75">
        <v>0</v>
      </c>
      <c r="I118" s="33">
        <v>21</v>
      </c>
      <c r="J118" s="32">
        <f>ROUND(G118*AO118,2)</f>
        <v>0</v>
      </c>
      <c r="K118" s="32">
        <f>ROUND(G118*AP118,2)</f>
        <v>0</v>
      </c>
      <c r="L118" s="32">
        <f>ROUND(G118*H118,2)</f>
        <v>0</v>
      </c>
      <c r="M118" s="32">
        <f>L118*(1+BW118/100)</f>
        <v>0</v>
      </c>
      <c r="N118" s="34">
        <f>IF(L144=0,0,L118/L144)</f>
        <v>0</v>
      </c>
      <c r="O118" s="32">
        <v>2.3999999999999998E-3</v>
      </c>
      <c r="P118" s="32">
        <f>G118*O118</f>
        <v>0.21407999999999999</v>
      </c>
      <c r="Q118" s="35" t="s">
        <v>62</v>
      </c>
      <c r="Z118" s="32">
        <f>ROUND(IF(AQ118="5",BJ118,0),2)</f>
        <v>0</v>
      </c>
      <c r="AB118" s="32">
        <f>ROUND(IF(AQ118="1",BH118,0),2)</f>
        <v>0</v>
      </c>
      <c r="AC118" s="32">
        <f>ROUND(IF(AQ118="1",BI118,0),2)</f>
        <v>0</v>
      </c>
      <c r="AD118" s="32">
        <f>ROUND(IF(AQ118="7",BH118,0),2)</f>
        <v>0</v>
      </c>
      <c r="AE118" s="32">
        <f>ROUND(IF(AQ118="7",BI118,0),2)</f>
        <v>0</v>
      </c>
      <c r="AF118" s="32">
        <f>ROUND(IF(AQ118="2",BH118,0),2)</f>
        <v>0</v>
      </c>
      <c r="AG118" s="32">
        <f>ROUND(IF(AQ118="2",BI118,0),2)</f>
        <v>0</v>
      </c>
      <c r="AH118" s="32">
        <f>ROUND(IF(AQ118="0",BJ118,0),2)</f>
        <v>0</v>
      </c>
      <c r="AI118" s="12" t="s">
        <v>55</v>
      </c>
      <c r="AJ118" s="32">
        <f>IF(AN118=0,L118,0)</f>
        <v>0</v>
      </c>
      <c r="AK118" s="32">
        <f>IF(AN118=12,L118,0)</f>
        <v>0</v>
      </c>
      <c r="AL118" s="32">
        <f>IF(AN118=21,L118,0)</f>
        <v>0</v>
      </c>
      <c r="AN118" s="32">
        <v>21</v>
      </c>
      <c r="AO118" s="32">
        <f>H118*0.667879258</f>
        <v>0</v>
      </c>
      <c r="AP118" s="32">
        <f>H118*(1-0.667879258)</f>
        <v>0</v>
      </c>
      <c r="AQ118" s="36" t="s">
        <v>99</v>
      </c>
      <c r="AV118" s="32">
        <f>ROUND(AW118+AX118,2)</f>
        <v>0</v>
      </c>
      <c r="AW118" s="32">
        <f>ROUND(G118*AO118,2)</f>
        <v>0</v>
      </c>
      <c r="AX118" s="32">
        <f>ROUND(G118*AP118,2)</f>
        <v>0</v>
      </c>
      <c r="AY118" s="36" t="s">
        <v>288</v>
      </c>
      <c r="AZ118" s="36" t="s">
        <v>266</v>
      </c>
      <c r="BA118" s="12" t="s">
        <v>65</v>
      </c>
      <c r="BC118" s="32">
        <f>AW118+AX118</f>
        <v>0</v>
      </c>
      <c r="BD118" s="32">
        <f>H118/(100-BE118)*100</f>
        <v>0</v>
      </c>
      <c r="BE118" s="32">
        <v>0</v>
      </c>
      <c r="BF118" s="32">
        <f>P118</f>
        <v>0.21407999999999999</v>
      </c>
      <c r="BH118" s="32">
        <f>G118*AO118</f>
        <v>0</v>
      </c>
      <c r="BI118" s="32">
        <f>G118*AP118</f>
        <v>0</v>
      </c>
      <c r="BJ118" s="32">
        <f>G118*H118</f>
        <v>0</v>
      </c>
      <c r="BK118" s="36" t="s">
        <v>66</v>
      </c>
      <c r="BL118" s="32">
        <v>764</v>
      </c>
      <c r="BW118" s="32">
        <f>I118</f>
        <v>21</v>
      </c>
      <c r="BX118" s="4" t="s">
        <v>306</v>
      </c>
    </row>
    <row r="119" spans="1:76" x14ac:dyDescent="0.25">
      <c r="A119" s="37"/>
      <c r="C119" s="38"/>
      <c r="D119" s="162" t="s">
        <v>307</v>
      </c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4"/>
      <c r="BX119" s="39" t="s">
        <v>307</v>
      </c>
    </row>
    <row r="120" spans="1:76" x14ac:dyDescent="0.25">
      <c r="A120" s="2" t="s">
        <v>308</v>
      </c>
      <c r="B120" s="3" t="s">
        <v>55</v>
      </c>
      <c r="C120" s="3" t="s">
        <v>309</v>
      </c>
      <c r="D120" s="100" t="s">
        <v>310</v>
      </c>
      <c r="E120" s="96"/>
      <c r="F120" s="3" t="s">
        <v>106</v>
      </c>
      <c r="G120" s="32">
        <v>6</v>
      </c>
      <c r="H120" s="75">
        <v>0</v>
      </c>
      <c r="I120" s="33">
        <v>21</v>
      </c>
      <c r="J120" s="32">
        <f>ROUND(G120*AO120,2)</f>
        <v>0</v>
      </c>
      <c r="K120" s="32">
        <f>ROUND(G120*AP120,2)</f>
        <v>0</v>
      </c>
      <c r="L120" s="32">
        <f>ROUND(G120*H120,2)</f>
        <v>0</v>
      </c>
      <c r="M120" s="32">
        <f>L120*(1+BW120/100)</f>
        <v>0</v>
      </c>
      <c r="N120" s="34">
        <f>IF(L144=0,0,L120/L144)</f>
        <v>0</v>
      </c>
      <c r="O120" s="32">
        <v>5.4099999999999999E-3</v>
      </c>
      <c r="P120" s="32">
        <f>G120*O120</f>
        <v>3.2460000000000003E-2</v>
      </c>
      <c r="Q120" s="35" t="s">
        <v>62</v>
      </c>
      <c r="Z120" s="32">
        <f>ROUND(IF(AQ120="5",BJ120,0),2)</f>
        <v>0</v>
      </c>
      <c r="AB120" s="32">
        <f>ROUND(IF(AQ120="1",BH120,0),2)</f>
        <v>0</v>
      </c>
      <c r="AC120" s="32">
        <f>ROUND(IF(AQ120="1",BI120,0),2)</f>
        <v>0</v>
      </c>
      <c r="AD120" s="32">
        <f>ROUND(IF(AQ120="7",BH120,0),2)</f>
        <v>0</v>
      </c>
      <c r="AE120" s="32">
        <f>ROUND(IF(AQ120="7",BI120,0),2)</f>
        <v>0</v>
      </c>
      <c r="AF120" s="32">
        <f>ROUND(IF(AQ120="2",BH120,0),2)</f>
        <v>0</v>
      </c>
      <c r="AG120" s="32">
        <f>ROUND(IF(AQ120="2",BI120,0),2)</f>
        <v>0</v>
      </c>
      <c r="AH120" s="32">
        <f>ROUND(IF(AQ120="0",BJ120,0),2)</f>
        <v>0</v>
      </c>
      <c r="AI120" s="12" t="s">
        <v>55</v>
      </c>
      <c r="AJ120" s="32">
        <f>IF(AN120=0,L120,0)</f>
        <v>0</v>
      </c>
      <c r="AK120" s="32">
        <f>IF(AN120=12,L120,0)</f>
        <v>0</v>
      </c>
      <c r="AL120" s="32">
        <f>IF(AN120=21,L120,0)</f>
        <v>0</v>
      </c>
      <c r="AN120" s="32">
        <v>21</v>
      </c>
      <c r="AO120" s="32">
        <f>H120*0.231202025</f>
        <v>0</v>
      </c>
      <c r="AP120" s="32">
        <f>H120*(1-0.231202025)</f>
        <v>0</v>
      </c>
      <c r="AQ120" s="36" t="s">
        <v>99</v>
      </c>
      <c r="AV120" s="32">
        <f>ROUND(AW120+AX120,2)</f>
        <v>0</v>
      </c>
      <c r="AW120" s="32">
        <f>ROUND(G120*AO120,2)</f>
        <v>0</v>
      </c>
      <c r="AX120" s="32">
        <f>ROUND(G120*AP120,2)</f>
        <v>0</v>
      </c>
      <c r="AY120" s="36" t="s">
        <v>288</v>
      </c>
      <c r="AZ120" s="36" t="s">
        <v>266</v>
      </c>
      <c r="BA120" s="12" t="s">
        <v>65</v>
      </c>
      <c r="BC120" s="32">
        <f>AW120+AX120</f>
        <v>0</v>
      </c>
      <c r="BD120" s="32">
        <f>H120/(100-BE120)*100</f>
        <v>0</v>
      </c>
      <c r="BE120" s="32">
        <v>0</v>
      </c>
      <c r="BF120" s="32">
        <f>P120</f>
        <v>3.2460000000000003E-2</v>
      </c>
      <c r="BH120" s="32">
        <f>G120*AO120</f>
        <v>0</v>
      </c>
      <c r="BI120" s="32">
        <f>G120*AP120</f>
        <v>0</v>
      </c>
      <c r="BJ120" s="32">
        <f>G120*H120</f>
        <v>0</v>
      </c>
      <c r="BK120" s="36" t="s">
        <v>66</v>
      </c>
      <c r="BL120" s="32">
        <v>764</v>
      </c>
      <c r="BW120" s="32">
        <f>I120</f>
        <v>21</v>
      </c>
      <c r="BX120" s="4" t="s">
        <v>310</v>
      </c>
    </row>
    <row r="121" spans="1:76" x14ac:dyDescent="0.25">
      <c r="A121" s="2" t="s">
        <v>311</v>
      </c>
      <c r="B121" s="3" t="s">
        <v>55</v>
      </c>
      <c r="C121" s="3" t="s">
        <v>312</v>
      </c>
      <c r="D121" s="100" t="s">
        <v>313</v>
      </c>
      <c r="E121" s="96"/>
      <c r="F121" s="3" t="s">
        <v>114</v>
      </c>
      <c r="G121" s="32">
        <v>90.16</v>
      </c>
      <c r="H121" s="75">
        <v>0</v>
      </c>
      <c r="I121" s="33">
        <v>21</v>
      </c>
      <c r="J121" s="32">
        <f>ROUND(G121*AO121,2)</f>
        <v>0</v>
      </c>
      <c r="K121" s="32">
        <f>ROUND(G121*AP121,2)</f>
        <v>0</v>
      </c>
      <c r="L121" s="32">
        <f>ROUND(G121*H121,2)</f>
        <v>0</v>
      </c>
      <c r="M121" s="32">
        <f>L121*(1+BW121/100)</f>
        <v>0</v>
      </c>
      <c r="N121" s="34">
        <f>IF(L144=0,0,L121/L144)</f>
        <v>0</v>
      </c>
      <c r="O121" s="32">
        <v>2.0500000000000002E-3</v>
      </c>
      <c r="P121" s="32">
        <f>G121*O121</f>
        <v>0.18482800000000002</v>
      </c>
      <c r="Q121" s="35" t="s">
        <v>62</v>
      </c>
      <c r="Z121" s="32">
        <f>ROUND(IF(AQ121="5",BJ121,0),2)</f>
        <v>0</v>
      </c>
      <c r="AB121" s="32">
        <f>ROUND(IF(AQ121="1",BH121,0),2)</f>
        <v>0</v>
      </c>
      <c r="AC121" s="32">
        <f>ROUND(IF(AQ121="1",BI121,0),2)</f>
        <v>0</v>
      </c>
      <c r="AD121" s="32">
        <f>ROUND(IF(AQ121="7",BH121,0),2)</f>
        <v>0</v>
      </c>
      <c r="AE121" s="32">
        <f>ROUND(IF(AQ121="7",BI121,0),2)</f>
        <v>0</v>
      </c>
      <c r="AF121" s="32">
        <f>ROUND(IF(AQ121="2",BH121,0),2)</f>
        <v>0</v>
      </c>
      <c r="AG121" s="32">
        <f>ROUND(IF(AQ121="2",BI121,0),2)</f>
        <v>0</v>
      </c>
      <c r="AH121" s="32">
        <f>ROUND(IF(AQ121="0",BJ121,0),2)</f>
        <v>0</v>
      </c>
      <c r="AI121" s="12" t="s">
        <v>55</v>
      </c>
      <c r="AJ121" s="32">
        <f>IF(AN121=0,L121,0)</f>
        <v>0</v>
      </c>
      <c r="AK121" s="32">
        <f>IF(AN121=12,L121,0)</f>
        <v>0</v>
      </c>
      <c r="AL121" s="32">
        <f>IF(AN121=21,L121,0)</f>
        <v>0</v>
      </c>
      <c r="AN121" s="32">
        <v>21</v>
      </c>
      <c r="AO121" s="32">
        <f>H121*0.337855725</f>
        <v>0</v>
      </c>
      <c r="AP121" s="32">
        <f>H121*(1-0.337855725)</f>
        <v>0</v>
      </c>
      <c r="AQ121" s="36" t="s">
        <v>99</v>
      </c>
      <c r="AV121" s="32">
        <f>ROUND(AW121+AX121,2)</f>
        <v>0</v>
      </c>
      <c r="AW121" s="32">
        <f>ROUND(G121*AO121,2)</f>
        <v>0</v>
      </c>
      <c r="AX121" s="32">
        <f>ROUND(G121*AP121,2)</f>
        <v>0</v>
      </c>
      <c r="AY121" s="36" t="s">
        <v>288</v>
      </c>
      <c r="AZ121" s="36" t="s">
        <v>266</v>
      </c>
      <c r="BA121" s="12" t="s">
        <v>65</v>
      </c>
      <c r="BC121" s="32">
        <f>AW121+AX121</f>
        <v>0</v>
      </c>
      <c r="BD121" s="32">
        <f>H121/(100-BE121)*100</f>
        <v>0</v>
      </c>
      <c r="BE121" s="32">
        <v>0</v>
      </c>
      <c r="BF121" s="32">
        <f>P121</f>
        <v>0.18482800000000002</v>
      </c>
      <c r="BH121" s="32">
        <f>G121*AO121</f>
        <v>0</v>
      </c>
      <c r="BI121" s="32">
        <f>G121*AP121</f>
        <v>0</v>
      </c>
      <c r="BJ121" s="32">
        <f>G121*H121</f>
        <v>0</v>
      </c>
      <c r="BK121" s="36" t="s">
        <v>66</v>
      </c>
      <c r="BL121" s="32">
        <v>764</v>
      </c>
      <c r="BW121" s="32">
        <f>I121</f>
        <v>21</v>
      </c>
      <c r="BX121" s="4" t="s">
        <v>313</v>
      </c>
    </row>
    <row r="122" spans="1:76" ht="25.5" x14ac:dyDescent="0.25">
      <c r="A122" s="37"/>
      <c r="C122" s="38"/>
      <c r="D122" s="162" t="s">
        <v>314</v>
      </c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4"/>
      <c r="BX122" s="39" t="s">
        <v>314</v>
      </c>
    </row>
    <row r="123" spans="1:76" x14ac:dyDescent="0.25">
      <c r="A123" s="2" t="s">
        <v>315</v>
      </c>
      <c r="B123" s="3" t="s">
        <v>55</v>
      </c>
      <c r="C123" s="3" t="s">
        <v>316</v>
      </c>
      <c r="D123" s="100" t="s">
        <v>317</v>
      </c>
      <c r="E123" s="96"/>
      <c r="F123" s="3" t="s">
        <v>106</v>
      </c>
      <c r="G123" s="32">
        <v>5</v>
      </c>
      <c r="H123" s="75">
        <v>0</v>
      </c>
      <c r="I123" s="33">
        <v>21</v>
      </c>
      <c r="J123" s="32">
        <f>ROUND(G123*AO123,2)</f>
        <v>0</v>
      </c>
      <c r="K123" s="32">
        <f>ROUND(G123*AP123,2)</f>
        <v>0</v>
      </c>
      <c r="L123" s="32">
        <f>ROUND(G123*H123,2)</f>
        <v>0</v>
      </c>
      <c r="M123" s="32">
        <f>L123*(1+BW123/100)</f>
        <v>0</v>
      </c>
      <c r="N123" s="34">
        <f>IF(L144=0,0,L123/L144)</f>
        <v>0</v>
      </c>
      <c r="O123" s="32">
        <v>1.038E-2</v>
      </c>
      <c r="P123" s="32">
        <f>G123*O123</f>
        <v>5.1900000000000002E-2</v>
      </c>
      <c r="Q123" s="35" t="s">
        <v>62</v>
      </c>
      <c r="Z123" s="32">
        <f>ROUND(IF(AQ123="5",BJ123,0),2)</f>
        <v>0</v>
      </c>
      <c r="AB123" s="32">
        <f>ROUND(IF(AQ123="1",BH123,0),2)</f>
        <v>0</v>
      </c>
      <c r="AC123" s="32">
        <f>ROUND(IF(AQ123="1",BI123,0),2)</f>
        <v>0</v>
      </c>
      <c r="AD123" s="32">
        <f>ROUND(IF(AQ123="7",BH123,0),2)</f>
        <v>0</v>
      </c>
      <c r="AE123" s="32">
        <f>ROUND(IF(AQ123="7",BI123,0),2)</f>
        <v>0</v>
      </c>
      <c r="AF123" s="32">
        <f>ROUND(IF(AQ123="2",BH123,0),2)</f>
        <v>0</v>
      </c>
      <c r="AG123" s="32">
        <f>ROUND(IF(AQ123="2",BI123,0),2)</f>
        <v>0</v>
      </c>
      <c r="AH123" s="32">
        <f>ROUND(IF(AQ123="0",BJ123,0),2)</f>
        <v>0</v>
      </c>
      <c r="AI123" s="12" t="s">
        <v>55</v>
      </c>
      <c r="AJ123" s="32">
        <f>IF(AN123=0,L123,0)</f>
        <v>0</v>
      </c>
      <c r="AK123" s="32">
        <f>IF(AN123=12,L123,0)</f>
        <v>0</v>
      </c>
      <c r="AL123" s="32">
        <f>IF(AN123=21,L123,0)</f>
        <v>0</v>
      </c>
      <c r="AN123" s="32">
        <v>21</v>
      </c>
      <c r="AO123" s="32">
        <f>H123*0.015350221</f>
        <v>0</v>
      </c>
      <c r="AP123" s="32">
        <f>H123*(1-0.015350221)</f>
        <v>0</v>
      </c>
      <c r="AQ123" s="36" t="s">
        <v>99</v>
      </c>
      <c r="AV123" s="32">
        <f>ROUND(AW123+AX123,2)</f>
        <v>0</v>
      </c>
      <c r="AW123" s="32">
        <f>ROUND(G123*AO123,2)</f>
        <v>0</v>
      </c>
      <c r="AX123" s="32">
        <f>ROUND(G123*AP123,2)</f>
        <v>0</v>
      </c>
      <c r="AY123" s="36" t="s">
        <v>288</v>
      </c>
      <c r="AZ123" s="36" t="s">
        <v>266</v>
      </c>
      <c r="BA123" s="12" t="s">
        <v>65</v>
      </c>
      <c r="BC123" s="32">
        <f>AW123+AX123</f>
        <v>0</v>
      </c>
      <c r="BD123" s="32">
        <f>H123/(100-BE123)*100</f>
        <v>0</v>
      </c>
      <c r="BE123" s="32">
        <v>0</v>
      </c>
      <c r="BF123" s="32">
        <f>P123</f>
        <v>5.1900000000000002E-2</v>
      </c>
      <c r="BH123" s="32">
        <f>G123*AO123</f>
        <v>0</v>
      </c>
      <c r="BI123" s="32">
        <f>G123*AP123</f>
        <v>0</v>
      </c>
      <c r="BJ123" s="32">
        <f>G123*H123</f>
        <v>0</v>
      </c>
      <c r="BK123" s="36" t="s">
        <v>66</v>
      </c>
      <c r="BL123" s="32">
        <v>764</v>
      </c>
      <c r="BW123" s="32">
        <f>I123</f>
        <v>21</v>
      </c>
      <c r="BX123" s="4" t="s">
        <v>317</v>
      </c>
    </row>
    <row r="124" spans="1:76" x14ac:dyDescent="0.25">
      <c r="A124" s="2" t="s">
        <v>56</v>
      </c>
      <c r="B124" s="3" t="s">
        <v>55</v>
      </c>
      <c r="C124" s="3" t="s">
        <v>318</v>
      </c>
      <c r="D124" s="100" t="s">
        <v>319</v>
      </c>
      <c r="E124" s="96"/>
      <c r="F124" s="3" t="s">
        <v>106</v>
      </c>
      <c r="G124" s="32">
        <v>5</v>
      </c>
      <c r="H124" s="75">
        <v>0</v>
      </c>
      <c r="I124" s="33">
        <v>21</v>
      </c>
      <c r="J124" s="32">
        <f>ROUND(G124*AO124,2)</f>
        <v>0</v>
      </c>
      <c r="K124" s="32">
        <f>ROUND(G124*AP124,2)</f>
        <v>0</v>
      </c>
      <c r="L124" s="32">
        <f>ROUND(G124*H124,2)</f>
        <v>0</v>
      </c>
      <c r="M124" s="32">
        <f>L124*(1+BW124/100)</f>
        <v>0</v>
      </c>
      <c r="N124" s="34">
        <f>IF(L144=0,0,L124/L144)</f>
        <v>0</v>
      </c>
      <c r="O124" s="32">
        <v>8.0000000000000002E-3</v>
      </c>
      <c r="P124" s="32">
        <f>G124*O124</f>
        <v>0.04</v>
      </c>
      <c r="Q124" s="35" t="s">
        <v>62</v>
      </c>
      <c r="Z124" s="32">
        <f>ROUND(IF(AQ124="5",BJ124,0),2)</f>
        <v>0</v>
      </c>
      <c r="AB124" s="32">
        <f>ROUND(IF(AQ124="1",BH124,0),2)</f>
        <v>0</v>
      </c>
      <c r="AC124" s="32">
        <f>ROUND(IF(AQ124="1",BI124,0),2)</f>
        <v>0</v>
      </c>
      <c r="AD124" s="32">
        <f>ROUND(IF(AQ124="7",BH124,0),2)</f>
        <v>0</v>
      </c>
      <c r="AE124" s="32">
        <f>ROUND(IF(AQ124="7",BI124,0),2)</f>
        <v>0</v>
      </c>
      <c r="AF124" s="32">
        <f>ROUND(IF(AQ124="2",BH124,0),2)</f>
        <v>0</v>
      </c>
      <c r="AG124" s="32">
        <f>ROUND(IF(AQ124="2",BI124,0),2)</f>
        <v>0</v>
      </c>
      <c r="AH124" s="32">
        <f>ROUND(IF(AQ124="0",BJ124,0),2)</f>
        <v>0</v>
      </c>
      <c r="AI124" s="12" t="s">
        <v>55</v>
      </c>
      <c r="AJ124" s="32">
        <f>IF(AN124=0,L124,0)</f>
        <v>0</v>
      </c>
      <c r="AK124" s="32">
        <f>IF(AN124=12,L124,0)</f>
        <v>0</v>
      </c>
      <c r="AL124" s="32">
        <f>IF(AN124=21,L124,0)</f>
        <v>0</v>
      </c>
      <c r="AN124" s="32">
        <v>21</v>
      </c>
      <c r="AO124" s="32">
        <f>H124*1</f>
        <v>0</v>
      </c>
      <c r="AP124" s="32">
        <f>H124*(1-1)</f>
        <v>0</v>
      </c>
      <c r="AQ124" s="36" t="s">
        <v>99</v>
      </c>
      <c r="AV124" s="32">
        <f>ROUND(AW124+AX124,2)</f>
        <v>0</v>
      </c>
      <c r="AW124" s="32">
        <f>ROUND(G124*AO124,2)</f>
        <v>0</v>
      </c>
      <c r="AX124" s="32">
        <f>ROUND(G124*AP124,2)</f>
        <v>0</v>
      </c>
      <c r="AY124" s="36" t="s">
        <v>288</v>
      </c>
      <c r="AZ124" s="36" t="s">
        <v>266</v>
      </c>
      <c r="BA124" s="12" t="s">
        <v>65</v>
      </c>
      <c r="BC124" s="32">
        <f>AW124+AX124</f>
        <v>0</v>
      </c>
      <c r="BD124" s="32">
        <f>H124/(100-BE124)*100</f>
        <v>0</v>
      </c>
      <c r="BE124" s="32">
        <v>0</v>
      </c>
      <c r="BF124" s="32">
        <f>P124</f>
        <v>0.04</v>
      </c>
      <c r="BH124" s="32">
        <f>G124*AO124</f>
        <v>0</v>
      </c>
      <c r="BI124" s="32">
        <f>G124*AP124</f>
        <v>0</v>
      </c>
      <c r="BJ124" s="32">
        <f>G124*H124</f>
        <v>0</v>
      </c>
      <c r="BK124" s="36" t="s">
        <v>210</v>
      </c>
      <c r="BL124" s="32">
        <v>764</v>
      </c>
      <c r="BW124" s="32">
        <f>I124</f>
        <v>21</v>
      </c>
      <c r="BX124" s="4" t="s">
        <v>319</v>
      </c>
    </row>
    <row r="125" spans="1:76" x14ac:dyDescent="0.25">
      <c r="A125" s="37"/>
      <c r="C125" s="38"/>
      <c r="D125" s="162" t="s">
        <v>320</v>
      </c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4"/>
      <c r="BX125" s="39" t="s">
        <v>320</v>
      </c>
    </row>
    <row r="126" spans="1:76" x14ac:dyDescent="0.25">
      <c r="A126" s="2" t="s">
        <v>321</v>
      </c>
      <c r="B126" s="3" t="s">
        <v>55</v>
      </c>
      <c r="C126" s="3" t="s">
        <v>322</v>
      </c>
      <c r="D126" s="100" t="s">
        <v>323</v>
      </c>
      <c r="E126" s="96"/>
      <c r="F126" s="3" t="s">
        <v>114</v>
      </c>
      <c r="G126" s="32">
        <v>23.4</v>
      </c>
      <c r="H126" s="75">
        <v>0</v>
      </c>
      <c r="I126" s="33">
        <v>21</v>
      </c>
      <c r="J126" s="32">
        <f>ROUND(G126*AO126,2)</f>
        <v>0</v>
      </c>
      <c r="K126" s="32">
        <f>ROUND(G126*AP126,2)</f>
        <v>0</v>
      </c>
      <c r="L126" s="32">
        <f>ROUND(G126*H126,2)</f>
        <v>0</v>
      </c>
      <c r="M126" s="32">
        <f>L126*(1+BW126/100)</f>
        <v>0</v>
      </c>
      <c r="N126" s="34">
        <f>IF(L144=0,0,L126/L144)</f>
        <v>0</v>
      </c>
      <c r="O126" s="32">
        <v>1.2800000000000001E-3</v>
      </c>
      <c r="P126" s="32">
        <f>G126*O126</f>
        <v>2.9951999999999999E-2</v>
      </c>
      <c r="Q126" s="35" t="s">
        <v>62</v>
      </c>
      <c r="Z126" s="32">
        <f>ROUND(IF(AQ126="5",BJ126,0),2)</f>
        <v>0</v>
      </c>
      <c r="AB126" s="32">
        <f>ROUND(IF(AQ126="1",BH126,0),2)</f>
        <v>0</v>
      </c>
      <c r="AC126" s="32">
        <f>ROUND(IF(AQ126="1",BI126,0),2)</f>
        <v>0</v>
      </c>
      <c r="AD126" s="32">
        <f>ROUND(IF(AQ126="7",BH126,0),2)</f>
        <v>0</v>
      </c>
      <c r="AE126" s="32">
        <f>ROUND(IF(AQ126="7",BI126,0),2)</f>
        <v>0</v>
      </c>
      <c r="AF126" s="32">
        <f>ROUND(IF(AQ126="2",BH126,0),2)</f>
        <v>0</v>
      </c>
      <c r="AG126" s="32">
        <f>ROUND(IF(AQ126="2",BI126,0),2)</f>
        <v>0</v>
      </c>
      <c r="AH126" s="32">
        <f>ROUND(IF(AQ126="0",BJ126,0),2)</f>
        <v>0</v>
      </c>
      <c r="AI126" s="12" t="s">
        <v>55</v>
      </c>
      <c r="AJ126" s="32">
        <f>IF(AN126=0,L126,0)</f>
        <v>0</v>
      </c>
      <c r="AK126" s="32">
        <f>IF(AN126=12,L126,0)</f>
        <v>0</v>
      </c>
      <c r="AL126" s="32">
        <f>IF(AN126=21,L126,0)</f>
        <v>0</v>
      </c>
      <c r="AN126" s="32">
        <v>21</v>
      </c>
      <c r="AO126" s="32">
        <f>H126*0.658765653</f>
        <v>0</v>
      </c>
      <c r="AP126" s="32">
        <f>H126*(1-0.658765653)</f>
        <v>0</v>
      </c>
      <c r="AQ126" s="36" t="s">
        <v>99</v>
      </c>
      <c r="AV126" s="32">
        <f>ROUND(AW126+AX126,2)</f>
        <v>0</v>
      </c>
      <c r="AW126" s="32">
        <f>ROUND(G126*AO126,2)</f>
        <v>0</v>
      </c>
      <c r="AX126" s="32">
        <f>ROUND(G126*AP126,2)</f>
        <v>0</v>
      </c>
      <c r="AY126" s="36" t="s">
        <v>288</v>
      </c>
      <c r="AZ126" s="36" t="s">
        <v>266</v>
      </c>
      <c r="BA126" s="12" t="s">
        <v>65</v>
      </c>
      <c r="BC126" s="32">
        <f>AW126+AX126</f>
        <v>0</v>
      </c>
      <c r="BD126" s="32">
        <f>H126/(100-BE126)*100</f>
        <v>0</v>
      </c>
      <c r="BE126" s="32">
        <v>0</v>
      </c>
      <c r="BF126" s="32">
        <f>P126</f>
        <v>2.9951999999999999E-2</v>
      </c>
      <c r="BH126" s="32">
        <f>G126*AO126</f>
        <v>0</v>
      </c>
      <c r="BI126" s="32">
        <f>G126*AP126</f>
        <v>0</v>
      </c>
      <c r="BJ126" s="32">
        <f>G126*H126</f>
        <v>0</v>
      </c>
      <c r="BK126" s="36" t="s">
        <v>66</v>
      </c>
      <c r="BL126" s="32">
        <v>764</v>
      </c>
      <c r="BW126" s="32">
        <f>I126</f>
        <v>21</v>
      </c>
      <c r="BX126" s="4" t="s">
        <v>323</v>
      </c>
    </row>
    <row r="127" spans="1:76" ht="13.5" customHeight="1" x14ac:dyDescent="0.25">
      <c r="A127" s="37"/>
      <c r="C127" s="38"/>
      <c r="D127" s="162" t="s">
        <v>324</v>
      </c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4"/>
    </row>
    <row r="128" spans="1:76" x14ac:dyDescent="0.25">
      <c r="A128" s="2" t="s">
        <v>72</v>
      </c>
      <c r="B128" s="3" t="s">
        <v>55</v>
      </c>
      <c r="C128" s="3" t="s">
        <v>325</v>
      </c>
      <c r="D128" s="100" t="s">
        <v>326</v>
      </c>
      <c r="E128" s="96"/>
      <c r="F128" s="3" t="s">
        <v>201</v>
      </c>
      <c r="G128" s="32">
        <v>1</v>
      </c>
      <c r="H128" s="75">
        <v>0</v>
      </c>
      <c r="I128" s="33">
        <v>21</v>
      </c>
      <c r="J128" s="32">
        <f>ROUND(G128*AO128,2)</f>
        <v>0</v>
      </c>
      <c r="K128" s="32">
        <f>ROUND(G128*AP128,2)</f>
        <v>0</v>
      </c>
      <c r="L128" s="32">
        <f>ROUND(G128*H128,2)</f>
        <v>0</v>
      </c>
      <c r="M128" s="32">
        <f>L128*(1+BW128/100)</f>
        <v>0</v>
      </c>
      <c r="N128" s="34">
        <f>IF(L144=0,0,L128/L144)</f>
        <v>0</v>
      </c>
      <c r="O128" s="32">
        <v>3.0000000000000001E-5</v>
      </c>
      <c r="P128" s="32">
        <f>G128*O128</f>
        <v>3.0000000000000001E-5</v>
      </c>
      <c r="Q128" s="35" t="s">
        <v>55</v>
      </c>
      <c r="Z128" s="32">
        <f>ROUND(IF(AQ128="5",BJ128,0),2)</f>
        <v>0</v>
      </c>
      <c r="AB128" s="32">
        <f>ROUND(IF(AQ128="1",BH128,0),2)</f>
        <v>0</v>
      </c>
      <c r="AC128" s="32">
        <f>ROUND(IF(AQ128="1",BI128,0),2)</f>
        <v>0</v>
      </c>
      <c r="AD128" s="32">
        <f>ROUND(IF(AQ128="7",BH128,0),2)</f>
        <v>0</v>
      </c>
      <c r="AE128" s="32">
        <f>ROUND(IF(AQ128="7",BI128,0),2)</f>
        <v>0</v>
      </c>
      <c r="AF128" s="32">
        <f>ROUND(IF(AQ128="2",BH128,0),2)</f>
        <v>0</v>
      </c>
      <c r="AG128" s="32">
        <f>ROUND(IF(AQ128="2",BI128,0),2)</f>
        <v>0</v>
      </c>
      <c r="AH128" s="32">
        <f>ROUND(IF(AQ128="0",BJ128,0),2)</f>
        <v>0</v>
      </c>
      <c r="AI128" s="12" t="s">
        <v>55</v>
      </c>
      <c r="AJ128" s="32">
        <f>IF(AN128=0,L128,0)</f>
        <v>0</v>
      </c>
      <c r="AK128" s="32">
        <f>IF(AN128=12,L128,0)</f>
        <v>0</v>
      </c>
      <c r="AL128" s="32">
        <f>IF(AN128=21,L128,0)</f>
        <v>0</v>
      </c>
      <c r="AN128" s="32">
        <v>21</v>
      </c>
      <c r="AO128" s="32">
        <f>H128*0.110028</f>
        <v>0</v>
      </c>
      <c r="AP128" s="32">
        <f>H128*(1-0.110028)</f>
        <v>0</v>
      </c>
      <c r="AQ128" s="36" t="s">
        <v>99</v>
      </c>
      <c r="AV128" s="32">
        <f>ROUND(AW128+AX128,2)</f>
        <v>0</v>
      </c>
      <c r="AW128" s="32">
        <f>ROUND(G128*AO128,2)</f>
        <v>0</v>
      </c>
      <c r="AX128" s="32">
        <f>ROUND(G128*AP128,2)</f>
        <v>0</v>
      </c>
      <c r="AY128" s="36" t="s">
        <v>288</v>
      </c>
      <c r="AZ128" s="36" t="s">
        <v>266</v>
      </c>
      <c r="BA128" s="12" t="s">
        <v>65</v>
      </c>
      <c r="BC128" s="32">
        <f>AW128+AX128</f>
        <v>0</v>
      </c>
      <c r="BD128" s="32">
        <f>H128/(100-BE128)*100</f>
        <v>0</v>
      </c>
      <c r="BE128" s="32">
        <v>0</v>
      </c>
      <c r="BF128" s="32">
        <f>P128</f>
        <v>3.0000000000000001E-5</v>
      </c>
      <c r="BH128" s="32">
        <f>G128*AO128</f>
        <v>0</v>
      </c>
      <c r="BI128" s="32">
        <f>G128*AP128</f>
        <v>0</v>
      </c>
      <c r="BJ128" s="32">
        <f>G128*H128</f>
        <v>0</v>
      </c>
      <c r="BK128" s="36" t="s">
        <v>66</v>
      </c>
      <c r="BL128" s="32">
        <v>764</v>
      </c>
      <c r="BW128" s="32">
        <f>I128</f>
        <v>21</v>
      </c>
      <c r="BX128" s="4" t="s">
        <v>326</v>
      </c>
    </row>
    <row r="129" spans="1:76" ht="13.5" customHeight="1" x14ac:dyDescent="0.25">
      <c r="A129" s="37"/>
      <c r="C129" s="38"/>
      <c r="D129" s="162" t="s">
        <v>327</v>
      </c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4"/>
    </row>
    <row r="130" spans="1:76" x14ac:dyDescent="0.25">
      <c r="A130" s="40" t="s">
        <v>55</v>
      </c>
      <c r="B130" s="41" t="s">
        <v>55</v>
      </c>
      <c r="C130" s="41" t="s">
        <v>328</v>
      </c>
      <c r="D130" s="165" t="s">
        <v>329</v>
      </c>
      <c r="E130" s="166"/>
      <c r="F130" s="42" t="s">
        <v>8</v>
      </c>
      <c r="G130" s="42" t="s">
        <v>8</v>
      </c>
      <c r="H130" s="42" t="s">
        <v>8</v>
      </c>
      <c r="I130" s="42" t="s">
        <v>8</v>
      </c>
      <c r="J130" s="1">
        <f>SUM(J131:J137)</f>
        <v>0</v>
      </c>
      <c r="K130" s="1">
        <f>SUM(K131:K137)</f>
        <v>0</v>
      </c>
      <c r="L130" s="1">
        <f>SUM(L131:L137)</f>
        <v>0</v>
      </c>
      <c r="M130" s="1">
        <f>SUM(M131:M137)</f>
        <v>0</v>
      </c>
      <c r="N130" s="43">
        <f>IF(L144=0,0,L130/L144)</f>
        <v>0</v>
      </c>
      <c r="O130" s="12" t="s">
        <v>55</v>
      </c>
      <c r="P130" s="1">
        <f>SUM(P131:P137)</f>
        <v>2.4820770000000003</v>
      </c>
      <c r="Q130" s="44" t="s">
        <v>55</v>
      </c>
      <c r="AI130" s="12" t="s">
        <v>55</v>
      </c>
      <c r="AS130" s="1">
        <f>SUM(AJ131:AJ137)</f>
        <v>0</v>
      </c>
      <c r="AT130" s="1">
        <f>SUM(AK131:AK137)</f>
        <v>0</v>
      </c>
      <c r="AU130" s="1">
        <f>SUM(AL131:AL137)</f>
        <v>0</v>
      </c>
    </row>
    <row r="131" spans="1:76" x14ac:dyDescent="0.25">
      <c r="A131" s="2" t="s">
        <v>216</v>
      </c>
      <c r="B131" s="3" t="s">
        <v>55</v>
      </c>
      <c r="C131" s="3" t="s">
        <v>330</v>
      </c>
      <c r="D131" s="100" t="s">
        <v>331</v>
      </c>
      <c r="E131" s="96"/>
      <c r="F131" s="3" t="s">
        <v>61</v>
      </c>
      <c r="G131" s="32">
        <v>7.8</v>
      </c>
      <c r="H131" s="75">
        <v>0</v>
      </c>
      <c r="I131" s="33">
        <v>21</v>
      </c>
      <c r="J131" s="32">
        <f>ROUND(G131*AO131,2)</f>
        <v>0</v>
      </c>
      <c r="K131" s="32">
        <f>ROUND(G131*AP131,2)</f>
        <v>0</v>
      </c>
      <c r="L131" s="32">
        <f>ROUND(G131*H131,2)</f>
        <v>0</v>
      </c>
      <c r="M131" s="32">
        <f>L131*(1+BW131/100)</f>
        <v>0</v>
      </c>
      <c r="N131" s="34">
        <f>IF(L144=0,0,L131/L144)</f>
        <v>0</v>
      </c>
      <c r="O131" s="32">
        <v>4.0890000000000003E-2</v>
      </c>
      <c r="P131" s="32">
        <f>G131*O131</f>
        <v>0.318942</v>
      </c>
      <c r="Q131" s="35" t="s">
        <v>62</v>
      </c>
      <c r="Z131" s="32">
        <f>ROUND(IF(AQ131="5",BJ131,0),2)</f>
        <v>0</v>
      </c>
      <c r="AB131" s="32">
        <f>ROUND(IF(AQ131="1",BH131,0),2)</f>
        <v>0</v>
      </c>
      <c r="AC131" s="32">
        <f>ROUND(IF(AQ131="1",BI131,0),2)</f>
        <v>0</v>
      </c>
      <c r="AD131" s="32">
        <f>ROUND(IF(AQ131="7",BH131,0),2)</f>
        <v>0</v>
      </c>
      <c r="AE131" s="32">
        <f>ROUND(IF(AQ131="7",BI131,0),2)</f>
        <v>0</v>
      </c>
      <c r="AF131" s="32">
        <f>ROUND(IF(AQ131="2",BH131,0),2)</f>
        <v>0</v>
      </c>
      <c r="AG131" s="32">
        <f>ROUND(IF(AQ131="2",BI131,0),2)</f>
        <v>0</v>
      </c>
      <c r="AH131" s="32">
        <f>ROUND(IF(AQ131="0",BJ131,0),2)</f>
        <v>0</v>
      </c>
      <c r="AI131" s="12" t="s">
        <v>55</v>
      </c>
      <c r="AJ131" s="32">
        <f>IF(AN131=0,L131,0)</f>
        <v>0</v>
      </c>
      <c r="AK131" s="32">
        <f>IF(AN131=12,L131,0)</f>
        <v>0</v>
      </c>
      <c r="AL131" s="32">
        <f>IF(AN131=21,L131,0)</f>
        <v>0</v>
      </c>
      <c r="AN131" s="32">
        <v>21</v>
      </c>
      <c r="AO131" s="32">
        <f>H131*0.800014914</f>
        <v>0</v>
      </c>
      <c r="AP131" s="32">
        <f>H131*(1-0.800014914)</f>
        <v>0</v>
      </c>
      <c r="AQ131" s="36" t="s">
        <v>99</v>
      </c>
      <c r="AV131" s="32">
        <f>ROUND(AW131+AX131,2)</f>
        <v>0</v>
      </c>
      <c r="AW131" s="32">
        <f>ROUND(G131*AO131,2)</f>
        <v>0</v>
      </c>
      <c r="AX131" s="32">
        <f>ROUND(G131*AP131,2)</f>
        <v>0</v>
      </c>
      <c r="AY131" s="36" t="s">
        <v>332</v>
      </c>
      <c r="AZ131" s="36" t="s">
        <v>266</v>
      </c>
      <c r="BA131" s="12" t="s">
        <v>65</v>
      </c>
      <c r="BC131" s="32">
        <f>AW131+AX131</f>
        <v>0</v>
      </c>
      <c r="BD131" s="32">
        <f>H131/(100-BE131)*100</f>
        <v>0</v>
      </c>
      <c r="BE131" s="32">
        <v>0</v>
      </c>
      <c r="BF131" s="32">
        <f>P131</f>
        <v>0.318942</v>
      </c>
      <c r="BH131" s="32">
        <f>G131*AO131</f>
        <v>0</v>
      </c>
      <c r="BI131" s="32">
        <f>G131*AP131</f>
        <v>0</v>
      </c>
      <c r="BJ131" s="32">
        <f>G131*H131</f>
        <v>0</v>
      </c>
      <c r="BK131" s="36" t="s">
        <v>66</v>
      </c>
      <c r="BL131" s="32">
        <v>766</v>
      </c>
      <c r="BW131" s="32">
        <f>I131</f>
        <v>21</v>
      </c>
      <c r="BX131" s="4" t="s">
        <v>331</v>
      </c>
    </row>
    <row r="132" spans="1:76" ht="13.5" customHeight="1" x14ac:dyDescent="0.25">
      <c r="A132" s="37"/>
      <c r="C132" s="38"/>
      <c r="D132" s="167" t="s">
        <v>423</v>
      </c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4"/>
    </row>
    <row r="133" spans="1:76" x14ac:dyDescent="0.25">
      <c r="A133" s="37"/>
      <c r="C133" s="38"/>
      <c r="D133" s="162" t="s">
        <v>215</v>
      </c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4"/>
      <c r="BX133" s="39" t="s">
        <v>215</v>
      </c>
    </row>
    <row r="134" spans="1:76" x14ac:dyDescent="0.25">
      <c r="A134" s="2" t="s">
        <v>333</v>
      </c>
      <c r="B134" s="3" t="s">
        <v>55</v>
      </c>
      <c r="C134" s="3" t="s">
        <v>334</v>
      </c>
      <c r="D134" s="100" t="s">
        <v>335</v>
      </c>
      <c r="E134" s="96"/>
      <c r="F134" s="3" t="s">
        <v>61</v>
      </c>
      <c r="G134" s="32">
        <v>40.5</v>
      </c>
      <c r="H134" s="75">
        <v>0</v>
      </c>
      <c r="I134" s="33">
        <v>21</v>
      </c>
      <c r="J134" s="32">
        <f>ROUND(G134*AO134,2)</f>
        <v>0</v>
      </c>
      <c r="K134" s="32">
        <f>ROUND(G134*AP134,2)</f>
        <v>0</v>
      </c>
      <c r="L134" s="32">
        <f>ROUND(G134*H134,2)</f>
        <v>0</v>
      </c>
      <c r="M134" s="32">
        <f>L134*(1+BW134/100)</f>
        <v>0</v>
      </c>
      <c r="N134" s="34">
        <f>IF(L144=0,0,L134/L144)</f>
        <v>0</v>
      </c>
      <c r="O134" s="32">
        <v>4.0370000000000003E-2</v>
      </c>
      <c r="P134" s="32">
        <f>G134*O134</f>
        <v>1.6349850000000001</v>
      </c>
      <c r="Q134" s="35" t="s">
        <v>62</v>
      </c>
      <c r="Z134" s="32">
        <f>ROUND(IF(AQ134="5",BJ134,0),2)</f>
        <v>0</v>
      </c>
      <c r="AB134" s="32">
        <f>ROUND(IF(AQ134="1",BH134,0),2)</f>
        <v>0</v>
      </c>
      <c r="AC134" s="32">
        <f>ROUND(IF(AQ134="1",BI134,0),2)</f>
        <v>0</v>
      </c>
      <c r="AD134" s="32">
        <f>ROUND(IF(AQ134="7",BH134,0),2)</f>
        <v>0</v>
      </c>
      <c r="AE134" s="32">
        <f>ROUND(IF(AQ134="7",BI134,0),2)</f>
        <v>0</v>
      </c>
      <c r="AF134" s="32">
        <f>ROUND(IF(AQ134="2",BH134,0),2)</f>
        <v>0</v>
      </c>
      <c r="AG134" s="32">
        <f>ROUND(IF(AQ134="2",BI134,0),2)</f>
        <v>0</v>
      </c>
      <c r="AH134" s="32">
        <f>ROUND(IF(AQ134="0",BJ134,0),2)</f>
        <v>0</v>
      </c>
      <c r="AI134" s="12" t="s">
        <v>55</v>
      </c>
      <c r="AJ134" s="32">
        <f>IF(AN134=0,L134,0)</f>
        <v>0</v>
      </c>
      <c r="AK134" s="32">
        <f>IF(AN134=12,L134,0)</f>
        <v>0</v>
      </c>
      <c r="AL134" s="32">
        <f>IF(AN134=21,L134,0)</f>
        <v>0</v>
      </c>
      <c r="AN134" s="32">
        <v>21</v>
      </c>
      <c r="AO134" s="32">
        <f>H134*0.920035875</f>
        <v>0</v>
      </c>
      <c r="AP134" s="32">
        <f>H134*(1-0.920035875)</f>
        <v>0</v>
      </c>
      <c r="AQ134" s="36" t="s">
        <v>99</v>
      </c>
      <c r="AV134" s="32">
        <f>ROUND(AW134+AX134,2)</f>
        <v>0</v>
      </c>
      <c r="AW134" s="32">
        <f>ROUND(G134*AO134,2)</f>
        <v>0</v>
      </c>
      <c r="AX134" s="32">
        <f>ROUND(G134*AP134,2)</f>
        <v>0</v>
      </c>
      <c r="AY134" s="36" t="s">
        <v>332</v>
      </c>
      <c r="AZ134" s="36" t="s">
        <v>266</v>
      </c>
      <c r="BA134" s="12" t="s">
        <v>65</v>
      </c>
      <c r="BC134" s="32">
        <f>AW134+AX134</f>
        <v>0</v>
      </c>
      <c r="BD134" s="32">
        <f>H134/(100-BE134)*100</f>
        <v>0</v>
      </c>
      <c r="BE134" s="32">
        <v>0</v>
      </c>
      <c r="BF134" s="32">
        <f>P134</f>
        <v>1.6349850000000001</v>
      </c>
      <c r="BH134" s="32">
        <f>G134*AO134</f>
        <v>0</v>
      </c>
      <c r="BI134" s="32">
        <f>G134*AP134</f>
        <v>0</v>
      </c>
      <c r="BJ134" s="32">
        <f>G134*H134</f>
        <v>0</v>
      </c>
      <c r="BK134" s="36" t="s">
        <v>66</v>
      </c>
      <c r="BL134" s="32">
        <v>766</v>
      </c>
      <c r="BW134" s="32">
        <f>I134</f>
        <v>21</v>
      </c>
      <c r="BX134" s="4" t="s">
        <v>335</v>
      </c>
    </row>
    <row r="135" spans="1:76" ht="13.5" customHeight="1" x14ac:dyDescent="0.25">
      <c r="A135" s="37"/>
      <c r="C135" s="38"/>
      <c r="D135" s="162" t="s">
        <v>336</v>
      </c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4"/>
    </row>
    <row r="136" spans="1:76" x14ac:dyDescent="0.25">
      <c r="A136" s="37"/>
      <c r="C136" s="38"/>
      <c r="D136" s="162" t="s">
        <v>215</v>
      </c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4"/>
      <c r="BX136" s="39" t="s">
        <v>215</v>
      </c>
    </row>
    <row r="137" spans="1:76" x14ac:dyDescent="0.25">
      <c r="A137" s="2" t="s">
        <v>337</v>
      </c>
      <c r="B137" s="3" t="s">
        <v>55</v>
      </c>
      <c r="C137" s="3" t="s">
        <v>338</v>
      </c>
      <c r="D137" s="100" t="s">
        <v>339</v>
      </c>
      <c r="E137" s="96"/>
      <c r="F137" s="3" t="s">
        <v>114</v>
      </c>
      <c r="G137" s="32">
        <v>21</v>
      </c>
      <c r="H137" s="75">
        <v>0</v>
      </c>
      <c r="I137" s="33">
        <v>21</v>
      </c>
      <c r="J137" s="32">
        <f>ROUND(G137*AO137,2)</f>
        <v>0</v>
      </c>
      <c r="K137" s="32">
        <f>ROUND(G137*AP137,2)</f>
        <v>0</v>
      </c>
      <c r="L137" s="32">
        <f>ROUND(G137*H137,2)</f>
        <v>0</v>
      </c>
      <c r="M137" s="32">
        <f>L137*(1+BW137/100)</f>
        <v>0</v>
      </c>
      <c r="N137" s="34">
        <f>IF(L144=0,0,L137/L144)</f>
        <v>0</v>
      </c>
      <c r="O137" s="32">
        <v>2.5149999999999999E-2</v>
      </c>
      <c r="P137" s="32">
        <f>G137*O137</f>
        <v>0.52815000000000001</v>
      </c>
      <c r="Q137" s="35" t="s">
        <v>62</v>
      </c>
      <c r="Z137" s="32">
        <f>ROUND(IF(AQ137="5",BJ137,0),2)</f>
        <v>0</v>
      </c>
      <c r="AB137" s="32">
        <f>ROUND(IF(AQ137="1",BH137,0),2)</f>
        <v>0</v>
      </c>
      <c r="AC137" s="32">
        <f>ROUND(IF(AQ137="1",BI137,0),2)</f>
        <v>0</v>
      </c>
      <c r="AD137" s="32">
        <f>ROUND(IF(AQ137="7",BH137,0),2)</f>
        <v>0</v>
      </c>
      <c r="AE137" s="32">
        <f>ROUND(IF(AQ137="7",BI137,0),2)</f>
        <v>0</v>
      </c>
      <c r="AF137" s="32">
        <f>ROUND(IF(AQ137="2",BH137,0),2)</f>
        <v>0</v>
      </c>
      <c r="AG137" s="32">
        <f>ROUND(IF(AQ137="2",BI137,0),2)</f>
        <v>0</v>
      </c>
      <c r="AH137" s="32">
        <f>ROUND(IF(AQ137="0",BJ137,0),2)</f>
        <v>0</v>
      </c>
      <c r="AI137" s="12" t="s">
        <v>55</v>
      </c>
      <c r="AJ137" s="32">
        <f>IF(AN137=0,L137,0)</f>
        <v>0</v>
      </c>
      <c r="AK137" s="32">
        <f>IF(AN137=12,L137,0)</f>
        <v>0</v>
      </c>
      <c r="AL137" s="32">
        <f>IF(AN137=21,L137,0)</f>
        <v>0</v>
      </c>
      <c r="AN137" s="32">
        <v>21</v>
      </c>
      <c r="AO137" s="32">
        <f>H137*0.683474294</f>
        <v>0</v>
      </c>
      <c r="AP137" s="32">
        <f>H137*(1-0.683474294)</f>
        <v>0</v>
      </c>
      <c r="AQ137" s="36" t="s">
        <v>99</v>
      </c>
      <c r="AV137" s="32">
        <f>ROUND(AW137+AX137,2)</f>
        <v>0</v>
      </c>
      <c r="AW137" s="32">
        <f>ROUND(G137*AO137,2)</f>
        <v>0</v>
      </c>
      <c r="AX137" s="32">
        <f>ROUND(G137*AP137,2)</f>
        <v>0</v>
      </c>
      <c r="AY137" s="36" t="s">
        <v>332</v>
      </c>
      <c r="AZ137" s="36" t="s">
        <v>266</v>
      </c>
      <c r="BA137" s="12" t="s">
        <v>65</v>
      </c>
      <c r="BC137" s="32">
        <f>AW137+AX137</f>
        <v>0</v>
      </c>
      <c r="BD137" s="32">
        <f>H137/(100-BE137)*100</f>
        <v>0</v>
      </c>
      <c r="BE137" s="32">
        <v>0</v>
      </c>
      <c r="BF137" s="32">
        <f>P137</f>
        <v>0.52815000000000001</v>
      </c>
      <c r="BH137" s="32">
        <f>G137*AO137</f>
        <v>0</v>
      </c>
      <c r="BI137" s="32">
        <f>G137*AP137</f>
        <v>0</v>
      </c>
      <c r="BJ137" s="32">
        <f>G137*H137</f>
        <v>0</v>
      </c>
      <c r="BK137" s="36" t="s">
        <v>66</v>
      </c>
      <c r="BL137" s="32">
        <v>766</v>
      </c>
      <c r="BW137" s="32">
        <f>I137</f>
        <v>21</v>
      </c>
      <c r="BX137" s="4" t="s">
        <v>339</v>
      </c>
    </row>
    <row r="138" spans="1:76" ht="13.5" customHeight="1" x14ac:dyDescent="0.25">
      <c r="A138" s="37"/>
      <c r="C138" s="38"/>
      <c r="D138" s="167" t="s">
        <v>424</v>
      </c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4"/>
      <c r="BX138" t="s">
        <v>340</v>
      </c>
    </row>
    <row r="139" spans="1:76" x14ac:dyDescent="0.25">
      <c r="A139" s="40" t="s">
        <v>55</v>
      </c>
      <c r="B139" s="41" t="s">
        <v>55</v>
      </c>
      <c r="C139" s="41" t="s">
        <v>341</v>
      </c>
      <c r="D139" s="165" t="s">
        <v>342</v>
      </c>
      <c r="E139" s="166"/>
      <c r="F139" s="42" t="s">
        <v>8</v>
      </c>
      <c r="G139" s="42" t="s">
        <v>8</v>
      </c>
      <c r="H139" s="42" t="s">
        <v>8</v>
      </c>
      <c r="I139" s="42" t="s">
        <v>8</v>
      </c>
      <c r="J139" s="1">
        <f>SUM(J140:J142)</f>
        <v>0</v>
      </c>
      <c r="K139" s="1">
        <f>SUM(K140:K142)</f>
        <v>0</v>
      </c>
      <c r="L139" s="1">
        <f>SUM(L140:L142)</f>
        <v>0</v>
      </c>
      <c r="M139" s="1">
        <f>SUM(M140:M142)</f>
        <v>0</v>
      </c>
      <c r="N139" s="43">
        <f>IF(L144=0,0,L139/L144)</f>
        <v>0</v>
      </c>
      <c r="O139" s="12" t="s">
        <v>55</v>
      </c>
      <c r="P139" s="1">
        <f>SUM(P140:P142)</f>
        <v>0.13087499999999999</v>
      </c>
      <c r="Q139" s="44" t="s">
        <v>55</v>
      </c>
      <c r="AI139" s="12" t="s">
        <v>55</v>
      </c>
      <c r="AS139" s="1">
        <f>SUM(AJ140:AJ142)</f>
        <v>0</v>
      </c>
      <c r="AT139" s="1">
        <f>SUM(AK140:AK142)</f>
        <v>0</v>
      </c>
      <c r="AU139" s="1">
        <f>SUM(AL140:AL142)</f>
        <v>0</v>
      </c>
    </row>
    <row r="140" spans="1:76" x14ac:dyDescent="0.25">
      <c r="A140" s="2" t="s">
        <v>343</v>
      </c>
      <c r="B140" s="3" t="s">
        <v>55</v>
      </c>
      <c r="C140" s="3" t="s">
        <v>344</v>
      </c>
      <c r="D140" s="100" t="s">
        <v>345</v>
      </c>
      <c r="E140" s="96"/>
      <c r="F140" s="3" t="s">
        <v>346</v>
      </c>
      <c r="G140" s="32">
        <v>120</v>
      </c>
      <c r="H140" s="75">
        <v>0</v>
      </c>
      <c r="I140" s="33">
        <v>21</v>
      </c>
      <c r="J140" s="32">
        <f>ROUND(G140*AO140,2)</f>
        <v>0</v>
      </c>
      <c r="K140" s="32">
        <f>ROUND(G140*AP140,2)</f>
        <v>0</v>
      </c>
      <c r="L140" s="32">
        <f>ROUND(G140*H140,2)</f>
        <v>0</v>
      </c>
      <c r="M140" s="32">
        <f>L140*(1+BW140/100)</f>
        <v>0</v>
      </c>
      <c r="N140" s="34">
        <f>IF(L144=0,0,L140/L144)</f>
        <v>0</v>
      </c>
      <c r="O140" s="32">
        <v>1.0499999999999999E-3</v>
      </c>
      <c r="P140" s="32">
        <f>G140*O140</f>
        <v>0.126</v>
      </c>
      <c r="Q140" s="35" t="s">
        <v>62</v>
      </c>
      <c r="Z140" s="32">
        <f>ROUND(IF(AQ140="5",BJ140,0),2)</f>
        <v>0</v>
      </c>
      <c r="AB140" s="32">
        <f>ROUND(IF(AQ140="1",BH140,0),2)</f>
        <v>0</v>
      </c>
      <c r="AC140" s="32">
        <f>ROUND(IF(AQ140="1",BI140,0),2)</f>
        <v>0</v>
      </c>
      <c r="AD140" s="32">
        <f>ROUND(IF(AQ140="7",BH140,0),2)</f>
        <v>0</v>
      </c>
      <c r="AE140" s="32">
        <f>ROUND(IF(AQ140="7",BI140,0),2)</f>
        <v>0</v>
      </c>
      <c r="AF140" s="32">
        <f>ROUND(IF(AQ140="2",BH140,0),2)</f>
        <v>0</v>
      </c>
      <c r="AG140" s="32">
        <f>ROUND(IF(AQ140="2",BI140,0),2)</f>
        <v>0</v>
      </c>
      <c r="AH140" s="32">
        <f>ROUND(IF(AQ140="0",BJ140,0),2)</f>
        <v>0</v>
      </c>
      <c r="AI140" s="12" t="s">
        <v>55</v>
      </c>
      <c r="AJ140" s="32">
        <f>IF(AN140=0,L140,0)</f>
        <v>0</v>
      </c>
      <c r="AK140" s="32">
        <f>IF(AN140=12,L140,0)</f>
        <v>0</v>
      </c>
      <c r="AL140" s="32">
        <f>IF(AN140=21,L140,0)</f>
        <v>0</v>
      </c>
      <c r="AN140" s="32">
        <v>21</v>
      </c>
      <c r="AO140" s="32">
        <f>H140*0.483208955</f>
        <v>0</v>
      </c>
      <c r="AP140" s="32">
        <f>H140*(1-0.483208955)</f>
        <v>0</v>
      </c>
      <c r="AQ140" s="36" t="s">
        <v>99</v>
      </c>
      <c r="AV140" s="32">
        <f>ROUND(AW140+AX140,2)</f>
        <v>0</v>
      </c>
      <c r="AW140" s="32">
        <f>ROUND(G140*AO140,2)</f>
        <v>0</v>
      </c>
      <c r="AX140" s="32">
        <f>ROUND(G140*AP140,2)</f>
        <v>0</v>
      </c>
      <c r="AY140" s="36" t="s">
        <v>347</v>
      </c>
      <c r="AZ140" s="36" t="s">
        <v>266</v>
      </c>
      <c r="BA140" s="12" t="s">
        <v>65</v>
      </c>
      <c r="BC140" s="32">
        <f>AW140+AX140</f>
        <v>0</v>
      </c>
      <c r="BD140" s="32">
        <f>H140/(100-BE140)*100</f>
        <v>0</v>
      </c>
      <c r="BE140" s="32">
        <v>0</v>
      </c>
      <c r="BF140" s="32">
        <f>P140</f>
        <v>0.126</v>
      </c>
      <c r="BH140" s="32">
        <f>G140*AO140</f>
        <v>0</v>
      </c>
      <c r="BI140" s="32">
        <f>G140*AP140</f>
        <v>0</v>
      </c>
      <c r="BJ140" s="32">
        <f>G140*H140</f>
        <v>0</v>
      </c>
      <c r="BK140" s="36" t="s">
        <v>66</v>
      </c>
      <c r="BL140" s="32">
        <v>767</v>
      </c>
      <c r="BW140" s="32">
        <f>I140</f>
        <v>21</v>
      </c>
      <c r="BX140" s="4" t="s">
        <v>345</v>
      </c>
    </row>
    <row r="141" spans="1:76" ht="13.5" customHeight="1" x14ac:dyDescent="0.25">
      <c r="A141" s="37"/>
      <c r="C141" s="38"/>
      <c r="D141" s="162" t="s">
        <v>348</v>
      </c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4"/>
    </row>
    <row r="142" spans="1:76" x14ac:dyDescent="0.25">
      <c r="A142" s="2" t="s">
        <v>349</v>
      </c>
      <c r="B142" s="3" t="s">
        <v>55</v>
      </c>
      <c r="C142" s="3" t="s">
        <v>350</v>
      </c>
      <c r="D142" s="100" t="s">
        <v>351</v>
      </c>
      <c r="E142" s="96"/>
      <c r="F142" s="3" t="s">
        <v>114</v>
      </c>
      <c r="G142" s="32">
        <v>32.5</v>
      </c>
      <c r="H142" s="75">
        <v>0</v>
      </c>
      <c r="I142" s="33">
        <v>21</v>
      </c>
      <c r="J142" s="32">
        <f>ROUND(G142*AO142,2)</f>
        <v>0</v>
      </c>
      <c r="K142" s="32">
        <f>ROUND(G142*AP142,2)</f>
        <v>0</v>
      </c>
      <c r="L142" s="32">
        <f>ROUND(G142*H142,2)</f>
        <v>0</v>
      </c>
      <c r="M142" s="32">
        <f>L142*(1+BW142/100)</f>
        <v>0</v>
      </c>
      <c r="N142" s="34">
        <f>IF(L144=0,0,L142/L144)</f>
        <v>0</v>
      </c>
      <c r="O142" s="32">
        <v>1.4999999999999999E-4</v>
      </c>
      <c r="P142" s="32">
        <f>G142*O142</f>
        <v>4.875E-3</v>
      </c>
      <c r="Q142" s="35" t="s">
        <v>62</v>
      </c>
      <c r="Z142" s="32">
        <f>ROUND(IF(AQ142="5",BJ142,0),2)</f>
        <v>0</v>
      </c>
      <c r="AB142" s="32">
        <f>ROUND(IF(AQ142="1",BH142,0),2)</f>
        <v>0</v>
      </c>
      <c r="AC142" s="32">
        <f>ROUND(IF(AQ142="1",BI142,0),2)</f>
        <v>0</v>
      </c>
      <c r="AD142" s="32">
        <f>ROUND(IF(AQ142="7",BH142,0),2)</f>
        <v>0</v>
      </c>
      <c r="AE142" s="32">
        <f>ROUND(IF(AQ142="7",BI142,0),2)</f>
        <v>0</v>
      </c>
      <c r="AF142" s="32">
        <f>ROUND(IF(AQ142="2",BH142,0),2)</f>
        <v>0</v>
      </c>
      <c r="AG142" s="32">
        <f>ROUND(IF(AQ142="2",BI142,0),2)</f>
        <v>0</v>
      </c>
      <c r="AH142" s="32">
        <f>ROUND(IF(AQ142="0",BJ142,0),2)</f>
        <v>0</v>
      </c>
      <c r="AI142" s="12" t="s">
        <v>55</v>
      </c>
      <c r="AJ142" s="32">
        <f>IF(AN142=0,L142,0)</f>
        <v>0</v>
      </c>
      <c r="AK142" s="32">
        <f>IF(AN142=12,L142,0)</f>
        <v>0</v>
      </c>
      <c r="AL142" s="32">
        <f>IF(AN142=21,L142,0)</f>
        <v>0</v>
      </c>
      <c r="AN142" s="32">
        <v>21</v>
      </c>
      <c r="AO142" s="32">
        <f>H142*0.574780496</f>
        <v>0</v>
      </c>
      <c r="AP142" s="32">
        <f>H142*(1-0.574780496)</f>
        <v>0</v>
      </c>
      <c r="AQ142" s="36" t="s">
        <v>99</v>
      </c>
      <c r="AV142" s="32">
        <f>ROUND(AW142+AX142,2)</f>
        <v>0</v>
      </c>
      <c r="AW142" s="32">
        <f>ROUND(G142*AO142,2)</f>
        <v>0</v>
      </c>
      <c r="AX142" s="32">
        <f>ROUND(G142*AP142,2)</f>
        <v>0</v>
      </c>
      <c r="AY142" s="36" t="s">
        <v>347</v>
      </c>
      <c r="AZ142" s="36" t="s">
        <v>266</v>
      </c>
      <c r="BA142" s="12" t="s">
        <v>65</v>
      </c>
      <c r="BC142" s="32">
        <f>AW142+AX142</f>
        <v>0</v>
      </c>
      <c r="BD142" s="32">
        <f>H142/(100-BE142)*100</f>
        <v>0</v>
      </c>
      <c r="BE142" s="32">
        <v>0</v>
      </c>
      <c r="BF142" s="32">
        <f>P142</f>
        <v>4.875E-3</v>
      </c>
      <c r="BH142" s="32">
        <f>G142*AO142</f>
        <v>0</v>
      </c>
      <c r="BI142" s="32">
        <f>G142*AP142</f>
        <v>0</v>
      </c>
      <c r="BJ142" s="32">
        <f>G142*H142</f>
        <v>0</v>
      </c>
      <c r="BK142" s="36" t="s">
        <v>66</v>
      </c>
      <c r="BL142" s="32">
        <v>767</v>
      </c>
      <c r="BW142" s="32">
        <f>I142</f>
        <v>21</v>
      </c>
      <c r="BX142" s="4" t="s">
        <v>351</v>
      </c>
    </row>
    <row r="143" spans="1:76" ht="13.5" customHeight="1" x14ac:dyDescent="0.25">
      <c r="A143" s="45"/>
      <c r="B143" s="46"/>
      <c r="C143" s="47"/>
      <c r="D143" s="169" t="s">
        <v>352</v>
      </c>
      <c r="E143" s="170"/>
      <c r="F143" s="170"/>
      <c r="G143" s="170"/>
      <c r="H143" s="170"/>
      <c r="I143" s="170"/>
      <c r="J143" s="170"/>
      <c r="K143" s="170"/>
      <c r="L143" s="170"/>
      <c r="M143" s="170"/>
      <c r="N143" s="170"/>
      <c r="O143" s="170"/>
      <c r="P143" s="170"/>
      <c r="Q143" s="171"/>
    </row>
    <row r="144" spans="1:76" x14ac:dyDescent="0.25">
      <c r="J144" s="172" t="s">
        <v>353</v>
      </c>
      <c r="K144" s="172"/>
      <c r="L144" s="49">
        <f>ROUND(L12+L17+L20+L25+L43+L59+L61+L77+L95+L98+L109+L130+L139,2)</f>
        <v>0</v>
      </c>
      <c r="M144" s="49">
        <f>ROUND(M12+M17+M20+M25+M43+M59+M61+M77+M95+M98+M109+M130+M139,2)</f>
        <v>0</v>
      </c>
    </row>
    <row r="145" spans="1:17" x14ac:dyDescent="0.25">
      <c r="A145" s="50" t="s">
        <v>354</v>
      </c>
    </row>
    <row r="146" spans="1:17" ht="27" customHeight="1" x14ac:dyDescent="0.25">
      <c r="A146" s="100" t="s">
        <v>355</v>
      </c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</row>
  </sheetData>
  <mergeCells count="163">
    <mergeCell ref="D143:Q143"/>
    <mergeCell ref="J144:K144"/>
    <mergeCell ref="A146:Q146"/>
    <mergeCell ref="D138:Q138"/>
    <mergeCell ref="D139:E139"/>
    <mergeCell ref="D140:E140"/>
    <mergeCell ref="D141:Q141"/>
    <mergeCell ref="D142:E142"/>
    <mergeCell ref="D133:Q133"/>
    <mergeCell ref="D134:E134"/>
    <mergeCell ref="D135:Q135"/>
    <mergeCell ref="D136:Q136"/>
    <mergeCell ref="D137:E137"/>
    <mergeCell ref="D128:E128"/>
    <mergeCell ref="D129:Q129"/>
    <mergeCell ref="D130:E130"/>
    <mergeCell ref="D131:E131"/>
    <mergeCell ref="D132:Q132"/>
    <mergeCell ref="D123:E123"/>
    <mergeCell ref="D124:E124"/>
    <mergeCell ref="D125:Q125"/>
    <mergeCell ref="D126:E126"/>
    <mergeCell ref="D127:Q127"/>
    <mergeCell ref="D118:E118"/>
    <mergeCell ref="D119:Q119"/>
    <mergeCell ref="D120:E120"/>
    <mergeCell ref="D121:E121"/>
    <mergeCell ref="D122:Q122"/>
    <mergeCell ref="D113:E113"/>
    <mergeCell ref="D114:E114"/>
    <mergeCell ref="D115:Q115"/>
    <mergeCell ref="D116:E116"/>
    <mergeCell ref="D117:E117"/>
    <mergeCell ref="D108:Q108"/>
    <mergeCell ref="D109:E109"/>
    <mergeCell ref="D110:E110"/>
    <mergeCell ref="D111:Q111"/>
    <mergeCell ref="D112:Q112"/>
    <mergeCell ref="D103:E103"/>
    <mergeCell ref="D104:Q104"/>
    <mergeCell ref="D105:E105"/>
    <mergeCell ref="D106:Q106"/>
    <mergeCell ref="D107:E107"/>
    <mergeCell ref="D98:E98"/>
    <mergeCell ref="D99:E99"/>
    <mergeCell ref="D100:Q100"/>
    <mergeCell ref="D101:E101"/>
    <mergeCell ref="D102:Q102"/>
    <mergeCell ref="D93:Q93"/>
    <mergeCell ref="D94:E94"/>
    <mergeCell ref="D95:E95"/>
    <mergeCell ref="D96:E96"/>
    <mergeCell ref="D97:Q97"/>
    <mergeCell ref="D88:E88"/>
    <mergeCell ref="D89:Q89"/>
    <mergeCell ref="D90:Q90"/>
    <mergeCell ref="D91:E91"/>
    <mergeCell ref="D92:Q92"/>
    <mergeCell ref="D83:E83"/>
    <mergeCell ref="D84:Q84"/>
    <mergeCell ref="D85:E85"/>
    <mergeCell ref="D86:Q86"/>
    <mergeCell ref="D87:Q87"/>
    <mergeCell ref="D78:E78"/>
    <mergeCell ref="D79:E79"/>
    <mergeCell ref="D80:E80"/>
    <mergeCell ref="D81:Q81"/>
    <mergeCell ref="D82:E82"/>
    <mergeCell ref="D73:E73"/>
    <mergeCell ref="D74:Q74"/>
    <mergeCell ref="D75:E75"/>
    <mergeCell ref="D76:Q76"/>
    <mergeCell ref="D77:E77"/>
    <mergeCell ref="D68:E68"/>
    <mergeCell ref="D69:E69"/>
    <mergeCell ref="D70:Q70"/>
    <mergeCell ref="D71:E71"/>
    <mergeCell ref="D72:Q72"/>
    <mergeCell ref="D63:Q63"/>
    <mergeCell ref="D64:E64"/>
    <mergeCell ref="D65:Q65"/>
    <mergeCell ref="D66:E66"/>
    <mergeCell ref="D67:Q67"/>
    <mergeCell ref="D58:E58"/>
    <mergeCell ref="D59:E59"/>
    <mergeCell ref="D60:E60"/>
    <mergeCell ref="D61:E61"/>
    <mergeCell ref="D62:E62"/>
    <mergeCell ref="D53:E53"/>
    <mergeCell ref="D54:Q54"/>
    <mergeCell ref="D55:E55"/>
    <mergeCell ref="D56:Q56"/>
    <mergeCell ref="D57:E57"/>
    <mergeCell ref="D49:E49"/>
    <mergeCell ref="D50:Q50"/>
    <mergeCell ref="D51:E51"/>
    <mergeCell ref="D52:Q52"/>
    <mergeCell ref="D44:E44"/>
    <mergeCell ref="D45:E45"/>
    <mergeCell ref="D46:E46"/>
    <mergeCell ref="D47:E47"/>
    <mergeCell ref="D48:Q48"/>
    <mergeCell ref="D39:E39"/>
    <mergeCell ref="D40:Q40"/>
    <mergeCell ref="D41:E41"/>
    <mergeCell ref="D42:Q42"/>
    <mergeCell ref="D43:E43"/>
    <mergeCell ref="D34:E34"/>
    <mergeCell ref="D35:E35"/>
    <mergeCell ref="D36:Q36"/>
    <mergeCell ref="D37:E37"/>
    <mergeCell ref="D38:Q38"/>
    <mergeCell ref="D29:Q29"/>
    <mergeCell ref="D30:E30"/>
    <mergeCell ref="D31:E31"/>
    <mergeCell ref="D32:E32"/>
    <mergeCell ref="D33:Q33"/>
    <mergeCell ref="D24:Q24"/>
    <mergeCell ref="D25:E25"/>
    <mergeCell ref="D26:E26"/>
    <mergeCell ref="D27:Q27"/>
    <mergeCell ref="D28:E28"/>
    <mergeCell ref="D19:Q19"/>
    <mergeCell ref="D20:E20"/>
    <mergeCell ref="D21:E21"/>
    <mergeCell ref="D22:Q22"/>
    <mergeCell ref="D23:E23"/>
    <mergeCell ref="D14:Q14"/>
    <mergeCell ref="D15:E15"/>
    <mergeCell ref="D16:Q16"/>
    <mergeCell ref="D17:E17"/>
    <mergeCell ref="D18:E18"/>
    <mergeCell ref="D11:E11"/>
    <mergeCell ref="J10:L10"/>
    <mergeCell ref="O10:P10"/>
    <mergeCell ref="D12:E12"/>
    <mergeCell ref="D13:E13"/>
    <mergeCell ref="J2:Q3"/>
    <mergeCell ref="J4:Q5"/>
    <mergeCell ref="J6:Q7"/>
    <mergeCell ref="J8:Q9"/>
    <mergeCell ref="D10:E10"/>
    <mergeCell ref="D8:E9"/>
    <mergeCell ref="H2:H3"/>
    <mergeCell ref="H4:H5"/>
    <mergeCell ref="H6:H7"/>
    <mergeCell ref="H8:H9"/>
    <mergeCell ref="A1:Q1"/>
    <mergeCell ref="A2:C3"/>
    <mergeCell ref="A4:C5"/>
    <mergeCell ref="A6:C7"/>
    <mergeCell ref="A8:C9"/>
    <mergeCell ref="F2:G3"/>
    <mergeCell ref="F4:G5"/>
    <mergeCell ref="F6:G7"/>
    <mergeCell ref="F8:G9"/>
    <mergeCell ref="I2:I3"/>
    <mergeCell ref="I4:I5"/>
    <mergeCell ref="I6:I7"/>
    <mergeCell ref="I8:I9"/>
    <mergeCell ref="D2:E3"/>
    <mergeCell ref="D4:E5"/>
    <mergeCell ref="D6:E7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4"/>
  <sheetViews>
    <sheetView workbookViewId="0">
      <pane ySplit="11" topLeftCell="A12" activePane="bottomLeft" state="frozen"/>
      <selection pane="bottomLeft" activeCell="C8" sqref="C8:C9"/>
    </sheetView>
  </sheetViews>
  <sheetFormatPr defaultColWidth="12.140625" defaultRowHeight="15" customHeight="1" x14ac:dyDescent="0.25"/>
  <cols>
    <col min="1" max="2" width="8.5703125" customWidth="1"/>
    <col min="3" max="3" width="71.42578125" customWidth="1"/>
    <col min="4" max="6" width="27.85546875" customWidth="1"/>
    <col min="7" max="7" width="37.140625" customWidth="1"/>
    <col min="8" max="9" width="0" hidden="1" customWidth="1"/>
  </cols>
  <sheetData>
    <row r="1" spans="1:9" ht="54.75" customHeight="1" x14ac:dyDescent="0.25">
      <c r="A1" s="92" t="s">
        <v>356</v>
      </c>
      <c r="B1" s="92"/>
      <c r="C1" s="92"/>
      <c r="D1" s="92"/>
      <c r="E1" s="92"/>
      <c r="F1" s="92"/>
      <c r="G1" s="92"/>
    </row>
    <row r="2" spans="1:9" x14ac:dyDescent="0.25">
      <c r="A2" s="93" t="s">
        <v>1</v>
      </c>
      <c r="B2" s="94"/>
      <c r="C2" s="104" t="str">
        <f>'Stavební rozpočet'!D2</f>
        <v>Rekonstrukce tělocvičny č.p. 387 v areálu ZŠ Stochov</v>
      </c>
      <c r="D2" s="147" t="s">
        <v>421</v>
      </c>
      <c r="E2" s="161"/>
      <c r="F2" s="99" t="s">
        <v>3</v>
      </c>
      <c r="G2" s="173" t="str">
        <f>'Stavební rozpočet'!J2</f>
        <v>Město Stochov</v>
      </c>
    </row>
    <row r="3" spans="1:9" ht="15" customHeight="1" x14ac:dyDescent="0.25">
      <c r="A3" s="95"/>
      <c r="B3" s="96"/>
      <c r="C3" s="106"/>
      <c r="D3" s="96"/>
      <c r="E3" s="108"/>
      <c r="F3" s="96"/>
      <c r="G3" s="102"/>
    </row>
    <row r="4" spans="1:9" x14ac:dyDescent="0.25">
      <c r="A4" s="97" t="s">
        <v>5</v>
      </c>
      <c r="B4" s="96"/>
      <c r="C4" s="100" t="str">
        <f>'Stavební rozpočet'!D4</f>
        <v>Udržovací práce a oprava stávajícícho objektu</v>
      </c>
      <c r="D4" s="96" t="s">
        <v>7</v>
      </c>
      <c r="E4" s="96" t="s">
        <v>8</v>
      </c>
      <c r="F4" s="100" t="s">
        <v>9</v>
      </c>
      <c r="G4" s="174" t="str">
        <f>'Stavební rozpočet'!J4</f>
        <v>ARIPROS s.r.o.</v>
      </c>
    </row>
    <row r="5" spans="1:9" ht="15" customHeight="1" x14ac:dyDescent="0.25">
      <c r="A5" s="95"/>
      <c r="B5" s="96"/>
      <c r="C5" s="96"/>
      <c r="D5" s="96"/>
      <c r="E5" s="96"/>
      <c r="F5" s="96"/>
      <c r="G5" s="102"/>
    </row>
    <row r="6" spans="1:9" x14ac:dyDescent="0.25">
      <c r="A6" s="97" t="s">
        <v>11</v>
      </c>
      <c r="B6" s="96"/>
      <c r="C6" s="100" t="str">
        <f>'Stavební rozpočet'!D6</f>
        <v>ZŠ Stochov, Jaroslava Šípka 387, 273 03 Stochov</v>
      </c>
      <c r="D6" s="96" t="s">
        <v>13</v>
      </c>
      <c r="E6" s="96"/>
      <c r="F6" s="100" t="s">
        <v>14</v>
      </c>
      <c r="G6" s="174" t="str">
        <f>'Stavební rozpočet'!J6</f>
        <v>Dle výběrového řízení</v>
      </c>
    </row>
    <row r="7" spans="1:9" ht="15" customHeight="1" x14ac:dyDescent="0.25">
      <c r="A7" s="95"/>
      <c r="B7" s="96"/>
      <c r="C7" s="96"/>
      <c r="D7" s="96"/>
      <c r="E7" s="96"/>
      <c r="F7" s="96"/>
      <c r="G7" s="102"/>
    </row>
    <row r="8" spans="1:9" x14ac:dyDescent="0.25">
      <c r="A8" s="97" t="s">
        <v>19</v>
      </c>
      <c r="B8" s="96"/>
      <c r="C8" s="107"/>
      <c r="D8" s="96" t="s">
        <v>18</v>
      </c>
      <c r="E8" s="108"/>
      <c r="F8" s="96"/>
      <c r="G8" s="174"/>
    </row>
    <row r="9" spans="1:9" x14ac:dyDescent="0.25">
      <c r="A9" s="145"/>
      <c r="B9" s="146"/>
      <c r="C9" s="157"/>
      <c r="D9" s="146"/>
      <c r="E9" s="157"/>
      <c r="F9" s="146"/>
      <c r="G9" s="175"/>
    </row>
    <row r="10" spans="1:9" x14ac:dyDescent="0.25">
      <c r="A10" s="51" t="s">
        <v>21</v>
      </c>
      <c r="B10" s="52" t="s">
        <v>22</v>
      </c>
      <c r="C10" s="53" t="s">
        <v>357</v>
      </c>
      <c r="D10" s="54" t="s">
        <v>358</v>
      </c>
      <c r="E10" s="54" t="s">
        <v>359</v>
      </c>
      <c r="F10" s="54" t="s">
        <v>360</v>
      </c>
      <c r="G10" s="55" t="s">
        <v>361</v>
      </c>
    </row>
    <row r="11" spans="1:9" x14ac:dyDescent="0.25">
      <c r="A11" s="56" t="s">
        <v>55</v>
      </c>
      <c r="B11" s="57" t="s">
        <v>56</v>
      </c>
      <c r="C11" s="57" t="s">
        <v>57</v>
      </c>
      <c r="D11" s="58">
        <f>ROUND('Stavební rozpočet'!J12,2)</f>
        <v>0</v>
      </c>
      <c r="E11" s="58">
        <f>ROUND('Stavební rozpočet'!K12,2)</f>
        <v>0</v>
      </c>
      <c r="F11" s="58">
        <f>ROUND('Stavební rozpočet'!L12,2)</f>
        <v>0</v>
      </c>
      <c r="G11" s="59">
        <f>'Stavební rozpočet'!P12</f>
        <v>29.3007922</v>
      </c>
      <c r="H11" s="60" t="s">
        <v>362</v>
      </c>
      <c r="I11" s="32">
        <f t="shared" ref="I11:I23" si="0">IF(H11="F",0,F11)</f>
        <v>0</v>
      </c>
    </row>
    <row r="12" spans="1:9" x14ac:dyDescent="0.25">
      <c r="A12" s="2" t="s">
        <v>55</v>
      </c>
      <c r="B12" s="3" t="s">
        <v>72</v>
      </c>
      <c r="C12" s="3" t="s">
        <v>73</v>
      </c>
      <c r="D12" s="32">
        <f>ROUND('Stavební rozpočet'!J17,2)</f>
        <v>0</v>
      </c>
      <c r="E12" s="32">
        <f>ROUND('Stavební rozpočet'!K17,2)</f>
        <v>0</v>
      </c>
      <c r="F12" s="32">
        <f>ROUND('Stavební rozpočet'!L17,2)</f>
        <v>0</v>
      </c>
      <c r="G12" s="61">
        <f>'Stavební rozpočet'!P17</f>
        <v>6.1022000000000007</v>
      </c>
      <c r="H12" s="60" t="s">
        <v>362</v>
      </c>
      <c r="I12" s="32">
        <f t="shared" si="0"/>
        <v>0</v>
      </c>
    </row>
    <row r="13" spans="1:9" x14ac:dyDescent="0.25">
      <c r="A13" s="2" t="s">
        <v>55</v>
      </c>
      <c r="B13" s="3" t="s">
        <v>80</v>
      </c>
      <c r="C13" s="3" t="s">
        <v>81</v>
      </c>
      <c r="D13" s="32">
        <f>ROUND('Stavební rozpočet'!J20,2)</f>
        <v>0</v>
      </c>
      <c r="E13" s="32">
        <f>ROUND('Stavební rozpočet'!K20,2)</f>
        <v>0</v>
      </c>
      <c r="F13" s="32">
        <f>ROUND('Stavební rozpočet'!L20,2)</f>
        <v>0</v>
      </c>
      <c r="G13" s="61">
        <f>'Stavební rozpočet'!P20</f>
        <v>9.6720182000000001</v>
      </c>
      <c r="H13" s="60" t="s">
        <v>362</v>
      </c>
      <c r="I13" s="32">
        <f t="shared" si="0"/>
        <v>0</v>
      </c>
    </row>
    <row r="14" spans="1:9" x14ac:dyDescent="0.25">
      <c r="A14" s="2" t="s">
        <v>55</v>
      </c>
      <c r="B14" s="3" t="s">
        <v>92</v>
      </c>
      <c r="C14" s="3" t="s">
        <v>93</v>
      </c>
      <c r="D14" s="32">
        <f>ROUND('Stavební rozpočet'!J25,2)</f>
        <v>0</v>
      </c>
      <c r="E14" s="32">
        <f>ROUND('Stavební rozpočet'!K25,2)</f>
        <v>0</v>
      </c>
      <c r="F14" s="32">
        <f>ROUND('Stavební rozpočet'!L25,2)</f>
        <v>0</v>
      </c>
      <c r="G14" s="61">
        <f>'Stavební rozpočet'!P25</f>
        <v>4.7607059999999999</v>
      </c>
      <c r="H14" s="60" t="s">
        <v>362</v>
      </c>
      <c r="I14" s="32">
        <f t="shared" si="0"/>
        <v>0</v>
      </c>
    </row>
    <row r="15" spans="1:9" x14ac:dyDescent="0.25">
      <c r="A15" s="2" t="s">
        <v>55</v>
      </c>
      <c r="B15" s="3" t="s">
        <v>133</v>
      </c>
      <c r="C15" s="3" t="s">
        <v>134</v>
      </c>
      <c r="D15" s="32">
        <f>ROUND('Stavební rozpočet'!J43,2)</f>
        <v>0</v>
      </c>
      <c r="E15" s="32">
        <f>ROUND('Stavební rozpočet'!K43,2)</f>
        <v>0</v>
      </c>
      <c r="F15" s="32">
        <f>ROUND('Stavební rozpočet'!L43,2)</f>
        <v>0</v>
      </c>
      <c r="G15" s="61">
        <f>'Stavební rozpočet'!P43</f>
        <v>6.0644534999999991</v>
      </c>
      <c r="H15" s="60" t="s">
        <v>362</v>
      </c>
      <c r="I15" s="32">
        <f t="shared" si="0"/>
        <v>0</v>
      </c>
    </row>
    <row r="16" spans="1:9" x14ac:dyDescent="0.25">
      <c r="A16" s="2" t="s">
        <v>55</v>
      </c>
      <c r="B16" s="3" t="s">
        <v>173</v>
      </c>
      <c r="C16" s="3" t="s">
        <v>174</v>
      </c>
      <c r="D16" s="32">
        <f>ROUND('Stavební rozpočet'!J59,2)</f>
        <v>0</v>
      </c>
      <c r="E16" s="32">
        <f>ROUND('Stavební rozpočet'!K59,2)</f>
        <v>0</v>
      </c>
      <c r="F16" s="32">
        <f>ROUND('Stavební rozpočet'!L59,2)</f>
        <v>0</v>
      </c>
      <c r="G16" s="61">
        <f>'Stavební rozpočet'!P59</f>
        <v>0</v>
      </c>
      <c r="H16" s="60" t="s">
        <v>362</v>
      </c>
      <c r="I16" s="32">
        <f t="shared" si="0"/>
        <v>0</v>
      </c>
    </row>
    <row r="17" spans="1:9" x14ac:dyDescent="0.25">
      <c r="A17" s="2" t="s">
        <v>55</v>
      </c>
      <c r="B17" s="3" t="s">
        <v>179</v>
      </c>
      <c r="C17" s="3" t="s">
        <v>180</v>
      </c>
      <c r="D17" s="32">
        <f>ROUND('Stavební rozpočet'!J61,2)</f>
        <v>0</v>
      </c>
      <c r="E17" s="32">
        <f>ROUND('Stavební rozpočet'!K61,2)</f>
        <v>0</v>
      </c>
      <c r="F17" s="32">
        <f>ROUND('Stavební rozpočet'!L61,2)</f>
        <v>0</v>
      </c>
      <c r="G17" s="61">
        <f>'Stavební rozpočet'!P61</f>
        <v>1.967228</v>
      </c>
      <c r="H17" s="60" t="s">
        <v>362</v>
      </c>
      <c r="I17" s="32">
        <f t="shared" si="0"/>
        <v>0</v>
      </c>
    </row>
    <row r="18" spans="1:9" x14ac:dyDescent="0.25">
      <c r="A18" s="2" t="s">
        <v>55</v>
      </c>
      <c r="B18" s="3" t="s">
        <v>216</v>
      </c>
      <c r="C18" s="3" t="s">
        <v>217</v>
      </c>
      <c r="D18" s="32">
        <f>ROUND('Stavební rozpočet'!J77,2)</f>
        <v>0</v>
      </c>
      <c r="E18" s="32">
        <f>ROUND('Stavební rozpočet'!K77,2)</f>
        <v>0</v>
      </c>
      <c r="F18" s="32">
        <f>ROUND('Stavební rozpočet'!L77,2)</f>
        <v>0</v>
      </c>
      <c r="G18" s="61">
        <f>'Stavební rozpočet'!P77</f>
        <v>9.3341938500000019</v>
      </c>
      <c r="H18" s="60" t="s">
        <v>362</v>
      </c>
      <c r="I18" s="32">
        <f t="shared" si="0"/>
        <v>0</v>
      </c>
    </row>
    <row r="19" spans="1:9" x14ac:dyDescent="0.25">
      <c r="A19" s="2" t="s">
        <v>55</v>
      </c>
      <c r="B19" s="3" t="s">
        <v>252</v>
      </c>
      <c r="C19" s="3" t="s">
        <v>253</v>
      </c>
      <c r="D19" s="32">
        <f>ROUND('Stavební rozpočet'!J95,2)</f>
        <v>0</v>
      </c>
      <c r="E19" s="32">
        <f>ROUND('Stavební rozpočet'!K95,2)</f>
        <v>0</v>
      </c>
      <c r="F19" s="32">
        <f>ROUND('Stavební rozpočet'!L95,2)</f>
        <v>0</v>
      </c>
      <c r="G19" s="61">
        <f>'Stavební rozpočet'!P95</f>
        <v>1.0816680000000001</v>
      </c>
      <c r="H19" s="60" t="s">
        <v>362</v>
      </c>
      <c r="I19" s="32">
        <f t="shared" si="0"/>
        <v>0</v>
      </c>
    </row>
    <row r="20" spans="1:9" x14ac:dyDescent="0.25">
      <c r="A20" s="2" t="s">
        <v>55</v>
      </c>
      <c r="B20" s="3" t="s">
        <v>260</v>
      </c>
      <c r="C20" s="3" t="s">
        <v>261</v>
      </c>
      <c r="D20" s="32">
        <f>ROUND('Stavební rozpočet'!J98,2)</f>
        <v>0</v>
      </c>
      <c r="E20" s="32">
        <f>ROUND('Stavební rozpočet'!K98,2)</f>
        <v>0</v>
      </c>
      <c r="F20" s="32">
        <f>ROUND('Stavební rozpočet'!L98,2)</f>
        <v>0</v>
      </c>
      <c r="G20" s="61">
        <f>'Stavební rozpočet'!P98</f>
        <v>31.958404083999994</v>
      </c>
      <c r="H20" s="60" t="s">
        <v>362</v>
      </c>
      <c r="I20" s="32">
        <f t="shared" si="0"/>
        <v>0</v>
      </c>
    </row>
    <row r="21" spans="1:9" x14ac:dyDescent="0.25">
      <c r="A21" s="2" t="s">
        <v>55</v>
      </c>
      <c r="B21" s="3" t="s">
        <v>283</v>
      </c>
      <c r="C21" s="3" t="s">
        <v>284</v>
      </c>
      <c r="D21" s="32">
        <f>ROUND('Stavební rozpočet'!J109,2)</f>
        <v>0</v>
      </c>
      <c r="E21" s="32">
        <f>ROUND('Stavební rozpočet'!K109,2)</f>
        <v>0</v>
      </c>
      <c r="F21" s="32">
        <f>ROUND('Stavební rozpočet'!L109,2)</f>
        <v>0</v>
      </c>
      <c r="G21" s="61">
        <f>'Stavební rozpočet'!P109</f>
        <v>4.0519097319999986</v>
      </c>
      <c r="H21" s="60" t="s">
        <v>362</v>
      </c>
      <c r="I21" s="32">
        <f t="shared" si="0"/>
        <v>0</v>
      </c>
    </row>
    <row r="22" spans="1:9" x14ac:dyDescent="0.25">
      <c r="A22" s="2" t="s">
        <v>55</v>
      </c>
      <c r="B22" s="3" t="s">
        <v>328</v>
      </c>
      <c r="C22" s="3" t="s">
        <v>329</v>
      </c>
      <c r="D22" s="32">
        <f>ROUND('Stavební rozpočet'!J130,2)</f>
        <v>0</v>
      </c>
      <c r="E22" s="32">
        <f>ROUND('Stavební rozpočet'!K130,2)</f>
        <v>0</v>
      </c>
      <c r="F22" s="32">
        <f>ROUND('Stavební rozpočet'!L130,2)</f>
        <v>0</v>
      </c>
      <c r="G22" s="61">
        <f>'Stavební rozpočet'!P130</f>
        <v>2.4820770000000003</v>
      </c>
      <c r="H22" s="60" t="s">
        <v>362</v>
      </c>
      <c r="I22" s="32">
        <f t="shared" si="0"/>
        <v>0</v>
      </c>
    </row>
    <row r="23" spans="1:9" x14ac:dyDescent="0.25">
      <c r="A23" s="62" t="s">
        <v>55</v>
      </c>
      <c r="B23" s="63" t="s">
        <v>341</v>
      </c>
      <c r="C23" s="63" t="s">
        <v>342</v>
      </c>
      <c r="D23" s="64">
        <f>ROUND('Stavební rozpočet'!J139,2)</f>
        <v>0</v>
      </c>
      <c r="E23" s="64">
        <f>ROUND('Stavební rozpočet'!K139,2)</f>
        <v>0</v>
      </c>
      <c r="F23" s="64">
        <f>ROUND('Stavební rozpočet'!L139,2)</f>
        <v>0</v>
      </c>
      <c r="G23" s="65">
        <f>'Stavební rozpočet'!P139</f>
        <v>0.13087499999999999</v>
      </c>
      <c r="H23" s="60" t="s">
        <v>362</v>
      </c>
      <c r="I23" s="32">
        <f t="shared" si="0"/>
        <v>0</v>
      </c>
    </row>
    <row r="24" spans="1:9" x14ac:dyDescent="0.25">
      <c r="E24" s="48" t="s">
        <v>353</v>
      </c>
      <c r="F24" s="49">
        <f>ROUND(SUM(I11:I23),2)</f>
        <v>0</v>
      </c>
    </row>
  </sheetData>
  <mergeCells count="25">
    <mergeCell ref="G2:G3"/>
    <mergeCell ref="G4:G5"/>
    <mergeCell ref="G6:G7"/>
    <mergeCell ref="G8:G9"/>
    <mergeCell ref="C8:C9"/>
    <mergeCell ref="E2:E3"/>
    <mergeCell ref="E4:E5"/>
    <mergeCell ref="E6:E7"/>
    <mergeCell ref="E8:E9"/>
    <mergeCell ref="A1:G1"/>
    <mergeCell ref="A2:B3"/>
    <mergeCell ref="A4:B5"/>
    <mergeCell ref="A6:B7"/>
    <mergeCell ref="A8:B9"/>
    <mergeCell ref="D2:D3"/>
    <mergeCell ref="D4:D5"/>
    <mergeCell ref="D6:D7"/>
    <mergeCell ref="D8:D9"/>
    <mergeCell ref="F2:F3"/>
    <mergeCell ref="F4:F5"/>
    <mergeCell ref="F6:F7"/>
    <mergeCell ref="F8:F9"/>
    <mergeCell ref="C2:C3"/>
    <mergeCell ref="C4:C5"/>
    <mergeCell ref="C6:C7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7"/>
  <sheetViews>
    <sheetView tabSelected="1" workbookViewId="0">
      <selection activeCell="I14" sqref="I14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7.140625" customWidth="1"/>
    <col min="4" max="4" width="10" customWidth="1"/>
    <col min="5" max="5" width="14" customWidth="1"/>
    <col min="6" max="6" width="27.140625" customWidth="1"/>
    <col min="7" max="7" width="9.140625" customWidth="1"/>
    <col min="8" max="8" width="12.85546875" customWidth="1"/>
    <col min="9" max="9" width="27.140625" customWidth="1"/>
  </cols>
  <sheetData>
    <row r="1" spans="1:9" ht="54.75" customHeight="1" x14ac:dyDescent="0.25">
      <c r="A1" s="91" t="s">
        <v>363</v>
      </c>
      <c r="B1" s="92"/>
      <c r="C1" s="92"/>
      <c r="D1" s="92"/>
      <c r="E1" s="92"/>
      <c r="F1" s="92"/>
      <c r="G1" s="92"/>
      <c r="H1" s="92"/>
      <c r="I1" s="92"/>
    </row>
    <row r="2" spans="1:9" x14ac:dyDescent="0.25">
      <c r="A2" s="93" t="s">
        <v>1</v>
      </c>
      <c r="B2" s="94"/>
      <c r="C2" s="104" t="str">
        <f>'Stavební rozpočet'!D2</f>
        <v>Rekonstrukce tělocvičny č.p. 387 v areálu ZŠ Stochov</v>
      </c>
      <c r="D2" s="105"/>
      <c r="E2" s="99" t="s">
        <v>3</v>
      </c>
      <c r="F2" s="99" t="str">
        <f>'Stavební rozpočet'!J2</f>
        <v>Město Stochov</v>
      </c>
      <c r="G2" s="94"/>
      <c r="H2" s="99" t="s">
        <v>364</v>
      </c>
      <c r="I2" s="101" t="s">
        <v>365</v>
      </c>
    </row>
    <row r="3" spans="1:9" ht="15" customHeight="1" x14ac:dyDescent="0.25">
      <c r="A3" s="95"/>
      <c r="B3" s="96"/>
      <c r="C3" s="106"/>
      <c r="D3" s="106"/>
      <c r="E3" s="96"/>
      <c r="F3" s="96"/>
      <c r="G3" s="96"/>
      <c r="H3" s="96"/>
      <c r="I3" s="102"/>
    </row>
    <row r="4" spans="1:9" x14ac:dyDescent="0.25">
      <c r="A4" s="97" t="s">
        <v>5</v>
      </c>
      <c r="B4" s="96"/>
      <c r="C4" s="100" t="str">
        <f>'Stavební rozpočet'!D4</f>
        <v>Udržovací práce a oprava stávajícícho objektu</v>
      </c>
      <c r="D4" s="96"/>
      <c r="E4" s="100" t="s">
        <v>9</v>
      </c>
      <c r="F4" s="100" t="str">
        <f>'Stavební rozpočet'!J4</f>
        <v>ARIPROS s.r.o.</v>
      </c>
      <c r="G4" s="96"/>
      <c r="H4" s="100" t="s">
        <v>364</v>
      </c>
      <c r="I4" s="102" t="s">
        <v>366</v>
      </c>
    </row>
    <row r="5" spans="1:9" ht="15" customHeight="1" x14ac:dyDescent="0.25">
      <c r="A5" s="95"/>
      <c r="B5" s="96"/>
      <c r="C5" s="96"/>
      <c r="D5" s="96"/>
      <c r="E5" s="96"/>
      <c r="F5" s="96"/>
      <c r="G5" s="96"/>
      <c r="H5" s="96"/>
      <c r="I5" s="102"/>
    </row>
    <row r="6" spans="1:9" x14ac:dyDescent="0.25">
      <c r="A6" s="97" t="s">
        <v>11</v>
      </c>
      <c r="B6" s="96"/>
      <c r="C6" s="100" t="str">
        <f>'Stavební rozpočet'!D6</f>
        <v>ZŠ Stochov, Jaroslava Šípka 387, 273 03 Stochov</v>
      </c>
      <c r="D6" s="96"/>
      <c r="E6" s="100" t="s">
        <v>14</v>
      </c>
      <c r="F6" s="100" t="str">
        <f>'Stavební rozpočet'!J6</f>
        <v>Dle výběrového řízení</v>
      </c>
      <c r="G6" s="96"/>
      <c r="H6" s="100" t="s">
        <v>364</v>
      </c>
      <c r="I6" s="102" t="s">
        <v>55</v>
      </c>
    </row>
    <row r="7" spans="1:9" ht="15" customHeight="1" x14ac:dyDescent="0.25">
      <c r="A7" s="95"/>
      <c r="B7" s="96"/>
      <c r="C7" s="96"/>
      <c r="D7" s="96"/>
      <c r="E7" s="96"/>
      <c r="F7" s="96"/>
      <c r="G7" s="96"/>
      <c r="H7" s="96"/>
      <c r="I7" s="102"/>
    </row>
    <row r="8" spans="1:9" x14ac:dyDescent="0.25">
      <c r="A8" s="98" t="s">
        <v>421</v>
      </c>
      <c r="B8" s="96"/>
      <c r="C8" s="107" t="str">
        <f>'Stavební rozpočet'!H4</f>
        <v xml:space="preserve"> </v>
      </c>
      <c r="D8" s="108"/>
      <c r="E8" s="100"/>
      <c r="F8" s="100"/>
      <c r="G8" s="96"/>
      <c r="H8" s="96" t="s">
        <v>367</v>
      </c>
      <c r="I8" s="103">
        <v>66</v>
      </c>
    </row>
    <row r="9" spans="1:9" x14ac:dyDescent="0.25">
      <c r="A9" s="95"/>
      <c r="B9" s="96"/>
      <c r="C9" s="108"/>
      <c r="D9" s="108"/>
      <c r="E9" s="96"/>
      <c r="F9" s="96"/>
      <c r="G9" s="96"/>
      <c r="H9" s="96"/>
      <c r="I9" s="102"/>
    </row>
    <row r="10" spans="1:9" x14ac:dyDescent="0.25">
      <c r="A10" s="97" t="s">
        <v>16</v>
      </c>
      <c r="B10" s="96"/>
      <c r="C10" s="100" t="str">
        <f>'Stavební rozpočet'!D8</f>
        <v>80151</v>
      </c>
      <c r="D10" s="96"/>
      <c r="E10" s="100" t="s">
        <v>19</v>
      </c>
      <c r="F10" s="107"/>
      <c r="G10" s="108"/>
      <c r="H10" s="96" t="s">
        <v>368</v>
      </c>
      <c r="I10" s="110"/>
    </row>
    <row r="11" spans="1:9" x14ac:dyDescent="0.25">
      <c r="A11" s="116"/>
      <c r="B11" s="109"/>
      <c r="C11" s="109"/>
      <c r="D11" s="109"/>
      <c r="E11" s="109"/>
      <c r="F11" s="115"/>
      <c r="G11" s="115"/>
      <c r="H11" s="109"/>
      <c r="I11" s="111"/>
    </row>
    <row r="12" spans="1:9" ht="30.75" customHeight="1" x14ac:dyDescent="0.25">
      <c r="A12" s="112" t="s">
        <v>369</v>
      </c>
      <c r="B12" s="112"/>
      <c r="C12" s="112"/>
      <c r="D12" s="112"/>
      <c r="E12" s="112"/>
      <c r="F12" s="112"/>
      <c r="G12" s="112"/>
      <c r="H12" s="112"/>
      <c r="I12" s="112"/>
    </row>
    <row r="13" spans="1:9" ht="26.25" customHeight="1" x14ac:dyDescent="0.25">
      <c r="A13" s="76" t="s">
        <v>370</v>
      </c>
      <c r="B13" s="113" t="s">
        <v>371</v>
      </c>
      <c r="C13" s="114"/>
      <c r="D13" s="77" t="s">
        <v>372</v>
      </c>
      <c r="E13" s="113" t="s">
        <v>373</v>
      </c>
      <c r="F13" s="114"/>
      <c r="G13" s="77" t="s">
        <v>374</v>
      </c>
      <c r="H13" s="113" t="s">
        <v>375</v>
      </c>
      <c r="I13" s="114"/>
    </row>
    <row r="14" spans="1:9" x14ac:dyDescent="0.25">
      <c r="A14" s="78" t="s">
        <v>376</v>
      </c>
      <c r="B14" s="79" t="s">
        <v>377</v>
      </c>
      <c r="C14" s="80">
        <f>SUM('Stavební rozpočet'!AB12:AB287)</f>
        <v>0</v>
      </c>
      <c r="D14" s="122" t="s">
        <v>378</v>
      </c>
      <c r="E14" s="123"/>
      <c r="F14" s="80">
        <f>VORN!I15</f>
        <v>0</v>
      </c>
      <c r="G14" s="122" t="s">
        <v>379</v>
      </c>
      <c r="H14" s="123"/>
      <c r="I14" s="90">
        <v>0</v>
      </c>
    </row>
    <row r="15" spans="1:9" x14ac:dyDescent="0.25">
      <c r="A15" s="81" t="s">
        <v>55</v>
      </c>
      <c r="B15" s="79" t="s">
        <v>38</v>
      </c>
      <c r="C15" s="80">
        <f>SUM('Stavební rozpočet'!AC12:AC287)</f>
        <v>0</v>
      </c>
      <c r="D15" s="122" t="s">
        <v>380</v>
      </c>
      <c r="E15" s="123"/>
      <c r="F15" s="80">
        <f>VORN!I16</f>
        <v>0</v>
      </c>
      <c r="G15" s="122" t="s">
        <v>381</v>
      </c>
      <c r="H15" s="123"/>
      <c r="I15" s="90">
        <v>0</v>
      </c>
    </row>
    <row r="16" spans="1:9" x14ac:dyDescent="0.25">
      <c r="A16" s="78" t="s">
        <v>382</v>
      </c>
      <c r="B16" s="79" t="s">
        <v>377</v>
      </c>
      <c r="C16" s="80">
        <f>SUM('Stavební rozpočet'!AD12:AD287)</f>
        <v>0</v>
      </c>
      <c r="D16" s="122" t="s">
        <v>383</v>
      </c>
      <c r="E16" s="123"/>
      <c r="F16" s="80">
        <f>VORN!I17</f>
        <v>0</v>
      </c>
      <c r="G16" s="122" t="s">
        <v>384</v>
      </c>
      <c r="H16" s="123"/>
      <c r="I16" s="90">
        <v>0</v>
      </c>
    </row>
    <row r="17" spans="1:9" x14ac:dyDescent="0.25">
      <c r="A17" s="81" t="s">
        <v>55</v>
      </c>
      <c r="B17" s="79" t="s">
        <v>38</v>
      </c>
      <c r="C17" s="80">
        <f>SUM('Stavební rozpočet'!AE12:AE287)</f>
        <v>0</v>
      </c>
      <c r="D17" s="122" t="s">
        <v>385</v>
      </c>
      <c r="E17" s="123"/>
      <c r="F17" s="82">
        <f>VORN!I18</f>
        <v>0</v>
      </c>
      <c r="G17" s="122" t="s">
        <v>386</v>
      </c>
      <c r="H17" s="123"/>
      <c r="I17" s="90">
        <v>0</v>
      </c>
    </row>
    <row r="18" spans="1:9" x14ac:dyDescent="0.25">
      <c r="A18" s="78" t="s">
        <v>387</v>
      </c>
      <c r="B18" s="79" t="s">
        <v>377</v>
      </c>
      <c r="C18" s="80">
        <f>SUM('Stavební rozpočet'!AF12:AF287)</f>
        <v>0</v>
      </c>
      <c r="D18" s="122" t="s">
        <v>55</v>
      </c>
      <c r="E18" s="123"/>
      <c r="F18" s="82" t="s">
        <v>55</v>
      </c>
      <c r="G18" s="122" t="s">
        <v>388</v>
      </c>
      <c r="H18" s="123"/>
      <c r="I18" s="90">
        <f>VORN!I26</f>
        <v>0</v>
      </c>
    </row>
    <row r="19" spans="1:9" x14ac:dyDescent="0.25">
      <c r="A19" s="81" t="s">
        <v>55</v>
      </c>
      <c r="B19" s="79" t="s">
        <v>38</v>
      </c>
      <c r="C19" s="80">
        <f>SUM('Stavební rozpočet'!AG12:AG287)</f>
        <v>0</v>
      </c>
      <c r="D19" s="122" t="s">
        <v>55</v>
      </c>
      <c r="E19" s="123"/>
      <c r="F19" s="82" t="s">
        <v>55</v>
      </c>
      <c r="G19" s="122" t="s">
        <v>389</v>
      </c>
      <c r="H19" s="123"/>
      <c r="I19" s="90">
        <f>VORN!I27</f>
        <v>0</v>
      </c>
    </row>
    <row r="20" spans="1:9" x14ac:dyDescent="0.25">
      <c r="A20" s="117" t="s">
        <v>390</v>
      </c>
      <c r="B20" s="118"/>
      <c r="C20" s="80">
        <f>SUM('Stavební rozpočet'!AH12:AH287)</f>
        <v>0</v>
      </c>
      <c r="D20" s="122" t="s">
        <v>55</v>
      </c>
      <c r="E20" s="123"/>
      <c r="F20" s="82" t="s">
        <v>55</v>
      </c>
      <c r="G20" s="122" t="s">
        <v>55</v>
      </c>
      <c r="H20" s="123"/>
      <c r="I20" s="82" t="s">
        <v>55</v>
      </c>
    </row>
    <row r="21" spans="1:9" x14ac:dyDescent="0.25">
      <c r="A21" s="119" t="s">
        <v>391</v>
      </c>
      <c r="B21" s="120"/>
      <c r="C21" s="83">
        <f>SUM('Stavební rozpočet'!Z12:Z287)</f>
        <v>0</v>
      </c>
      <c r="D21" s="124" t="s">
        <v>55</v>
      </c>
      <c r="E21" s="125"/>
      <c r="F21" s="84" t="s">
        <v>55</v>
      </c>
      <c r="G21" s="124" t="s">
        <v>55</v>
      </c>
      <c r="H21" s="125"/>
      <c r="I21" s="84" t="s">
        <v>55</v>
      </c>
    </row>
    <row r="22" spans="1:9" ht="16.5" customHeight="1" x14ac:dyDescent="0.25">
      <c r="A22" s="121" t="s">
        <v>392</v>
      </c>
      <c r="B22" s="114"/>
      <c r="C22" s="85">
        <f>ROUND(SUM(C14:C21),2)</f>
        <v>0</v>
      </c>
      <c r="D22" s="113" t="s">
        <v>393</v>
      </c>
      <c r="E22" s="114"/>
      <c r="F22" s="85">
        <f>SUM(F14:F21)</f>
        <v>0</v>
      </c>
      <c r="G22" s="113" t="s">
        <v>394</v>
      </c>
      <c r="H22" s="114"/>
      <c r="I22" s="85">
        <f>SUM(I14:I21)</f>
        <v>0</v>
      </c>
    </row>
    <row r="23" spans="1:9" x14ac:dyDescent="0.25">
      <c r="A23" s="86"/>
      <c r="B23" s="86"/>
      <c r="C23" s="86"/>
      <c r="D23" s="117" t="s">
        <v>395</v>
      </c>
      <c r="E23" s="118"/>
      <c r="F23" s="89">
        <v>0</v>
      </c>
      <c r="G23" s="126" t="s">
        <v>396</v>
      </c>
      <c r="H23" s="118"/>
      <c r="I23" s="80">
        <v>0</v>
      </c>
    </row>
    <row r="24" spans="1:9" x14ac:dyDescent="0.25">
      <c r="A24" s="86"/>
      <c r="B24" s="86"/>
      <c r="C24" s="86"/>
      <c r="D24" s="86"/>
      <c r="E24" s="86"/>
      <c r="F24" s="86"/>
      <c r="G24" s="117" t="s">
        <v>397</v>
      </c>
      <c r="H24" s="118"/>
      <c r="I24" s="80">
        <f>vorn_sum</f>
        <v>0</v>
      </c>
    </row>
    <row r="25" spans="1:9" x14ac:dyDescent="0.25">
      <c r="A25" s="86"/>
      <c r="B25" s="86"/>
      <c r="C25" s="86"/>
      <c r="D25" s="86"/>
      <c r="E25" s="86"/>
      <c r="F25" s="86"/>
      <c r="G25" s="117" t="s">
        <v>398</v>
      </c>
      <c r="H25" s="118"/>
      <c r="I25" s="80">
        <v>0</v>
      </c>
    </row>
    <row r="26" spans="1:9" ht="15" customHeight="1" x14ac:dyDescent="0.25">
      <c r="A26" s="86"/>
      <c r="B26" s="86"/>
      <c r="C26" s="86"/>
      <c r="D26" s="86"/>
      <c r="E26" s="86"/>
      <c r="F26" s="86"/>
      <c r="G26" s="86"/>
      <c r="H26" s="86"/>
      <c r="I26" s="86"/>
    </row>
    <row r="27" spans="1:9" x14ac:dyDescent="0.25">
      <c r="A27" s="127" t="s">
        <v>399</v>
      </c>
      <c r="B27" s="128"/>
      <c r="C27" s="87">
        <f>ROUND(SUM('Stavební rozpočet'!AJ12:AJ287),2)</f>
        <v>0</v>
      </c>
      <c r="D27" s="86"/>
      <c r="E27" s="86"/>
      <c r="F27" s="86"/>
      <c r="G27" s="86"/>
      <c r="H27" s="86"/>
      <c r="I27" s="86"/>
    </row>
    <row r="28" spans="1:9" x14ac:dyDescent="0.25">
      <c r="A28" s="129" t="s">
        <v>400</v>
      </c>
      <c r="B28" s="130"/>
      <c r="C28" s="88">
        <f>ROUND(SUM('Stavební rozpočet'!AK12:AK287),2)</f>
        <v>0</v>
      </c>
      <c r="D28" s="131" t="s">
        <v>401</v>
      </c>
      <c r="E28" s="128"/>
      <c r="F28" s="87">
        <f>ROUND(C28*(12/100),2)</f>
        <v>0</v>
      </c>
      <c r="G28" s="131" t="s">
        <v>402</v>
      </c>
      <c r="H28" s="128"/>
      <c r="I28" s="87">
        <f>ROUND(SUM(C27:C29),2)</f>
        <v>0</v>
      </c>
    </row>
    <row r="29" spans="1:9" x14ac:dyDescent="0.25">
      <c r="A29" s="129" t="s">
        <v>403</v>
      </c>
      <c r="B29" s="130"/>
      <c r="C29" s="88">
        <f>ROUND(SUM('Stavební rozpočet'!AL12:AL287)+(F22+I22+F23+I23+I24+I25),2)</f>
        <v>0</v>
      </c>
      <c r="D29" s="132" t="s">
        <v>404</v>
      </c>
      <c r="E29" s="130"/>
      <c r="F29" s="88">
        <f>ROUND(C29*(21/100),2)</f>
        <v>0</v>
      </c>
      <c r="G29" s="132" t="s">
        <v>405</v>
      </c>
      <c r="H29" s="130"/>
      <c r="I29" s="88">
        <f>ROUND(SUM(F28:F29)+I28,2)</f>
        <v>0</v>
      </c>
    </row>
    <row r="30" spans="1:9" ht="15" customHeight="1" x14ac:dyDescent="0.25">
      <c r="A30" s="86"/>
      <c r="B30" s="86"/>
      <c r="C30" s="86"/>
      <c r="D30" s="86"/>
      <c r="E30" s="86"/>
      <c r="F30" s="86"/>
      <c r="G30" s="86"/>
      <c r="H30" s="86"/>
      <c r="I30" s="86"/>
    </row>
    <row r="31" spans="1:9" x14ac:dyDescent="0.25">
      <c r="A31" s="142" t="s">
        <v>406</v>
      </c>
      <c r="B31" s="134"/>
      <c r="C31" s="135"/>
      <c r="D31" s="133" t="s">
        <v>407</v>
      </c>
      <c r="E31" s="134"/>
      <c r="F31" s="135"/>
      <c r="G31" s="133" t="s">
        <v>408</v>
      </c>
      <c r="H31" s="134"/>
      <c r="I31" s="135"/>
    </row>
    <row r="32" spans="1:9" x14ac:dyDescent="0.25">
      <c r="A32" s="143" t="s">
        <v>55</v>
      </c>
      <c r="B32" s="137"/>
      <c r="C32" s="138"/>
      <c r="D32" s="136" t="s">
        <v>55</v>
      </c>
      <c r="E32" s="137"/>
      <c r="F32" s="138"/>
      <c r="G32" s="136" t="s">
        <v>55</v>
      </c>
      <c r="H32" s="137"/>
      <c r="I32" s="138"/>
    </row>
    <row r="33" spans="1:9" x14ac:dyDescent="0.25">
      <c r="A33" s="143" t="s">
        <v>55</v>
      </c>
      <c r="B33" s="137"/>
      <c r="C33" s="138"/>
      <c r="D33" s="136" t="s">
        <v>55</v>
      </c>
      <c r="E33" s="137"/>
      <c r="F33" s="138"/>
      <c r="G33" s="136" t="s">
        <v>55</v>
      </c>
      <c r="H33" s="137"/>
      <c r="I33" s="138"/>
    </row>
    <row r="34" spans="1:9" x14ac:dyDescent="0.25">
      <c r="A34" s="143" t="s">
        <v>55</v>
      </c>
      <c r="B34" s="137"/>
      <c r="C34" s="138"/>
      <c r="D34" s="136" t="s">
        <v>55</v>
      </c>
      <c r="E34" s="137"/>
      <c r="F34" s="138"/>
      <c r="G34" s="136" t="s">
        <v>55</v>
      </c>
      <c r="H34" s="137"/>
      <c r="I34" s="138"/>
    </row>
    <row r="35" spans="1:9" x14ac:dyDescent="0.25">
      <c r="A35" s="144" t="s">
        <v>409</v>
      </c>
      <c r="B35" s="140"/>
      <c r="C35" s="141"/>
      <c r="D35" s="139" t="s">
        <v>409</v>
      </c>
      <c r="E35" s="140"/>
      <c r="F35" s="141"/>
      <c r="G35" s="139" t="s">
        <v>409</v>
      </c>
      <c r="H35" s="140"/>
      <c r="I35" s="141"/>
    </row>
    <row r="36" spans="1:9" x14ac:dyDescent="0.25">
      <c r="A36" s="66" t="s">
        <v>354</v>
      </c>
    </row>
    <row r="37" spans="1:9" ht="40.5" customHeight="1" x14ac:dyDescent="0.25">
      <c r="A37" s="100" t="s">
        <v>355</v>
      </c>
      <c r="B37" s="96"/>
      <c r="C37" s="96"/>
      <c r="D37" s="96"/>
      <c r="E37" s="96"/>
      <c r="F37" s="96"/>
      <c r="G37" s="96"/>
      <c r="H37" s="96"/>
      <c r="I37" s="96"/>
    </row>
  </sheetData>
  <mergeCells count="83">
    <mergeCell ref="A37:I37"/>
    <mergeCell ref="G31:I31"/>
    <mergeCell ref="G32:I32"/>
    <mergeCell ref="G33:I33"/>
    <mergeCell ref="G34:I34"/>
    <mergeCell ref="G35:I35"/>
    <mergeCell ref="D31:F31"/>
    <mergeCell ref="D32:F32"/>
    <mergeCell ref="D33:F33"/>
    <mergeCell ref="D34:F34"/>
    <mergeCell ref="D35:F35"/>
    <mergeCell ref="A31:C31"/>
    <mergeCell ref="A32:C32"/>
    <mergeCell ref="A33:C33"/>
    <mergeCell ref="A34:C34"/>
    <mergeCell ref="A35:C35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I10:I11"/>
    <mergeCell ref="A12:I12"/>
    <mergeCell ref="B13:C13"/>
    <mergeCell ref="E13:F13"/>
    <mergeCell ref="H13:I13"/>
    <mergeCell ref="F10:G11"/>
    <mergeCell ref="A10:B11"/>
    <mergeCell ref="H2:H3"/>
    <mergeCell ref="H4:H5"/>
    <mergeCell ref="H6:H7"/>
    <mergeCell ref="H8:H9"/>
    <mergeCell ref="H10:H11"/>
    <mergeCell ref="C8:D9"/>
    <mergeCell ref="C10:D11"/>
    <mergeCell ref="E2:E3"/>
    <mergeCell ref="E4:E5"/>
    <mergeCell ref="E6:E7"/>
    <mergeCell ref="E8:E9"/>
    <mergeCell ref="E10:E11"/>
    <mergeCell ref="A1:I1"/>
    <mergeCell ref="A2:B3"/>
    <mergeCell ref="A4:B5"/>
    <mergeCell ref="A6:B7"/>
    <mergeCell ref="A8:B9"/>
    <mergeCell ref="F2:G3"/>
    <mergeCell ref="F4:G5"/>
    <mergeCell ref="F6:G7"/>
    <mergeCell ref="F8:G9"/>
    <mergeCell ref="I2:I3"/>
    <mergeCell ref="I4:I5"/>
    <mergeCell ref="I6:I7"/>
    <mergeCell ref="I8:I9"/>
    <mergeCell ref="C2:D3"/>
    <mergeCell ref="C4:D5"/>
    <mergeCell ref="C6:D7"/>
  </mergeCells>
  <pageMargins left="0.393999993801117" right="0.393999993801117" top="0.59100002050399802" bottom="0.59100002050399802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7"/>
  <sheetViews>
    <sheetView workbookViewId="0">
      <selection activeCell="A37" sqref="A37:E37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7.140625" customWidth="1"/>
    <col min="9" max="9" width="22.85546875" customWidth="1"/>
  </cols>
  <sheetData>
    <row r="1" spans="1:9" ht="54.75" customHeight="1" x14ac:dyDescent="0.25">
      <c r="A1" s="176" t="s">
        <v>410</v>
      </c>
      <c r="B1" s="177"/>
      <c r="C1" s="177"/>
      <c r="D1" s="177"/>
      <c r="E1" s="177"/>
      <c r="F1" s="177"/>
      <c r="G1" s="177"/>
      <c r="H1" s="177"/>
      <c r="I1" s="177"/>
    </row>
    <row r="2" spans="1:9" x14ac:dyDescent="0.25">
      <c r="A2" s="93" t="s">
        <v>1</v>
      </c>
      <c r="B2" s="94"/>
      <c r="C2" s="104" t="str">
        <f>'Stavební rozpočet'!D2</f>
        <v>Rekonstrukce tělocvičny č.p. 387 v areálu ZŠ Stochov</v>
      </c>
      <c r="D2" s="105"/>
      <c r="E2" s="99" t="s">
        <v>3</v>
      </c>
      <c r="F2" s="99" t="str">
        <f>'Stavební rozpočet'!J2</f>
        <v>Město Stochov</v>
      </c>
      <c r="G2" s="94"/>
      <c r="H2" s="99" t="s">
        <v>364</v>
      </c>
      <c r="I2" s="101" t="s">
        <v>365</v>
      </c>
    </row>
    <row r="3" spans="1:9" ht="15" customHeight="1" x14ac:dyDescent="0.25">
      <c r="A3" s="95"/>
      <c r="B3" s="96"/>
      <c r="C3" s="106"/>
      <c r="D3" s="106"/>
      <c r="E3" s="96"/>
      <c r="F3" s="96"/>
      <c r="G3" s="96"/>
      <c r="H3" s="96"/>
      <c r="I3" s="102"/>
    </row>
    <row r="4" spans="1:9" x14ac:dyDescent="0.25">
      <c r="A4" s="97" t="s">
        <v>5</v>
      </c>
      <c r="B4" s="96"/>
      <c r="C4" s="100" t="str">
        <f>'Stavební rozpočet'!D4</f>
        <v>Udržovací práce a oprava stávajícícho objektu</v>
      </c>
      <c r="D4" s="96"/>
      <c r="E4" s="100" t="s">
        <v>9</v>
      </c>
      <c r="F4" s="100" t="str">
        <f>'Stavební rozpočet'!J4</f>
        <v>ARIPROS s.r.o.</v>
      </c>
      <c r="G4" s="96"/>
      <c r="H4" s="100" t="s">
        <v>364</v>
      </c>
      <c r="I4" s="102" t="s">
        <v>366</v>
      </c>
    </row>
    <row r="5" spans="1:9" ht="15" customHeight="1" x14ac:dyDescent="0.25">
      <c r="A5" s="95"/>
      <c r="B5" s="96"/>
      <c r="C5" s="96"/>
      <c r="D5" s="96"/>
      <c r="E5" s="96"/>
      <c r="F5" s="96"/>
      <c r="G5" s="96"/>
      <c r="H5" s="96"/>
      <c r="I5" s="102"/>
    </row>
    <row r="6" spans="1:9" x14ac:dyDescent="0.25">
      <c r="A6" s="97" t="s">
        <v>11</v>
      </c>
      <c r="B6" s="96"/>
      <c r="C6" s="100" t="str">
        <f>'Stavební rozpočet'!D6</f>
        <v>ZŠ Stochov, Jaroslava Šípka 387, 273 03 Stochov</v>
      </c>
      <c r="D6" s="96"/>
      <c r="E6" s="100" t="s">
        <v>14</v>
      </c>
      <c r="F6" s="100" t="str">
        <f>'Stavební rozpočet'!J6</f>
        <v>Dle výběrového řízení</v>
      </c>
      <c r="G6" s="96"/>
      <c r="H6" s="100" t="s">
        <v>364</v>
      </c>
      <c r="I6" s="102" t="s">
        <v>55</v>
      </c>
    </row>
    <row r="7" spans="1:9" ht="15" customHeight="1" x14ac:dyDescent="0.25">
      <c r="A7" s="95"/>
      <c r="B7" s="96"/>
      <c r="C7" s="96"/>
      <c r="D7" s="96"/>
      <c r="E7" s="96"/>
      <c r="F7" s="96"/>
      <c r="G7" s="96"/>
      <c r="H7" s="96"/>
      <c r="I7" s="102"/>
    </row>
    <row r="8" spans="1:9" x14ac:dyDescent="0.25">
      <c r="A8" s="97" t="s">
        <v>7</v>
      </c>
      <c r="B8" s="96"/>
      <c r="C8" s="100" t="str">
        <f>'Stavební rozpočet'!H4</f>
        <v xml:space="preserve"> </v>
      </c>
      <c r="D8" s="96"/>
      <c r="E8" s="100" t="s">
        <v>13</v>
      </c>
      <c r="F8" s="100">
        <f>'Stavební rozpočet'!H6</f>
        <v>0</v>
      </c>
      <c r="G8" s="96"/>
      <c r="H8" s="96" t="s">
        <v>367</v>
      </c>
      <c r="I8" s="103">
        <v>66</v>
      </c>
    </row>
    <row r="9" spans="1:9" x14ac:dyDescent="0.25">
      <c r="A9" s="95"/>
      <c r="B9" s="96"/>
      <c r="C9" s="96"/>
      <c r="D9" s="96"/>
      <c r="E9" s="96"/>
      <c r="F9" s="96"/>
      <c r="G9" s="96"/>
      <c r="H9" s="96"/>
      <c r="I9" s="102"/>
    </row>
    <row r="10" spans="1:9" x14ac:dyDescent="0.25">
      <c r="A10" s="97" t="s">
        <v>16</v>
      </c>
      <c r="B10" s="96"/>
      <c r="C10" s="100" t="str">
        <f>'Stavební rozpočet'!D8</f>
        <v>80151</v>
      </c>
      <c r="D10" s="96"/>
      <c r="E10" s="100" t="s">
        <v>19</v>
      </c>
      <c r="F10" s="100">
        <f>'Stavební rozpočet'!J8</f>
        <v>0</v>
      </c>
      <c r="G10" s="96"/>
      <c r="H10" s="96" t="s">
        <v>368</v>
      </c>
      <c r="I10" s="174">
        <f>'Stavební rozpočet'!H8</f>
        <v>0</v>
      </c>
    </row>
    <row r="11" spans="1:9" x14ac:dyDescent="0.25">
      <c r="A11" s="116"/>
      <c r="B11" s="109"/>
      <c r="C11" s="109"/>
      <c r="D11" s="109"/>
      <c r="E11" s="109"/>
      <c r="F11" s="109"/>
      <c r="G11" s="109"/>
      <c r="H11" s="109"/>
      <c r="I11" s="178"/>
    </row>
    <row r="13" spans="1:9" ht="15.75" x14ac:dyDescent="0.25">
      <c r="A13" s="179" t="s">
        <v>411</v>
      </c>
      <c r="B13" s="179"/>
      <c r="C13" s="179"/>
      <c r="D13" s="179"/>
      <c r="E13" s="179"/>
    </row>
    <row r="14" spans="1:9" x14ac:dyDescent="0.25">
      <c r="A14" s="180" t="s">
        <v>412</v>
      </c>
      <c r="B14" s="181"/>
      <c r="C14" s="181"/>
      <c r="D14" s="181"/>
      <c r="E14" s="182"/>
      <c r="F14" s="67" t="s">
        <v>413</v>
      </c>
      <c r="G14" s="67" t="s">
        <v>29</v>
      </c>
      <c r="H14" s="67" t="s">
        <v>414</v>
      </c>
      <c r="I14" s="67" t="s">
        <v>413</v>
      </c>
    </row>
    <row r="15" spans="1:9" x14ac:dyDescent="0.25">
      <c r="A15" s="183" t="s">
        <v>378</v>
      </c>
      <c r="B15" s="184"/>
      <c r="C15" s="184"/>
      <c r="D15" s="184"/>
      <c r="E15" s="185"/>
      <c r="F15" s="68">
        <v>0</v>
      </c>
      <c r="G15" s="69" t="s">
        <v>55</v>
      </c>
      <c r="H15" s="69" t="s">
        <v>55</v>
      </c>
      <c r="I15" s="68">
        <f>F15</f>
        <v>0</v>
      </c>
    </row>
    <row r="16" spans="1:9" x14ac:dyDescent="0.25">
      <c r="A16" s="183" t="s">
        <v>380</v>
      </c>
      <c r="B16" s="184"/>
      <c r="C16" s="184"/>
      <c r="D16" s="184"/>
      <c r="E16" s="185"/>
      <c r="F16" s="68">
        <v>0</v>
      </c>
      <c r="G16" s="69" t="s">
        <v>55</v>
      </c>
      <c r="H16" s="69" t="s">
        <v>55</v>
      </c>
      <c r="I16" s="68">
        <f>F16</f>
        <v>0</v>
      </c>
    </row>
    <row r="17" spans="1:9" x14ac:dyDescent="0.25">
      <c r="A17" s="183" t="s">
        <v>383</v>
      </c>
      <c r="B17" s="184"/>
      <c r="C17" s="184"/>
      <c r="D17" s="184"/>
      <c r="E17" s="185"/>
      <c r="F17" s="68">
        <v>0</v>
      </c>
      <c r="G17" s="69" t="s">
        <v>55</v>
      </c>
      <c r="H17" s="69" t="s">
        <v>55</v>
      </c>
      <c r="I17" s="68">
        <f>F17</f>
        <v>0</v>
      </c>
    </row>
    <row r="18" spans="1:9" x14ac:dyDescent="0.25">
      <c r="A18" s="186" t="s">
        <v>385</v>
      </c>
      <c r="B18" s="187"/>
      <c r="C18" s="187"/>
      <c r="D18" s="187"/>
      <c r="E18" s="188"/>
      <c r="F18" s="70">
        <v>0</v>
      </c>
      <c r="G18" s="71" t="s">
        <v>55</v>
      </c>
      <c r="H18" s="71" t="s">
        <v>55</v>
      </c>
      <c r="I18" s="70">
        <f>F18</f>
        <v>0</v>
      </c>
    </row>
    <row r="19" spans="1:9" x14ac:dyDescent="0.25">
      <c r="A19" s="189" t="s">
        <v>415</v>
      </c>
      <c r="B19" s="190"/>
      <c r="C19" s="190"/>
      <c r="D19" s="190"/>
      <c r="E19" s="191"/>
      <c r="F19" s="72" t="s">
        <v>55</v>
      </c>
      <c r="G19" s="73" t="s">
        <v>55</v>
      </c>
      <c r="H19" s="73" t="s">
        <v>55</v>
      </c>
      <c r="I19" s="74">
        <f>SUM(I15:I18)</f>
        <v>0</v>
      </c>
    </row>
    <row r="21" spans="1:9" x14ac:dyDescent="0.25">
      <c r="A21" s="180" t="s">
        <v>375</v>
      </c>
      <c r="B21" s="181"/>
      <c r="C21" s="181"/>
      <c r="D21" s="181"/>
      <c r="E21" s="182"/>
      <c r="F21" s="67" t="s">
        <v>413</v>
      </c>
      <c r="G21" s="67" t="s">
        <v>29</v>
      </c>
      <c r="H21" s="67" t="s">
        <v>414</v>
      </c>
      <c r="I21" s="67" t="s">
        <v>413</v>
      </c>
    </row>
    <row r="22" spans="1:9" x14ac:dyDescent="0.25">
      <c r="A22" s="183" t="s">
        <v>379</v>
      </c>
      <c r="B22" s="184"/>
      <c r="C22" s="184"/>
      <c r="D22" s="184"/>
      <c r="E22" s="185"/>
      <c r="F22" s="68">
        <v>95000</v>
      </c>
      <c r="G22" s="69" t="s">
        <v>55</v>
      </c>
      <c r="H22" s="69" t="s">
        <v>55</v>
      </c>
      <c r="I22" s="68">
        <f t="shared" ref="I22:I27" si="0">F22</f>
        <v>95000</v>
      </c>
    </row>
    <row r="23" spans="1:9" x14ac:dyDescent="0.25">
      <c r="A23" s="183" t="s">
        <v>381</v>
      </c>
      <c r="B23" s="184"/>
      <c r="C23" s="184"/>
      <c r="D23" s="184"/>
      <c r="E23" s="185"/>
      <c r="F23" s="68">
        <v>48500</v>
      </c>
      <c r="G23" s="69" t="s">
        <v>55</v>
      </c>
      <c r="H23" s="69" t="s">
        <v>55</v>
      </c>
      <c r="I23" s="68">
        <f t="shared" si="0"/>
        <v>48500</v>
      </c>
    </row>
    <row r="24" spans="1:9" x14ac:dyDescent="0.25">
      <c r="A24" s="183" t="s">
        <v>384</v>
      </c>
      <c r="B24" s="184"/>
      <c r="C24" s="184"/>
      <c r="D24" s="184"/>
      <c r="E24" s="185"/>
      <c r="F24" s="68">
        <v>10000</v>
      </c>
      <c r="G24" s="69" t="s">
        <v>55</v>
      </c>
      <c r="H24" s="69" t="s">
        <v>55</v>
      </c>
      <c r="I24" s="68">
        <f t="shared" si="0"/>
        <v>10000</v>
      </c>
    </row>
    <row r="25" spans="1:9" x14ac:dyDescent="0.25">
      <c r="A25" s="183" t="s">
        <v>386</v>
      </c>
      <c r="B25" s="184"/>
      <c r="C25" s="184"/>
      <c r="D25" s="184"/>
      <c r="E25" s="185"/>
      <c r="F25" s="68">
        <v>10000</v>
      </c>
      <c r="G25" s="69" t="s">
        <v>55</v>
      </c>
      <c r="H25" s="69" t="s">
        <v>55</v>
      </c>
      <c r="I25" s="68">
        <f t="shared" si="0"/>
        <v>10000</v>
      </c>
    </row>
    <row r="26" spans="1:9" x14ac:dyDescent="0.25">
      <c r="A26" s="183" t="s">
        <v>388</v>
      </c>
      <c r="B26" s="184"/>
      <c r="C26" s="184"/>
      <c r="D26" s="184"/>
      <c r="E26" s="185"/>
      <c r="F26" s="68">
        <v>0</v>
      </c>
      <c r="G26" s="69" t="s">
        <v>55</v>
      </c>
      <c r="H26" s="69" t="s">
        <v>55</v>
      </c>
      <c r="I26" s="68">
        <f t="shared" si="0"/>
        <v>0</v>
      </c>
    </row>
    <row r="27" spans="1:9" x14ac:dyDescent="0.25">
      <c r="A27" s="186" t="s">
        <v>389</v>
      </c>
      <c r="B27" s="187"/>
      <c r="C27" s="187"/>
      <c r="D27" s="187"/>
      <c r="E27" s="188"/>
      <c r="F27" s="70">
        <v>0</v>
      </c>
      <c r="G27" s="71" t="s">
        <v>55</v>
      </c>
      <c r="H27" s="71" t="s">
        <v>55</v>
      </c>
      <c r="I27" s="70">
        <f t="shared" si="0"/>
        <v>0</v>
      </c>
    </row>
    <row r="28" spans="1:9" x14ac:dyDescent="0.25">
      <c r="A28" s="189" t="s">
        <v>416</v>
      </c>
      <c r="B28" s="190"/>
      <c r="C28" s="190"/>
      <c r="D28" s="190"/>
      <c r="E28" s="191"/>
      <c r="F28" s="72" t="s">
        <v>55</v>
      </c>
      <c r="G28" s="73" t="s">
        <v>55</v>
      </c>
      <c r="H28" s="73" t="s">
        <v>55</v>
      </c>
      <c r="I28" s="74">
        <f>SUM(I22:I27)</f>
        <v>163500</v>
      </c>
    </row>
    <row r="30" spans="1:9" ht="15.75" x14ac:dyDescent="0.25">
      <c r="A30" s="192" t="s">
        <v>417</v>
      </c>
      <c r="B30" s="193"/>
      <c r="C30" s="193"/>
      <c r="D30" s="193"/>
      <c r="E30" s="194"/>
      <c r="F30" s="195">
        <f>I19+I28</f>
        <v>163500</v>
      </c>
      <c r="G30" s="196"/>
      <c r="H30" s="196"/>
      <c r="I30" s="197"/>
    </row>
    <row r="34" spans="1:9" ht="15.75" x14ac:dyDescent="0.25">
      <c r="A34" s="179" t="s">
        <v>418</v>
      </c>
      <c r="B34" s="179"/>
      <c r="C34" s="179"/>
      <c r="D34" s="179"/>
      <c r="E34" s="179"/>
    </row>
    <row r="35" spans="1:9" x14ac:dyDescent="0.25">
      <c r="A35" s="180" t="s">
        <v>419</v>
      </c>
      <c r="B35" s="181"/>
      <c r="C35" s="181"/>
      <c r="D35" s="181"/>
      <c r="E35" s="182"/>
      <c r="F35" s="67" t="s">
        <v>413</v>
      </c>
      <c r="G35" s="67" t="s">
        <v>29</v>
      </c>
      <c r="H35" s="67" t="s">
        <v>414</v>
      </c>
      <c r="I35" s="67" t="s">
        <v>413</v>
      </c>
    </row>
    <row r="36" spans="1:9" x14ac:dyDescent="0.25">
      <c r="A36" s="186" t="s">
        <v>55</v>
      </c>
      <c r="B36" s="187"/>
      <c r="C36" s="187"/>
      <c r="D36" s="187"/>
      <c r="E36" s="188"/>
      <c r="F36" s="70">
        <v>0</v>
      </c>
      <c r="G36" s="71" t="s">
        <v>55</v>
      </c>
      <c r="H36" s="71" t="s">
        <v>55</v>
      </c>
      <c r="I36" s="70">
        <f>F36</f>
        <v>0</v>
      </c>
    </row>
    <row r="37" spans="1:9" x14ac:dyDescent="0.25">
      <c r="A37" s="189" t="s">
        <v>420</v>
      </c>
      <c r="B37" s="190"/>
      <c r="C37" s="190"/>
      <c r="D37" s="190"/>
      <c r="E37" s="191"/>
      <c r="F37" s="72" t="s">
        <v>55</v>
      </c>
      <c r="G37" s="73" t="s">
        <v>55</v>
      </c>
      <c r="H37" s="73" t="s">
        <v>55</v>
      </c>
      <c r="I37" s="74">
        <f>SUM(I36:I36)</f>
        <v>0</v>
      </c>
    </row>
  </sheetData>
  <mergeCells count="52">
    <mergeCell ref="A36:E36"/>
    <mergeCell ref="A37:E37"/>
    <mergeCell ref="A28:E28"/>
    <mergeCell ref="A30:E30"/>
    <mergeCell ref="F30:I30"/>
    <mergeCell ref="A34:E34"/>
    <mergeCell ref="A35:E35"/>
    <mergeCell ref="A23:E23"/>
    <mergeCell ref="A24:E24"/>
    <mergeCell ref="A25:E25"/>
    <mergeCell ref="A26:E26"/>
    <mergeCell ref="A27:E27"/>
    <mergeCell ref="A17:E17"/>
    <mergeCell ref="A18:E18"/>
    <mergeCell ref="A19:E19"/>
    <mergeCell ref="A21:E21"/>
    <mergeCell ref="A22:E22"/>
    <mergeCell ref="I10:I11"/>
    <mergeCell ref="A13:E13"/>
    <mergeCell ref="A14:E14"/>
    <mergeCell ref="A15:E15"/>
    <mergeCell ref="A16:E16"/>
    <mergeCell ref="H10:H11"/>
    <mergeCell ref="A10:B11"/>
    <mergeCell ref="C2:D3"/>
    <mergeCell ref="C4:D5"/>
    <mergeCell ref="C6:D7"/>
    <mergeCell ref="C8:D9"/>
    <mergeCell ref="C10:D11"/>
    <mergeCell ref="E8:E9"/>
    <mergeCell ref="E10:E11"/>
    <mergeCell ref="F2:G3"/>
    <mergeCell ref="F4:G5"/>
    <mergeCell ref="F6:G7"/>
    <mergeCell ref="F8:G9"/>
    <mergeCell ref="F10:G11"/>
    <mergeCell ref="A1:I1"/>
    <mergeCell ref="A2:B3"/>
    <mergeCell ref="A4:B5"/>
    <mergeCell ref="A6:B7"/>
    <mergeCell ref="A8:B9"/>
    <mergeCell ref="H2:H3"/>
    <mergeCell ref="H4:H5"/>
    <mergeCell ref="H6:H7"/>
    <mergeCell ref="H8:H9"/>
    <mergeCell ref="I2:I3"/>
    <mergeCell ref="I4:I5"/>
    <mergeCell ref="I6:I7"/>
    <mergeCell ref="I8:I9"/>
    <mergeCell ref="E2:E3"/>
    <mergeCell ref="E4:E5"/>
    <mergeCell ref="E6:E7"/>
  </mergeCells>
  <pageMargins left="0.393999993801117" right="0.393999993801117" top="0.59100002050399802" bottom="0.59100002050399802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Stavební rozpočet</vt:lpstr>
      <vt:lpstr>Stavební rozpočet - součet</vt:lpstr>
      <vt:lpstr>Krycí list rozpočtu</vt:lpstr>
      <vt:lpstr>VORN</vt:lpstr>
      <vt:lpstr>vorn_sum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Lenka Urbanová</cp:lastModifiedBy>
  <dcterms:created xsi:type="dcterms:W3CDTF">2021-06-10T20:06:38Z</dcterms:created>
  <dcterms:modified xsi:type="dcterms:W3CDTF">2026-03-27T05:53:01Z</dcterms:modified>
</cp:coreProperties>
</file>