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f82a14b936df7dd5/Plocha/"/>
    </mc:Choice>
  </mc:AlternateContent>
  <xr:revisionPtr revIDLastSave="3" documentId="11_88ABAF162605E8CFE2668F1D83FD79CE37D16D76" xr6:coauthVersionLast="47" xr6:coauthVersionMax="47" xr10:uidLastSave="{6C32A7E8-86BF-4CB9-B23D-B67B8FD68F6F}"/>
  <bookViews>
    <workbookView xWindow="48855" yWindow="1065" windowWidth="28800" windowHeight="15375" xr2:uid="{00000000-000D-0000-FFFF-FFFF00000000}"/>
  </bookViews>
  <sheets>
    <sheet name="Stavební rozpočet" sheetId="1" r:id="rId1"/>
    <sheet name="Krycí list rozpočtu" sheetId="2" r:id="rId2"/>
    <sheet name="VORN" sheetId="3" state="hidden" r:id="rId3"/>
  </sheets>
  <definedNames>
    <definedName name="vorn_sum">VORN!$I$45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3" l="1"/>
  <c r="I44" i="3" s="1"/>
  <c r="F43" i="3"/>
  <c r="I43" i="3" s="1"/>
  <c r="F42" i="3"/>
  <c r="I42" i="3" s="1"/>
  <c r="F41" i="3"/>
  <c r="I41" i="3" s="1"/>
  <c r="F40" i="3"/>
  <c r="I40" i="3" s="1"/>
  <c r="F39" i="3"/>
  <c r="I39" i="3" s="1"/>
  <c r="F36" i="3"/>
  <c r="I36" i="3" s="1"/>
  <c r="I26" i="3"/>
  <c r="I19" i="2" s="1"/>
  <c r="I25" i="3"/>
  <c r="I24" i="3"/>
  <c r="I23" i="3"/>
  <c r="I16" i="2" s="1"/>
  <c r="I22" i="3"/>
  <c r="I15" i="2" s="1"/>
  <c r="I21" i="3"/>
  <c r="I17" i="3"/>
  <c r="I16" i="3"/>
  <c r="I15" i="3"/>
  <c r="I18" i="3" s="1"/>
  <c r="I10" i="3"/>
  <c r="F10" i="3"/>
  <c r="C10" i="3"/>
  <c r="F8" i="3"/>
  <c r="C8" i="3"/>
  <c r="F6" i="3"/>
  <c r="C6" i="3"/>
  <c r="F4" i="3"/>
  <c r="C4" i="3"/>
  <c r="F2" i="3"/>
  <c r="C2" i="3"/>
  <c r="I18" i="2"/>
  <c r="I17" i="2"/>
  <c r="F16" i="2"/>
  <c r="F15" i="2"/>
  <c r="F14" i="2"/>
  <c r="I10" i="2"/>
  <c r="F10" i="2"/>
  <c r="C10" i="2"/>
  <c r="F8" i="2"/>
  <c r="C8" i="2"/>
  <c r="F6" i="2"/>
  <c r="C6" i="2"/>
  <c r="F4" i="2"/>
  <c r="C4" i="2"/>
  <c r="F2" i="2"/>
  <c r="C2" i="2"/>
  <c r="BU1339" i="1"/>
  <c r="BJ1339" i="1"/>
  <c r="BF1339" i="1"/>
  <c r="BD1339" i="1"/>
  <c r="AX1339" i="1"/>
  <c r="AW1339" i="1"/>
  <c r="AP1339" i="1"/>
  <c r="BI1339" i="1" s="1"/>
  <c r="AO1339" i="1"/>
  <c r="H1339" i="1" s="1"/>
  <c r="H1338" i="1" s="1"/>
  <c r="AK1339" i="1"/>
  <c r="AJ1339" i="1"/>
  <c r="AS1338" i="1" s="1"/>
  <c r="AH1339" i="1"/>
  <c r="AG1339" i="1"/>
  <c r="AF1339" i="1"/>
  <c r="AE1339" i="1"/>
  <c r="AD1339" i="1"/>
  <c r="AC1339" i="1"/>
  <c r="AB1339" i="1"/>
  <c r="Z1339" i="1"/>
  <c r="J1339" i="1"/>
  <c r="I1339" i="1"/>
  <c r="I1338" i="1" s="1"/>
  <c r="AT1338" i="1"/>
  <c r="BP1337" i="1"/>
  <c r="BJ1337" i="1"/>
  <c r="BF1337" i="1"/>
  <c r="BD1337" i="1"/>
  <c r="AX1337" i="1"/>
  <c r="AW1337" i="1"/>
  <c r="AP1337" i="1"/>
  <c r="BI1337" i="1" s="1"/>
  <c r="AO1337" i="1"/>
  <c r="H1337" i="1" s="1"/>
  <c r="AK1337" i="1"/>
  <c r="AJ1337" i="1"/>
  <c r="AH1337" i="1"/>
  <c r="AG1337" i="1"/>
  <c r="AF1337" i="1"/>
  <c r="AE1337" i="1"/>
  <c r="AD1337" i="1"/>
  <c r="AC1337" i="1"/>
  <c r="AB1337" i="1"/>
  <c r="Z1337" i="1"/>
  <c r="J1337" i="1"/>
  <c r="AL1337" i="1" s="1"/>
  <c r="I1337" i="1"/>
  <c r="BP1335" i="1"/>
  <c r="BJ1335" i="1"/>
  <c r="BF1335" i="1"/>
  <c r="BD1335" i="1"/>
  <c r="AW1335" i="1"/>
  <c r="AP1335" i="1"/>
  <c r="BI1335" i="1" s="1"/>
  <c r="AO1335" i="1"/>
  <c r="BH1335" i="1" s="1"/>
  <c r="AL1335" i="1"/>
  <c r="AU1334" i="1" s="1"/>
  <c r="AK1335" i="1"/>
  <c r="AT1334" i="1" s="1"/>
  <c r="AJ1335" i="1"/>
  <c r="AS1334" i="1" s="1"/>
  <c r="AH1335" i="1"/>
  <c r="AG1335" i="1"/>
  <c r="AF1335" i="1"/>
  <c r="AE1335" i="1"/>
  <c r="AD1335" i="1"/>
  <c r="AC1335" i="1"/>
  <c r="AB1335" i="1"/>
  <c r="Z1335" i="1"/>
  <c r="J1335" i="1"/>
  <c r="I1335" i="1"/>
  <c r="H1335" i="1"/>
  <c r="H1334" i="1" s="1"/>
  <c r="J1334" i="1"/>
  <c r="I1334" i="1"/>
  <c r="BO1333" i="1"/>
  <c r="F37" i="3" s="1"/>
  <c r="I37" i="3" s="1"/>
  <c r="BJ1333" i="1"/>
  <c r="BF1333" i="1"/>
  <c r="BD1333" i="1"/>
  <c r="AW1333" i="1"/>
  <c r="AP1333" i="1"/>
  <c r="BI1333" i="1" s="1"/>
  <c r="AO1333" i="1"/>
  <c r="BH1333" i="1" s="1"/>
  <c r="AL1333" i="1"/>
  <c r="AU1332" i="1" s="1"/>
  <c r="AK1333" i="1"/>
  <c r="AT1332" i="1" s="1"/>
  <c r="AJ1333" i="1"/>
  <c r="AS1332" i="1" s="1"/>
  <c r="AH1333" i="1"/>
  <c r="AG1333" i="1"/>
  <c r="AF1333" i="1"/>
  <c r="AE1333" i="1"/>
  <c r="AD1333" i="1"/>
  <c r="AC1333" i="1"/>
  <c r="AB1333" i="1"/>
  <c r="Z1333" i="1"/>
  <c r="J1333" i="1"/>
  <c r="I1333" i="1"/>
  <c r="H1333" i="1"/>
  <c r="H1332" i="1" s="1"/>
  <c r="J1332" i="1"/>
  <c r="I1332" i="1"/>
  <c r="BM1330" i="1"/>
  <c r="BJ1330" i="1"/>
  <c r="BF1330" i="1"/>
  <c r="BD1330" i="1"/>
  <c r="AW1330" i="1"/>
  <c r="AP1330" i="1"/>
  <c r="BI1330" i="1" s="1"/>
  <c r="AO1330" i="1"/>
  <c r="BH1330" i="1" s="1"/>
  <c r="AL1330" i="1"/>
  <c r="AK1330" i="1"/>
  <c r="AJ1330" i="1"/>
  <c r="AH1330" i="1"/>
  <c r="AG1330" i="1"/>
  <c r="AF1330" i="1"/>
  <c r="AE1330" i="1"/>
  <c r="AD1330" i="1"/>
  <c r="AC1330" i="1"/>
  <c r="AB1330" i="1"/>
  <c r="Z1330" i="1"/>
  <c r="J1330" i="1"/>
  <c r="I1330" i="1"/>
  <c r="H1330" i="1"/>
  <c r="BM1329" i="1"/>
  <c r="BJ1329" i="1"/>
  <c r="BF1329" i="1"/>
  <c r="BD1329" i="1"/>
  <c r="AP1329" i="1"/>
  <c r="I1329" i="1" s="1"/>
  <c r="AO1329" i="1"/>
  <c r="AL1329" i="1"/>
  <c r="AK1329" i="1"/>
  <c r="AJ1329" i="1"/>
  <c r="AH1329" i="1"/>
  <c r="AG1329" i="1"/>
  <c r="AF1329" i="1"/>
  <c r="AE1329" i="1"/>
  <c r="AD1329" i="1"/>
  <c r="AC1329" i="1"/>
  <c r="AB1329" i="1"/>
  <c r="Z1329" i="1"/>
  <c r="J1329" i="1"/>
  <c r="BM1328" i="1"/>
  <c r="BJ1328" i="1"/>
  <c r="BF1328" i="1"/>
  <c r="BD1328" i="1"/>
  <c r="AW1328" i="1"/>
  <c r="AP1328" i="1"/>
  <c r="AX1328" i="1" s="1"/>
  <c r="AV1328" i="1" s="1"/>
  <c r="AO1328" i="1"/>
  <c r="BH1328" i="1" s="1"/>
  <c r="AL1328" i="1"/>
  <c r="AK1328" i="1"/>
  <c r="AJ1328" i="1"/>
  <c r="AH1328" i="1"/>
  <c r="AG1328" i="1"/>
  <c r="AF1328" i="1"/>
  <c r="AE1328" i="1"/>
  <c r="AD1328" i="1"/>
  <c r="AC1328" i="1"/>
  <c r="AB1328" i="1"/>
  <c r="Z1328" i="1"/>
  <c r="J1328" i="1"/>
  <c r="H1328" i="1"/>
  <c r="BM1327" i="1"/>
  <c r="F35" i="3" s="1"/>
  <c r="I35" i="3" s="1"/>
  <c r="BJ1327" i="1"/>
  <c r="BF1327" i="1"/>
  <c r="BD1327" i="1"/>
  <c r="AX1327" i="1"/>
  <c r="BC1327" i="1" s="1"/>
  <c r="AW1327" i="1"/>
  <c r="AP1327" i="1"/>
  <c r="BI1327" i="1" s="1"/>
  <c r="AO1327" i="1"/>
  <c r="H1327" i="1" s="1"/>
  <c r="AK1327" i="1"/>
  <c r="AJ1327" i="1"/>
  <c r="AH1327" i="1"/>
  <c r="AG1327" i="1"/>
  <c r="AF1327" i="1"/>
  <c r="AE1327" i="1"/>
  <c r="AD1327" i="1"/>
  <c r="AC1327" i="1"/>
  <c r="AB1327" i="1"/>
  <c r="Z1327" i="1"/>
  <c r="J1327" i="1"/>
  <c r="AL1327" i="1" s="1"/>
  <c r="I1327" i="1"/>
  <c r="BM1326" i="1"/>
  <c r="BJ1326" i="1"/>
  <c r="BF1326" i="1"/>
  <c r="BD1326" i="1"/>
  <c r="AW1326" i="1"/>
  <c r="AP1326" i="1"/>
  <c r="BI1326" i="1" s="1"/>
  <c r="AO1326" i="1"/>
  <c r="BH1326" i="1" s="1"/>
  <c r="AL1326" i="1"/>
  <c r="AK1326" i="1"/>
  <c r="AT1325" i="1" s="1"/>
  <c r="AJ1326" i="1"/>
  <c r="AH1326" i="1"/>
  <c r="AG1326" i="1"/>
  <c r="AF1326" i="1"/>
  <c r="AE1326" i="1"/>
  <c r="AD1326" i="1"/>
  <c r="AC1326" i="1"/>
  <c r="AB1326" i="1"/>
  <c r="Z1326" i="1"/>
  <c r="J1326" i="1"/>
  <c r="I1326" i="1"/>
  <c r="H1326" i="1"/>
  <c r="AS1325" i="1"/>
  <c r="J1325" i="1"/>
  <c r="BJ1322" i="1"/>
  <c r="AH1322" i="1" s="1"/>
  <c r="BF1322" i="1"/>
  <c r="BD1322" i="1"/>
  <c r="AX1322" i="1"/>
  <c r="AW1322" i="1"/>
  <c r="BC1322" i="1" s="1"/>
  <c r="AV1322" i="1"/>
  <c r="AP1322" i="1"/>
  <c r="BI1322" i="1" s="1"/>
  <c r="AO1322" i="1"/>
  <c r="BH1322" i="1" s="1"/>
  <c r="AK1322" i="1"/>
  <c r="AJ1322" i="1"/>
  <c r="AG1322" i="1"/>
  <c r="AF1322" i="1"/>
  <c r="AE1322" i="1"/>
  <c r="AD1322" i="1"/>
  <c r="AC1322" i="1"/>
  <c r="AB1322" i="1"/>
  <c r="Z1322" i="1"/>
  <c r="J1322" i="1"/>
  <c r="AL1322" i="1" s="1"/>
  <c r="I1322" i="1"/>
  <c r="H1322" i="1"/>
  <c r="BJ1321" i="1"/>
  <c r="BF1321" i="1"/>
  <c r="BD1321" i="1"/>
  <c r="BC1321" i="1"/>
  <c r="AX1321" i="1"/>
  <c r="AW1321" i="1"/>
  <c r="AP1321" i="1"/>
  <c r="BI1321" i="1" s="1"/>
  <c r="AO1321" i="1"/>
  <c r="H1321" i="1" s="1"/>
  <c r="AK1321" i="1"/>
  <c r="AJ1321" i="1"/>
  <c r="AH1321" i="1"/>
  <c r="AG1321" i="1"/>
  <c r="AF1321" i="1"/>
  <c r="AE1321" i="1"/>
  <c r="AD1321" i="1"/>
  <c r="AC1321" i="1"/>
  <c r="AB1321" i="1"/>
  <c r="Z1321" i="1"/>
  <c r="J1321" i="1"/>
  <c r="AL1321" i="1" s="1"/>
  <c r="I1321" i="1"/>
  <c r="BJ1320" i="1"/>
  <c r="BF1320" i="1"/>
  <c r="BD1320" i="1"/>
  <c r="AX1320" i="1"/>
  <c r="AP1320" i="1"/>
  <c r="I1320" i="1" s="1"/>
  <c r="AO1320" i="1"/>
  <c r="BH1320" i="1" s="1"/>
  <c r="AK1320" i="1"/>
  <c r="AJ1320" i="1"/>
  <c r="AH1320" i="1"/>
  <c r="AG1320" i="1"/>
  <c r="AF1320" i="1"/>
  <c r="AE1320" i="1"/>
  <c r="AD1320" i="1"/>
  <c r="AC1320" i="1"/>
  <c r="AB1320" i="1"/>
  <c r="Z1320" i="1"/>
  <c r="J1320" i="1"/>
  <c r="AL1320" i="1" s="1"/>
  <c r="H1320" i="1"/>
  <c r="BJ1319" i="1"/>
  <c r="AH1319" i="1" s="1"/>
  <c r="BF1319" i="1"/>
  <c r="BD1319" i="1"/>
  <c r="AW1319" i="1"/>
  <c r="AP1319" i="1"/>
  <c r="BI1319" i="1" s="1"/>
  <c r="AO1319" i="1"/>
  <c r="BH1319" i="1" s="1"/>
  <c r="AL1319" i="1"/>
  <c r="AK1319" i="1"/>
  <c r="AT1305" i="1" s="1"/>
  <c r="AJ1319" i="1"/>
  <c r="AG1319" i="1"/>
  <c r="AF1319" i="1"/>
  <c r="AE1319" i="1"/>
  <c r="AD1319" i="1"/>
  <c r="AC1319" i="1"/>
  <c r="AB1319" i="1"/>
  <c r="Z1319" i="1"/>
  <c r="J1319" i="1"/>
  <c r="I1319" i="1"/>
  <c r="H1319" i="1"/>
  <c r="BJ1317" i="1"/>
  <c r="BF1317" i="1"/>
  <c r="BD1317" i="1"/>
  <c r="AX1317" i="1"/>
  <c r="AP1317" i="1"/>
  <c r="BI1317" i="1" s="1"/>
  <c r="AO1317" i="1"/>
  <c r="AL1317" i="1"/>
  <c r="AK1317" i="1"/>
  <c r="AJ1317" i="1"/>
  <c r="AH1317" i="1"/>
  <c r="AG1317" i="1"/>
  <c r="AF1317" i="1"/>
  <c r="AE1317" i="1"/>
  <c r="AD1317" i="1"/>
  <c r="AC1317" i="1"/>
  <c r="AB1317" i="1"/>
  <c r="Z1317" i="1"/>
  <c r="J1317" i="1"/>
  <c r="I1317" i="1"/>
  <c r="BJ1315" i="1"/>
  <c r="BI1315" i="1"/>
  <c r="BH1315" i="1"/>
  <c r="BF1315" i="1"/>
  <c r="BD1315" i="1"/>
  <c r="AP1315" i="1"/>
  <c r="AO1315" i="1"/>
  <c r="AL1315" i="1"/>
  <c r="AK1315" i="1"/>
  <c r="AJ1315" i="1"/>
  <c r="AH1315" i="1"/>
  <c r="AG1315" i="1"/>
  <c r="AF1315" i="1"/>
  <c r="AE1315" i="1"/>
  <c r="AD1315" i="1"/>
  <c r="AC1315" i="1"/>
  <c r="AB1315" i="1"/>
  <c r="Z1315" i="1"/>
  <c r="J1315" i="1"/>
  <c r="BJ1313" i="1"/>
  <c r="AH1313" i="1" s="1"/>
  <c r="BF1313" i="1"/>
  <c r="BD1313" i="1"/>
  <c r="AP1313" i="1"/>
  <c r="AO1313" i="1"/>
  <c r="AW1313" i="1" s="1"/>
  <c r="AK1313" i="1"/>
  <c r="AJ1313" i="1"/>
  <c r="AG1313" i="1"/>
  <c r="AF1313" i="1"/>
  <c r="AE1313" i="1"/>
  <c r="AD1313" i="1"/>
  <c r="AC1313" i="1"/>
  <c r="AB1313" i="1"/>
  <c r="Z1313" i="1"/>
  <c r="J1313" i="1"/>
  <c r="AL1313" i="1" s="1"/>
  <c r="BJ1312" i="1"/>
  <c r="AH1312" i="1" s="1"/>
  <c r="BF1312" i="1"/>
  <c r="BD1312" i="1"/>
  <c r="AW1312" i="1"/>
  <c r="AP1312" i="1"/>
  <c r="AX1312" i="1" s="1"/>
  <c r="AV1312" i="1" s="1"/>
  <c r="AO1312" i="1"/>
  <c r="BH1312" i="1" s="1"/>
  <c r="AL1312" i="1"/>
  <c r="AK1312" i="1"/>
  <c r="AJ1312" i="1"/>
  <c r="AG1312" i="1"/>
  <c r="AF1312" i="1"/>
  <c r="AE1312" i="1"/>
  <c r="AD1312" i="1"/>
  <c r="AC1312" i="1"/>
  <c r="AB1312" i="1"/>
  <c r="Z1312" i="1"/>
  <c r="J1312" i="1"/>
  <c r="I1312" i="1"/>
  <c r="H1312" i="1"/>
  <c r="BJ1310" i="1"/>
  <c r="AH1310" i="1" s="1"/>
  <c r="BF1310" i="1"/>
  <c r="BD1310" i="1"/>
  <c r="AX1310" i="1"/>
  <c r="AW1310" i="1"/>
  <c r="BC1310" i="1" s="1"/>
  <c r="AV1310" i="1"/>
  <c r="AP1310" i="1"/>
  <c r="BI1310" i="1" s="1"/>
  <c r="AO1310" i="1"/>
  <c r="BH1310" i="1" s="1"/>
  <c r="AK1310" i="1"/>
  <c r="AJ1310" i="1"/>
  <c r="AG1310" i="1"/>
  <c r="AF1310" i="1"/>
  <c r="AE1310" i="1"/>
  <c r="AD1310" i="1"/>
  <c r="AC1310" i="1"/>
  <c r="AB1310" i="1"/>
  <c r="Z1310" i="1"/>
  <c r="J1310" i="1"/>
  <c r="AL1310" i="1" s="1"/>
  <c r="I1310" i="1"/>
  <c r="H1310" i="1"/>
  <c r="BJ1309" i="1"/>
  <c r="BI1309" i="1"/>
  <c r="BF1309" i="1"/>
  <c r="BD1309" i="1"/>
  <c r="AW1309" i="1"/>
  <c r="AP1309" i="1"/>
  <c r="AX1309" i="1" s="1"/>
  <c r="BC1309" i="1" s="1"/>
  <c r="AO1309" i="1"/>
  <c r="H1309" i="1" s="1"/>
  <c r="AK1309" i="1"/>
  <c r="AJ1309" i="1"/>
  <c r="AH1309" i="1"/>
  <c r="AG1309" i="1"/>
  <c r="AF1309" i="1"/>
  <c r="AE1309" i="1"/>
  <c r="AD1309" i="1"/>
  <c r="AC1309" i="1"/>
  <c r="AB1309" i="1"/>
  <c r="Z1309" i="1"/>
  <c r="J1309" i="1"/>
  <c r="AL1309" i="1" s="1"/>
  <c r="I1309" i="1"/>
  <c r="BJ1308" i="1"/>
  <c r="BF1308" i="1"/>
  <c r="BD1308" i="1"/>
  <c r="AX1308" i="1"/>
  <c r="AP1308" i="1"/>
  <c r="I1308" i="1" s="1"/>
  <c r="AO1308" i="1"/>
  <c r="BH1308" i="1" s="1"/>
  <c r="AK1308" i="1"/>
  <c r="AJ1308" i="1"/>
  <c r="AH1308" i="1"/>
  <c r="AG1308" i="1"/>
  <c r="AF1308" i="1"/>
  <c r="AE1308" i="1"/>
  <c r="AD1308" i="1"/>
  <c r="AC1308" i="1"/>
  <c r="AB1308" i="1"/>
  <c r="Z1308" i="1"/>
  <c r="J1308" i="1"/>
  <c r="AL1308" i="1" s="1"/>
  <c r="H1308" i="1"/>
  <c r="BJ1307" i="1"/>
  <c r="AH1307" i="1" s="1"/>
  <c r="BF1307" i="1"/>
  <c r="BD1307" i="1"/>
  <c r="AW1307" i="1"/>
  <c r="AP1307" i="1"/>
  <c r="AX1307" i="1" s="1"/>
  <c r="AO1307" i="1"/>
  <c r="BH1307" i="1" s="1"/>
  <c r="AL1307" i="1"/>
  <c r="AK1307" i="1"/>
  <c r="AJ1307" i="1"/>
  <c r="AG1307" i="1"/>
  <c r="AF1307" i="1"/>
  <c r="AE1307" i="1"/>
  <c r="AD1307" i="1"/>
  <c r="AC1307" i="1"/>
  <c r="AB1307" i="1"/>
  <c r="Z1307" i="1"/>
  <c r="J1307" i="1"/>
  <c r="I1307" i="1"/>
  <c r="H1307" i="1"/>
  <c r="BJ1306" i="1"/>
  <c r="BH1306" i="1"/>
  <c r="BF1306" i="1"/>
  <c r="BD1306" i="1"/>
  <c r="AX1306" i="1"/>
  <c r="AV1306" i="1"/>
  <c r="AP1306" i="1"/>
  <c r="BI1306" i="1" s="1"/>
  <c r="AO1306" i="1"/>
  <c r="AW1306" i="1" s="1"/>
  <c r="AK1306" i="1"/>
  <c r="AJ1306" i="1"/>
  <c r="AH1306" i="1"/>
  <c r="AG1306" i="1"/>
  <c r="AF1306" i="1"/>
  <c r="AE1306" i="1"/>
  <c r="AD1306" i="1"/>
  <c r="AC1306" i="1"/>
  <c r="AB1306" i="1"/>
  <c r="Z1306" i="1"/>
  <c r="J1306" i="1"/>
  <c r="I1306" i="1"/>
  <c r="H1306" i="1"/>
  <c r="BJ1303" i="1"/>
  <c r="BI1303" i="1"/>
  <c r="AG1303" i="1" s="1"/>
  <c r="BF1303" i="1"/>
  <c r="BD1303" i="1"/>
  <c r="BC1303" i="1"/>
  <c r="AW1303" i="1"/>
  <c r="AP1303" i="1"/>
  <c r="AX1303" i="1" s="1"/>
  <c r="AO1303" i="1"/>
  <c r="BH1303" i="1" s="1"/>
  <c r="AF1303" i="1" s="1"/>
  <c r="AL1303" i="1"/>
  <c r="AK1303" i="1"/>
  <c r="AJ1303" i="1"/>
  <c r="AH1303" i="1"/>
  <c r="AE1303" i="1"/>
  <c r="AD1303" i="1"/>
  <c r="AC1303" i="1"/>
  <c r="AB1303" i="1"/>
  <c r="Z1303" i="1"/>
  <c r="J1303" i="1"/>
  <c r="I1303" i="1"/>
  <c r="H1303" i="1"/>
  <c r="BJ1301" i="1"/>
  <c r="BF1301" i="1"/>
  <c r="BD1301" i="1"/>
  <c r="AX1301" i="1"/>
  <c r="AP1301" i="1"/>
  <c r="BI1301" i="1" s="1"/>
  <c r="AG1301" i="1" s="1"/>
  <c r="AO1301" i="1"/>
  <c r="AW1301" i="1" s="1"/>
  <c r="AK1301" i="1"/>
  <c r="AJ1301" i="1"/>
  <c r="AH1301" i="1"/>
  <c r="AE1301" i="1"/>
  <c r="AD1301" i="1"/>
  <c r="AC1301" i="1"/>
  <c r="AB1301" i="1"/>
  <c r="Z1301" i="1"/>
  <c r="J1301" i="1"/>
  <c r="AL1301" i="1" s="1"/>
  <c r="I1301" i="1"/>
  <c r="H1301" i="1"/>
  <c r="BJ1300" i="1"/>
  <c r="BH1300" i="1"/>
  <c r="AF1300" i="1" s="1"/>
  <c r="BF1300" i="1"/>
  <c r="BD1300" i="1"/>
  <c r="AW1300" i="1"/>
  <c r="AP1300" i="1"/>
  <c r="AO1300" i="1"/>
  <c r="H1300" i="1" s="1"/>
  <c r="AL1300" i="1"/>
  <c r="AK1300" i="1"/>
  <c r="AJ1300" i="1"/>
  <c r="AH1300" i="1"/>
  <c r="AE1300" i="1"/>
  <c r="AD1300" i="1"/>
  <c r="AC1300" i="1"/>
  <c r="AB1300" i="1"/>
  <c r="Z1300" i="1"/>
  <c r="J1300" i="1"/>
  <c r="BJ1298" i="1"/>
  <c r="BI1298" i="1"/>
  <c r="AG1298" i="1" s="1"/>
  <c r="BH1298" i="1"/>
  <c r="AF1298" i="1" s="1"/>
  <c r="BF1298" i="1"/>
  <c r="BD1298" i="1"/>
  <c r="AX1298" i="1"/>
  <c r="AP1298" i="1"/>
  <c r="I1298" i="1" s="1"/>
  <c r="AO1298" i="1"/>
  <c r="AW1298" i="1" s="1"/>
  <c r="AK1298" i="1"/>
  <c r="AJ1298" i="1"/>
  <c r="AH1298" i="1"/>
  <c r="AE1298" i="1"/>
  <c r="AD1298" i="1"/>
  <c r="AC1298" i="1"/>
  <c r="AB1298" i="1"/>
  <c r="Z1298" i="1"/>
  <c r="J1298" i="1"/>
  <c r="AL1298" i="1" s="1"/>
  <c r="BJ1296" i="1"/>
  <c r="BI1296" i="1"/>
  <c r="BF1296" i="1"/>
  <c r="BD1296" i="1"/>
  <c r="AW1296" i="1"/>
  <c r="AP1296" i="1"/>
  <c r="AX1296" i="1" s="1"/>
  <c r="AO1296" i="1"/>
  <c r="BH1296" i="1" s="1"/>
  <c r="AL1296" i="1"/>
  <c r="AK1296" i="1"/>
  <c r="AJ1296" i="1"/>
  <c r="AH1296" i="1"/>
  <c r="AG1296" i="1"/>
  <c r="AF1296" i="1"/>
  <c r="AE1296" i="1"/>
  <c r="AD1296" i="1"/>
  <c r="AC1296" i="1"/>
  <c r="AB1296" i="1"/>
  <c r="Z1296" i="1"/>
  <c r="J1296" i="1"/>
  <c r="I1296" i="1"/>
  <c r="H1296" i="1"/>
  <c r="BJ1295" i="1"/>
  <c r="BH1295" i="1"/>
  <c r="BF1295" i="1"/>
  <c r="BD1295" i="1"/>
  <c r="AX1295" i="1"/>
  <c r="AW1295" i="1"/>
  <c r="BC1295" i="1" s="1"/>
  <c r="AV1295" i="1"/>
  <c r="AP1295" i="1"/>
  <c r="BI1295" i="1" s="1"/>
  <c r="AG1295" i="1" s="1"/>
  <c r="AO1295" i="1"/>
  <c r="AK1295" i="1"/>
  <c r="AJ1295" i="1"/>
  <c r="AH1295" i="1"/>
  <c r="AF1295" i="1"/>
  <c r="AE1295" i="1"/>
  <c r="AD1295" i="1"/>
  <c r="AC1295" i="1"/>
  <c r="AB1295" i="1"/>
  <c r="Z1295" i="1"/>
  <c r="J1295" i="1"/>
  <c r="AL1295" i="1" s="1"/>
  <c r="I1295" i="1"/>
  <c r="H1295" i="1"/>
  <c r="BJ1294" i="1"/>
  <c r="BI1294" i="1"/>
  <c r="AG1294" i="1" s="1"/>
  <c r="BF1294" i="1"/>
  <c r="BD1294" i="1"/>
  <c r="AW1294" i="1"/>
  <c r="AP1294" i="1"/>
  <c r="AX1294" i="1" s="1"/>
  <c r="BC1294" i="1" s="1"/>
  <c r="AO1294" i="1"/>
  <c r="H1294" i="1" s="1"/>
  <c r="AL1294" i="1"/>
  <c r="AK1294" i="1"/>
  <c r="AJ1294" i="1"/>
  <c r="AH1294" i="1"/>
  <c r="AE1294" i="1"/>
  <c r="AD1294" i="1"/>
  <c r="AC1294" i="1"/>
  <c r="AB1294" i="1"/>
  <c r="Z1294" i="1"/>
  <c r="J1294" i="1"/>
  <c r="I1294" i="1"/>
  <c r="BJ1292" i="1"/>
  <c r="BH1292" i="1"/>
  <c r="BF1292" i="1"/>
  <c r="BD1292" i="1"/>
  <c r="BC1292" i="1"/>
  <c r="AX1292" i="1"/>
  <c r="AV1292" i="1"/>
  <c r="AP1292" i="1"/>
  <c r="I1292" i="1" s="1"/>
  <c r="AO1292" i="1"/>
  <c r="AW1292" i="1" s="1"/>
  <c r="AK1292" i="1"/>
  <c r="AJ1292" i="1"/>
  <c r="AH1292" i="1"/>
  <c r="AF1292" i="1"/>
  <c r="AE1292" i="1"/>
  <c r="AD1292" i="1"/>
  <c r="AC1292" i="1"/>
  <c r="AB1292" i="1"/>
  <c r="Z1292" i="1"/>
  <c r="J1292" i="1"/>
  <c r="AL1292" i="1" s="1"/>
  <c r="H1292" i="1"/>
  <c r="BJ1290" i="1"/>
  <c r="BF1290" i="1"/>
  <c r="BD1290" i="1"/>
  <c r="AW1290" i="1"/>
  <c r="AP1290" i="1"/>
  <c r="AX1290" i="1" s="1"/>
  <c r="AO1290" i="1"/>
  <c r="BH1290" i="1" s="1"/>
  <c r="AF1290" i="1" s="1"/>
  <c r="AL1290" i="1"/>
  <c r="AK1290" i="1"/>
  <c r="AJ1290" i="1"/>
  <c r="AH1290" i="1"/>
  <c r="AE1290" i="1"/>
  <c r="AD1290" i="1"/>
  <c r="AC1290" i="1"/>
  <c r="AB1290" i="1"/>
  <c r="Z1290" i="1"/>
  <c r="J1290" i="1"/>
  <c r="I1290" i="1"/>
  <c r="H1290" i="1"/>
  <c r="BJ1289" i="1"/>
  <c r="BH1289" i="1"/>
  <c r="AF1289" i="1" s="1"/>
  <c r="BF1289" i="1"/>
  <c r="BD1289" i="1"/>
  <c r="AX1289" i="1"/>
  <c r="AV1289" i="1"/>
  <c r="AP1289" i="1"/>
  <c r="BI1289" i="1" s="1"/>
  <c r="AG1289" i="1" s="1"/>
  <c r="AO1289" i="1"/>
  <c r="AW1289" i="1" s="1"/>
  <c r="AK1289" i="1"/>
  <c r="AJ1289" i="1"/>
  <c r="AH1289" i="1"/>
  <c r="AE1289" i="1"/>
  <c r="AD1289" i="1"/>
  <c r="AC1289" i="1"/>
  <c r="AB1289" i="1"/>
  <c r="Z1289" i="1"/>
  <c r="J1289" i="1"/>
  <c r="I1289" i="1"/>
  <c r="H1289" i="1"/>
  <c r="BJ1288" i="1"/>
  <c r="BI1288" i="1"/>
  <c r="BF1288" i="1"/>
  <c r="BD1288" i="1"/>
  <c r="BC1288" i="1"/>
  <c r="AW1288" i="1"/>
  <c r="AV1288" i="1" s="1"/>
  <c r="AP1288" i="1"/>
  <c r="AX1288" i="1" s="1"/>
  <c r="AO1288" i="1"/>
  <c r="H1288" i="1" s="1"/>
  <c r="AL1288" i="1"/>
  <c r="AK1288" i="1"/>
  <c r="AJ1288" i="1"/>
  <c r="AH1288" i="1"/>
  <c r="AG1288" i="1"/>
  <c r="AE1288" i="1"/>
  <c r="AD1288" i="1"/>
  <c r="AC1288" i="1"/>
  <c r="AB1288" i="1"/>
  <c r="Z1288" i="1"/>
  <c r="J1288" i="1"/>
  <c r="I1288" i="1"/>
  <c r="BJ1287" i="1"/>
  <c r="BI1287" i="1"/>
  <c r="AG1287" i="1" s="1"/>
  <c r="BF1287" i="1"/>
  <c r="BD1287" i="1"/>
  <c r="AP1287" i="1"/>
  <c r="I1287" i="1" s="1"/>
  <c r="AO1287" i="1"/>
  <c r="AK1287" i="1"/>
  <c r="AJ1287" i="1"/>
  <c r="AH1287" i="1"/>
  <c r="AE1287" i="1"/>
  <c r="AD1287" i="1"/>
  <c r="AC1287" i="1"/>
  <c r="AB1287" i="1"/>
  <c r="Z1287" i="1"/>
  <c r="J1287" i="1"/>
  <c r="AL1287" i="1" s="1"/>
  <c r="BJ1286" i="1"/>
  <c r="BF1286" i="1"/>
  <c r="BD1286" i="1"/>
  <c r="BC1286" i="1"/>
  <c r="AW1286" i="1"/>
  <c r="AV1286" i="1" s="1"/>
  <c r="AP1286" i="1"/>
  <c r="AX1286" i="1" s="1"/>
  <c r="AO1286" i="1"/>
  <c r="BH1286" i="1" s="1"/>
  <c r="AF1286" i="1" s="1"/>
  <c r="AL1286" i="1"/>
  <c r="AK1286" i="1"/>
  <c r="AJ1286" i="1"/>
  <c r="AH1286" i="1"/>
  <c r="AE1286" i="1"/>
  <c r="AD1286" i="1"/>
  <c r="AC1286" i="1"/>
  <c r="AB1286" i="1"/>
  <c r="Z1286" i="1"/>
  <c r="J1286" i="1"/>
  <c r="I1286" i="1"/>
  <c r="H1286" i="1"/>
  <c r="BJ1284" i="1"/>
  <c r="BH1284" i="1"/>
  <c r="AB1284" i="1" s="1"/>
  <c r="BF1284" i="1"/>
  <c r="BD1284" i="1"/>
  <c r="AX1284" i="1"/>
  <c r="AW1284" i="1"/>
  <c r="AP1284" i="1"/>
  <c r="BI1284" i="1" s="1"/>
  <c r="AC1284" i="1" s="1"/>
  <c r="AO1284" i="1"/>
  <c r="AK1284" i="1"/>
  <c r="AJ1284" i="1"/>
  <c r="AH1284" i="1"/>
  <c r="AG1284" i="1"/>
  <c r="AF1284" i="1"/>
  <c r="AE1284" i="1"/>
  <c r="AD1284" i="1"/>
  <c r="Z1284" i="1"/>
  <c r="J1284" i="1"/>
  <c r="AL1284" i="1" s="1"/>
  <c r="I1284" i="1"/>
  <c r="H1284" i="1"/>
  <c r="BJ1282" i="1"/>
  <c r="BI1282" i="1"/>
  <c r="AG1282" i="1" s="1"/>
  <c r="BF1282" i="1"/>
  <c r="BD1282" i="1"/>
  <c r="AW1282" i="1"/>
  <c r="AP1282" i="1"/>
  <c r="AX1282" i="1" s="1"/>
  <c r="BC1282" i="1" s="1"/>
  <c r="AO1282" i="1"/>
  <c r="H1282" i="1" s="1"/>
  <c r="AL1282" i="1"/>
  <c r="AK1282" i="1"/>
  <c r="AJ1282" i="1"/>
  <c r="AH1282" i="1"/>
  <c r="AE1282" i="1"/>
  <c r="AD1282" i="1"/>
  <c r="AC1282" i="1"/>
  <c r="AB1282" i="1"/>
  <c r="Z1282" i="1"/>
  <c r="J1282" i="1"/>
  <c r="I1282" i="1"/>
  <c r="BJ1280" i="1"/>
  <c r="BH1280" i="1"/>
  <c r="BF1280" i="1"/>
  <c r="BD1280" i="1"/>
  <c r="BC1280" i="1"/>
  <c r="AX1280" i="1"/>
  <c r="AV1280" i="1"/>
  <c r="AP1280" i="1"/>
  <c r="I1280" i="1" s="1"/>
  <c r="AO1280" i="1"/>
  <c r="AW1280" i="1" s="1"/>
  <c r="AK1280" i="1"/>
  <c r="AJ1280" i="1"/>
  <c r="AH1280" i="1"/>
  <c r="AF1280" i="1"/>
  <c r="AE1280" i="1"/>
  <c r="AD1280" i="1"/>
  <c r="AC1280" i="1"/>
  <c r="AB1280" i="1"/>
  <c r="Z1280" i="1"/>
  <c r="J1280" i="1"/>
  <c r="AL1280" i="1" s="1"/>
  <c r="H1280" i="1"/>
  <c r="BJ1279" i="1"/>
  <c r="BF1279" i="1"/>
  <c r="BD1279" i="1"/>
  <c r="AW1279" i="1"/>
  <c r="AP1279" i="1"/>
  <c r="AX1279" i="1" s="1"/>
  <c r="AO1279" i="1"/>
  <c r="BH1279" i="1" s="1"/>
  <c r="AF1279" i="1" s="1"/>
  <c r="AL1279" i="1"/>
  <c r="AK1279" i="1"/>
  <c r="AJ1279" i="1"/>
  <c r="AH1279" i="1"/>
  <c r="AE1279" i="1"/>
  <c r="AD1279" i="1"/>
  <c r="AC1279" i="1"/>
  <c r="AB1279" i="1"/>
  <c r="Z1279" i="1"/>
  <c r="J1279" i="1"/>
  <c r="I1279" i="1"/>
  <c r="H1279" i="1"/>
  <c r="BJ1277" i="1"/>
  <c r="BH1277" i="1"/>
  <c r="AF1277" i="1" s="1"/>
  <c r="BF1277" i="1"/>
  <c r="BD1277" i="1"/>
  <c r="AX1277" i="1"/>
  <c r="AV1277" i="1"/>
  <c r="AP1277" i="1"/>
  <c r="BI1277" i="1" s="1"/>
  <c r="AG1277" i="1" s="1"/>
  <c r="AO1277" i="1"/>
  <c r="AW1277" i="1" s="1"/>
  <c r="AK1277" i="1"/>
  <c r="AJ1277" i="1"/>
  <c r="AH1277" i="1"/>
  <c r="AE1277" i="1"/>
  <c r="AD1277" i="1"/>
  <c r="AC1277" i="1"/>
  <c r="AB1277" i="1"/>
  <c r="Z1277" i="1"/>
  <c r="J1277" i="1"/>
  <c r="AL1277" i="1" s="1"/>
  <c r="I1277" i="1"/>
  <c r="H1277" i="1"/>
  <c r="BJ1275" i="1"/>
  <c r="BI1275" i="1"/>
  <c r="BF1275" i="1"/>
  <c r="BD1275" i="1"/>
  <c r="AW1275" i="1"/>
  <c r="AV1275" i="1" s="1"/>
  <c r="AP1275" i="1"/>
  <c r="AX1275" i="1" s="1"/>
  <c r="AO1275" i="1"/>
  <c r="H1275" i="1" s="1"/>
  <c r="AL1275" i="1"/>
  <c r="AK1275" i="1"/>
  <c r="AJ1275" i="1"/>
  <c r="AH1275" i="1"/>
  <c r="AG1275" i="1"/>
  <c r="AE1275" i="1"/>
  <c r="AD1275" i="1"/>
  <c r="AC1275" i="1"/>
  <c r="AB1275" i="1"/>
  <c r="Z1275" i="1"/>
  <c r="J1275" i="1"/>
  <c r="I1275" i="1"/>
  <c r="BJ1273" i="1"/>
  <c r="BI1273" i="1"/>
  <c r="AG1273" i="1" s="1"/>
  <c r="BF1273" i="1"/>
  <c r="BD1273" i="1"/>
  <c r="AP1273" i="1"/>
  <c r="I1273" i="1" s="1"/>
  <c r="AO1273" i="1"/>
  <c r="AK1273" i="1"/>
  <c r="AJ1273" i="1"/>
  <c r="AH1273" i="1"/>
  <c r="AE1273" i="1"/>
  <c r="AD1273" i="1"/>
  <c r="AC1273" i="1"/>
  <c r="AB1273" i="1"/>
  <c r="Z1273" i="1"/>
  <c r="J1273" i="1"/>
  <c r="AL1273" i="1" s="1"/>
  <c r="BJ1271" i="1"/>
  <c r="BF1271" i="1"/>
  <c r="BD1271" i="1"/>
  <c r="AW1271" i="1"/>
  <c r="AV1271" i="1" s="1"/>
  <c r="AP1271" i="1"/>
  <c r="AX1271" i="1" s="1"/>
  <c r="AO1271" i="1"/>
  <c r="BH1271" i="1" s="1"/>
  <c r="AF1271" i="1" s="1"/>
  <c r="AL1271" i="1"/>
  <c r="AK1271" i="1"/>
  <c r="AJ1271" i="1"/>
  <c r="AH1271" i="1"/>
  <c r="AE1271" i="1"/>
  <c r="AD1271" i="1"/>
  <c r="AC1271" i="1"/>
  <c r="AB1271" i="1"/>
  <c r="Z1271" i="1"/>
  <c r="J1271" i="1"/>
  <c r="I1271" i="1"/>
  <c r="H1271" i="1"/>
  <c r="BJ1269" i="1"/>
  <c r="BH1269" i="1"/>
  <c r="BF1269" i="1"/>
  <c r="BD1269" i="1"/>
  <c r="AX1269" i="1"/>
  <c r="AW1269" i="1"/>
  <c r="BC1269" i="1" s="1"/>
  <c r="AV1269" i="1"/>
  <c r="AP1269" i="1"/>
  <c r="BI1269" i="1" s="1"/>
  <c r="AO1269" i="1"/>
  <c r="AK1269" i="1"/>
  <c r="AJ1269" i="1"/>
  <c r="AH1269" i="1"/>
  <c r="AG1269" i="1"/>
  <c r="AF1269" i="1"/>
  <c r="AE1269" i="1"/>
  <c r="AD1269" i="1"/>
  <c r="AC1269" i="1"/>
  <c r="AB1269" i="1"/>
  <c r="Z1269" i="1"/>
  <c r="J1269" i="1"/>
  <c r="AL1269" i="1" s="1"/>
  <c r="I1269" i="1"/>
  <c r="H1269" i="1"/>
  <c r="BJ1267" i="1"/>
  <c r="BF1267" i="1"/>
  <c r="BD1267" i="1"/>
  <c r="AW1267" i="1"/>
  <c r="AP1267" i="1"/>
  <c r="AO1267" i="1"/>
  <c r="BH1267" i="1" s="1"/>
  <c r="AF1267" i="1" s="1"/>
  <c r="AK1267" i="1"/>
  <c r="AJ1267" i="1"/>
  <c r="AH1267" i="1"/>
  <c r="AE1267" i="1"/>
  <c r="AD1267" i="1"/>
  <c r="AC1267" i="1"/>
  <c r="AB1267" i="1"/>
  <c r="Z1267" i="1"/>
  <c r="J1267" i="1"/>
  <c r="AL1267" i="1" s="1"/>
  <c r="H1267" i="1"/>
  <c r="BJ1265" i="1"/>
  <c r="BH1265" i="1"/>
  <c r="AF1265" i="1" s="1"/>
  <c r="BF1265" i="1"/>
  <c r="BD1265" i="1"/>
  <c r="AX1265" i="1"/>
  <c r="AP1265" i="1"/>
  <c r="BI1265" i="1" s="1"/>
  <c r="AG1265" i="1" s="1"/>
  <c r="AO1265" i="1"/>
  <c r="AW1265" i="1" s="1"/>
  <c r="AV1265" i="1" s="1"/>
  <c r="AK1265" i="1"/>
  <c r="AJ1265" i="1"/>
  <c r="AS1262" i="1" s="1"/>
  <c r="AH1265" i="1"/>
  <c r="AE1265" i="1"/>
  <c r="AD1265" i="1"/>
  <c r="AC1265" i="1"/>
  <c r="AB1265" i="1"/>
  <c r="Z1265" i="1"/>
  <c r="J1265" i="1"/>
  <c r="AL1265" i="1" s="1"/>
  <c r="I1265" i="1"/>
  <c r="BJ1264" i="1"/>
  <c r="BF1264" i="1"/>
  <c r="BD1264" i="1"/>
  <c r="AW1264" i="1"/>
  <c r="AV1264" i="1" s="1"/>
  <c r="AP1264" i="1"/>
  <c r="AX1264" i="1" s="1"/>
  <c r="AO1264" i="1"/>
  <c r="BH1264" i="1" s="1"/>
  <c r="AF1264" i="1" s="1"/>
  <c r="AL1264" i="1"/>
  <c r="AK1264" i="1"/>
  <c r="AJ1264" i="1"/>
  <c r="AH1264" i="1"/>
  <c r="AE1264" i="1"/>
  <c r="AD1264" i="1"/>
  <c r="AC1264" i="1"/>
  <c r="AB1264" i="1"/>
  <c r="Z1264" i="1"/>
  <c r="J1264" i="1"/>
  <c r="I1264" i="1"/>
  <c r="H1264" i="1"/>
  <c r="BJ1263" i="1"/>
  <c r="BF1263" i="1"/>
  <c r="BD1263" i="1"/>
  <c r="AX1263" i="1"/>
  <c r="AP1263" i="1"/>
  <c r="BI1263" i="1" s="1"/>
  <c r="AO1263" i="1"/>
  <c r="AL1263" i="1"/>
  <c r="AK1263" i="1"/>
  <c r="AJ1263" i="1"/>
  <c r="AH1263" i="1"/>
  <c r="AG1263" i="1"/>
  <c r="AF1263" i="1"/>
  <c r="AE1263" i="1"/>
  <c r="AD1263" i="1"/>
  <c r="AC1263" i="1"/>
  <c r="Z1263" i="1"/>
  <c r="J1263" i="1"/>
  <c r="I1263" i="1"/>
  <c r="BJ1261" i="1"/>
  <c r="BF1261" i="1"/>
  <c r="BD1261" i="1"/>
  <c r="AW1261" i="1"/>
  <c r="AP1261" i="1"/>
  <c r="AO1261" i="1"/>
  <c r="BH1261" i="1" s="1"/>
  <c r="AF1261" i="1" s="1"/>
  <c r="AL1261" i="1"/>
  <c r="AK1261" i="1"/>
  <c r="AJ1261" i="1"/>
  <c r="AH1261" i="1"/>
  <c r="AE1261" i="1"/>
  <c r="AD1261" i="1"/>
  <c r="AC1261" i="1"/>
  <c r="AB1261" i="1"/>
  <c r="Z1261" i="1"/>
  <c r="J1261" i="1"/>
  <c r="H1261" i="1"/>
  <c r="BJ1260" i="1"/>
  <c r="BH1260" i="1"/>
  <c r="AF1260" i="1" s="1"/>
  <c r="BF1260" i="1"/>
  <c r="BD1260" i="1"/>
  <c r="AX1260" i="1"/>
  <c r="AP1260" i="1"/>
  <c r="BI1260" i="1" s="1"/>
  <c r="AG1260" i="1" s="1"/>
  <c r="AO1260" i="1"/>
  <c r="AW1260" i="1" s="1"/>
  <c r="AL1260" i="1"/>
  <c r="AK1260" i="1"/>
  <c r="AJ1260" i="1"/>
  <c r="AH1260" i="1"/>
  <c r="AE1260" i="1"/>
  <c r="AD1260" i="1"/>
  <c r="AC1260" i="1"/>
  <c r="AB1260" i="1"/>
  <c r="Z1260" i="1"/>
  <c r="J1260" i="1"/>
  <c r="I1260" i="1"/>
  <c r="H1260" i="1"/>
  <c r="BJ1258" i="1"/>
  <c r="BH1258" i="1"/>
  <c r="AF1258" i="1" s="1"/>
  <c r="BF1258" i="1"/>
  <c r="BD1258" i="1"/>
  <c r="AW1258" i="1"/>
  <c r="AP1258" i="1"/>
  <c r="AO1258" i="1"/>
  <c r="H1258" i="1" s="1"/>
  <c r="AL1258" i="1"/>
  <c r="AK1258" i="1"/>
  <c r="AJ1258" i="1"/>
  <c r="AH1258" i="1"/>
  <c r="AE1258" i="1"/>
  <c r="AD1258" i="1"/>
  <c r="AC1258" i="1"/>
  <c r="AB1258" i="1"/>
  <c r="Z1258" i="1"/>
  <c r="J1258" i="1"/>
  <c r="BJ1256" i="1"/>
  <c r="BH1256" i="1"/>
  <c r="AF1256" i="1" s="1"/>
  <c r="BF1256" i="1"/>
  <c r="BD1256" i="1"/>
  <c r="AP1256" i="1"/>
  <c r="AO1256" i="1"/>
  <c r="AW1256" i="1" s="1"/>
  <c r="AK1256" i="1"/>
  <c r="AJ1256" i="1"/>
  <c r="AH1256" i="1"/>
  <c r="AE1256" i="1"/>
  <c r="AD1256" i="1"/>
  <c r="AC1256" i="1"/>
  <c r="AB1256" i="1"/>
  <c r="Z1256" i="1"/>
  <c r="J1256" i="1"/>
  <c r="AL1256" i="1" s="1"/>
  <c r="BJ1255" i="1"/>
  <c r="BI1255" i="1"/>
  <c r="AG1255" i="1" s="1"/>
  <c r="BF1255" i="1"/>
  <c r="BD1255" i="1"/>
  <c r="AW1255" i="1"/>
  <c r="BC1255" i="1" s="1"/>
  <c r="AV1255" i="1"/>
  <c r="AP1255" i="1"/>
  <c r="AX1255" i="1" s="1"/>
  <c r="AO1255" i="1"/>
  <c r="BH1255" i="1" s="1"/>
  <c r="AL1255" i="1"/>
  <c r="AK1255" i="1"/>
  <c r="AJ1255" i="1"/>
  <c r="AH1255" i="1"/>
  <c r="AF1255" i="1"/>
  <c r="AE1255" i="1"/>
  <c r="AD1255" i="1"/>
  <c r="AC1255" i="1"/>
  <c r="AB1255" i="1"/>
  <c r="Z1255" i="1"/>
  <c r="J1255" i="1"/>
  <c r="I1255" i="1"/>
  <c r="H1255" i="1"/>
  <c r="BJ1254" i="1"/>
  <c r="BH1254" i="1"/>
  <c r="BF1254" i="1"/>
  <c r="BD1254" i="1"/>
  <c r="AX1254" i="1"/>
  <c r="AV1254" i="1" s="1"/>
  <c r="AW1254" i="1"/>
  <c r="AP1254" i="1"/>
  <c r="BI1254" i="1" s="1"/>
  <c r="AG1254" i="1" s="1"/>
  <c r="AO1254" i="1"/>
  <c r="AK1254" i="1"/>
  <c r="AJ1254" i="1"/>
  <c r="AH1254" i="1"/>
  <c r="AF1254" i="1"/>
  <c r="AE1254" i="1"/>
  <c r="AD1254" i="1"/>
  <c r="AC1254" i="1"/>
  <c r="AB1254" i="1"/>
  <c r="Z1254" i="1"/>
  <c r="J1254" i="1"/>
  <c r="AL1254" i="1" s="1"/>
  <c r="I1254" i="1"/>
  <c r="H1254" i="1"/>
  <c r="BJ1253" i="1"/>
  <c r="BI1253" i="1"/>
  <c r="AG1253" i="1" s="1"/>
  <c r="BF1253" i="1"/>
  <c r="BD1253" i="1"/>
  <c r="AX1253" i="1"/>
  <c r="AW1253" i="1"/>
  <c r="AP1253" i="1"/>
  <c r="AO1253" i="1"/>
  <c r="BH1253" i="1" s="1"/>
  <c r="AF1253" i="1" s="1"/>
  <c r="AL1253" i="1"/>
  <c r="AK1253" i="1"/>
  <c r="AJ1253" i="1"/>
  <c r="AH1253" i="1"/>
  <c r="AE1253" i="1"/>
  <c r="AD1253" i="1"/>
  <c r="AC1253" i="1"/>
  <c r="AB1253" i="1"/>
  <c r="Z1253" i="1"/>
  <c r="J1253" i="1"/>
  <c r="I1253" i="1"/>
  <c r="H1253" i="1"/>
  <c r="BJ1252" i="1"/>
  <c r="BF1252" i="1"/>
  <c r="BD1252" i="1"/>
  <c r="AX1252" i="1"/>
  <c r="AP1252" i="1"/>
  <c r="BI1252" i="1" s="1"/>
  <c r="AG1252" i="1" s="1"/>
  <c r="AO1252" i="1"/>
  <c r="AK1252" i="1"/>
  <c r="AJ1252" i="1"/>
  <c r="AH1252" i="1"/>
  <c r="AE1252" i="1"/>
  <c r="AD1252" i="1"/>
  <c r="AC1252" i="1"/>
  <c r="AB1252" i="1"/>
  <c r="Z1252" i="1"/>
  <c r="J1252" i="1"/>
  <c r="AL1252" i="1" s="1"/>
  <c r="I1252" i="1"/>
  <c r="BJ1250" i="1"/>
  <c r="BF1250" i="1"/>
  <c r="BD1250" i="1"/>
  <c r="AW1250" i="1"/>
  <c r="AP1250" i="1"/>
  <c r="AO1250" i="1"/>
  <c r="BH1250" i="1" s="1"/>
  <c r="AF1250" i="1" s="1"/>
  <c r="AL1250" i="1"/>
  <c r="AK1250" i="1"/>
  <c r="AJ1250" i="1"/>
  <c r="AH1250" i="1"/>
  <c r="AE1250" i="1"/>
  <c r="AD1250" i="1"/>
  <c r="AC1250" i="1"/>
  <c r="AB1250" i="1"/>
  <c r="Z1250" i="1"/>
  <c r="J1250" i="1"/>
  <c r="H1250" i="1"/>
  <c r="BJ1248" i="1"/>
  <c r="BH1248" i="1"/>
  <c r="AF1248" i="1" s="1"/>
  <c r="BF1248" i="1"/>
  <c r="BD1248" i="1"/>
  <c r="AX1248" i="1"/>
  <c r="AV1248" i="1"/>
  <c r="AP1248" i="1"/>
  <c r="BI1248" i="1" s="1"/>
  <c r="AG1248" i="1" s="1"/>
  <c r="AO1248" i="1"/>
  <c r="AW1248" i="1" s="1"/>
  <c r="AL1248" i="1"/>
  <c r="AK1248" i="1"/>
  <c r="AJ1248" i="1"/>
  <c r="AH1248" i="1"/>
  <c r="AE1248" i="1"/>
  <c r="AD1248" i="1"/>
  <c r="AC1248" i="1"/>
  <c r="AB1248" i="1"/>
  <c r="Z1248" i="1"/>
  <c r="J1248" i="1"/>
  <c r="I1248" i="1"/>
  <c r="H1248" i="1"/>
  <c r="BJ1247" i="1"/>
  <c r="BF1247" i="1"/>
  <c r="BD1247" i="1"/>
  <c r="AP1247" i="1"/>
  <c r="AO1247" i="1"/>
  <c r="AK1247" i="1"/>
  <c r="AJ1247" i="1"/>
  <c r="AH1247" i="1"/>
  <c r="AE1247" i="1"/>
  <c r="AD1247" i="1"/>
  <c r="AC1247" i="1"/>
  <c r="AB1247" i="1"/>
  <c r="Z1247" i="1"/>
  <c r="J1247" i="1"/>
  <c r="AL1247" i="1" s="1"/>
  <c r="BJ1246" i="1"/>
  <c r="BI1246" i="1"/>
  <c r="AG1246" i="1" s="1"/>
  <c r="BF1246" i="1"/>
  <c r="BD1246" i="1"/>
  <c r="AP1246" i="1"/>
  <c r="AO1246" i="1"/>
  <c r="AW1246" i="1" s="1"/>
  <c r="AL1246" i="1"/>
  <c r="AK1246" i="1"/>
  <c r="AJ1246" i="1"/>
  <c r="AH1246" i="1"/>
  <c r="AE1246" i="1"/>
  <c r="AD1246" i="1"/>
  <c r="AC1246" i="1"/>
  <c r="AB1246" i="1"/>
  <c r="Z1246" i="1"/>
  <c r="J1246" i="1"/>
  <c r="H1246" i="1"/>
  <c r="BJ1245" i="1"/>
  <c r="BI1245" i="1"/>
  <c r="AG1245" i="1" s="1"/>
  <c r="BF1245" i="1"/>
  <c r="BD1245" i="1"/>
  <c r="AW1245" i="1"/>
  <c r="BC1245" i="1" s="1"/>
  <c r="AP1245" i="1"/>
  <c r="AX1245" i="1" s="1"/>
  <c r="AO1245" i="1"/>
  <c r="BH1245" i="1" s="1"/>
  <c r="AF1245" i="1" s="1"/>
  <c r="AL1245" i="1"/>
  <c r="AK1245" i="1"/>
  <c r="AJ1245" i="1"/>
  <c r="AH1245" i="1"/>
  <c r="AE1245" i="1"/>
  <c r="AD1245" i="1"/>
  <c r="AC1245" i="1"/>
  <c r="AB1245" i="1"/>
  <c r="Z1245" i="1"/>
  <c r="J1245" i="1"/>
  <c r="I1245" i="1"/>
  <c r="H1245" i="1"/>
  <c r="BJ1244" i="1"/>
  <c r="BF1244" i="1"/>
  <c r="BD1244" i="1"/>
  <c r="AX1244" i="1"/>
  <c r="AV1244" i="1" s="1"/>
  <c r="AW1244" i="1"/>
  <c r="AP1244" i="1"/>
  <c r="BI1244" i="1" s="1"/>
  <c r="AG1244" i="1" s="1"/>
  <c r="AO1244" i="1"/>
  <c r="BH1244" i="1" s="1"/>
  <c r="AK1244" i="1"/>
  <c r="AJ1244" i="1"/>
  <c r="AH1244" i="1"/>
  <c r="AF1244" i="1"/>
  <c r="AE1244" i="1"/>
  <c r="AD1244" i="1"/>
  <c r="AC1244" i="1"/>
  <c r="AB1244" i="1"/>
  <c r="Z1244" i="1"/>
  <c r="J1244" i="1"/>
  <c r="AL1244" i="1" s="1"/>
  <c r="I1244" i="1"/>
  <c r="H1244" i="1"/>
  <c r="BJ1243" i="1"/>
  <c r="BF1243" i="1"/>
  <c r="BD1243" i="1"/>
  <c r="AX1243" i="1"/>
  <c r="AP1243" i="1"/>
  <c r="BI1243" i="1" s="1"/>
  <c r="AO1243" i="1"/>
  <c r="H1243" i="1" s="1"/>
  <c r="AK1243" i="1"/>
  <c r="AJ1243" i="1"/>
  <c r="AH1243" i="1"/>
  <c r="AG1243" i="1"/>
  <c r="AE1243" i="1"/>
  <c r="AD1243" i="1"/>
  <c r="AC1243" i="1"/>
  <c r="AB1243" i="1"/>
  <c r="Z1243" i="1"/>
  <c r="J1243" i="1"/>
  <c r="AL1243" i="1" s="1"/>
  <c r="I1243" i="1"/>
  <c r="BJ1242" i="1"/>
  <c r="BF1242" i="1"/>
  <c r="BD1242" i="1"/>
  <c r="AW1242" i="1"/>
  <c r="AP1242" i="1"/>
  <c r="AO1242" i="1"/>
  <c r="BH1242" i="1" s="1"/>
  <c r="AF1242" i="1" s="1"/>
  <c r="AK1242" i="1"/>
  <c r="AJ1242" i="1"/>
  <c r="AH1242" i="1"/>
  <c r="AE1242" i="1"/>
  <c r="AD1242" i="1"/>
  <c r="AC1242" i="1"/>
  <c r="AB1242" i="1"/>
  <c r="Z1242" i="1"/>
  <c r="J1242" i="1"/>
  <c r="AL1242" i="1" s="1"/>
  <c r="H1242" i="1"/>
  <c r="BJ1241" i="1"/>
  <c r="BF1241" i="1"/>
  <c r="BD1241" i="1"/>
  <c r="BC1241" i="1"/>
  <c r="AX1241" i="1"/>
  <c r="AW1241" i="1"/>
  <c r="AV1241" i="1"/>
  <c r="AP1241" i="1"/>
  <c r="BI1241" i="1" s="1"/>
  <c r="AG1241" i="1" s="1"/>
  <c r="AO1241" i="1"/>
  <c r="BH1241" i="1" s="1"/>
  <c r="AL1241" i="1"/>
  <c r="AK1241" i="1"/>
  <c r="AJ1241" i="1"/>
  <c r="AH1241" i="1"/>
  <c r="AF1241" i="1"/>
  <c r="AE1241" i="1"/>
  <c r="AD1241" i="1"/>
  <c r="AC1241" i="1"/>
  <c r="AB1241" i="1"/>
  <c r="Z1241" i="1"/>
  <c r="J1241" i="1"/>
  <c r="I1241" i="1"/>
  <c r="H1241" i="1"/>
  <c r="BJ1240" i="1"/>
  <c r="BF1240" i="1"/>
  <c r="BD1240" i="1"/>
  <c r="AX1240" i="1"/>
  <c r="AP1240" i="1"/>
  <c r="BI1240" i="1" s="1"/>
  <c r="AG1240" i="1" s="1"/>
  <c r="AO1240" i="1"/>
  <c r="AL1240" i="1"/>
  <c r="AK1240" i="1"/>
  <c r="AJ1240" i="1"/>
  <c r="AH1240" i="1"/>
  <c r="AE1240" i="1"/>
  <c r="AD1240" i="1"/>
  <c r="AC1240" i="1"/>
  <c r="AB1240" i="1"/>
  <c r="Z1240" i="1"/>
  <c r="J1240" i="1"/>
  <c r="I1240" i="1"/>
  <c r="BJ1239" i="1"/>
  <c r="BH1239" i="1"/>
  <c r="AF1239" i="1" s="1"/>
  <c r="BF1239" i="1"/>
  <c r="BD1239" i="1"/>
  <c r="AP1239" i="1"/>
  <c r="I1239" i="1" s="1"/>
  <c r="AO1239" i="1"/>
  <c r="AK1239" i="1"/>
  <c r="AJ1239" i="1"/>
  <c r="AH1239" i="1"/>
  <c r="AE1239" i="1"/>
  <c r="AD1239" i="1"/>
  <c r="AC1239" i="1"/>
  <c r="AB1239" i="1"/>
  <c r="Z1239" i="1"/>
  <c r="J1239" i="1"/>
  <c r="AL1239" i="1" s="1"/>
  <c r="BJ1238" i="1"/>
  <c r="BI1238" i="1"/>
  <c r="AG1238" i="1" s="1"/>
  <c r="BF1238" i="1"/>
  <c r="BD1238" i="1"/>
  <c r="AP1238" i="1"/>
  <c r="AO1238" i="1"/>
  <c r="AL1238" i="1"/>
  <c r="AK1238" i="1"/>
  <c r="AJ1238" i="1"/>
  <c r="AH1238" i="1"/>
  <c r="AE1238" i="1"/>
  <c r="AD1238" i="1"/>
  <c r="AC1238" i="1"/>
  <c r="AB1238" i="1"/>
  <c r="Z1238" i="1"/>
  <c r="J1238" i="1"/>
  <c r="BJ1237" i="1"/>
  <c r="BF1237" i="1"/>
  <c r="BD1237" i="1"/>
  <c r="AW1237" i="1"/>
  <c r="BC1237" i="1" s="1"/>
  <c r="AV1237" i="1"/>
  <c r="AP1237" i="1"/>
  <c r="AX1237" i="1" s="1"/>
  <c r="AO1237" i="1"/>
  <c r="BH1237" i="1" s="1"/>
  <c r="AL1237" i="1"/>
  <c r="AK1237" i="1"/>
  <c r="AJ1237" i="1"/>
  <c r="AH1237" i="1"/>
  <c r="AF1237" i="1"/>
  <c r="AE1237" i="1"/>
  <c r="AD1237" i="1"/>
  <c r="AC1237" i="1"/>
  <c r="AB1237" i="1"/>
  <c r="Z1237" i="1"/>
  <c r="J1237" i="1"/>
  <c r="I1237" i="1"/>
  <c r="H1237" i="1"/>
  <c r="BJ1236" i="1"/>
  <c r="BF1236" i="1"/>
  <c r="BD1236" i="1"/>
  <c r="AX1236" i="1"/>
  <c r="AW1236" i="1"/>
  <c r="BC1236" i="1" s="1"/>
  <c r="AV1236" i="1"/>
  <c r="AP1236" i="1"/>
  <c r="BI1236" i="1" s="1"/>
  <c r="AG1236" i="1" s="1"/>
  <c r="AO1236" i="1"/>
  <c r="BH1236" i="1" s="1"/>
  <c r="AF1236" i="1" s="1"/>
  <c r="AL1236" i="1"/>
  <c r="AK1236" i="1"/>
  <c r="AJ1236" i="1"/>
  <c r="AH1236" i="1"/>
  <c r="AE1236" i="1"/>
  <c r="AD1236" i="1"/>
  <c r="AC1236" i="1"/>
  <c r="AB1236" i="1"/>
  <c r="Z1236" i="1"/>
  <c r="J1236" i="1"/>
  <c r="I1236" i="1"/>
  <c r="H1236" i="1"/>
  <c r="AS1235" i="1"/>
  <c r="BJ1233" i="1"/>
  <c r="BF1233" i="1"/>
  <c r="BD1233" i="1"/>
  <c r="AW1233" i="1"/>
  <c r="AP1233" i="1"/>
  <c r="AO1233" i="1"/>
  <c r="BH1233" i="1" s="1"/>
  <c r="AB1233" i="1" s="1"/>
  <c r="AL1233" i="1"/>
  <c r="AK1233" i="1"/>
  <c r="AT1232" i="1" s="1"/>
  <c r="AJ1233" i="1"/>
  <c r="AH1233" i="1"/>
  <c r="AG1233" i="1"/>
  <c r="AF1233" i="1"/>
  <c r="AE1233" i="1"/>
  <c r="AD1233" i="1"/>
  <c r="Z1233" i="1"/>
  <c r="J1233" i="1"/>
  <c r="H1233" i="1"/>
  <c r="H1232" i="1" s="1"/>
  <c r="AU1232" i="1"/>
  <c r="AS1232" i="1"/>
  <c r="J1232" i="1"/>
  <c r="BJ1229" i="1"/>
  <c r="BH1229" i="1"/>
  <c r="BF1229" i="1"/>
  <c r="BD1229" i="1"/>
  <c r="BC1229" i="1"/>
  <c r="AX1229" i="1"/>
  <c r="AW1229" i="1"/>
  <c r="AV1229" i="1" s="1"/>
  <c r="AP1229" i="1"/>
  <c r="BI1229" i="1" s="1"/>
  <c r="AO1229" i="1"/>
  <c r="H1229" i="1" s="1"/>
  <c r="AK1229" i="1"/>
  <c r="AJ1229" i="1"/>
  <c r="AS1228" i="1" s="1"/>
  <c r="AH1229" i="1"/>
  <c r="AG1229" i="1"/>
  <c r="AF1229" i="1"/>
  <c r="AE1229" i="1"/>
  <c r="AD1229" i="1"/>
  <c r="AC1229" i="1"/>
  <c r="AB1229" i="1"/>
  <c r="Z1229" i="1"/>
  <c r="J1229" i="1"/>
  <c r="I1229" i="1"/>
  <c r="I1228" i="1" s="1"/>
  <c r="AT1228" i="1"/>
  <c r="H1228" i="1"/>
  <c r="BJ1227" i="1"/>
  <c r="BF1227" i="1"/>
  <c r="BD1227" i="1"/>
  <c r="AX1227" i="1"/>
  <c r="AW1227" i="1"/>
  <c r="AP1227" i="1"/>
  <c r="BI1227" i="1" s="1"/>
  <c r="AC1227" i="1" s="1"/>
  <c r="AO1227" i="1"/>
  <c r="BH1227" i="1" s="1"/>
  <c r="AB1227" i="1" s="1"/>
  <c r="AK1227" i="1"/>
  <c r="AJ1227" i="1"/>
  <c r="AH1227" i="1"/>
  <c r="AG1227" i="1"/>
  <c r="AF1227" i="1"/>
  <c r="AE1227" i="1"/>
  <c r="AD1227" i="1"/>
  <c r="Z1227" i="1"/>
  <c r="J1227" i="1"/>
  <c r="AL1227" i="1" s="1"/>
  <c r="I1227" i="1"/>
  <c r="H1227" i="1"/>
  <c r="BJ1225" i="1"/>
  <c r="BH1225" i="1"/>
  <c r="AB1225" i="1" s="1"/>
  <c r="BF1225" i="1"/>
  <c r="BD1225" i="1"/>
  <c r="AX1225" i="1"/>
  <c r="AW1225" i="1"/>
  <c r="AP1225" i="1"/>
  <c r="BI1225" i="1" s="1"/>
  <c r="AC1225" i="1" s="1"/>
  <c r="AO1225" i="1"/>
  <c r="H1225" i="1" s="1"/>
  <c r="AK1225" i="1"/>
  <c r="AJ1225" i="1"/>
  <c r="AH1225" i="1"/>
  <c r="AG1225" i="1"/>
  <c r="AF1225" i="1"/>
  <c r="AE1225" i="1"/>
  <c r="AD1225" i="1"/>
  <c r="Z1225" i="1"/>
  <c r="J1225" i="1"/>
  <c r="AL1225" i="1" s="1"/>
  <c r="I1225" i="1"/>
  <c r="BJ1223" i="1"/>
  <c r="BF1223" i="1"/>
  <c r="BD1223" i="1"/>
  <c r="AW1223" i="1"/>
  <c r="AP1223" i="1"/>
  <c r="I1223" i="1" s="1"/>
  <c r="AO1223" i="1"/>
  <c r="BH1223" i="1" s="1"/>
  <c r="AK1223" i="1"/>
  <c r="AJ1223" i="1"/>
  <c r="AH1223" i="1"/>
  <c r="AG1223" i="1"/>
  <c r="AF1223" i="1"/>
  <c r="AE1223" i="1"/>
  <c r="AD1223" i="1"/>
  <c r="AB1223" i="1"/>
  <c r="Z1223" i="1"/>
  <c r="J1223" i="1"/>
  <c r="AL1223" i="1" s="1"/>
  <c r="H1223" i="1"/>
  <c r="BJ1221" i="1"/>
  <c r="BF1221" i="1"/>
  <c r="BD1221" i="1"/>
  <c r="BC1221" i="1"/>
  <c r="AX1221" i="1"/>
  <c r="AW1221" i="1"/>
  <c r="AV1221" i="1"/>
  <c r="AP1221" i="1"/>
  <c r="BI1221" i="1" s="1"/>
  <c r="AC1221" i="1" s="1"/>
  <c r="AO1221" i="1"/>
  <c r="BH1221" i="1" s="1"/>
  <c r="AB1221" i="1" s="1"/>
  <c r="AL1221" i="1"/>
  <c r="AK1221" i="1"/>
  <c r="AJ1221" i="1"/>
  <c r="AH1221" i="1"/>
  <c r="AG1221" i="1"/>
  <c r="AF1221" i="1"/>
  <c r="AE1221" i="1"/>
  <c r="AD1221" i="1"/>
  <c r="Z1221" i="1"/>
  <c r="J1221" i="1"/>
  <c r="I1221" i="1"/>
  <c r="H1221" i="1"/>
  <c r="BJ1220" i="1"/>
  <c r="BH1220" i="1"/>
  <c r="AB1220" i="1" s="1"/>
  <c r="BF1220" i="1"/>
  <c r="BD1220" i="1"/>
  <c r="AX1220" i="1"/>
  <c r="AP1220" i="1"/>
  <c r="BI1220" i="1" s="1"/>
  <c r="AO1220" i="1"/>
  <c r="AL1220" i="1"/>
  <c r="AK1220" i="1"/>
  <c r="AJ1220" i="1"/>
  <c r="AH1220" i="1"/>
  <c r="AG1220" i="1"/>
  <c r="AF1220" i="1"/>
  <c r="AE1220" i="1"/>
  <c r="AD1220" i="1"/>
  <c r="AC1220" i="1"/>
  <c r="Z1220" i="1"/>
  <c r="J1220" i="1"/>
  <c r="I1220" i="1"/>
  <c r="BJ1217" i="1"/>
  <c r="BH1217" i="1"/>
  <c r="AB1217" i="1" s="1"/>
  <c r="BF1217" i="1"/>
  <c r="BD1217" i="1"/>
  <c r="AP1217" i="1"/>
  <c r="I1217" i="1" s="1"/>
  <c r="AO1217" i="1"/>
  <c r="AK1217" i="1"/>
  <c r="AJ1217" i="1"/>
  <c r="AH1217" i="1"/>
  <c r="AG1217" i="1"/>
  <c r="AF1217" i="1"/>
  <c r="AE1217" i="1"/>
  <c r="AD1217" i="1"/>
  <c r="Z1217" i="1"/>
  <c r="J1217" i="1"/>
  <c r="BJ1216" i="1"/>
  <c r="BF1216" i="1"/>
  <c r="BD1216" i="1"/>
  <c r="AP1216" i="1"/>
  <c r="AO1216" i="1"/>
  <c r="AL1216" i="1"/>
  <c r="AK1216" i="1"/>
  <c r="AJ1216" i="1"/>
  <c r="AH1216" i="1"/>
  <c r="AG1216" i="1"/>
  <c r="AF1216" i="1"/>
  <c r="AE1216" i="1"/>
  <c r="AD1216" i="1"/>
  <c r="Z1216" i="1"/>
  <c r="J1216" i="1"/>
  <c r="BJ1214" i="1"/>
  <c r="BF1214" i="1"/>
  <c r="BD1214" i="1"/>
  <c r="AW1214" i="1"/>
  <c r="BC1214" i="1" s="1"/>
  <c r="AV1214" i="1"/>
  <c r="AP1214" i="1"/>
  <c r="AX1214" i="1" s="1"/>
  <c r="AO1214" i="1"/>
  <c r="BH1214" i="1" s="1"/>
  <c r="AL1214" i="1"/>
  <c r="AK1214" i="1"/>
  <c r="AJ1214" i="1"/>
  <c r="AH1214" i="1"/>
  <c r="AG1214" i="1"/>
  <c r="AF1214" i="1"/>
  <c r="AE1214" i="1"/>
  <c r="AD1214" i="1"/>
  <c r="AB1214" i="1"/>
  <c r="Z1214" i="1"/>
  <c r="J1214" i="1"/>
  <c r="I1214" i="1"/>
  <c r="H1214" i="1"/>
  <c r="BJ1209" i="1"/>
  <c r="BI1209" i="1"/>
  <c r="AC1209" i="1" s="1"/>
  <c r="BF1209" i="1"/>
  <c r="BD1209" i="1"/>
  <c r="AP1209" i="1"/>
  <c r="AO1209" i="1"/>
  <c r="AW1209" i="1" s="1"/>
  <c r="AL1209" i="1"/>
  <c r="AK1209" i="1"/>
  <c r="AJ1209" i="1"/>
  <c r="AS1207" i="1" s="1"/>
  <c r="AH1209" i="1"/>
  <c r="AG1209" i="1"/>
  <c r="AF1209" i="1"/>
  <c r="AE1209" i="1"/>
  <c r="AD1209" i="1"/>
  <c r="Z1209" i="1"/>
  <c r="J1209" i="1"/>
  <c r="BJ1208" i="1"/>
  <c r="BI1208" i="1"/>
  <c r="AC1208" i="1" s="1"/>
  <c r="BF1208" i="1"/>
  <c r="BD1208" i="1"/>
  <c r="AW1208" i="1"/>
  <c r="BC1208" i="1" s="1"/>
  <c r="AV1208" i="1"/>
  <c r="AP1208" i="1"/>
  <c r="AX1208" i="1" s="1"/>
  <c r="AO1208" i="1"/>
  <c r="BH1208" i="1" s="1"/>
  <c r="AL1208" i="1"/>
  <c r="AK1208" i="1"/>
  <c r="AT1207" i="1" s="1"/>
  <c r="AJ1208" i="1"/>
  <c r="AH1208" i="1"/>
  <c r="AG1208" i="1"/>
  <c r="AF1208" i="1"/>
  <c r="AE1208" i="1"/>
  <c r="AD1208" i="1"/>
  <c r="AB1208" i="1"/>
  <c r="Z1208" i="1"/>
  <c r="J1208" i="1"/>
  <c r="I1208" i="1"/>
  <c r="H1208" i="1"/>
  <c r="AU1207" i="1"/>
  <c r="J1207" i="1"/>
  <c r="BJ1204" i="1"/>
  <c r="BI1204" i="1"/>
  <c r="AC1204" i="1" s="1"/>
  <c r="BH1204" i="1"/>
  <c r="AB1204" i="1" s="1"/>
  <c r="BF1204" i="1"/>
  <c r="BD1204" i="1"/>
  <c r="AP1204" i="1"/>
  <c r="AO1204" i="1"/>
  <c r="AW1204" i="1" s="1"/>
  <c r="AK1204" i="1"/>
  <c r="AJ1204" i="1"/>
  <c r="AS1197" i="1" s="1"/>
  <c r="AH1204" i="1"/>
  <c r="AG1204" i="1"/>
  <c r="AF1204" i="1"/>
  <c r="AE1204" i="1"/>
  <c r="AD1204" i="1"/>
  <c r="Z1204" i="1"/>
  <c r="J1204" i="1"/>
  <c r="AL1204" i="1" s="1"/>
  <c r="H1204" i="1"/>
  <c r="H1197" i="1" s="1"/>
  <c r="BJ1202" i="1"/>
  <c r="BF1202" i="1"/>
  <c r="BD1202" i="1"/>
  <c r="AW1202" i="1"/>
  <c r="AP1202" i="1"/>
  <c r="AO1202" i="1"/>
  <c r="BH1202" i="1" s="1"/>
  <c r="AB1202" i="1" s="1"/>
  <c r="AL1202" i="1"/>
  <c r="AK1202" i="1"/>
  <c r="AT1197" i="1" s="1"/>
  <c r="AJ1202" i="1"/>
  <c r="AH1202" i="1"/>
  <c r="AG1202" i="1"/>
  <c r="AF1202" i="1"/>
  <c r="AE1202" i="1"/>
  <c r="AD1202" i="1"/>
  <c r="Z1202" i="1"/>
  <c r="J1202" i="1"/>
  <c r="H1202" i="1"/>
  <c r="BJ1198" i="1"/>
  <c r="BF1198" i="1"/>
  <c r="BD1198" i="1"/>
  <c r="AX1198" i="1"/>
  <c r="AV1198" i="1" s="1"/>
  <c r="AW1198" i="1"/>
  <c r="AP1198" i="1"/>
  <c r="BI1198" i="1" s="1"/>
  <c r="AC1198" i="1" s="1"/>
  <c r="AO1198" i="1"/>
  <c r="BH1198" i="1" s="1"/>
  <c r="AB1198" i="1" s="1"/>
  <c r="AK1198" i="1"/>
  <c r="AJ1198" i="1"/>
  <c r="AH1198" i="1"/>
  <c r="AG1198" i="1"/>
  <c r="AF1198" i="1"/>
  <c r="AE1198" i="1"/>
  <c r="AD1198" i="1"/>
  <c r="Z1198" i="1"/>
  <c r="J1198" i="1"/>
  <c r="I1198" i="1"/>
  <c r="H1198" i="1"/>
  <c r="BJ1194" i="1"/>
  <c r="BF1194" i="1"/>
  <c r="BD1194" i="1"/>
  <c r="AW1194" i="1"/>
  <c r="AP1194" i="1"/>
  <c r="AX1194" i="1" s="1"/>
  <c r="AO1194" i="1"/>
  <c r="BH1194" i="1" s="1"/>
  <c r="AB1194" i="1" s="1"/>
  <c r="AL1194" i="1"/>
  <c r="AK1194" i="1"/>
  <c r="AT1193" i="1" s="1"/>
  <c r="AJ1194" i="1"/>
  <c r="AH1194" i="1"/>
  <c r="AG1194" i="1"/>
  <c r="AF1194" i="1"/>
  <c r="AE1194" i="1"/>
  <c r="AD1194" i="1"/>
  <c r="Z1194" i="1"/>
  <c r="J1194" i="1"/>
  <c r="I1194" i="1"/>
  <c r="I1193" i="1" s="1"/>
  <c r="H1194" i="1"/>
  <c r="H1193" i="1" s="1"/>
  <c r="AU1193" i="1"/>
  <c r="AS1193" i="1"/>
  <c r="J1193" i="1"/>
  <c r="BJ1190" i="1"/>
  <c r="BH1190" i="1"/>
  <c r="AB1190" i="1" s="1"/>
  <c r="BF1190" i="1"/>
  <c r="BD1190" i="1"/>
  <c r="AP1190" i="1"/>
  <c r="AO1190" i="1"/>
  <c r="AW1190" i="1" s="1"/>
  <c r="AK1190" i="1"/>
  <c r="AJ1190" i="1"/>
  <c r="AS1184" i="1" s="1"/>
  <c r="AH1190" i="1"/>
  <c r="AG1190" i="1"/>
  <c r="AF1190" i="1"/>
  <c r="AE1190" i="1"/>
  <c r="AD1190" i="1"/>
  <c r="Z1190" i="1"/>
  <c r="J1190" i="1"/>
  <c r="AL1190" i="1" s="1"/>
  <c r="H1190" i="1"/>
  <c r="BJ1188" i="1"/>
  <c r="BI1188" i="1"/>
  <c r="BF1188" i="1"/>
  <c r="BD1188" i="1"/>
  <c r="AW1188" i="1"/>
  <c r="BC1188" i="1" s="1"/>
  <c r="AP1188" i="1"/>
  <c r="AX1188" i="1" s="1"/>
  <c r="AO1188" i="1"/>
  <c r="BH1188" i="1" s="1"/>
  <c r="AB1188" i="1" s="1"/>
  <c r="AL1188" i="1"/>
  <c r="AK1188" i="1"/>
  <c r="AT1184" i="1" s="1"/>
  <c r="AJ1188" i="1"/>
  <c r="AH1188" i="1"/>
  <c r="AG1188" i="1"/>
  <c r="AF1188" i="1"/>
  <c r="AE1188" i="1"/>
  <c r="AD1188" i="1"/>
  <c r="AC1188" i="1"/>
  <c r="Z1188" i="1"/>
  <c r="J1188" i="1"/>
  <c r="I1188" i="1"/>
  <c r="H1188" i="1"/>
  <c r="BJ1185" i="1"/>
  <c r="BH1185" i="1"/>
  <c r="AB1185" i="1" s="1"/>
  <c r="BF1185" i="1"/>
  <c r="BD1185" i="1"/>
  <c r="AX1185" i="1"/>
  <c r="AW1185" i="1"/>
  <c r="BC1185" i="1" s="1"/>
  <c r="AV1185" i="1"/>
  <c r="AP1185" i="1"/>
  <c r="BI1185" i="1" s="1"/>
  <c r="AO1185" i="1"/>
  <c r="AL1185" i="1"/>
  <c r="AU1184" i="1" s="1"/>
  <c r="AK1185" i="1"/>
  <c r="AJ1185" i="1"/>
  <c r="AH1185" i="1"/>
  <c r="AG1185" i="1"/>
  <c r="AF1185" i="1"/>
  <c r="AE1185" i="1"/>
  <c r="AD1185" i="1"/>
  <c r="AC1185" i="1"/>
  <c r="Z1185" i="1"/>
  <c r="J1185" i="1"/>
  <c r="J1184" i="1" s="1"/>
  <c r="I1185" i="1"/>
  <c r="H1185" i="1"/>
  <c r="H1184" i="1"/>
  <c r="BJ1183" i="1"/>
  <c r="BH1183" i="1"/>
  <c r="BF1183" i="1"/>
  <c r="BD1183" i="1"/>
  <c r="AW1183" i="1"/>
  <c r="AP1183" i="1"/>
  <c r="AO1183" i="1"/>
  <c r="AL1183" i="1"/>
  <c r="AK1183" i="1"/>
  <c r="AJ1183" i="1"/>
  <c r="AH1183" i="1"/>
  <c r="AG1183" i="1"/>
  <c r="AF1183" i="1"/>
  <c r="AE1183" i="1"/>
  <c r="AD1183" i="1"/>
  <c r="AB1183" i="1"/>
  <c r="Z1183" i="1"/>
  <c r="J1183" i="1"/>
  <c r="I1183" i="1"/>
  <c r="H1183" i="1"/>
  <c r="BJ1182" i="1"/>
  <c r="BF1182" i="1"/>
  <c r="BD1182" i="1"/>
  <c r="AX1182" i="1"/>
  <c r="AW1182" i="1"/>
  <c r="AP1182" i="1"/>
  <c r="BI1182" i="1" s="1"/>
  <c r="AC1182" i="1" s="1"/>
  <c r="AO1182" i="1"/>
  <c r="BH1182" i="1" s="1"/>
  <c r="AB1182" i="1" s="1"/>
  <c r="AK1182" i="1"/>
  <c r="AJ1182" i="1"/>
  <c r="AH1182" i="1"/>
  <c r="AG1182" i="1"/>
  <c r="AF1182" i="1"/>
  <c r="AE1182" i="1"/>
  <c r="AD1182" i="1"/>
  <c r="Z1182" i="1"/>
  <c r="J1182" i="1"/>
  <c r="AL1182" i="1" s="1"/>
  <c r="I1182" i="1"/>
  <c r="H1182" i="1"/>
  <c r="BJ1181" i="1"/>
  <c r="BF1181" i="1"/>
  <c r="BD1181" i="1"/>
  <c r="BC1181" i="1"/>
  <c r="AX1181" i="1"/>
  <c r="AW1181" i="1"/>
  <c r="AP1181" i="1"/>
  <c r="BI1181" i="1" s="1"/>
  <c r="AC1181" i="1" s="1"/>
  <c r="AO1181" i="1"/>
  <c r="H1181" i="1" s="1"/>
  <c r="AK1181" i="1"/>
  <c r="AJ1181" i="1"/>
  <c r="AH1181" i="1"/>
  <c r="AG1181" i="1"/>
  <c r="AF1181" i="1"/>
  <c r="AE1181" i="1"/>
  <c r="AD1181" i="1"/>
  <c r="Z1181" i="1"/>
  <c r="J1181" i="1"/>
  <c r="AL1181" i="1" s="1"/>
  <c r="I1181" i="1"/>
  <c r="BJ1180" i="1"/>
  <c r="BF1180" i="1"/>
  <c r="BD1180" i="1"/>
  <c r="AX1180" i="1"/>
  <c r="AV1180" i="1" s="1"/>
  <c r="AW1180" i="1"/>
  <c r="AP1180" i="1"/>
  <c r="I1180" i="1" s="1"/>
  <c r="I1179" i="1" s="1"/>
  <c r="AO1180" i="1"/>
  <c r="BH1180" i="1" s="1"/>
  <c r="AK1180" i="1"/>
  <c r="AT1179" i="1" s="1"/>
  <c r="AJ1180" i="1"/>
  <c r="AH1180" i="1"/>
  <c r="AG1180" i="1"/>
  <c r="AF1180" i="1"/>
  <c r="AE1180" i="1"/>
  <c r="AD1180" i="1"/>
  <c r="AB1180" i="1"/>
  <c r="Z1180" i="1"/>
  <c r="J1180" i="1"/>
  <c r="AL1180" i="1" s="1"/>
  <c r="H1180" i="1"/>
  <c r="H1179" i="1"/>
  <c r="BJ1177" i="1"/>
  <c r="BF1177" i="1"/>
  <c r="BD1177" i="1"/>
  <c r="BC1177" i="1"/>
  <c r="AX1177" i="1"/>
  <c r="AW1177" i="1"/>
  <c r="AP1177" i="1"/>
  <c r="BI1177" i="1" s="1"/>
  <c r="AC1177" i="1" s="1"/>
  <c r="AO1177" i="1"/>
  <c r="H1177" i="1" s="1"/>
  <c r="H1173" i="1" s="1"/>
  <c r="AK1177" i="1"/>
  <c r="AJ1177" i="1"/>
  <c r="AH1177" i="1"/>
  <c r="AG1177" i="1"/>
  <c r="AF1177" i="1"/>
  <c r="AE1177" i="1"/>
  <c r="AD1177" i="1"/>
  <c r="Z1177" i="1"/>
  <c r="J1177" i="1"/>
  <c r="AL1177" i="1" s="1"/>
  <c r="I1177" i="1"/>
  <c r="BJ1174" i="1"/>
  <c r="BF1174" i="1"/>
  <c r="BD1174" i="1"/>
  <c r="AX1174" i="1"/>
  <c r="AV1174" i="1" s="1"/>
  <c r="AW1174" i="1"/>
  <c r="AP1174" i="1"/>
  <c r="I1174" i="1" s="1"/>
  <c r="I1173" i="1" s="1"/>
  <c r="AO1174" i="1"/>
  <c r="BH1174" i="1" s="1"/>
  <c r="AK1174" i="1"/>
  <c r="AT1173" i="1" s="1"/>
  <c r="AJ1174" i="1"/>
  <c r="AH1174" i="1"/>
  <c r="AG1174" i="1"/>
  <c r="AF1174" i="1"/>
  <c r="AE1174" i="1"/>
  <c r="AD1174" i="1"/>
  <c r="AB1174" i="1"/>
  <c r="Z1174" i="1"/>
  <c r="J1174" i="1"/>
  <c r="AL1174" i="1" s="1"/>
  <c r="H1174" i="1"/>
  <c r="BJ1171" i="1"/>
  <c r="BF1171" i="1"/>
  <c r="BD1171" i="1"/>
  <c r="BC1171" i="1"/>
  <c r="AX1171" i="1"/>
  <c r="AW1171" i="1"/>
  <c r="AP1171" i="1"/>
  <c r="BI1171" i="1" s="1"/>
  <c r="AC1171" i="1" s="1"/>
  <c r="AO1171" i="1"/>
  <c r="H1171" i="1" s="1"/>
  <c r="AK1171" i="1"/>
  <c r="AJ1171" i="1"/>
  <c r="AH1171" i="1"/>
  <c r="AG1171" i="1"/>
  <c r="AF1171" i="1"/>
  <c r="AE1171" i="1"/>
  <c r="AD1171" i="1"/>
  <c r="Z1171" i="1"/>
  <c r="J1171" i="1"/>
  <c r="AL1171" i="1" s="1"/>
  <c r="I1171" i="1"/>
  <c r="BJ1169" i="1"/>
  <c r="BF1169" i="1"/>
  <c r="BD1169" i="1"/>
  <c r="AX1169" i="1"/>
  <c r="AV1169" i="1" s="1"/>
  <c r="AW1169" i="1"/>
  <c r="AP1169" i="1"/>
  <c r="I1169" i="1" s="1"/>
  <c r="AO1169" i="1"/>
  <c r="BH1169" i="1" s="1"/>
  <c r="AK1169" i="1"/>
  <c r="AT1168" i="1" s="1"/>
  <c r="AJ1169" i="1"/>
  <c r="AH1169" i="1"/>
  <c r="AG1169" i="1"/>
  <c r="AF1169" i="1"/>
  <c r="AE1169" i="1"/>
  <c r="AD1169" i="1"/>
  <c r="AB1169" i="1"/>
  <c r="Z1169" i="1"/>
  <c r="J1169" i="1"/>
  <c r="AL1169" i="1" s="1"/>
  <c r="H1169" i="1"/>
  <c r="H1168" i="1"/>
  <c r="BJ1165" i="1"/>
  <c r="BH1165" i="1"/>
  <c r="AF1165" i="1" s="1"/>
  <c r="BF1165" i="1"/>
  <c r="BD1165" i="1"/>
  <c r="AX1165" i="1"/>
  <c r="AP1165" i="1"/>
  <c r="BI1165" i="1" s="1"/>
  <c r="AG1165" i="1" s="1"/>
  <c r="AO1165" i="1"/>
  <c r="AL1165" i="1"/>
  <c r="AK1165" i="1"/>
  <c r="AJ1165" i="1"/>
  <c r="AH1165" i="1"/>
  <c r="AE1165" i="1"/>
  <c r="AD1165" i="1"/>
  <c r="AC1165" i="1"/>
  <c r="AB1165" i="1"/>
  <c r="Z1165" i="1"/>
  <c r="J1165" i="1"/>
  <c r="I1165" i="1"/>
  <c r="BJ1164" i="1"/>
  <c r="BF1164" i="1"/>
  <c r="BD1164" i="1"/>
  <c r="AP1164" i="1"/>
  <c r="AO1164" i="1"/>
  <c r="AL1164" i="1"/>
  <c r="AK1164" i="1"/>
  <c r="AJ1164" i="1"/>
  <c r="AH1164" i="1"/>
  <c r="AE1164" i="1"/>
  <c r="AD1164" i="1"/>
  <c r="AC1164" i="1"/>
  <c r="AB1164" i="1"/>
  <c r="Z1164" i="1"/>
  <c r="J1164" i="1"/>
  <c r="BJ1163" i="1"/>
  <c r="BF1163" i="1"/>
  <c r="BD1163" i="1"/>
  <c r="AP1163" i="1"/>
  <c r="AO1163" i="1"/>
  <c r="AW1163" i="1" s="1"/>
  <c r="AL1163" i="1"/>
  <c r="AK1163" i="1"/>
  <c r="AJ1163" i="1"/>
  <c r="AH1163" i="1"/>
  <c r="AE1163" i="1"/>
  <c r="AD1163" i="1"/>
  <c r="AC1163" i="1"/>
  <c r="AB1163" i="1"/>
  <c r="Z1163" i="1"/>
  <c r="J1163" i="1"/>
  <c r="BJ1161" i="1"/>
  <c r="BI1161" i="1"/>
  <c r="AG1161" i="1" s="1"/>
  <c r="BF1161" i="1"/>
  <c r="BD1161" i="1"/>
  <c r="AW1161" i="1"/>
  <c r="BC1161" i="1" s="1"/>
  <c r="AP1161" i="1"/>
  <c r="AX1161" i="1" s="1"/>
  <c r="AO1161" i="1"/>
  <c r="BH1161" i="1" s="1"/>
  <c r="AL1161" i="1"/>
  <c r="AK1161" i="1"/>
  <c r="AJ1161" i="1"/>
  <c r="AH1161" i="1"/>
  <c r="AF1161" i="1"/>
  <c r="AE1161" i="1"/>
  <c r="AD1161" i="1"/>
  <c r="AC1161" i="1"/>
  <c r="AB1161" i="1"/>
  <c r="Z1161" i="1"/>
  <c r="J1161" i="1"/>
  <c r="I1161" i="1"/>
  <c r="H1161" i="1"/>
  <c r="BJ1159" i="1"/>
  <c r="BF1159" i="1"/>
  <c r="BD1159" i="1"/>
  <c r="AX1159" i="1"/>
  <c r="AW1159" i="1"/>
  <c r="AP1159" i="1"/>
  <c r="BI1159" i="1" s="1"/>
  <c r="AO1159" i="1"/>
  <c r="BH1159" i="1" s="1"/>
  <c r="AK1159" i="1"/>
  <c r="AJ1159" i="1"/>
  <c r="AH1159" i="1"/>
  <c r="AG1159" i="1"/>
  <c r="AF1159" i="1"/>
  <c r="AE1159" i="1"/>
  <c r="AD1159" i="1"/>
  <c r="AC1159" i="1"/>
  <c r="AB1159" i="1"/>
  <c r="Z1159" i="1"/>
  <c r="J1159" i="1"/>
  <c r="AL1159" i="1" s="1"/>
  <c r="I1159" i="1"/>
  <c r="H1159" i="1"/>
  <c r="BJ1157" i="1"/>
  <c r="BF1157" i="1"/>
  <c r="BD1157" i="1"/>
  <c r="AX1157" i="1"/>
  <c r="AW1157" i="1"/>
  <c r="AP1157" i="1"/>
  <c r="BI1157" i="1" s="1"/>
  <c r="AG1157" i="1" s="1"/>
  <c r="AO1157" i="1"/>
  <c r="H1157" i="1" s="1"/>
  <c r="AK1157" i="1"/>
  <c r="AJ1157" i="1"/>
  <c r="AH1157" i="1"/>
  <c r="AE1157" i="1"/>
  <c r="AD1157" i="1"/>
  <c r="AC1157" i="1"/>
  <c r="AB1157" i="1"/>
  <c r="Z1157" i="1"/>
  <c r="J1157" i="1"/>
  <c r="AL1157" i="1" s="1"/>
  <c r="I1157" i="1"/>
  <c r="BJ1156" i="1"/>
  <c r="BF1156" i="1"/>
  <c r="BD1156" i="1"/>
  <c r="BC1156" i="1"/>
  <c r="AX1156" i="1"/>
  <c r="AV1156" i="1" s="1"/>
  <c r="AW1156" i="1"/>
  <c r="AP1156" i="1"/>
  <c r="I1156" i="1" s="1"/>
  <c r="AO1156" i="1"/>
  <c r="BH1156" i="1" s="1"/>
  <c r="AF1156" i="1" s="1"/>
  <c r="AK1156" i="1"/>
  <c r="AJ1156" i="1"/>
  <c r="AH1156" i="1"/>
  <c r="AE1156" i="1"/>
  <c r="AD1156" i="1"/>
  <c r="AC1156" i="1"/>
  <c r="AB1156" i="1"/>
  <c r="Z1156" i="1"/>
  <c r="J1156" i="1"/>
  <c r="AL1156" i="1" s="1"/>
  <c r="H1156" i="1"/>
  <c r="J1155" i="1"/>
  <c r="BJ1153" i="1"/>
  <c r="BF1153" i="1"/>
  <c r="BD1153" i="1"/>
  <c r="AX1153" i="1"/>
  <c r="AW1153" i="1"/>
  <c r="AP1153" i="1"/>
  <c r="BI1153" i="1" s="1"/>
  <c r="AC1153" i="1" s="1"/>
  <c r="AO1153" i="1"/>
  <c r="H1153" i="1" s="1"/>
  <c r="AK1153" i="1"/>
  <c r="AJ1153" i="1"/>
  <c r="AH1153" i="1"/>
  <c r="AG1153" i="1"/>
  <c r="AF1153" i="1"/>
  <c r="AE1153" i="1"/>
  <c r="AD1153" i="1"/>
  <c r="Z1153" i="1"/>
  <c r="J1153" i="1"/>
  <c r="AL1153" i="1" s="1"/>
  <c r="I1153" i="1"/>
  <c r="BJ1151" i="1"/>
  <c r="BF1151" i="1"/>
  <c r="BD1151" i="1"/>
  <c r="BC1151" i="1"/>
  <c r="AX1151" i="1"/>
  <c r="AV1151" i="1" s="1"/>
  <c r="AW1151" i="1"/>
  <c r="AP1151" i="1"/>
  <c r="I1151" i="1" s="1"/>
  <c r="AO1151" i="1"/>
  <c r="BH1151" i="1" s="1"/>
  <c r="AK1151" i="1"/>
  <c r="AJ1151" i="1"/>
  <c r="AH1151" i="1"/>
  <c r="AG1151" i="1"/>
  <c r="AF1151" i="1"/>
  <c r="AE1151" i="1"/>
  <c r="AD1151" i="1"/>
  <c r="AB1151" i="1"/>
  <c r="Z1151" i="1"/>
  <c r="J1151" i="1"/>
  <c r="H1151" i="1"/>
  <c r="BJ1149" i="1"/>
  <c r="BF1149" i="1"/>
  <c r="BD1149" i="1"/>
  <c r="BC1149" i="1"/>
  <c r="AX1149" i="1"/>
  <c r="AW1149" i="1"/>
  <c r="AV1149" i="1"/>
  <c r="AP1149" i="1"/>
  <c r="BI1149" i="1" s="1"/>
  <c r="AO1149" i="1"/>
  <c r="BH1149" i="1" s="1"/>
  <c r="AB1149" i="1" s="1"/>
  <c r="AL1149" i="1"/>
  <c r="AK1149" i="1"/>
  <c r="AJ1149" i="1"/>
  <c r="AH1149" i="1"/>
  <c r="AG1149" i="1"/>
  <c r="AF1149" i="1"/>
  <c r="AE1149" i="1"/>
  <c r="AD1149" i="1"/>
  <c r="AC1149" i="1"/>
  <c r="Z1149" i="1"/>
  <c r="J1149" i="1"/>
  <c r="I1149" i="1"/>
  <c r="H1149" i="1"/>
  <c r="BJ1147" i="1"/>
  <c r="BH1147" i="1"/>
  <c r="AB1147" i="1" s="1"/>
  <c r="BF1147" i="1"/>
  <c r="BD1147" i="1"/>
  <c r="AX1147" i="1"/>
  <c r="AP1147" i="1"/>
  <c r="BI1147" i="1" s="1"/>
  <c r="AC1147" i="1" s="1"/>
  <c r="AO1147" i="1"/>
  <c r="AL1147" i="1"/>
  <c r="AK1147" i="1"/>
  <c r="AJ1147" i="1"/>
  <c r="AH1147" i="1"/>
  <c r="AG1147" i="1"/>
  <c r="AF1147" i="1"/>
  <c r="AE1147" i="1"/>
  <c r="AD1147" i="1"/>
  <c r="Z1147" i="1"/>
  <c r="J1147" i="1"/>
  <c r="I1147" i="1"/>
  <c r="BJ1145" i="1"/>
  <c r="BF1145" i="1"/>
  <c r="BD1145" i="1"/>
  <c r="AP1145" i="1"/>
  <c r="AO1145" i="1"/>
  <c r="AL1145" i="1"/>
  <c r="AK1145" i="1"/>
  <c r="AJ1145" i="1"/>
  <c r="AH1145" i="1"/>
  <c r="AG1145" i="1"/>
  <c r="AF1145" i="1"/>
  <c r="AE1145" i="1"/>
  <c r="AD1145" i="1"/>
  <c r="Z1145" i="1"/>
  <c r="J1145" i="1"/>
  <c r="BJ1144" i="1"/>
  <c r="BF1144" i="1"/>
  <c r="BD1144" i="1"/>
  <c r="AP1144" i="1"/>
  <c r="AO1144" i="1"/>
  <c r="AW1144" i="1" s="1"/>
  <c r="AL1144" i="1"/>
  <c r="AK1144" i="1"/>
  <c r="AJ1144" i="1"/>
  <c r="AH1144" i="1"/>
  <c r="AG1144" i="1"/>
  <c r="AF1144" i="1"/>
  <c r="AE1144" i="1"/>
  <c r="AD1144" i="1"/>
  <c r="Z1144" i="1"/>
  <c r="J1144" i="1"/>
  <c r="BJ1142" i="1"/>
  <c r="BI1142" i="1"/>
  <c r="AC1142" i="1" s="1"/>
  <c r="BF1142" i="1"/>
  <c r="BD1142" i="1"/>
  <c r="AW1142" i="1"/>
  <c r="BC1142" i="1" s="1"/>
  <c r="AP1142" i="1"/>
  <c r="AX1142" i="1" s="1"/>
  <c r="AO1142" i="1"/>
  <c r="BH1142" i="1" s="1"/>
  <c r="AB1142" i="1" s="1"/>
  <c r="AL1142" i="1"/>
  <c r="AK1142" i="1"/>
  <c r="AJ1142" i="1"/>
  <c r="AH1142" i="1"/>
  <c r="AG1142" i="1"/>
  <c r="AF1142" i="1"/>
  <c r="AE1142" i="1"/>
  <c r="AD1142" i="1"/>
  <c r="Z1142" i="1"/>
  <c r="J1142" i="1"/>
  <c r="I1142" i="1"/>
  <c r="H1142" i="1"/>
  <c r="BJ1139" i="1"/>
  <c r="BF1139" i="1"/>
  <c r="BD1139" i="1"/>
  <c r="AP1139" i="1"/>
  <c r="AO1139" i="1"/>
  <c r="AW1139" i="1" s="1"/>
  <c r="AL1139" i="1"/>
  <c r="AK1139" i="1"/>
  <c r="AJ1139" i="1"/>
  <c r="AH1139" i="1"/>
  <c r="AG1139" i="1"/>
  <c r="AF1139" i="1"/>
  <c r="AC1139" i="1"/>
  <c r="AB1139" i="1"/>
  <c r="Z1139" i="1"/>
  <c r="J1139" i="1"/>
  <c r="H1139" i="1"/>
  <c r="BJ1138" i="1"/>
  <c r="BF1138" i="1"/>
  <c r="BD1138" i="1"/>
  <c r="AW1138" i="1"/>
  <c r="AP1138" i="1"/>
  <c r="AO1138" i="1"/>
  <c r="BH1138" i="1" s="1"/>
  <c r="AD1138" i="1" s="1"/>
  <c r="AL1138" i="1"/>
  <c r="AK1138" i="1"/>
  <c r="AJ1138" i="1"/>
  <c r="AH1138" i="1"/>
  <c r="AG1138" i="1"/>
  <c r="AF1138" i="1"/>
  <c r="AC1138" i="1"/>
  <c r="AB1138" i="1"/>
  <c r="Z1138" i="1"/>
  <c r="J1138" i="1"/>
  <c r="H1138" i="1"/>
  <c r="BJ1135" i="1"/>
  <c r="BF1135" i="1"/>
  <c r="BD1135" i="1"/>
  <c r="AX1135" i="1"/>
  <c r="AV1135" i="1" s="1"/>
  <c r="AW1135" i="1"/>
  <c r="AP1135" i="1"/>
  <c r="BI1135" i="1" s="1"/>
  <c r="AE1135" i="1" s="1"/>
  <c r="AO1135" i="1"/>
  <c r="BH1135" i="1" s="1"/>
  <c r="AD1135" i="1" s="1"/>
  <c r="AK1135" i="1"/>
  <c r="AJ1135" i="1"/>
  <c r="AH1135" i="1"/>
  <c r="AG1135" i="1"/>
  <c r="AF1135" i="1"/>
  <c r="AC1135" i="1"/>
  <c r="AB1135" i="1"/>
  <c r="Z1135" i="1"/>
  <c r="J1135" i="1"/>
  <c r="AL1135" i="1" s="1"/>
  <c r="I1135" i="1"/>
  <c r="H1135" i="1"/>
  <c r="BJ1133" i="1"/>
  <c r="BF1133" i="1"/>
  <c r="BD1133" i="1"/>
  <c r="BC1133" i="1"/>
  <c r="AX1133" i="1"/>
  <c r="AW1133" i="1"/>
  <c r="AV1133" i="1" s="1"/>
  <c r="AP1133" i="1"/>
  <c r="BI1133" i="1" s="1"/>
  <c r="AE1133" i="1" s="1"/>
  <c r="AO1133" i="1"/>
  <c r="H1133" i="1" s="1"/>
  <c r="H1131" i="1" s="1"/>
  <c r="AK1133" i="1"/>
  <c r="AJ1133" i="1"/>
  <c r="AH1133" i="1"/>
  <c r="AG1133" i="1"/>
  <c r="AF1133" i="1"/>
  <c r="AC1133" i="1"/>
  <c r="AB1133" i="1"/>
  <c r="Z1133" i="1"/>
  <c r="J1133" i="1"/>
  <c r="AL1133" i="1" s="1"/>
  <c r="I1133" i="1"/>
  <c r="BJ1132" i="1"/>
  <c r="BF1132" i="1"/>
  <c r="BD1132" i="1"/>
  <c r="AX1132" i="1"/>
  <c r="AW1132" i="1"/>
  <c r="AP1132" i="1"/>
  <c r="I1132" i="1" s="1"/>
  <c r="AO1132" i="1"/>
  <c r="BH1132" i="1" s="1"/>
  <c r="AD1132" i="1" s="1"/>
  <c r="AK1132" i="1"/>
  <c r="AT1131" i="1" s="1"/>
  <c r="AJ1132" i="1"/>
  <c r="AS1131" i="1" s="1"/>
  <c r="AH1132" i="1"/>
  <c r="AG1132" i="1"/>
  <c r="AF1132" i="1"/>
  <c r="AC1132" i="1"/>
  <c r="AB1132" i="1"/>
  <c r="Z1132" i="1"/>
  <c r="J1132" i="1"/>
  <c r="AL1132" i="1" s="1"/>
  <c r="H1132" i="1"/>
  <c r="BJ1128" i="1"/>
  <c r="BF1128" i="1"/>
  <c r="BD1128" i="1"/>
  <c r="BC1128" i="1"/>
  <c r="AX1128" i="1"/>
  <c r="AW1128" i="1"/>
  <c r="AP1128" i="1"/>
  <c r="BI1128" i="1" s="1"/>
  <c r="AC1128" i="1" s="1"/>
  <c r="AO1128" i="1"/>
  <c r="H1128" i="1" s="1"/>
  <c r="H1127" i="1" s="1"/>
  <c r="AK1128" i="1"/>
  <c r="AJ1128" i="1"/>
  <c r="AS1127" i="1" s="1"/>
  <c r="AH1128" i="1"/>
  <c r="AG1128" i="1"/>
  <c r="AF1128" i="1"/>
  <c r="AE1128" i="1"/>
  <c r="AD1128" i="1"/>
  <c r="Z1128" i="1"/>
  <c r="J1128" i="1"/>
  <c r="I1128" i="1"/>
  <c r="I1127" i="1" s="1"/>
  <c r="AT1127" i="1"/>
  <c r="BJ1124" i="1"/>
  <c r="BF1124" i="1"/>
  <c r="BD1124" i="1"/>
  <c r="BC1124" i="1"/>
  <c r="AX1124" i="1"/>
  <c r="AW1124" i="1"/>
  <c r="AV1124" i="1"/>
  <c r="AP1124" i="1"/>
  <c r="BI1124" i="1" s="1"/>
  <c r="AO1124" i="1"/>
  <c r="BH1124" i="1" s="1"/>
  <c r="AL1124" i="1"/>
  <c r="AK1124" i="1"/>
  <c r="AT1110" i="1" s="1"/>
  <c r="AJ1124" i="1"/>
  <c r="AH1124" i="1"/>
  <c r="AG1124" i="1"/>
  <c r="AF1124" i="1"/>
  <c r="AE1124" i="1"/>
  <c r="AD1124" i="1"/>
  <c r="AC1124" i="1"/>
  <c r="AB1124" i="1"/>
  <c r="Z1124" i="1"/>
  <c r="J1124" i="1"/>
  <c r="I1124" i="1"/>
  <c r="H1124" i="1"/>
  <c r="BJ1119" i="1"/>
  <c r="BF1119" i="1"/>
  <c r="BD1119" i="1"/>
  <c r="AX1119" i="1"/>
  <c r="AP1119" i="1"/>
  <c r="BI1119" i="1" s="1"/>
  <c r="AO1119" i="1"/>
  <c r="AL1119" i="1"/>
  <c r="AK1119" i="1"/>
  <c r="AJ1119" i="1"/>
  <c r="AH1119" i="1"/>
  <c r="AG1119" i="1"/>
  <c r="AF1119" i="1"/>
  <c r="AE1119" i="1"/>
  <c r="AD1119" i="1"/>
  <c r="AC1119" i="1"/>
  <c r="AB1119" i="1"/>
  <c r="Z1119" i="1"/>
  <c r="J1119" i="1"/>
  <c r="I1119" i="1"/>
  <c r="BJ1115" i="1"/>
  <c r="BI1115" i="1"/>
  <c r="BF1115" i="1"/>
  <c r="BD1115" i="1"/>
  <c r="AP1115" i="1"/>
  <c r="AO1115" i="1"/>
  <c r="AL1115" i="1"/>
  <c r="AK1115" i="1"/>
  <c r="AJ1115" i="1"/>
  <c r="AH1115" i="1"/>
  <c r="AG1115" i="1"/>
  <c r="AF1115" i="1"/>
  <c r="AE1115" i="1"/>
  <c r="AD1115" i="1"/>
  <c r="AC1115" i="1"/>
  <c r="AB1115" i="1"/>
  <c r="Z1115" i="1"/>
  <c r="J1115" i="1"/>
  <c r="J1110" i="1" s="1"/>
  <c r="BJ1111" i="1"/>
  <c r="Z1111" i="1" s="1"/>
  <c r="BF1111" i="1"/>
  <c r="BD1111" i="1"/>
  <c r="AP1111" i="1"/>
  <c r="AO1111" i="1"/>
  <c r="AW1111" i="1" s="1"/>
  <c r="AL1111" i="1"/>
  <c r="AK1111" i="1"/>
  <c r="AJ1111" i="1"/>
  <c r="AH1111" i="1"/>
  <c r="AG1111" i="1"/>
  <c r="AF1111" i="1"/>
  <c r="AE1111" i="1"/>
  <c r="AD1111" i="1"/>
  <c r="AC1111" i="1"/>
  <c r="AB1111" i="1"/>
  <c r="J1111" i="1"/>
  <c r="H1111" i="1"/>
  <c r="BJ1107" i="1"/>
  <c r="BF1107" i="1"/>
  <c r="BD1107" i="1"/>
  <c r="AP1107" i="1"/>
  <c r="AO1107" i="1"/>
  <c r="AL1107" i="1"/>
  <c r="AK1107" i="1"/>
  <c r="AJ1107" i="1"/>
  <c r="AH1107" i="1"/>
  <c r="AG1107" i="1"/>
  <c r="AF1107" i="1"/>
  <c r="AE1107" i="1"/>
  <c r="AD1107" i="1"/>
  <c r="Z1107" i="1"/>
  <c r="J1107" i="1"/>
  <c r="BJ1105" i="1"/>
  <c r="BF1105" i="1"/>
  <c r="BD1105" i="1"/>
  <c r="AP1105" i="1"/>
  <c r="AO1105" i="1"/>
  <c r="AW1105" i="1" s="1"/>
  <c r="AL1105" i="1"/>
  <c r="AK1105" i="1"/>
  <c r="AJ1105" i="1"/>
  <c r="AH1105" i="1"/>
  <c r="AG1105" i="1"/>
  <c r="AF1105" i="1"/>
  <c r="AE1105" i="1"/>
  <c r="AD1105" i="1"/>
  <c r="Z1105" i="1"/>
  <c r="J1105" i="1"/>
  <c r="BJ1103" i="1"/>
  <c r="BI1103" i="1"/>
  <c r="AG1103" i="1" s="1"/>
  <c r="BF1103" i="1"/>
  <c r="BD1103" i="1"/>
  <c r="AW1103" i="1"/>
  <c r="BC1103" i="1" s="1"/>
  <c r="AP1103" i="1"/>
  <c r="AX1103" i="1" s="1"/>
  <c r="AO1103" i="1"/>
  <c r="BH1103" i="1" s="1"/>
  <c r="AL1103" i="1"/>
  <c r="AK1103" i="1"/>
  <c r="AJ1103" i="1"/>
  <c r="AH1103" i="1"/>
  <c r="AF1103" i="1"/>
  <c r="AE1103" i="1"/>
  <c r="AD1103" i="1"/>
  <c r="AC1103" i="1"/>
  <c r="AB1103" i="1"/>
  <c r="Z1103" i="1"/>
  <c r="J1103" i="1"/>
  <c r="I1103" i="1"/>
  <c r="H1103" i="1"/>
  <c r="BJ1102" i="1"/>
  <c r="BF1102" i="1"/>
  <c r="BD1102" i="1"/>
  <c r="AX1102" i="1"/>
  <c r="AW1102" i="1"/>
  <c r="AP1102" i="1"/>
  <c r="BI1102" i="1" s="1"/>
  <c r="AC1102" i="1" s="1"/>
  <c r="AO1102" i="1"/>
  <c r="BH1102" i="1" s="1"/>
  <c r="AB1102" i="1" s="1"/>
  <c r="AK1102" i="1"/>
  <c r="AJ1102" i="1"/>
  <c r="AH1102" i="1"/>
  <c r="AG1102" i="1"/>
  <c r="AF1102" i="1"/>
  <c r="AE1102" i="1"/>
  <c r="AD1102" i="1"/>
  <c r="Z1102" i="1"/>
  <c r="J1102" i="1"/>
  <c r="AL1102" i="1" s="1"/>
  <c r="I1102" i="1"/>
  <c r="H1102" i="1"/>
  <c r="BJ1094" i="1"/>
  <c r="BF1094" i="1"/>
  <c r="BD1094" i="1"/>
  <c r="BC1094" i="1"/>
  <c r="AX1094" i="1"/>
  <c r="AW1094" i="1"/>
  <c r="AP1094" i="1"/>
  <c r="BI1094" i="1" s="1"/>
  <c r="AC1094" i="1" s="1"/>
  <c r="AO1094" i="1"/>
  <c r="H1094" i="1" s="1"/>
  <c r="AK1094" i="1"/>
  <c r="AJ1094" i="1"/>
  <c r="AS1093" i="1" s="1"/>
  <c r="AH1094" i="1"/>
  <c r="AG1094" i="1"/>
  <c r="AF1094" i="1"/>
  <c r="AE1094" i="1"/>
  <c r="AD1094" i="1"/>
  <c r="Z1094" i="1"/>
  <c r="J1094" i="1"/>
  <c r="I1094" i="1"/>
  <c r="AT1093" i="1"/>
  <c r="BJ1088" i="1"/>
  <c r="BF1088" i="1"/>
  <c r="BD1088" i="1"/>
  <c r="AX1088" i="1"/>
  <c r="AW1088" i="1"/>
  <c r="AP1088" i="1"/>
  <c r="BI1088" i="1" s="1"/>
  <c r="AC1088" i="1" s="1"/>
  <c r="AO1088" i="1"/>
  <c r="BH1088" i="1" s="1"/>
  <c r="AB1088" i="1" s="1"/>
  <c r="AK1088" i="1"/>
  <c r="AJ1088" i="1"/>
  <c r="AH1088" i="1"/>
  <c r="AG1088" i="1"/>
  <c r="AF1088" i="1"/>
  <c r="AE1088" i="1"/>
  <c r="AD1088" i="1"/>
  <c r="Z1088" i="1"/>
  <c r="J1088" i="1"/>
  <c r="I1088" i="1"/>
  <c r="I1087" i="1" s="1"/>
  <c r="H1088" i="1"/>
  <c r="H1087" i="1" s="1"/>
  <c r="AT1087" i="1"/>
  <c r="AS1087" i="1"/>
  <c r="BJ1082" i="1"/>
  <c r="BF1082" i="1"/>
  <c r="BD1082" i="1"/>
  <c r="AW1082" i="1"/>
  <c r="AP1082" i="1"/>
  <c r="AO1082" i="1"/>
  <c r="BH1082" i="1" s="1"/>
  <c r="AB1082" i="1" s="1"/>
  <c r="AL1082" i="1"/>
  <c r="AK1082" i="1"/>
  <c r="AJ1082" i="1"/>
  <c r="AH1082" i="1"/>
  <c r="AG1082" i="1"/>
  <c r="AF1082" i="1"/>
  <c r="AE1082" i="1"/>
  <c r="AD1082" i="1"/>
  <c r="Z1082" i="1"/>
  <c r="J1082" i="1"/>
  <c r="H1082" i="1"/>
  <c r="BJ1079" i="1"/>
  <c r="BF1079" i="1"/>
  <c r="BD1079" i="1"/>
  <c r="AX1079" i="1"/>
  <c r="AW1079" i="1"/>
  <c r="BC1079" i="1" s="1"/>
  <c r="AP1079" i="1"/>
  <c r="BI1079" i="1" s="1"/>
  <c r="AC1079" i="1" s="1"/>
  <c r="AO1079" i="1"/>
  <c r="BH1079" i="1" s="1"/>
  <c r="AB1079" i="1" s="1"/>
  <c r="AK1079" i="1"/>
  <c r="AJ1079" i="1"/>
  <c r="AH1079" i="1"/>
  <c r="AG1079" i="1"/>
  <c r="AF1079" i="1"/>
  <c r="AE1079" i="1"/>
  <c r="AD1079" i="1"/>
  <c r="Z1079" i="1"/>
  <c r="J1079" i="1"/>
  <c r="I1079" i="1"/>
  <c r="H1079" i="1"/>
  <c r="H1078" i="1" s="1"/>
  <c r="AT1078" i="1"/>
  <c r="AS1078" i="1"/>
  <c r="BJ1074" i="1"/>
  <c r="BF1074" i="1"/>
  <c r="BD1074" i="1"/>
  <c r="AW1074" i="1"/>
  <c r="AP1074" i="1"/>
  <c r="AX1074" i="1" s="1"/>
  <c r="AO1074" i="1"/>
  <c r="BH1074" i="1" s="1"/>
  <c r="AB1074" i="1" s="1"/>
  <c r="AL1074" i="1"/>
  <c r="AK1074" i="1"/>
  <c r="AJ1074" i="1"/>
  <c r="AH1074" i="1"/>
  <c r="AG1074" i="1"/>
  <c r="AF1074" i="1"/>
  <c r="AE1074" i="1"/>
  <c r="AD1074" i="1"/>
  <c r="Z1074" i="1"/>
  <c r="J1074" i="1"/>
  <c r="I1074" i="1"/>
  <c r="H1074" i="1"/>
  <c r="BJ1066" i="1"/>
  <c r="BF1066" i="1"/>
  <c r="BD1066" i="1"/>
  <c r="AX1066" i="1"/>
  <c r="AW1066" i="1"/>
  <c r="AP1066" i="1"/>
  <c r="BI1066" i="1" s="1"/>
  <c r="AO1066" i="1"/>
  <c r="BH1066" i="1" s="1"/>
  <c r="AB1066" i="1" s="1"/>
  <c r="AK1066" i="1"/>
  <c r="AJ1066" i="1"/>
  <c r="AH1066" i="1"/>
  <c r="AG1066" i="1"/>
  <c r="AF1066" i="1"/>
  <c r="AE1066" i="1"/>
  <c r="AD1066" i="1"/>
  <c r="AC1066" i="1"/>
  <c r="Z1066" i="1"/>
  <c r="J1066" i="1"/>
  <c r="AL1066" i="1" s="1"/>
  <c r="I1066" i="1"/>
  <c r="H1066" i="1"/>
  <c r="BJ1061" i="1"/>
  <c r="BF1061" i="1"/>
  <c r="BD1061" i="1"/>
  <c r="AX1061" i="1"/>
  <c r="BC1061" i="1" s="1"/>
  <c r="AW1061" i="1"/>
  <c r="AP1061" i="1"/>
  <c r="BI1061" i="1" s="1"/>
  <c r="AC1061" i="1" s="1"/>
  <c r="AO1061" i="1"/>
  <c r="H1061" i="1" s="1"/>
  <c r="AK1061" i="1"/>
  <c r="AJ1061" i="1"/>
  <c r="AH1061" i="1"/>
  <c r="AG1061" i="1"/>
  <c r="AF1061" i="1"/>
  <c r="AE1061" i="1"/>
  <c r="AD1061" i="1"/>
  <c r="Z1061" i="1"/>
  <c r="J1061" i="1"/>
  <c r="AL1061" i="1" s="1"/>
  <c r="AU1048" i="1" s="1"/>
  <c r="I1061" i="1"/>
  <c r="BJ1057" i="1"/>
  <c r="BF1057" i="1"/>
  <c r="BD1057" i="1"/>
  <c r="BC1057" i="1"/>
  <c r="AX1057" i="1"/>
  <c r="AV1057" i="1" s="1"/>
  <c r="AW1057" i="1"/>
  <c r="AP1057" i="1"/>
  <c r="I1057" i="1" s="1"/>
  <c r="AO1057" i="1"/>
  <c r="BH1057" i="1" s="1"/>
  <c r="AK1057" i="1"/>
  <c r="AJ1057" i="1"/>
  <c r="AH1057" i="1"/>
  <c r="AG1057" i="1"/>
  <c r="AF1057" i="1"/>
  <c r="AE1057" i="1"/>
  <c r="AD1057" i="1"/>
  <c r="AB1057" i="1"/>
  <c r="Z1057" i="1"/>
  <c r="J1057" i="1"/>
  <c r="AL1057" i="1" s="1"/>
  <c r="H1057" i="1"/>
  <c r="BJ1056" i="1"/>
  <c r="BF1056" i="1"/>
  <c r="BD1056" i="1"/>
  <c r="BC1056" i="1"/>
  <c r="AX1056" i="1"/>
  <c r="AW1056" i="1"/>
  <c r="AV1056" i="1" s="1"/>
  <c r="AP1056" i="1"/>
  <c r="BI1056" i="1" s="1"/>
  <c r="AC1056" i="1" s="1"/>
  <c r="AO1056" i="1"/>
  <c r="BH1056" i="1" s="1"/>
  <c r="AB1056" i="1" s="1"/>
  <c r="AL1056" i="1"/>
  <c r="AK1056" i="1"/>
  <c r="AJ1056" i="1"/>
  <c r="AH1056" i="1"/>
  <c r="AG1056" i="1"/>
  <c r="AF1056" i="1"/>
  <c r="AE1056" i="1"/>
  <c r="AD1056" i="1"/>
  <c r="Z1056" i="1"/>
  <c r="J1056" i="1"/>
  <c r="I1056" i="1"/>
  <c r="H1056" i="1"/>
  <c r="BJ1054" i="1"/>
  <c r="BH1054" i="1"/>
  <c r="AB1054" i="1" s="1"/>
  <c r="BF1054" i="1"/>
  <c r="BD1054" i="1"/>
  <c r="AX1054" i="1"/>
  <c r="AP1054" i="1"/>
  <c r="BI1054" i="1" s="1"/>
  <c r="AC1054" i="1" s="1"/>
  <c r="AO1054" i="1"/>
  <c r="AL1054" i="1"/>
  <c r="AK1054" i="1"/>
  <c r="AJ1054" i="1"/>
  <c r="AH1054" i="1"/>
  <c r="AG1054" i="1"/>
  <c r="AF1054" i="1"/>
  <c r="AE1054" i="1"/>
  <c r="AD1054" i="1"/>
  <c r="Z1054" i="1"/>
  <c r="J1054" i="1"/>
  <c r="I1054" i="1"/>
  <c r="BJ1052" i="1"/>
  <c r="BH1052" i="1"/>
  <c r="AB1052" i="1" s="1"/>
  <c r="BF1052" i="1"/>
  <c r="BD1052" i="1"/>
  <c r="AP1052" i="1"/>
  <c r="AO1052" i="1"/>
  <c r="AL1052" i="1"/>
  <c r="AK1052" i="1"/>
  <c r="AJ1052" i="1"/>
  <c r="AH1052" i="1"/>
  <c r="AG1052" i="1"/>
  <c r="AF1052" i="1"/>
  <c r="AE1052" i="1"/>
  <c r="AD1052" i="1"/>
  <c r="Z1052" i="1"/>
  <c r="J1052" i="1"/>
  <c r="BJ1050" i="1"/>
  <c r="BF1050" i="1"/>
  <c r="BD1050" i="1"/>
  <c r="AP1050" i="1"/>
  <c r="AO1050" i="1"/>
  <c r="AL1050" i="1"/>
  <c r="AK1050" i="1"/>
  <c r="AJ1050" i="1"/>
  <c r="AH1050" i="1"/>
  <c r="AG1050" i="1"/>
  <c r="AF1050" i="1"/>
  <c r="AE1050" i="1"/>
  <c r="AD1050" i="1"/>
  <c r="Z1050" i="1"/>
  <c r="J1050" i="1"/>
  <c r="BJ1049" i="1"/>
  <c r="BF1049" i="1"/>
  <c r="BD1049" i="1"/>
  <c r="AW1049" i="1"/>
  <c r="BC1049" i="1" s="1"/>
  <c r="AV1049" i="1"/>
  <c r="AP1049" i="1"/>
  <c r="AX1049" i="1" s="1"/>
  <c r="AO1049" i="1"/>
  <c r="BH1049" i="1" s="1"/>
  <c r="AB1049" i="1" s="1"/>
  <c r="AL1049" i="1"/>
  <c r="AK1049" i="1"/>
  <c r="AJ1049" i="1"/>
  <c r="AH1049" i="1"/>
  <c r="AG1049" i="1"/>
  <c r="AF1049" i="1"/>
  <c r="AE1049" i="1"/>
  <c r="AD1049" i="1"/>
  <c r="Z1049" i="1"/>
  <c r="J1049" i="1"/>
  <c r="H1049" i="1"/>
  <c r="BJ1046" i="1"/>
  <c r="BF1046" i="1"/>
  <c r="BD1046" i="1"/>
  <c r="AX1046" i="1"/>
  <c r="AW1046" i="1"/>
  <c r="AV1046" i="1" s="1"/>
  <c r="AP1046" i="1"/>
  <c r="BI1046" i="1" s="1"/>
  <c r="AO1046" i="1"/>
  <c r="H1046" i="1" s="1"/>
  <c r="H1045" i="1" s="1"/>
  <c r="AK1046" i="1"/>
  <c r="AJ1046" i="1"/>
  <c r="AS1045" i="1" s="1"/>
  <c r="AH1046" i="1"/>
  <c r="AG1046" i="1"/>
  <c r="AF1046" i="1"/>
  <c r="AE1046" i="1"/>
  <c r="AD1046" i="1"/>
  <c r="AC1046" i="1"/>
  <c r="AB1046" i="1"/>
  <c r="Z1046" i="1"/>
  <c r="J1046" i="1"/>
  <c r="I1046" i="1"/>
  <c r="AT1045" i="1"/>
  <c r="I1045" i="1"/>
  <c r="BJ1043" i="1"/>
  <c r="BF1043" i="1"/>
  <c r="BD1043" i="1"/>
  <c r="AX1043" i="1"/>
  <c r="AW1043" i="1"/>
  <c r="AP1043" i="1"/>
  <c r="BI1043" i="1" s="1"/>
  <c r="AE1043" i="1" s="1"/>
  <c r="AO1043" i="1"/>
  <c r="BH1043" i="1" s="1"/>
  <c r="AD1043" i="1" s="1"/>
  <c r="AK1043" i="1"/>
  <c r="AJ1043" i="1"/>
  <c r="AH1043" i="1"/>
  <c r="AG1043" i="1"/>
  <c r="AF1043" i="1"/>
  <c r="AC1043" i="1"/>
  <c r="AB1043" i="1"/>
  <c r="Z1043" i="1"/>
  <c r="J1043" i="1"/>
  <c r="AL1043" i="1" s="1"/>
  <c r="I1043" i="1"/>
  <c r="H1043" i="1"/>
  <c r="BJ1042" i="1"/>
  <c r="BF1042" i="1"/>
  <c r="BD1042" i="1"/>
  <c r="BC1042" i="1"/>
  <c r="AX1042" i="1"/>
  <c r="AW1042" i="1"/>
  <c r="AV1042" i="1" s="1"/>
  <c r="AP1042" i="1"/>
  <c r="BI1042" i="1" s="1"/>
  <c r="AE1042" i="1" s="1"/>
  <c r="AO1042" i="1"/>
  <c r="H1042" i="1" s="1"/>
  <c r="AK1042" i="1"/>
  <c r="AJ1042" i="1"/>
  <c r="AH1042" i="1"/>
  <c r="AG1042" i="1"/>
  <c r="AF1042" i="1"/>
  <c r="AC1042" i="1"/>
  <c r="AB1042" i="1"/>
  <c r="Z1042" i="1"/>
  <c r="J1042" i="1"/>
  <c r="AL1042" i="1" s="1"/>
  <c r="I1042" i="1"/>
  <c r="I1039" i="1" s="1"/>
  <c r="BJ1040" i="1"/>
  <c r="BF1040" i="1"/>
  <c r="BD1040" i="1"/>
  <c r="AX1040" i="1"/>
  <c r="AW1040" i="1"/>
  <c r="AP1040" i="1"/>
  <c r="I1040" i="1" s="1"/>
  <c r="AO1040" i="1"/>
  <c r="BH1040" i="1" s="1"/>
  <c r="AD1040" i="1" s="1"/>
  <c r="AK1040" i="1"/>
  <c r="AT1039" i="1" s="1"/>
  <c r="AJ1040" i="1"/>
  <c r="AH1040" i="1"/>
  <c r="AG1040" i="1"/>
  <c r="AF1040" i="1"/>
  <c r="AC1040" i="1"/>
  <c r="AB1040" i="1"/>
  <c r="Z1040" i="1"/>
  <c r="J1040" i="1"/>
  <c r="H1040" i="1"/>
  <c r="H1039" i="1"/>
  <c r="BJ1037" i="1"/>
  <c r="BF1037" i="1"/>
  <c r="BD1037" i="1"/>
  <c r="AX1037" i="1"/>
  <c r="BC1037" i="1" s="1"/>
  <c r="AW1037" i="1"/>
  <c r="AP1037" i="1"/>
  <c r="BI1037" i="1" s="1"/>
  <c r="AC1037" i="1" s="1"/>
  <c r="AO1037" i="1"/>
  <c r="H1037" i="1" s="1"/>
  <c r="AK1037" i="1"/>
  <c r="AJ1037" i="1"/>
  <c r="AH1037" i="1"/>
  <c r="AG1037" i="1"/>
  <c r="AF1037" i="1"/>
  <c r="AE1037" i="1"/>
  <c r="AD1037" i="1"/>
  <c r="Z1037" i="1"/>
  <c r="J1037" i="1"/>
  <c r="AL1037" i="1" s="1"/>
  <c r="I1037" i="1"/>
  <c r="BJ1035" i="1"/>
  <c r="BF1035" i="1"/>
  <c r="BD1035" i="1"/>
  <c r="AX1035" i="1"/>
  <c r="AV1035" i="1" s="1"/>
  <c r="AW1035" i="1"/>
  <c r="AP1035" i="1"/>
  <c r="I1035" i="1" s="1"/>
  <c r="AO1035" i="1"/>
  <c r="BH1035" i="1" s="1"/>
  <c r="AK1035" i="1"/>
  <c r="AJ1035" i="1"/>
  <c r="AH1035" i="1"/>
  <c r="AG1035" i="1"/>
  <c r="AF1035" i="1"/>
  <c r="AE1035" i="1"/>
  <c r="AD1035" i="1"/>
  <c r="AB1035" i="1"/>
  <c r="Z1035" i="1"/>
  <c r="J1035" i="1"/>
  <c r="AL1035" i="1" s="1"/>
  <c r="H1035" i="1"/>
  <c r="BJ1032" i="1"/>
  <c r="BF1032" i="1"/>
  <c r="BD1032" i="1"/>
  <c r="BC1032" i="1"/>
  <c r="AX1032" i="1"/>
  <c r="AW1032" i="1"/>
  <c r="AV1032" i="1" s="1"/>
  <c r="AP1032" i="1"/>
  <c r="BI1032" i="1" s="1"/>
  <c r="AC1032" i="1" s="1"/>
  <c r="AO1032" i="1"/>
  <c r="BH1032" i="1" s="1"/>
  <c r="AB1032" i="1" s="1"/>
  <c r="AL1032" i="1"/>
  <c r="AK1032" i="1"/>
  <c r="AJ1032" i="1"/>
  <c r="AH1032" i="1"/>
  <c r="AG1032" i="1"/>
  <c r="AF1032" i="1"/>
  <c r="AE1032" i="1"/>
  <c r="AD1032" i="1"/>
  <c r="Z1032" i="1"/>
  <c r="J1032" i="1"/>
  <c r="I1032" i="1"/>
  <c r="H1032" i="1"/>
  <c r="BJ1029" i="1"/>
  <c r="BH1029" i="1"/>
  <c r="BF1029" i="1"/>
  <c r="BD1029" i="1"/>
  <c r="AX1029" i="1"/>
  <c r="AP1029" i="1"/>
  <c r="BI1029" i="1" s="1"/>
  <c r="AO1029" i="1"/>
  <c r="AL1029" i="1"/>
  <c r="AK1029" i="1"/>
  <c r="AJ1029" i="1"/>
  <c r="AH1029" i="1"/>
  <c r="AG1029" i="1"/>
  <c r="AF1029" i="1"/>
  <c r="AE1029" i="1"/>
  <c r="AD1029" i="1"/>
  <c r="AC1029" i="1"/>
  <c r="AB1029" i="1"/>
  <c r="Z1029" i="1"/>
  <c r="J1029" i="1"/>
  <c r="I1029" i="1"/>
  <c r="BJ1026" i="1"/>
  <c r="BF1026" i="1"/>
  <c r="BD1026" i="1"/>
  <c r="AP1026" i="1"/>
  <c r="AO1026" i="1"/>
  <c r="AL1026" i="1"/>
  <c r="AK1026" i="1"/>
  <c r="AJ1026" i="1"/>
  <c r="AH1026" i="1"/>
  <c r="AG1026" i="1"/>
  <c r="AF1026" i="1"/>
  <c r="AE1026" i="1"/>
  <c r="AD1026" i="1"/>
  <c r="Z1026" i="1"/>
  <c r="J1026" i="1"/>
  <c r="BJ1023" i="1"/>
  <c r="BH1023" i="1"/>
  <c r="AB1023" i="1" s="1"/>
  <c r="BF1023" i="1"/>
  <c r="BD1023" i="1"/>
  <c r="AP1023" i="1"/>
  <c r="AO1023" i="1"/>
  <c r="AW1023" i="1" s="1"/>
  <c r="AL1023" i="1"/>
  <c r="AK1023" i="1"/>
  <c r="AJ1023" i="1"/>
  <c r="AH1023" i="1"/>
  <c r="AG1023" i="1"/>
  <c r="AF1023" i="1"/>
  <c r="AE1023" i="1"/>
  <c r="AD1023" i="1"/>
  <c r="Z1023" i="1"/>
  <c r="J1023" i="1"/>
  <c r="H1023" i="1"/>
  <c r="BJ1020" i="1"/>
  <c r="BF1020" i="1"/>
  <c r="BD1020" i="1"/>
  <c r="AW1020" i="1"/>
  <c r="AP1020" i="1"/>
  <c r="AO1020" i="1"/>
  <c r="BH1020" i="1" s="1"/>
  <c r="AB1020" i="1" s="1"/>
  <c r="AL1020" i="1"/>
  <c r="AK1020" i="1"/>
  <c r="AJ1020" i="1"/>
  <c r="AH1020" i="1"/>
  <c r="AG1020" i="1"/>
  <c r="AF1020" i="1"/>
  <c r="AE1020" i="1"/>
  <c r="AD1020" i="1"/>
  <c r="Z1020" i="1"/>
  <c r="J1020" i="1"/>
  <c r="H1020" i="1"/>
  <c r="BJ1019" i="1"/>
  <c r="BF1019" i="1"/>
  <c r="BD1019" i="1"/>
  <c r="AX1019" i="1"/>
  <c r="AW1019" i="1"/>
  <c r="AP1019" i="1"/>
  <c r="BI1019" i="1" s="1"/>
  <c r="AC1019" i="1" s="1"/>
  <c r="AO1019" i="1"/>
  <c r="BH1019" i="1" s="1"/>
  <c r="AB1019" i="1" s="1"/>
  <c r="AK1019" i="1"/>
  <c r="AJ1019" i="1"/>
  <c r="AH1019" i="1"/>
  <c r="AG1019" i="1"/>
  <c r="AF1019" i="1"/>
  <c r="AE1019" i="1"/>
  <c r="AD1019" i="1"/>
  <c r="Z1019" i="1"/>
  <c r="J1019" i="1"/>
  <c r="AL1019" i="1" s="1"/>
  <c r="I1019" i="1"/>
  <c r="H1019" i="1"/>
  <c r="BJ1010" i="1"/>
  <c r="BF1010" i="1"/>
  <c r="BD1010" i="1"/>
  <c r="AX1010" i="1"/>
  <c r="BC1010" i="1" s="1"/>
  <c r="AW1010" i="1"/>
  <c r="AP1010" i="1"/>
  <c r="BI1010" i="1" s="1"/>
  <c r="AC1010" i="1" s="1"/>
  <c r="AO1010" i="1"/>
  <c r="H1010" i="1" s="1"/>
  <c r="AK1010" i="1"/>
  <c r="AJ1010" i="1"/>
  <c r="AH1010" i="1"/>
  <c r="AG1010" i="1"/>
  <c r="AF1010" i="1"/>
  <c r="AE1010" i="1"/>
  <c r="AD1010" i="1"/>
  <c r="Z1010" i="1"/>
  <c r="J1010" i="1"/>
  <c r="AL1010" i="1" s="1"/>
  <c r="I1010" i="1"/>
  <c r="BJ1009" i="1"/>
  <c r="BF1009" i="1"/>
  <c r="BD1009" i="1"/>
  <c r="BC1009" i="1"/>
  <c r="AX1009" i="1"/>
  <c r="AV1009" i="1" s="1"/>
  <c r="AW1009" i="1"/>
  <c r="AP1009" i="1"/>
  <c r="I1009" i="1" s="1"/>
  <c r="AO1009" i="1"/>
  <c r="BH1009" i="1" s="1"/>
  <c r="AK1009" i="1"/>
  <c r="AJ1009" i="1"/>
  <c r="AH1009" i="1"/>
  <c r="AG1009" i="1"/>
  <c r="AF1009" i="1"/>
  <c r="AE1009" i="1"/>
  <c r="AD1009" i="1"/>
  <c r="AB1009" i="1"/>
  <c r="Z1009" i="1"/>
  <c r="J1009" i="1"/>
  <c r="AL1009" i="1" s="1"/>
  <c r="H1009" i="1"/>
  <c r="BJ1003" i="1"/>
  <c r="BF1003" i="1"/>
  <c r="BD1003" i="1"/>
  <c r="BC1003" i="1"/>
  <c r="AX1003" i="1"/>
  <c r="AW1003" i="1"/>
  <c r="AV1003" i="1" s="1"/>
  <c r="AP1003" i="1"/>
  <c r="BI1003" i="1" s="1"/>
  <c r="AC1003" i="1" s="1"/>
  <c r="AO1003" i="1"/>
  <c r="BH1003" i="1" s="1"/>
  <c r="AB1003" i="1" s="1"/>
  <c r="AL1003" i="1"/>
  <c r="AK1003" i="1"/>
  <c r="AJ1003" i="1"/>
  <c r="AH1003" i="1"/>
  <c r="AG1003" i="1"/>
  <c r="AF1003" i="1"/>
  <c r="AE1003" i="1"/>
  <c r="AD1003" i="1"/>
  <c r="Z1003" i="1"/>
  <c r="J1003" i="1"/>
  <c r="I1003" i="1"/>
  <c r="H1003" i="1"/>
  <c r="BJ998" i="1"/>
  <c r="BH998" i="1"/>
  <c r="AB998" i="1" s="1"/>
  <c r="BF998" i="1"/>
  <c r="BD998" i="1"/>
  <c r="AX998" i="1"/>
  <c r="AP998" i="1"/>
  <c r="BI998" i="1" s="1"/>
  <c r="AC998" i="1" s="1"/>
  <c r="AO998" i="1"/>
  <c r="AL998" i="1"/>
  <c r="AK998" i="1"/>
  <c r="AJ998" i="1"/>
  <c r="AH998" i="1"/>
  <c r="AG998" i="1"/>
  <c r="AF998" i="1"/>
  <c r="AE998" i="1"/>
  <c r="AD998" i="1"/>
  <c r="Z998" i="1"/>
  <c r="J998" i="1"/>
  <c r="I998" i="1"/>
  <c r="BJ994" i="1"/>
  <c r="BH994" i="1"/>
  <c r="AB994" i="1" s="1"/>
  <c r="BF994" i="1"/>
  <c r="BD994" i="1"/>
  <c r="AP994" i="1"/>
  <c r="AO994" i="1"/>
  <c r="AL994" i="1"/>
  <c r="AK994" i="1"/>
  <c r="AJ994" i="1"/>
  <c r="AH994" i="1"/>
  <c r="AG994" i="1"/>
  <c r="AF994" i="1"/>
  <c r="AE994" i="1"/>
  <c r="AD994" i="1"/>
  <c r="Z994" i="1"/>
  <c r="J994" i="1"/>
  <c r="BJ989" i="1"/>
  <c r="BF989" i="1"/>
  <c r="BD989" i="1"/>
  <c r="AP989" i="1"/>
  <c r="AO989" i="1"/>
  <c r="AL989" i="1"/>
  <c r="AK989" i="1"/>
  <c r="AJ989" i="1"/>
  <c r="AH989" i="1"/>
  <c r="AG989" i="1"/>
  <c r="AF989" i="1"/>
  <c r="AE989" i="1"/>
  <c r="AD989" i="1"/>
  <c r="Z989" i="1"/>
  <c r="J989" i="1"/>
  <c r="BJ984" i="1"/>
  <c r="BF984" i="1"/>
  <c r="BD984" i="1"/>
  <c r="AW984" i="1"/>
  <c r="AP984" i="1"/>
  <c r="AX984" i="1" s="1"/>
  <c r="AO984" i="1"/>
  <c r="BH984" i="1" s="1"/>
  <c r="AB984" i="1" s="1"/>
  <c r="AL984" i="1"/>
  <c r="AK984" i="1"/>
  <c r="AJ984" i="1"/>
  <c r="AH984" i="1"/>
  <c r="AG984" i="1"/>
  <c r="AF984" i="1"/>
  <c r="AE984" i="1"/>
  <c r="AD984" i="1"/>
  <c r="Z984" i="1"/>
  <c r="J984" i="1"/>
  <c r="H984" i="1"/>
  <c r="BJ982" i="1"/>
  <c r="BF982" i="1"/>
  <c r="BD982" i="1"/>
  <c r="AX982" i="1"/>
  <c r="AW982" i="1"/>
  <c r="AP982" i="1"/>
  <c r="BI982" i="1" s="1"/>
  <c r="AC982" i="1" s="1"/>
  <c r="AO982" i="1"/>
  <c r="BH982" i="1" s="1"/>
  <c r="AB982" i="1" s="1"/>
  <c r="AK982" i="1"/>
  <c r="AJ982" i="1"/>
  <c r="AH982" i="1"/>
  <c r="AG982" i="1"/>
  <c r="AF982" i="1"/>
  <c r="AE982" i="1"/>
  <c r="AD982" i="1"/>
  <c r="Z982" i="1"/>
  <c r="J982" i="1"/>
  <c r="AL982" i="1" s="1"/>
  <c r="I982" i="1"/>
  <c r="H982" i="1"/>
  <c r="BJ980" i="1"/>
  <c r="BF980" i="1"/>
  <c r="BD980" i="1"/>
  <c r="AX980" i="1"/>
  <c r="AW980" i="1"/>
  <c r="AP980" i="1"/>
  <c r="BI980" i="1" s="1"/>
  <c r="AC980" i="1" s="1"/>
  <c r="AO980" i="1"/>
  <c r="BH980" i="1" s="1"/>
  <c r="AB980" i="1" s="1"/>
  <c r="AK980" i="1"/>
  <c r="AJ980" i="1"/>
  <c r="AH980" i="1"/>
  <c r="AG980" i="1"/>
  <c r="AF980" i="1"/>
  <c r="AE980" i="1"/>
  <c r="AD980" i="1"/>
  <c r="Z980" i="1"/>
  <c r="J980" i="1"/>
  <c r="AL980" i="1" s="1"/>
  <c r="I980" i="1"/>
  <c r="H980" i="1"/>
  <c r="BJ979" i="1"/>
  <c r="BF979" i="1"/>
  <c r="BD979" i="1"/>
  <c r="BC979" i="1"/>
  <c r="AX979" i="1"/>
  <c r="AV979" i="1" s="1"/>
  <c r="AW979" i="1"/>
  <c r="AP979" i="1"/>
  <c r="BI979" i="1" s="1"/>
  <c r="AC979" i="1" s="1"/>
  <c r="AO979" i="1"/>
  <c r="BH979" i="1" s="1"/>
  <c r="AK979" i="1"/>
  <c r="AJ979" i="1"/>
  <c r="AH979" i="1"/>
  <c r="AG979" i="1"/>
  <c r="AF979" i="1"/>
  <c r="AE979" i="1"/>
  <c r="AD979" i="1"/>
  <c r="AB979" i="1"/>
  <c r="Z979" i="1"/>
  <c r="J979" i="1"/>
  <c r="AL979" i="1" s="1"/>
  <c r="I979" i="1"/>
  <c r="H979" i="1"/>
  <c r="BJ978" i="1"/>
  <c r="BF978" i="1"/>
  <c r="BD978" i="1"/>
  <c r="AW978" i="1"/>
  <c r="AP978" i="1"/>
  <c r="BI978" i="1" s="1"/>
  <c r="AC978" i="1" s="1"/>
  <c r="AO978" i="1"/>
  <c r="BH978" i="1" s="1"/>
  <c r="AB978" i="1" s="1"/>
  <c r="AL978" i="1"/>
  <c r="AK978" i="1"/>
  <c r="AJ978" i="1"/>
  <c r="AH978" i="1"/>
  <c r="AG978" i="1"/>
  <c r="AF978" i="1"/>
  <c r="AE978" i="1"/>
  <c r="AD978" i="1"/>
  <c r="Z978" i="1"/>
  <c r="J978" i="1"/>
  <c r="I978" i="1"/>
  <c r="H978" i="1"/>
  <c r="BJ976" i="1"/>
  <c r="BH976" i="1"/>
  <c r="AB976" i="1" s="1"/>
  <c r="BF976" i="1"/>
  <c r="BD976" i="1"/>
  <c r="AX976" i="1"/>
  <c r="AP976" i="1"/>
  <c r="BI976" i="1" s="1"/>
  <c r="AC976" i="1" s="1"/>
  <c r="AO976" i="1"/>
  <c r="AL976" i="1"/>
  <c r="AK976" i="1"/>
  <c r="AJ976" i="1"/>
  <c r="AH976" i="1"/>
  <c r="AG976" i="1"/>
  <c r="AF976" i="1"/>
  <c r="AE976" i="1"/>
  <c r="AD976" i="1"/>
  <c r="Z976" i="1"/>
  <c r="J976" i="1"/>
  <c r="I976" i="1"/>
  <c r="BJ973" i="1"/>
  <c r="BI973" i="1"/>
  <c r="AC973" i="1" s="1"/>
  <c r="BF973" i="1"/>
  <c r="BD973" i="1"/>
  <c r="AP973" i="1"/>
  <c r="AO973" i="1"/>
  <c r="AL973" i="1"/>
  <c r="AK973" i="1"/>
  <c r="AJ973" i="1"/>
  <c r="AH973" i="1"/>
  <c r="AG973" i="1"/>
  <c r="AF973" i="1"/>
  <c r="AE973" i="1"/>
  <c r="AD973" i="1"/>
  <c r="Z973" i="1"/>
  <c r="J973" i="1"/>
  <c r="BJ970" i="1"/>
  <c r="BF970" i="1"/>
  <c r="BD970" i="1"/>
  <c r="AP970" i="1"/>
  <c r="AO970" i="1"/>
  <c r="AW970" i="1" s="1"/>
  <c r="AL970" i="1"/>
  <c r="AK970" i="1"/>
  <c r="AJ970" i="1"/>
  <c r="AH970" i="1"/>
  <c r="AG970" i="1"/>
  <c r="AF970" i="1"/>
  <c r="AE970" i="1"/>
  <c r="AD970" i="1"/>
  <c r="Z970" i="1"/>
  <c r="J970" i="1"/>
  <c r="BJ967" i="1"/>
  <c r="BI967" i="1"/>
  <c r="AC967" i="1" s="1"/>
  <c r="BF967" i="1"/>
  <c r="BD967" i="1"/>
  <c r="AW967" i="1"/>
  <c r="AP967" i="1"/>
  <c r="AX967" i="1" s="1"/>
  <c r="AO967" i="1"/>
  <c r="BH967" i="1" s="1"/>
  <c r="AB967" i="1" s="1"/>
  <c r="AL967" i="1"/>
  <c r="AK967" i="1"/>
  <c r="AJ967" i="1"/>
  <c r="AH967" i="1"/>
  <c r="AG967" i="1"/>
  <c r="AF967" i="1"/>
  <c r="AE967" i="1"/>
  <c r="AD967" i="1"/>
  <c r="Z967" i="1"/>
  <c r="J967" i="1"/>
  <c r="I967" i="1"/>
  <c r="H967" i="1"/>
  <c r="BJ966" i="1"/>
  <c r="BF966" i="1"/>
  <c r="BD966" i="1"/>
  <c r="AX966" i="1"/>
  <c r="AV966" i="1" s="1"/>
  <c r="AW966" i="1"/>
  <c r="AP966" i="1"/>
  <c r="BI966" i="1" s="1"/>
  <c r="AC966" i="1" s="1"/>
  <c r="AO966" i="1"/>
  <c r="BH966" i="1" s="1"/>
  <c r="AB966" i="1" s="1"/>
  <c r="AK966" i="1"/>
  <c r="AJ966" i="1"/>
  <c r="AH966" i="1"/>
  <c r="AG966" i="1"/>
  <c r="AF966" i="1"/>
  <c r="AE966" i="1"/>
  <c r="AD966" i="1"/>
  <c r="Z966" i="1"/>
  <c r="J966" i="1"/>
  <c r="AL966" i="1" s="1"/>
  <c r="I966" i="1"/>
  <c r="H966" i="1"/>
  <c r="BJ965" i="1"/>
  <c r="BF965" i="1"/>
  <c r="BD965" i="1"/>
  <c r="AX965" i="1"/>
  <c r="AW965" i="1"/>
  <c r="AP965" i="1"/>
  <c r="BI965" i="1" s="1"/>
  <c r="AC965" i="1" s="1"/>
  <c r="AO965" i="1"/>
  <c r="BH965" i="1" s="1"/>
  <c r="AB965" i="1" s="1"/>
  <c r="AK965" i="1"/>
  <c r="AJ965" i="1"/>
  <c r="AH965" i="1"/>
  <c r="AG965" i="1"/>
  <c r="AF965" i="1"/>
  <c r="AE965" i="1"/>
  <c r="AD965" i="1"/>
  <c r="Z965" i="1"/>
  <c r="J965" i="1"/>
  <c r="AL965" i="1" s="1"/>
  <c r="I965" i="1"/>
  <c r="H965" i="1"/>
  <c r="BJ961" i="1"/>
  <c r="BF961" i="1"/>
  <c r="BD961" i="1"/>
  <c r="BC961" i="1"/>
  <c r="AX961" i="1"/>
  <c r="AV961" i="1" s="1"/>
  <c r="AW961" i="1"/>
  <c r="AP961" i="1"/>
  <c r="BI961" i="1" s="1"/>
  <c r="AC961" i="1" s="1"/>
  <c r="AO961" i="1"/>
  <c r="BH961" i="1" s="1"/>
  <c r="AK961" i="1"/>
  <c r="AJ961" i="1"/>
  <c r="AH961" i="1"/>
  <c r="AG961" i="1"/>
  <c r="AF961" i="1"/>
  <c r="AE961" i="1"/>
  <c r="AD961" i="1"/>
  <c r="AB961" i="1"/>
  <c r="Z961" i="1"/>
  <c r="J961" i="1"/>
  <c r="AL961" i="1" s="1"/>
  <c r="I961" i="1"/>
  <c r="H961" i="1"/>
  <c r="BJ958" i="1"/>
  <c r="BF958" i="1"/>
  <c r="BD958" i="1"/>
  <c r="BC958" i="1"/>
  <c r="AX958" i="1"/>
  <c r="AW958" i="1"/>
  <c r="AV958" i="1" s="1"/>
  <c r="AP958" i="1"/>
  <c r="BI958" i="1" s="1"/>
  <c r="AC958" i="1" s="1"/>
  <c r="AO958" i="1"/>
  <c r="BH958" i="1" s="1"/>
  <c r="AL958" i="1"/>
  <c r="AK958" i="1"/>
  <c r="AJ958" i="1"/>
  <c r="AH958" i="1"/>
  <c r="AG958" i="1"/>
  <c r="AF958" i="1"/>
  <c r="AE958" i="1"/>
  <c r="AD958" i="1"/>
  <c r="AB958" i="1"/>
  <c r="Z958" i="1"/>
  <c r="J958" i="1"/>
  <c r="I958" i="1"/>
  <c r="H958" i="1"/>
  <c r="BJ957" i="1"/>
  <c r="BF957" i="1"/>
  <c r="BD957" i="1"/>
  <c r="AX957" i="1"/>
  <c r="AP957" i="1"/>
  <c r="BI957" i="1" s="1"/>
  <c r="AC957" i="1" s="1"/>
  <c r="AO957" i="1"/>
  <c r="AL957" i="1"/>
  <c r="AK957" i="1"/>
  <c r="AJ957" i="1"/>
  <c r="AH957" i="1"/>
  <c r="AG957" i="1"/>
  <c r="AF957" i="1"/>
  <c r="AE957" i="1"/>
  <c r="AD957" i="1"/>
  <c r="Z957" i="1"/>
  <c r="J957" i="1"/>
  <c r="I957" i="1"/>
  <c r="BJ954" i="1"/>
  <c r="BI954" i="1"/>
  <c r="BH954" i="1"/>
  <c r="AB954" i="1" s="1"/>
  <c r="BF954" i="1"/>
  <c r="BD954" i="1"/>
  <c r="AP954" i="1"/>
  <c r="AO954" i="1"/>
  <c r="AL954" i="1"/>
  <c r="AK954" i="1"/>
  <c r="AJ954" i="1"/>
  <c r="AH954" i="1"/>
  <c r="AG954" i="1"/>
  <c r="AF954" i="1"/>
  <c r="AE954" i="1"/>
  <c r="AD954" i="1"/>
  <c r="AC954" i="1"/>
  <c r="Z954" i="1"/>
  <c r="J954" i="1"/>
  <c r="BJ951" i="1"/>
  <c r="BH951" i="1"/>
  <c r="AB951" i="1" s="1"/>
  <c r="BF951" i="1"/>
  <c r="BD951" i="1"/>
  <c r="AP951" i="1"/>
  <c r="AO951" i="1"/>
  <c r="AK951" i="1"/>
  <c r="AJ951" i="1"/>
  <c r="AH951" i="1"/>
  <c r="AG951" i="1"/>
  <c r="AF951" i="1"/>
  <c r="AE951" i="1"/>
  <c r="AD951" i="1"/>
  <c r="Z951" i="1"/>
  <c r="J951" i="1"/>
  <c r="AL951" i="1" s="1"/>
  <c r="BJ947" i="1"/>
  <c r="BF947" i="1"/>
  <c r="BD947" i="1"/>
  <c r="AW947" i="1"/>
  <c r="BC947" i="1" s="1"/>
  <c r="AV947" i="1"/>
  <c r="AP947" i="1"/>
  <c r="AX947" i="1" s="1"/>
  <c r="AO947" i="1"/>
  <c r="BH947" i="1" s="1"/>
  <c r="AB947" i="1" s="1"/>
  <c r="AL947" i="1"/>
  <c r="AK947" i="1"/>
  <c r="AJ947" i="1"/>
  <c r="AH947" i="1"/>
  <c r="AG947" i="1"/>
  <c r="AF947" i="1"/>
  <c r="AE947" i="1"/>
  <c r="AD947" i="1"/>
  <c r="Z947" i="1"/>
  <c r="J947" i="1"/>
  <c r="H947" i="1"/>
  <c r="BJ946" i="1"/>
  <c r="BF946" i="1"/>
  <c r="BD946" i="1"/>
  <c r="AX946" i="1"/>
  <c r="AW946" i="1"/>
  <c r="AP946" i="1"/>
  <c r="BI946" i="1" s="1"/>
  <c r="AC946" i="1" s="1"/>
  <c r="AO946" i="1"/>
  <c r="BH946" i="1" s="1"/>
  <c r="AB946" i="1" s="1"/>
  <c r="AK946" i="1"/>
  <c r="AJ946" i="1"/>
  <c r="AH946" i="1"/>
  <c r="AG946" i="1"/>
  <c r="AF946" i="1"/>
  <c r="AE946" i="1"/>
  <c r="AD946" i="1"/>
  <c r="Z946" i="1"/>
  <c r="J946" i="1"/>
  <c r="AL946" i="1" s="1"/>
  <c r="I946" i="1"/>
  <c r="H946" i="1"/>
  <c r="BJ944" i="1"/>
  <c r="BF944" i="1"/>
  <c r="BD944" i="1"/>
  <c r="AX944" i="1"/>
  <c r="AW944" i="1"/>
  <c r="AP944" i="1"/>
  <c r="BI944" i="1" s="1"/>
  <c r="AC944" i="1" s="1"/>
  <c r="AO944" i="1"/>
  <c r="H944" i="1" s="1"/>
  <c r="AK944" i="1"/>
  <c r="AJ944" i="1"/>
  <c r="AH944" i="1"/>
  <c r="AG944" i="1"/>
  <c r="AF944" i="1"/>
  <c r="AE944" i="1"/>
  <c r="AD944" i="1"/>
  <c r="Z944" i="1"/>
  <c r="J944" i="1"/>
  <c r="AL944" i="1" s="1"/>
  <c r="I944" i="1"/>
  <c r="BJ940" i="1"/>
  <c r="BF940" i="1"/>
  <c r="BD940" i="1"/>
  <c r="AX940" i="1"/>
  <c r="AP940" i="1"/>
  <c r="I940" i="1" s="1"/>
  <c r="AO940" i="1"/>
  <c r="BH940" i="1" s="1"/>
  <c r="AK940" i="1"/>
  <c r="AJ940" i="1"/>
  <c r="AH940" i="1"/>
  <c r="AG940" i="1"/>
  <c r="AF940" i="1"/>
  <c r="AE940" i="1"/>
  <c r="AD940" i="1"/>
  <c r="AB940" i="1"/>
  <c r="Z940" i="1"/>
  <c r="J940" i="1"/>
  <c r="AL940" i="1" s="1"/>
  <c r="H940" i="1"/>
  <c r="BJ937" i="1"/>
  <c r="BF937" i="1"/>
  <c r="BD937" i="1"/>
  <c r="AW937" i="1"/>
  <c r="AP937" i="1"/>
  <c r="BI937" i="1" s="1"/>
  <c r="AC937" i="1" s="1"/>
  <c r="AO937" i="1"/>
  <c r="BH937" i="1" s="1"/>
  <c r="AL937" i="1"/>
  <c r="AK937" i="1"/>
  <c r="AJ937" i="1"/>
  <c r="AH937" i="1"/>
  <c r="AG937" i="1"/>
  <c r="AF937" i="1"/>
  <c r="AE937" i="1"/>
  <c r="AD937" i="1"/>
  <c r="AB937" i="1"/>
  <c r="Z937" i="1"/>
  <c r="J937" i="1"/>
  <c r="I937" i="1"/>
  <c r="H937" i="1"/>
  <c r="BJ932" i="1"/>
  <c r="BF932" i="1"/>
  <c r="BD932" i="1"/>
  <c r="AX932" i="1"/>
  <c r="AP932" i="1"/>
  <c r="BI932" i="1" s="1"/>
  <c r="AC932" i="1" s="1"/>
  <c r="AO932" i="1"/>
  <c r="AL932" i="1"/>
  <c r="AK932" i="1"/>
  <c r="AJ932" i="1"/>
  <c r="AH932" i="1"/>
  <c r="AG932" i="1"/>
  <c r="AF932" i="1"/>
  <c r="AE932" i="1"/>
  <c r="AD932" i="1"/>
  <c r="Z932" i="1"/>
  <c r="J932" i="1"/>
  <c r="I932" i="1"/>
  <c r="BJ931" i="1"/>
  <c r="BI931" i="1"/>
  <c r="AC931" i="1" s="1"/>
  <c r="BH931" i="1"/>
  <c r="AB931" i="1" s="1"/>
  <c r="BF931" i="1"/>
  <c r="BD931" i="1"/>
  <c r="AP931" i="1"/>
  <c r="AO931" i="1"/>
  <c r="AL931" i="1"/>
  <c r="AK931" i="1"/>
  <c r="AJ931" i="1"/>
  <c r="AH931" i="1"/>
  <c r="AG931" i="1"/>
  <c r="AF931" i="1"/>
  <c r="AE931" i="1"/>
  <c r="AD931" i="1"/>
  <c r="Z931" i="1"/>
  <c r="J931" i="1"/>
  <c r="BJ929" i="1"/>
  <c r="BF929" i="1"/>
  <c r="BD929" i="1"/>
  <c r="AP929" i="1"/>
  <c r="AO929" i="1"/>
  <c r="AK929" i="1"/>
  <c r="AJ929" i="1"/>
  <c r="AH929" i="1"/>
  <c r="AG929" i="1"/>
  <c r="AF929" i="1"/>
  <c r="AE929" i="1"/>
  <c r="AD929" i="1"/>
  <c r="Z929" i="1"/>
  <c r="J929" i="1"/>
  <c r="AL929" i="1" s="1"/>
  <c r="BJ926" i="1"/>
  <c r="BF926" i="1"/>
  <c r="BD926" i="1"/>
  <c r="AW926" i="1"/>
  <c r="BC926" i="1" s="1"/>
  <c r="AP926" i="1"/>
  <c r="AX926" i="1" s="1"/>
  <c r="AO926" i="1"/>
  <c r="BH926" i="1" s="1"/>
  <c r="AB926" i="1" s="1"/>
  <c r="AL926" i="1"/>
  <c r="AK926" i="1"/>
  <c r="AJ926" i="1"/>
  <c r="AH926" i="1"/>
  <c r="AG926" i="1"/>
  <c r="AF926" i="1"/>
  <c r="AE926" i="1"/>
  <c r="AD926" i="1"/>
  <c r="Z926" i="1"/>
  <c r="J926" i="1"/>
  <c r="H926" i="1"/>
  <c r="BJ923" i="1"/>
  <c r="BF923" i="1"/>
  <c r="BD923" i="1"/>
  <c r="AX923" i="1"/>
  <c r="AW923" i="1"/>
  <c r="AP923" i="1"/>
  <c r="BI923" i="1" s="1"/>
  <c r="AC923" i="1" s="1"/>
  <c r="AO923" i="1"/>
  <c r="BH923" i="1" s="1"/>
  <c r="AB923" i="1" s="1"/>
  <c r="AK923" i="1"/>
  <c r="AJ923" i="1"/>
  <c r="AH923" i="1"/>
  <c r="AG923" i="1"/>
  <c r="AF923" i="1"/>
  <c r="AE923" i="1"/>
  <c r="AD923" i="1"/>
  <c r="Z923" i="1"/>
  <c r="J923" i="1"/>
  <c r="AL923" i="1" s="1"/>
  <c r="I923" i="1"/>
  <c r="H923" i="1"/>
  <c r="BJ921" i="1"/>
  <c r="BF921" i="1"/>
  <c r="BD921" i="1"/>
  <c r="AX921" i="1"/>
  <c r="AW921" i="1"/>
  <c r="AP921" i="1"/>
  <c r="BI921" i="1" s="1"/>
  <c r="AC921" i="1" s="1"/>
  <c r="AO921" i="1"/>
  <c r="H921" i="1" s="1"/>
  <c r="AK921" i="1"/>
  <c r="AJ921" i="1"/>
  <c r="AH921" i="1"/>
  <c r="AG921" i="1"/>
  <c r="AF921" i="1"/>
  <c r="AE921" i="1"/>
  <c r="AD921" i="1"/>
  <c r="Z921" i="1"/>
  <c r="J921" i="1"/>
  <c r="AL921" i="1" s="1"/>
  <c r="I921" i="1"/>
  <c r="BJ920" i="1"/>
  <c r="BF920" i="1"/>
  <c r="BD920" i="1"/>
  <c r="AX920" i="1"/>
  <c r="AP920" i="1"/>
  <c r="I920" i="1" s="1"/>
  <c r="AO920" i="1"/>
  <c r="BH920" i="1" s="1"/>
  <c r="AK920" i="1"/>
  <c r="AJ920" i="1"/>
  <c r="AH920" i="1"/>
  <c r="AG920" i="1"/>
  <c r="AF920" i="1"/>
  <c r="AE920" i="1"/>
  <c r="AD920" i="1"/>
  <c r="AB920" i="1"/>
  <c r="Z920" i="1"/>
  <c r="J920" i="1"/>
  <c r="AL920" i="1" s="1"/>
  <c r="H920" i="1"/>
  <c r="BJ916" i="1"/>
  <c r="BF916" i="1"/>
  <c r="BD916" i="1"/>
  <c r="AW916" i="1"/>
  <c r="AP916" i="1"/>
  <c r="BI916" i="1" s="1"/>
  <c r="AC916" i="1" s="1"/>
  <c r="AO916" i="1"/>
  <c r="BH916" i="1" s="1"/>
  <c r="AL916" i="1"/>
  <c r="AK916" i="1"/>
  <c r="AJ916" i="1"/>
  <c r="AS893" i="1" s="1"/>
  <c r="AH916" i="1"/>
  <c r="AG916" i="1"/>
  <c r="AF916" i="1"/>
  <c r="AE916" i="1"/>
  <c r="AD916" i="1"/>
  <c r="AB916" i="1"/>
  <c r="Z916" i="1"/>
  <c r="J916" i="1"/>
  <c r="I916" i="1"/>
  <c r="H916" i="1"/>
  <c r="BJ914" i="1"/>
  <c r="BF914" i="1"/>
  <c r="BD914" i="1"/>
  <c r="AX914" i="1"/>
  <c r="AP914" i="1"/>
  <c r="BI914" i="1" s="1"/>
  <c r="AC914" i="1" s="1"/>
  <c r="AO914" i="1"/>
  <c r="AL914" i="1"/>
  <c r="AK914" i="1"/>
  <c r="AJ914" i="1"/>
  <c r="AH914" i="1"/>
  <c r="AG914" i="1"/>
  <c r="AF914" i="1"/>
  <c r="AE914" i="1"/>
  <c r="AD914" i="1"/>
  <c r="Z914" i="1"/>
  <c r="J914" i="1"/>
  <c r="I914" i="1"/>
  <c r="BJ912" i="1"/>
  <c r="BI912" i="1"/>
  <c r="BF912" i="1"/>
  <c r="BD912" i="1"/>
  <c r="AP912" i="1"/>
  <c r="AO912" i="1"/>
  <c r="AL912" i="1"/>
  <c r="AK912" i="1"/>
  <c r="AJ912" i="1"/>
  <c r="AH912" i="1"/>
  <c r="AG912" i="1"/>
  <c r="AF912" i="1"/>
  <c r="AE912" i="1"/>
  <c r="AD912" i="1"/>
  <c r="AC912" i="1"/>
  <c r="Z912" i="1"/>
  <c r="J912" i="1"/>
  <c r="BJ910" i="1"/>
  <c r="BF910" i="1"/>
  <c r="BD910" i="1"/>
  <c r="AP910" i="1"/>
  <c r="AO910" i="1"/>
  <c r="AW910" i="1" s="1"/>
  <c r="AK910" i="1"/>
  <c r="AJ910" i="1"/>
  <c r="AH910" i="1"/>
  <c r="AG910" i="1"/>
  <c r="AF910" i="1"/>
  <c r="AE910" i="1"/>
  <c r="AD910" i="1"/>
  <c r="Z910" i="1"/>
  <c r="J910" i="1"/>
  <c r="AL910" i="1" s="1"/>
  <c r="H910" i="1"/>
  <c r="BJ909" i="1"/>
  <c r="BF909" i="1"/>
  <c r="BD909" i="1"/>
  <c r="BC909" i="1"/>
  <c r="AX909" i="1"/>
  <c r="AW909" i="1"/>
  <c r="AV909" i="1"/>
  <c r="AP909" i="1"/>
  <c r="BI909" i="1" s="1"/>
  <c r="AO909" i="1"/>
  <c r="BH909" i="1" s="1"/>
  <c r="AB909" i="1" s="1"/>
  <c r="AL909" i="1"/>
  <c r="AK909" i="1"/>
  <c r="AJ909" i="1"/>
  <c r="AH909" i="1"/>
  <c r="AG909" i="1"/>
  <c r="AF909" i="1"/>
  <c r="AE909" i="1"/>
  <c r="AD909" i="1"/>
  <c r="AC909" i="1"/>
  <c r="Z909" i="1"/>
  <c r="J909" i="1"/>
  <c r="I909" i="1"/>
  <c r="H909" i="1"/>
  <c r="BJ906" i="1"/>
  <c r="BH906" i="1"/>
  <c r="AB906" i="1" s="1"/>
  <c r="BF906" i="1"/>
  <c r="BD906" i="1"/>
  <c r="AX906" i="1"/>
  <c r="AW906" i="1"/>
  <c r="AP906" i="1"/>
  <c r="BI906" i="1" s="1"/>
  <c r="AC906" i="1" s="1"/>
  <c r="AO906" i="1"/>
  <c r="H906" i="1" s="1"/>
  <c r="AL906" i="1"/>
  <c r="AK906" i="1"/>
  <c r="AJ906" i="1"/>
  <c r="AH906" i="1"/>
  <c r="AG906" i="1"/>
  <c r="AF906" i="1"/>
  <c r="AE906" i="1"/>
  <c r="AD906" i="1"/>
  <c r="Z906" i="1"/>
  <c r="J906" i="1"/>
  <c r="I906" i="1"/>
  <c r="BJ904" i="1"/>
  <c r="BI904" i="1"/>
  <c r="BF904" i="1"/>
  <c r="BD904" i="1"/>
  <c r="AX904" i="1"/>
  <c r="AP904" i="1"/>
  <c r="I904" i="1" s="1"/>
  <c r="AO904" i="1"/>
  <c r="AL904" i="1"/>
  <c r="AK904" i="1"/>
  <c r="AJ904" i="1"/>
  <c r="AH904" i="1"/>
  <c r="AG904" i="1"/>
  <c r="AF904" i="1"/>
  <c r="AE904" i="1"/>
  <c r="AD904" i="1"/>
  <c r="AC904" i="1"/>
  <c r="Z904" i="1"/>
  <c r="J904" i="1"/>
  <c r="BJ899" i="1"/>
  <c r="BI899" i="1"/>
  <c r="AC899" i="1" s="1"/>
  <c r="BH899" i="1"/>
  <c r="AB899" i="1" s="1"/>
  <c r="BF899" i="1"/>
  <c r="BD899" i="1"/>
  <c r="AP899" i="1"/>
  <c r="AO899" i="1"/>
  <c r="AW899" i="1" s="1"/>
  <c r="AL899" i="1"/>
  <c r="AK899" i="1"/>
  <c r="AJ899" i="1"/>
  <c r="AH899" i="1"/>
  <c r="AG899" i="1"/>
  <c r="AF899" i="1"/>
  <c r="AE899" i="1"/>
  <c r="AD899" i="1"/>
  <c r="Z899" i="1"/>
  <c r="J899" i="1"/>
  <c r="BJ897" i="1"/>
  <c r="BF897" i="1"/>
  <c r="BD897" i="1"/>
  <c r="AW897" i="1"/>
  <c r="AP897" i="1"/>
  <c r="AO897" i="1"/>
  <c r="BH897" i="1" s="1"/>
  <c r="AL897" i="1"/>
  <c r="AK897" i="1"/>
  <c r="AJ897" i="1"/>
  <c r="AH897" i="1"/>
  <c r="AG897" i="1"/>
  <c r="AF897" i="1"/>
  <c r="AE897" i="1"/>
  <c r="AD897" i="1"/>
  <c r="AB897" i="1"/>
  <c r="Z897" i="1"/>
  <c r="J897" i="1"/>
  <c r="H897" i="1"/>
  <c r="BJ894" i="1"/>
  <c r="BF894" i="1"/>
  <c r="BD894" i="1"/>
  <c r="AX894" i="1"/>
  <c r="AW894" i="1"/>
  <c r="AP894" i="1"/>
  <c r="BI894" i="1" s="1"/>
  <c r="AO894" i="1"/>
  <c r="BH894" i="1" s="1"/>
  <c r="AB894" i="1" s="1"/>
  <c r="AL894" i="1"/>
  <c r="AU893" i="1" s="1"/>
  <c r="AK894" i="1"/>
  <c r="AJ894" i="1"/>
  <c r="AH894" i="1"/>
  <c r="AG894" i="1"/>
  <c r="AF894" i="1"/>
  <c r="AE894" i="1"/>
  <c r="AD894" i="1"/>
  <c r="AC894" i="1"/>
  <c r="Z894" i="1"/>
  <c r="J894" i="1"/>
  <c r="I894" i="1"/>
  <c r="H894" i="1"/>
  <c r="BJ892" i="1"/>
  <c r="BI892" i="1"/>
  <c r="AC892" i="1" s="1"/>
  <c r="BF892" i="1"/>
  <c r="BD892" i="1"/>
  <c r="AW892" i="1"/>
  <c r="AV892" i="1"/>
  <c r="AP892" i="1"/>
  <c r="AX892" i="1" s="1"/>
  <c r="AO892" i="1"/>
  <c r="BH892" i="1" s="1"/>
  <c r="AL892" i="1"/>
  <c r="AK892" i="1"/>
  <c r="AJ892" i="1"/>
  <c r="AH892" i="1"/>
  <c r="AG892" i="1"/>
  <c r="AF892" i="1"/>
  <c r="AE892" i="1"/>
  <c r="AD892" i="1"/>
  <c r="AB892" i="1"/>
  <c r="Z892" i="1"/>
  <c r="J892" i="1"/>
  <c r="H892" i="1"/>
  <c r="BJ891" i="1"/>
  <c r="BF891" i="1"/>
  <c r="BD891" i="1"/>
  <c r="AX891" i="1"/>
  <c r="AW891" i="1"/>
  <c r="BC891" i="1" s="1"/>
  <c r="AV891" i="1"/>
  <c r="AP891" i="1"/>
  <c r="BI891" i="1" s="1"/>
  <c r="AO891" i="1"/>
  <c r="BH891" i="1" s="1"/>
  <c r="AB891" i="1" s="1"/>
  <c r="AL891" i="1"/>
  <c r="AK891" i="1"/>
  <c r="AJ891" i="1"/>
  <c r="AH891" i="1"/>
  <c r="AG891" i="1"/>
  <c r="AF891" i="1"/>
  <c r="AE891" i="1"/>
  <c r="AD891" i="1"/>
  <c r="AC891" i="1"/>
  <c r="Z891" i="1"/>
  <c r="J891" i="1"/>
  <c r="I891" i="1"/>
  <c r="H891" i="1"/>
  <c r="BJ888" i="1"/>
  <c r="BF888" i="1"/>
  <c r="BD888" i="1"/>
  <c r="AX888" i="1"/>
  <c r="AP888" i="1"/>
  <c r="BI888" i="1" s="1"/>
  <c r="AC888" i="1" s="1"/>
  <c r="AO888" i="1"/>
  <c r="AK888" i="1"/>
  <c r="AJ888" i="1"/>
  <c r="AS887" i="1" s="1"/>
  <c r="AH888" i="1"/>
  <c r="AG888" i="1"/>
  <c r="AF888" i="1"/>
  <c r="AE888" i="1"/>
  <c r="AD888" i="1"/>
  <c r="Z888" i="1"/>
  <c r="J888" i="1"/>
  <c r="I888" i="1"/>
  <c r="AT887" i="1"/>
  <c r="BJ885" i="1"/>
  <c r="BF885" i="1"/>
  <c r="BD885" i="1"/>
  <c r="AX885" i="1"/>
  <c r="AW885" i="1"/>
  <c r="BC885" i="1" s="1"/>
  <c r="AV885" i="1"/>
  <c r="AP885" i="1"/>
  <c r="BI885" i="1" s="1"/>
  <c r="AC885" i="1" s="1"/>
  <c r="AO885" i="1"/>
  <c r="BH885" i="1" s="1"/>
  <c r="AB885" i="1" s="1"/>
  <c r="AK885" i="1"/>
  <c r="AJ885" i="1"/>
  <c r="AH885" i="1"/>
  <c r="AG885" i="1"/>
  <c r="AF885" i="1"/>
  <c r="AE885" i="1"/>
  <c r="AD885" i="1"/>
  <c r="Z885" i="1"/>
  <c r="J885" i="1"/>
  <c r="AL885" i="1" s="1"/>
  <c r="I885" i="1"/>
  <c r="H885" i="1"/>
  <c r="BJ882" i="1"/>
  <c r="BF882" i="1"/>
  <c r="BD882" i="1"/>
  <c r="AX882" i="1"/>
  <c r="AP882" i="1"/>
  <c r="BI882" i="1" s="1"/>
  <c r="AC882" i="1" s="1"/>
  <c r="AO882" i="1"/>
  <c r="AK882" i="1"/>
  <c r="AJ882" i="1"/>
  <c r="AH882" i="1"/>
  <c r="AG882" i="1"/>
  <c r="AF882" i="1"/>
  <c r="AE882" i="1"/>
  <c r="AD882" i="1"/>
  <c r="Z882" i="1"/>
  <c r="J882" i="1"/>
  <c r="AL882" i="1" s="1"/>
  <c r="I882" i="1"/>
  <c r="BJ879" i="1"/>
  <c r="BI879" i="1"/>
  <c r="AC879" i="1" s="1"/>
  <c r="BF879" i="1"/>
  <c r="BD879" i="1"/>
  <c r="AX879" i="1"/>
  <c r="AW879" i="1"/>
  <c r="AP879" i="1"/>
  <c r="I879" i="1" s="1"/>
  <c r="AO879" i="1"/>
  <c r="BH879" i="1" s="1"/>
  <c r="AK879" i="1"/>
  <c r="AT878" i="1" s="1"/>
  <c r="AJ879" i="1"/>
  <c r="AS878" i="1" s="1"/>
  <c r="AH879" i="1"/>
  <c r="AG879" i="1"/>
  <c r="AF879" i="1"/>
  <c r="AE879" i="1"/>
  <c r="AD879" i="1"/>
  <c r="AB879" i="1"/>
  <c r="Z879" i="1"/>
  <c r="J879" i="1"/>
  <c r="AL879" i="1" s="1"/>
  <c r="AU878" i="1" s="1"/>
  <c r="H879" i="1"/>
  <c r="I878" i="1"/>
  <c r="BJ874" i="1"/>
  <c r="BH874" i="1"/>
  <c r="BF874" i="1"/>
  <c r="BD874" i="1"/>
  <c r="AX874" i="1"/>
  <c r="AW874" i="1"/>
  <c r="AP874" i="1"/>
  <c r="BI874" i="1" s="1"/>
  <c r="AO874" i="1"/>
  <c r="H874" i="1" s="1"/>
  <c r="AL874" i="1"/>
  <c r="AK874" i="1"/>
  <c r="AT870" i="1" s="1"/>
  <c r="AJ874" i="1"/>
  <c r="AH874" i="1"/>
  <c r="AG874" i="1"/>
  <c r="AF874" i="1"/>
  <c r="AE874" i="1"/>
  <c r="AD874" i="1"/>
  <c r="AC874" i="1"/>
  <c r="AB874" i="1"/>
  <c r="Z874" i="1"/>
  <c r="J874" i="1"/>
  <c r="I874" i="1"/>
  <c r="BJ871" i="1"/>
  <c r="BF871" i="1"/>
  <c r="BD871" i="1"/>
  <c r="AP871" i="1"/>
  <c r="I871" i="1" s="1"/>
  <c r="AO871" i="1"/>
  <c r="AK871" i="1"/>
  <c r="AJ871" i="1"/>
  <c r="AH871" i="1"/>
  <c r="AG871" i="1"/>
  <c r="AF871" i="1"/>
  <c r="AE871" i="1"/>
  <c r="AD871" i="1"/>
  <c r="AC871" i="1"/>
  <c r="AB871" i="1"/>
  <c r="Z871" i="1"/>
  <c r="J871" i="1"/>
  <c r="AS870" i="1"/>
  <c r="BJ867" i="1"/>
  <c r="BF867" i="1"/>
  <c r="BD867" i="1"/>
  <c r="AX867" i="1"/>
  <c r="AP867" i="1"/>
  <c r="BI867" i="1" s="1"/>
  <c r="AO867" i="1"/>
  <c r="AL867" i="1"/>
  <c r="AU866" i="1" s="1"/>
  <c r="AK867" i="1"/>
  <c r="AJ867" i="1"/>
  <c r="AH867" i="1"/>
  <c r="AG867" i="1"/>
  <c r="AF867" i="1"/>
  <c r="AE867" i="1"/>
  <c r="AD867" i="1"/>
  <c r="AC867" i="1"/>
  <c r="Z867" i="1"/>
  <c r="J867" i="1"/>
  <c r="I867" i="1"/>
  <c r="I866" i="1" s="1"/>
  <c r="AT866" i="1"/>
  <c r="AS866" i="1"/>
  <c r="J866" i="1"/>
  <c r="BJ864" i="1"/>
  <c r="BF864" i="1"/>
  <c r="BD864" i="1"/>
  <c r="BC864" i="1"/>
  <c r="AX864" i="1"/>
  <c r="AW864" i="1"/>
  <c r="AV864" i="1"/>
  <c r="AP864" i="1"/>
  <c r="BI864" i="1" s="1"/>
  <c r="AE864" i="1" s="1"/>
  <c r="AO864" i="1"/>
  <c r="BH864" i="1" s="1"/>
  <c r="AD864" i="1" s="1"/>
  <c r="AL864" i="1"/>
  <c r="AK864" i="1"/>
  <c r="AJ864" i="1"/>
  <c r="AS847" i="1" s="1"/>
  <c r="AH864" i="1"/>
  <c r="AG864" i="1"/>
  <c r="AF864" i="1"/>
  <c r="AC864" i="1"/>
  <c r="AB864" i="1"/>
  <c r="Z864" i="1"/>
  <c r="J864" i="1"/>
  <c r="I864" i="1"/>
  <c r="H864" i="1"/>
  <c r="BJ848" i="1"/>
  <c r="BF848" i="1"/>
  <c r="BD848" i="1"/>
  <c r="AX848" i="1"/>
  <c r="AP848" i="1"/>
  <c r="BI848" i="1" s="1"/>
  <c r="AE848" i="1" s="1"/>
  <c r="AO848" i="1"/>
  <c r="AL848" i="1"/>
  <c r="AU847" i="1" s="1"/>
  <c r="AK848" i="1"/>
  <c r="AT847" i="1" s="1"/>
  <c r="AJ848" i="1"/>
  <c r="AH848" i="1"/>
  <c r="AG848" i="1"/>
  <c r="AF848" i="1"/>
  <c r="AC848" i="1"/>
  <c r="AB848" i="1"/>
  <c r="Z848" i="1"/>
  <c r="J848" i="1"/>
  <c r="I848" i="1"/>
  <c r="I847" i="1" s="1"/>
  <c r="J847" i="1"/>
  <c r="BJ846" i="1"/>
  <c r="BF846" i="1"/>
  <c r="BD846" i="1"/>
  <c r="BC846" i="1"/>
  <c r="AX846" i="1"/>
  <c r="AW846" i="1"/>
  <c r="AV846" i="1"/>
  <c r="AP846" i="1"/>
  <c r="BI846" i="1" s="1"/>
  <c r="AO846" i="1"/>
  <c r="BH846" i="1" s="1"/>
  <c r="AL846" i="1"/>
  <c r="AK846" i="1"/>
  <c r="AJ846" i="1"/>
  <c r="AH846" i="1"/>
  <c r="AG846" i="1"/>
  <c r="AF846" i="1"/>
  <c r="AE846" i="1"/>
  <c r="AD846" i="1"/>
  <c r="AC846" i="1"/>
  <c r="AB846" i="1"/>
  <c r="Z846" i="1"/>
  <c r="J846" i="1"/>
  <c r="I846" i="1"/>
  <c r="H846" i="1"/>
  <c r="BJ843" i="1"/>
  <c r="BH843" i="1"/>
  <c r="AD843" i="1" s="1"/>
  <c r="BF843" i="1"/>
  <c r="BD843" i="1"/>
  <c r="AX843" i="1"/>
  <c r="AW843" i="1"/>
  <c r="AP843" i="1"/>
  <c r="BI843" i="1" s="1"/>
  <c r="AE843" i="1" s="1"/>
  <c r="AO843" i="1"/>
  <c r="H843" i="1" s="1"/>
  <c r="AL843" i="1"/>
  <c r="AK843" i="1"/>
  <c r="AJ843" i="1"/>
  <c r="AH843" i="1"/>
  <c r="AG843" i="1"/>
  <c r="AF843" i="1"/>
  <c r="AC843" i="1"/>
  <c r="AB843" i="1"/>
  <c r="Z843" i="1"/>
  <c r="J843" i="1"/>
  <c r="I843" i="1"/>
  <c r="BJ841" i="1"/>
  <c r="BI841" i="1"/>
  <c r="AE841" i="1" s="1"/>
  <c r="BF841" i="1"/>
  <c r="BD841" i="1"/>
  <c r="AX841" i="1"/>
  <c r="AP841" i="1"/>
  <c r="I841" i="1" s="1"/>
  <c r="AO841" i="1"/>
  <c r="AL841" i="1"/>
  <c r="AK841" i="1"/>
  <c r="AJ841" i="1"/>
  <c r="AH841" i="1"/>
  <c r="AG841" i="1"/>
  <c r="AF841" i="1"/>
  <c r="AC841" i="1"/>
  <c r="AB841" i="1"/>
  <c r="Z841" i="1"/>
  <c r="J841" i="1"/>
  <c r="BJ839" i="1"/>
  <c r="BI839" i="1"/>
  <c r="AE839" i="1" s="1"/>
  <c r="BF839" i="1"/>
  <c r="BD839" i="1"/>
  <c r="AP839" i="1"/>
  <c r="AO839" i="1"/>
  <c r="AL839" i="1"/>
  <c r="AK839" i="1"/>
  <c r="AJ839" i="1"/>
  <c r="AH839" i="1"/>
  <c r="AG839" i="1"/>
  <c r="AF839" i="1"/>
  <c r="AC839" i="1"/>
  <c r="AB839" i="1"/>
  <c r="Z839" i="1"/>
  <c r="J839" i="1"/>
  <c r="BJ836" i="1"/>
  <c r="BF836" i="1"/>
  <c r="BD836" i="1"/>
  <c r="AW836" i="1"/>
  <c r="AP836" i="1"/>
  <c r="AO836" i="1"/>
  <c r="BH836" i="1" s="1"/>
  <c r="AD836" i="1" s="1"/>
  <c r="AL836" i="1"/>
  <c r="AK836" i="1"/>
  <c r="AJ836" i="1"/>
  <c r="AH836" i="1"/>
  <c r="AG836" i="1"/>
  <c r="AF836" i="1"/>
  <c r="AC836" i="1"/>
  <c r="AB836" i="1"/>
  <c r="Z836" i="1"/>
  <c r="J836" i="1"/>
  <c r="I836" i="1"/>
  <c r="H836" i="1"/>
  <c r="BJ833" i="1"/>
  <c r="BH833" i="1"/>
  <c r="AD833" i="1" s="1"/>
  <c r="BF833" i="1"/>
  <c r="BD833" i="1"/>
  <c r="AX833" i="1"/>
  <c r="AW833" i="1"/>
  <c r="BC833" i="1" s="1"/>
  <c r="AV833" i="1"/>
  <c r="AP833" i="1"/>
  <c r="BI833" i="1" s="1"/>
  <c r="AE833" i="1" s="1"/>
  <c r="AO833" i="1"/>
  <c r="AL833" i="1"/>
  <c r="AK833" i="1"/>
  <c r="AJ833" i="1"/>
  <c r="AH833" i="1"/>
  <c r="AG833" i="1"/>
  <c r="AF833" i="1"/>
  <c r="AC833" i="1"/>
  <c r="AB833" i="1"/>
  <c r="Z833" i="1"/>
  <c r="J833" i="1"/>
  <c r="I833" i="1"/>
  <c r="H833" i="1"/>
  <c r="BJ832" i="1"/>
  <c r="BH832" i="1"/>
  <c r="BF832" i="1"/>
  <c r="BD832" i="1"/>
  <c r="AW832" i="1"/>
  <c r="AP832" i="1"/>
  <c r="AO832" i="1"/>
  <c r="H832" i="1" s="1"/>
  <c r="AK832" i="1"/>
  <c r="AJ832" i="1"/>
  <c r="AH832" i="1"/>
  <c r="AG832" i="1"/>
  <c r="AF832" i="1"/>
  <c r="AD832" i="1"/>
  <c r="AC832" i="1"/>
  <c r="AB832" i="1"/>
  <c r="Z832" i="1"/>
  <c r="J832" i="1"/>
  <c r="AT831" i="1"/>
  <c r="BJ830" i="1"/>
  <c r="BH830" i="1"/>
  <c r="AD830" i="1" s="1"/>
  <c r="BF830" i="1"/>
  <c r="BD830" i="1"/>
  <c r="AX830" i="1"/>
  <c r="AW830" i="1"/>
  <c r="BC830" i="1" s="1"/>
  <c r="AV830" i="1"/>
  <c r="AP830" i="1"/>
  <c r="BI830" i="1" s="1"/>
  <c r="AE830" i="1" s="1"/>
  <c r="AO830" i="1"/>
  <c r="AL830" i="1"/>
  <c r="AK830" i="1"/>
  <c r="AJ830" i="1"/>
  <c r="AH830" i="1"/>
  <c r="AG830" i="1"/>
  <c r="AF830" i="1"/>
  <c r="AC830" i="1"/>
  <c r="AB830" i="1"/>
  <c r="Z830" i="1"/>
  <c r="J830" i="1"/>
  <c r="I830" i="1"/>
  <c r="H830" i="1"/>
  <c r="BJ829" i="1"/>
  <c r="BH829" i="1"/>
  <c r="BF829" i="1"/>
  <c r="BD829" i="1"/>
  <c r="AW829" i="1"/>
  <c r="AP829" i="1"/>
  <c r="AO829" i="1"/>
  <c r="H829" i="1" s="1"/>
  <c r="AK829" i="1"/>
  <c r="AJ829" i="1"/>
  <c r="AH829" i="1"/>
  <c r="AG829" i="1"/>
  <c r="AF829" i="1"/>
  <c r="AD829" i="1"/>
  <c r="AC829" i="1"/>
  <c r="AB829" i="1"/>
  <c r="Z829" i="1"/>
  <c r="J829" i="1"/>
  <c r="AL829" i="1" s="1"/>
  <c r="BJ828" i="1"/>
  <c r="BI828" i="1"/>
  <c r="AE828" i="1" s="1"/>
  <c r="BF828" i="1"/>
  <c r="BD828" i="1"/>
  <c r="AX828" i="1"/>
  <c r="AW828" i="1"/>
  <c r="AP828" i="1"/>
  <c r="I828" i="1" s="1"/>
  <c r="AO828" i="1"/>
  <c r="BH828" i="1" s="1"/>
  <c r="AD828" i="1" s="1"/>
  <c r="AK828" i="1"/>
  <c r="AJ828" i="1"/>
  <c r="AH828" i="1"/>
  <c r="AG828" i="1"/>
  <c r="AF828" i="1"/>
  <c r="AC828" i="1"/>
  <c r="AB828" i="1"/>
  <c r="Z828" i="1"/>
  <c r="J828" i="1"/>
  <c r="AL828" i="1" s="1"/>
  <c r="H828" i="1"/>
  <c r="BJ827" i="1"/>
  <c r="BF827" i="1"/>
  <c r="BD827" i="1"/>
  <c r="AX827" i="1"/>
  <c r="AW827" i="1"/>
  <c r="AP827" i="1"/>
  <c r="BI827" i="1" s="1"/>
  <c r="AE827" i="1" s="1"/>
  <c r="AO827" i="1"/>
  <c r="BH827" i="1" s="1"/>
  <c r="AD827" i="1" s="1"/>
  <c r="AL827" i="1"/>
  <c r="AK827" i="1"/>
  <c r="AJ827" i="1"/>
  <c r="AH827" i="1"/>
  <c r="AG827" i="1"/>
  <c r="AF827" i="1"/>
  <c r="AC827" i="1"/>
  <c r="AB827" i="1"/>
  <c r="Z827" i="1"/>
  <c r="J827" i="1"/>
  <c r="I827" i="1"/>
  <c r="H827" i="1"/>
  <c r="BJ826" i="1"/>
  <c r="BF826" i="1"/>
  <c r="BD826" i="1"/>
  <c r="AX826" i="1"/>
  <c r="AP826" i="1"/>
  <c r="BI826" i="1" s="1"/>
  <c r="AE826" i="1" s="1"/>
  <c r="AO826" i="1"/>
  <c r="AL826" i="1"/>
  <c r="AK826" i="1"/>
  <c r="AJ826" i="1"/>
  <c r="AH826" i="1"/>
  <c r="AG826" i="1"/>
  <c r="AF826" i="1"/>
  <c r="AC826" i="1"/>
  <c r="AB826" i="1"/>
  <c r="Z826" i="1"/>
  <c r="J826" i="1"/>
  <c r="I826" i="1"/>
  <c r="BJ825" i="1"/>
  <c r="BF825" i="1"/>
  <c r="BD825" i="1"/>
  <c r="AP825" i="1"/>
  <c r="AO825" i="1"/>
  <c r="AK825" i="1"/>
  <c r="AJ825" i="1"/>
  <c r="AH825" i="1"/>
  <c r="AG825" i="1"/>
  <c r="AF825" i="1"/>
  <c r="AC825" i="1"/>
  <c r="AB825" i="1"/>
  <c r="Z825" i="1"/>
  <c r="J825" i="1"/>
  <c r="AL825" i="1" s="1"/>
  <c r="BJ823" i="1"/>
  <c r="BH823" i="1"/>
  <c r="AD823" i="1" s="1"/>
  <c r="BF823" i="1"/>
  <c r="BD823" i="1"/>
  <c r="AP823" i="1"/>
  <c r="AO823" i="1"/>
  <c r="AW823" i="1" s="1"/>
  <c r="AL823" i="1"/>
  <c r="AK823" i="1"/>
  <c r="AJ823" i="1"/>
  <c r="AH823" i="1"/>
  <c r="AG823" i="1"/>
  <c r="AF823" i="1"/>
  <c r="AC823" i="1"/>
  <c r="AB823" i="1"/>
  <c r="Z823" i="1"/>
  <c r="J823" i="1"/>
  <c r="BJ822" i="1"/>
  <c r="BI822" i="1"/>
  <c r="AE822" i="1" s="1"/>
  <c r="BF822" i="1"/>
  <c r="BD822" i="1"/>
  <c r="AW822" i="1"/>
  <c r="AP822" i="1"/>
  <c r="AX822" i="1" s="1"/>
  <c r="AO822" i="1"/>
  <c r="BH822" i="1" s="1"/>
  <c r="AD822" i="1" s="1"/>
  <c r="AL822" i="1"/>
  <c r="AK822" i="1"/>
  <c r="AJ822" i="1"/>
  <c r="AH822" i="1"/>
  <c r="AG822" i="1"/>
  <c r="AF822" i="1"/>
  <c r="AC822" i="1"/>
  <c r="AB822" i="1"/>
  <c r="Z822" i="1"/>
  <c r="J822" i="1"/>
  <c r="I822" i="1"/>
  <c r="H822" i="1"/>
  <c r="BJ821" i="1"/>
  <c r="BF821" i="1"/>
  <c r="BD821" i="1"/>
  <c r="AX821" i="1"/>
  <c r="AW821" i="1"/>
  <c r="AV821" i="1" s="1"/>
  <c r="AP821" i="1"/>
  <c r="BI821" i="1" s="1"/>
  <c r="AE821" i="1" s="1"/>
  <c r="AO821" i="1"/>
  <c r="BH821" i="1" s="1"/>
  <c r="AK821" i="1"/>
  <c r="AJ821" i="1"/>
  <c r="AH821" i="1"/>
  <c r="AG821" i="1"/>
  <c r="AF821" i="1"/>
  <c r="AD821" i="1"/>
  <c r="AC821" i="1"/>
  <c r="AB821" i="1"/>
  <c r="Z821" i="1"/>
  <c r="J821" i="1"/>
  <c r="AL821" i="1" s="1"/>
  <c r="I821" i="1"/>
  <c r="H821" i="1"/>
  <c r="BJ820" i="1"/>
  <c r="BI820" i="1"/>
  <c r="AE820" i="1" s="1"/>
  <c r="BF820" i="1"/>
  <c r="BD820" i="1"/>
  <c r="AX820" i="1"/>
  <c r="AP820" i="1"/>
  <c r="AO820" i="1"/>
  <c r="AK820" i="1"/>
  <c r="AJ820" i="1"/>
  <c r="AH820" i="1"/>
  <c r="AG820" i="1"/>
  <c r="AF820" i="1"/>
  <c r="AC820" i="1"/>
  <c r="AB820" i="1"/>
  <c r="Z820" i="1"/>
  <c r="J820" i="1"/>
  <c r="AL820" i="1" s="1"/>
  <c r="I820" i="1"/>
  <c r="BJ819" i="1"/>
  <c r="BF819" i="1"/>
  <c r="BD819" i="1"/>
  <c r="AW819" i="1"/>
  <c r="AP819" i="1"/>
  <c r="AO819" i="1"/>
  <c r="BH819" i="1" s="1"/>
  <c r="AD819" i="1" s="1"/>
  <c r="AK819" i="1"/>
  <c r="AJ819" i="1"/>
  <c r="AH819" i="1"/>
  <c r="AG819" i="1"/>
  <c r="AF819" i="1"/>
  <c r="AC819" i="1"/>
  <c r="AB819" i="1"/>
  <c r="Z819" i="1"/>
  <c r="J819" i="1"/>
  <c r="AL819" i="1" s="1"/>
  <c r="H819" i="1"/>
  <c r="BJ818" i="1"/>
  <c r="BF818" i="1"/>
  <c r="BD818" i="1"/>
  <c r="BC818" i="1"/>
  <c r="AX818" i="1"/>
  <c r="AW818" i="1"/>
  <c r="AV818" i="1"/>
  <c r="AP818" i="1"/>
  <c r="BI818" i="1" s="1"/>
  <c r="AE818" i="1" s="1"/>
  <c r="AO818" i="1"/>
  <c r="BH818" i="1" s="1"/>
  <c r="AD818" i="1" s="1"/>
  <c r="AL818" i="1"/>
  <c r="AK818" i="1"/>
  <c r="AJ818" i="1"/>
  <c r="AH818" i="1"/>
  <c r="AG818" i="1"/>
  <c r="AF818" i="1"/>
  <c r="AC818" i="1"/>
  <c r="AB818" i="1"/>
  <c r="Z818" i="1"/>
  <c r="J818" i="1"/>
  <c r="I818" i="1"/>
  <c r="H818" i="1"/>
  <c r="BJ817" i="1"/>
  <c r="BH817" i="1"/>
  <c r="AD817" i="1" s="1"/>
  <c r="BF817" i="1"/>
  <c r="BD817" i="1"/>
  <c r="AX817" i="1"/>
  <c r="AW817" i="1"/>
  <c r="AP817" i="1"/>
  <c r="BI817" i="1" s="1"/>
  <c r="AE817" i="1" s="1"/>
  <c r="AO817" i="1"/>
  <c r="H817" i="1" s="1"/>
  <c r="AK817" i="1"/>
  <c r="AJ817" i="1"/>
  <c r="AH817" i="1"/>
  <c r="AG817" i="1"/>
  <c r="AF817" i="1"/>
  <c r="AC817" i="1"/>
  <c r="AB817" i="1"/>
  <c r="Z817" i="1"/>
  <c r="J817" i="1"/>
  <c r="AL817" i="1" s="1"/>
  <c r="I817" i="1"/>
  <c r="BJ816" i="1"/>
  <c r="BI816" i="1"/>
  <c r="AE816" i="1" s="1"/>
  <c r="BH816" i="1"/>
  <c r="AD816" i="1" s="1"/>
  <c r="BF816" i="1"/>
  <c r="BD816" i="1"/>
  <c r="AX816" i="1"/>
  <c r="AP816" i="1"/>
  <c r="I816" i="1" s="1"/>
  <c r="AO816" i="1"/>
  <c r="AL816" i="1"/>
  <c r="AK816" i="1"/>
  <c r="AJ816" i="1"/>
  <c r="AH816" i="1"/>
  <c r="AG816" i="1"/>
  <c r="AF816" i="1"/>
  <c r="AC816" i="1"/>
  <c r="AB816" i="1"/>
  <c r="Z816" i="1"/>
  <c r="J816" i="1"/>
  <c r="BJ815" i="1"/>
  <c r="BI815" i="1"/>
  <c r="AE815" i="1" s="1"/>
  <c r="BF815" i="1"/>
  <c r="BD815" i="1"/>
  <c r="AP815" i="1"/>
  <c r="AO815" i="1"/>
  <c r="AL815" i="1"/>
  <c r="AK815" i="1"/>
  <c r="AJ815" i="1"/>
  <c r="AH815" i="1"/>
  <c r="AG815" i="1"/>
  <c r="AF815" i="1"/>
  <c r="AC815" i="1"/>
  <c r="AB815" i="1"/>
  <c r="Z815" i="1"/>
  <c r="J815" i="1"/>
  <c r="H815" i="1"/>
  <c r="BJ814" i="1"/>
  <c r="BF814" i="1"/>
  <c r="BD814" i="1"/>
  <c r="AW814" i="1"/>
  <c r="AP814" i="1"/>
  <c r="AO814" i="1"/>
  <c r="BH814" i="1" s="1"/>
  <c r="AD814" i="1" s="1"/>
  <c r="AL814" i="1"/>
  <c r="AK814" i="1"/>
  <c r="AJ814" i="1"/>
  <c r="AH814" i="1"/>
  <c r="AG814" i="1"/>
  <c r="AF814" i="1"/>
  <c r="AC814" i="1"/>
  <c r="AB814" i="1"/>
  <c r="Z814" i="1"/>
  <c r="J814" i="1"/>
  <c r="H814" i="1"/>
  <c r="BJ813" i="1"/>
  <c r="BH813" i="1"/>
  <c r="AD813" i="1" s="1"/>
  <c r="BF813" i="1"/>
  <c r="BD813" i="1"/>
  <c r="AX813" i="1"/>
  <c r="AW813" i="1"/>
  <c r="AP813" i="1"/>
  <c r="BI813" i="1" s="1"/>
  <c r="AE813" i="1" s="1"/>
  <c r="AO813" i="1"/>
  <c r="AL813" i="1"/>
  <c r="AK813" i="1"/>
  <c r="AJ813" i="1"/>
  <c r="AH813" i="1"/>
  <c r="AG813" i="1"/>
  <c r="AF813" i="1"/>
  <c r="AC813" i="1"/>
  <c r="AB813" i="1"/>
  <c r="Z813" i="1"/>
  <c r="J813" i="1"/>
  <c r="I813" i="1"/>
  <c r="H813" i="1"/>
  <c r="BJ812" i="1"/>
  <c r="BH812" i="1"/>
  <c r="BF812" i="1"/>
  <c r="BD812" i="1"/>
  <c r="AW812" i="1"/>
  <c r="AP812" i="1"/>
  <c r="BI812" i="1" s="1"/>
  <c r="AE812" i="1" s="1"/>
  <c r="AO812" i="1"/>
  <c r="H812" i="1" s="1"/>
  <c r="AK812" i="1"/>
  <c r="AJ812" i="1"/>
  <c r="AH812" i="1"/>
  <c r="AG812" i="1"/>
  <c r="AF812" i="1"/>
  <c r="AD812" i="1"/>
  <c r="AC812" i="1"/>
  <c r="AB812" i="1"/>
  <c r="Z812" i="1"/>
  <c r="J812" i="1"/>
  <c r="AL812" i="1" s="1"/>
  <c r="I812" i="1"/>
  <c r="BJ809" i="1"/>
  <c r="BI809" i="1"/>
  <c r="AE809" i="1" s="1"/>
  <c r="BF809" i="1"/>
  <c r="BD809" i="1"/>
  <c r="AX809" i="1"/>
  <c r="AW809" i="1"/>
  <c r="AP809" i="1"/>
  <c r="I809" i="1" s="1"/>
  <c r="AO809" i="1"/>
  <c r="BH809" i="1" s="1"/>
  <c r="AD809" i="1" s="1"/>
  <c r="AK809" i="1"/>
  <c r="AJ809" i="1"/>
  <c r="AH809" i="1"/>
  <c r="AG809" i="1"/>
  <c r="AF809" i="1"/>
  <c r="AC809" i="1"/>
  <c r="AB809" i="1"/>
  <c r="Z809" i="1"/>
  <c r="J809" i="1"/>
  <c r="AL809" i="1" s="1"/>
  <c r="H809" i="1"/>
  <c r="BJ808" i="1"/>
  <c r="BF808" i="1"/>
  <c r="BD808" i="1"/>
  <c r="AX808" i="1"/>
  <c r="AW808" i="1"/>
  <c r="AV808" i="1" s="1"/>
  <c r="AP808" i="1"/>
  <c r="BI808" i="1" s="1"/>
  <c r="AE808" i="1" s="1"/>
  <c r="AO808" i="1"/>
  <c r="BH808" i="1" s="1"/>
  <c r="AD808" i="1" s="1"/>
  <c r="AL808" i="1"/>
  <c r="AK808" i="1"/>
  <c r="AJ808" i="1"/>
  <c r="AH808" i="1"/>
  <c r="AG808" i="1"/>
  <c r="AF808" i="1"/>
  <c r="AC808" i="1"/>
  <c r="AB808" i="1"/>
  <c r="Z808" i="1"/>
  <c r="J808" i="1"/>
  <c r="I808" i="1"/>
  <c r="H808" i="1"/>
  <c r="BJ807" i="1"/>
  <c r="BF807" i="1"/>
  <c r="BD807" i="1"/>
  <c r="AX807" i="1"/>
  <c r="AP807" i="1"/>
  <c r="BI807" i="1" s="1"/>
  <c r="AE807" i="1" s="1"/>
  <c r="AO807" i="1"/>
  <c r="AL807" i="1"/>
  <c r="AK807" i="1"/>
  <c r="AJ807" i="1"/>
  <c r="AH807" i="1"/>
  <c r="AG807" i="1"/>
  <c r="AF807" i="1"/>
  <c r="AC807" i="1"/>
  <c r="AB807" i="1"/>
  <c r="Z807" i="1"/>
  <c r="J807" i="1"/>
  <c r="I807" i="1"/>
  <c r="BJ806" i="1"/>
  <c r="BF806" i="1"/>
  <c r="BD806" i="1"/>
  <c r="AP806" i="1"/>
  <c r="AO806" i="1"/>
  <c r="AL806" i="1"/>
  <c r="AK806" i="1"/>
  <c r="AJ806" i="1"/>
  <c r="AH806" i="1"/>
  <c r="AG806" i="1"/>
  <c r="AF806" i="1"/>
  <c r="AC806" i="1"/>
  <c r="AB806" i="1"/>
  <c r="Z806" i="1"/>
  <c r="J806" i="1"/>
  <c r="BJ805" i="1"/>
  <c r="BH805" i="1"/>
  <c r="AD805" i="1" s="1"/>
  <c r="BF805" i="1"/>
  <c r="BD805" i="1"/>
  <c r="AP805" i="1"/>
  <c r="AO805" i="1"/>
  <c r="AW805" i="1" s="1"/>
  <c r="AL805" i="1"/>
  <c r="AK805" i="1"/>
  <c r="AJ805" i="1"/>
  <c r="AH805" i="1"/>
  <c r="AG805" i="1"/>
  <c r="AF805" i="1"/>
  <c r="AC805" i="1"/>
  <c r="AB805" i="1"/>
  <c r="Z805" i="1"/>
  <c r="J805" i="1"/>
  <c r="H805" i="1"/>
  <c r="BJ804" i="1"/>
  <c r="BF804" i="1"/>
  <c r="BD804" i="1"/>
  <c r="AW804" i="1"/>
  <c r="AP804" i="1"/>
  <c r="AX804" i="1" s="1"/>
  <c r="AO804" i="1"/>
  <c r="BH804" i="1" s="1"/>
  <c r="AD804" i="1" s="1"/>
  <c r="AL804" i="1"/>
  <c r="AK804" i="1"/>
  <c r="AJ804" i="1"/>
  <c r="AH804" i="1"/>
  <c r="AG804" i="1"/>
  <c r="AF804" i="1"/>
  <c r="AC804" i="1"/>
  <c r="AB804" i="1"/>
  <c r="Z804" i="1"/>
  <c r="J804" i="1"/>
  <c r="H804" i="1"/>
  <c r="BJ803" i="1"/>
  <c r="BF803" i="1"/>
  <c r="BD803" i="1"/>
  <c r="AX803" i="1"/>
  <c r="AP803" i="1"/>
  <c r="BI803" i="1" s="1"/>
  <c r="AE803" i="1" s="1"/>
  <c r="AO803" i="1"/>
  <c r="AK803" i="1"/>
  <c r="AJ803" i="1"/>
  <c r="AH803" i="1"/>
  <c r="AG803" i="1"/>
  <c r="AF803" i="1"/>
  <c r="AC803" i="1"/>
  <c r="AB803" i="1"/>
  <c r="Z803" i="1"/>
  <c r="J803" i="1"/>
  <c r="AL803" i="1" s="1"/>
  <c r="I803" i="1"/>
  <c r="BJ802" i="1"/>
  <c r="BI802" i="1"/>
  <c r="AE802" i="1" s="1"/>
  <c r="BF802" i="1"/>
  <c r="BD802" i="1"/>
  <c r="AX802" i="1"/>
  <c r="AP802" i="1"/>
  <c r="AO802" i="1"/>
  <c r="BH802" i="1" s="1"/>
  <c r="AD802" i="1" s="1"/>
  <c r="AK802" i="1"/>
  <c r="AJ802" i="1"/>
  <c r="AH802" i="1"/>
  <c r="AG802" i="1"/>
  <c r="AF802" i="1"/>
  <c r="AC802" i="1"/>
  <c r="AB802" i="1"/>
  <c r="Z802" i="1"/>
  <c r="J802" i="1"/>
  <c r="AL802" i="1" s="1"/>
  <c r="I802" i="1"/>
  <c r="BJ801" i="1"/>
  <c r="BF801" i="1"/>
  <c r="BD801" i="1"/>
  <c r="BC801" i="1"/>
  <c r="AX801" i="1"/>
  <c r="AW801" i="1"/>
  <c r="AV801" i="1"/>
  <c r="AP801" i="1"/>
  <c r="I801" i="1" s="1"/>
  <c r="AO801" i="1"/>
  <c r="BH801" i="1" s="1"/>
  <c r="AD801" i="1" s="1"/>
  <c r="AK801" i="1"/>
  <c r="AJ801" i="1"/>
  <c r="AH801" i="1"/>
  <c r="AG801" i="1"/>
  <c r="AF801" i="1"/>
  <c r="AC801" i="1"/>
  <c r="AB801" i="1"/>
  <c r="Z801" i="1"/>
  <c r="J801" i="1"/>
  <c r="AL801" i="1" s="1"/>
  <c r="H801" i="1"/>
  <c r="BJ800" i="1"/>
  <c r="BF800" i="1"/>
  <c r="BD800" i="1"/>
  <c r="BC800" i="1"/>
  <c r="AX800" i="1"/>
  <c r="AW800" i="1"/>
  <c r="AV800" i="1"/>
  <c r="AP800" i="1"/>
  <c r="BI800" i="1" s="1"/>
  <c r="AE800" i="1" s="1"/>
  <c r="AO800" i="1"/>
  <c r="BH800" i="1" s="1"/>
  <c r="AD800" i="1" s="1"/>
  <c r="AL800" i="1"/>
  <c r="AK800" i="1"/>
  <c r="AJ800" i="1"/>
  <c r="AH800" i="1"/>
  <c r="AG800" i="1"/>
  <c r="AF800" i="1"/>
  <c r="AC800" i="1"/>
  <c r="AB800" i="1"/>
  <c r="Z800" i="1"/>
  <c r="J800" i="1"/>
  <c r="I800" i="1"/>
  <c r="H800" i="1"/>
  <c r="BJ799" i="1"/>
  <c r="BH799" i="1"/>
  <c r="AD799" i="1" s="1"/>
  <c r="BF799" i="1"/>
  <c r="BD799" i="1"/>
  <c r="AX799" i="1"/>
  <c r="AW799" i="1"/>
  <c r="AP799" i="1"/>
  <c r="BI799" i="1" s="1"/>
  <c r="AE799" i="1" s="1"/>
  <c r="AO799" i="1"/>
  <c r="H799" i="1" s="1"/>
  <c r="AK799" i="1"/>
  <c r="AJ799" i="1"/>
  <c r="AH799" i="1"/>
  <c r="AG799" i="1"/>
  <c r="AF799" i="1"/>
  <c r="AC799" i="1"/>
  <c r="AB799" i="1"/>
  <c r="Z799" i="1"/>
  <c r="J799" i="1"/>
  <c r="AL799" i="1" s="1"/>
  <c r="I799" i="1"/>
  <c r="BJ798" i="1"/>
  <c r="BI798" i="1"/>
  <c r="AE798" i="1" s="1"/>
  <c r="BH798" i="1"/>
  <c r="AD798" i="1" s="1"/>
  <c r="BF798" i="1"/>
  <c r="BD798" i="1"/>
  <c r="AX798" i="1"/>
  <c r="AP798" i="1"/>
  <c r="I798" i="1" s="1"/>
  <c r="AO798" i="1"/>
  <c r="AL798" i="1"/>
  <c r="AK798" i="1"/>
  <c r="AJ798" i="1"/>
  <c r="AH798" i="1"/>
  <c r="AG798" i="1"/>
  <c r="AF798" i="1"/>
  <c r="AC798" i="1"/>
  <c r="AB798" i="1"/>
  <c r="Z798" i="1"/>
  <c r="J798" i="1"/>
  <c r="BJ797" i="1"/>
  <c r="BI797" i="1"/>
  <c r="AE797" i="1" s="1"/>
  <c r="BF797" i="1"/>
  <c r="BD797" i="1"/>
  <c r="AP797" i="1"/>
  <c r="AO797" i="1"/>
  <c r="AL797" i="1"/>
  <c r="AK797" i="1"/>
  <c r="AJ797" i="1"/>
  <c r="AH797" i="1"/>
  <c r="AG797" i="1"/>
  <c r="AF797" i="1"/>
  <c r="AC797" i="1"/>
  <c r="AB797" i="1"/>
  <c r="Z797" i="1"/>
  <c r="J797" i="1"/>
  <c r="BJ796" i="1"/>
  <c r="BF796" i="1"/>
  <c r="BD796" i="1"/>
  <c r="AW796" i="1"/>
  <c r="AP796" i="1"/>
  <c r="AO796" i="1"/>
  <c r="BH796" i="1" s="1"/>
  <c r="AD796" i="1" s="1"/>
  <c r="AL796" i="1"/>
  <c r="AK796" i="1"/>
  <c r="AJ796" i="1"/>
  <c r="AH796" i="1"/>
  <c r="AG796" i="1"/>
  <c r="AF796" i="1"/>
  <c r="AC796" i="1"/>
  <c r="AB796" i="1"/>
  <c r="Z796" i="1"/>
  <c r="J796" i="1"/>
  <c r="I796" i="1"/>
  <c r="H796" i="1"/>
  <c r="BJ795" i="1"/>
  <c r="BH795" i="1"/>
  <c r="AD795" i="1" s="1"/>
  <c r="BF795" i="1"/>
  <c r="BD795" i="1"/>
  <c r="AX795" i="1"/>
  <c r="AW795" i="1"/>
  <c r="BC795" i="1" s="1"/>
  <c r="AP795" i="1"/>
  <c r="BI795" i="1" s="1"/>
  <c r="AE795" i="1" s="1"/>
  <c r="AO795" i="1"/>
  <c r="AL795" i="1"/>
  <c r="AK795" i="1"/>
  <c r="AJ795" i="1"/>
  <c r="AH795" i="1"/>
  <c r="AG795" i="1"/>
  <c r="AF795" i="1"/>
  <c r="AC795" i="1"/>
  <c r="AB795" i="1"/>
  <c r="Z795" i="1"/>
  <c r="J795" i="1"/>
  <c r="I795" i="1"/>
  <c r="H795" i="1"/>
  <c r="BJ794" i="1"/>
  <c r="BF794" i="1"/>
  <c r="BD794" i="1"/>
  <c r="AW794" i="1"/>
  <c r="AP794" i="1"/>
  <c r="AO794" i="1"/>
  <c r="H794" i="1" s="1"/>
  <c r="AK794" i="1"/>
  <c r="AJ794" i="1"/>
  <c r="AH794" i="1"/>
  <c r="AG794" i="1"/>
  <c r="AF794" i="1"/>
  <c r="AC794" i="1"/>
  <c r="AB794" i="1"/>
  <c r="Z794" i="1"/>
  <c r="J794" i="1"/>
  <c r="AL794" i="1" s="1"/>
  <c r="BJ793" i="1"/>
  <c r="BI793" i="1"/>
  <c r="AE793" i="1" s="1"/>
  <c r="BF793" i="1"/>
  <c r="BD793" i="1"/>
  <c r="AX793" i="1"/>
  <c r="AW793" i="1"/>
  <c r="AP793" i="1"/>
  <c r="I793" i="1" s="1"/>
  <c r="AO793" i="1"/>
  <c r="BH793" i="1" s="1"/>
  <c r="AD793" i="1" s="1"/>
  <c r="AK793" i="1"/>
  <c r="AJ793" i="1"/>
  <c r="AH793" i="1"/>
  <c r="AG793" i="1"/>
  <c r="AF793" i="1"/>
  <c r="AC793" i="1"/>
  <c r="AB793" i="1"/>
  <c r="Z793" i="1"/>
  <c r="J793" i="1"/>
  <c r="AL793" i="1" s="1"/>
  <c r="H793" i="1"/>
  <c r="BJ792" i="1"/>
  <c r="BF792" i="1"/>
  <c r="BD792" i="1"/>
  <c r="AX792" i="1"/>
  <c r="AW792" i="1"/>
  <c r="AP792" i="1"/>
  <c r="BI792" i="1" s="1"/>
  <c r="AE792" i="1" s="1"/>
  <c r="AO792" i="1"/>
  <c r="BH792" i="1" s="1"/>
  <c r="AD792" i="1" s="1"/>
  <c r="AL792" i="1"/>
  <c r="AK792" i="1"/>
  <c r="AJ792" i="1"/>
  <c r="AH792" i="1"/>
  <c r="AG792" i="1"/>
  <c r="AF792" i="1"/>
  <c r="AC792" i="1"/>
  <c r="AB792" i="1"/>
  <c r="Z792" i="1"/>
  <c r="J792" i="1"/>
  <c r="I792" i="1"/>
  <c r="H792" i="1"/>
  <c r="BJ791" i="1"/>
  <c r="BF791" i="1"/>
  <c r="BD791" i="1"/>
  <c r="AX791" i="1"/>
  <c r="AP791" i="1"/>
  <c r="BI791" i="1" s="1"/>
  <c r="AE791" i="1" s="1"/>
  <c r="AO791" i="1"/>
  <c r="AL791" i="1"/>
  <c r="AK791" i="1"/>
  <c r="AJ791" i="1"/>
  <c r="AH791" i="1"/>
  <c r="AG791" i="1"/>
  <c r="AF791" i="1"/>
  <c r="AC791" i="1"/>
  <c r="AB791" i="1"/>
  <c r="Z791" i="1"/>
  <c r="J791" i="1"/>
  <c r="I791" i="1"/>
  <c r="BJ790" i="1"/>
  <c r="BF790" i="1"/>
  <c r="BD790" i="1"/>
  <c r="AP790" i="1"/>
  <c r="AO790" i="1"/>
  <c r="AK790" i="1"/>
  <c r="AJ790" i="1"/>
  <c r="AH790" i="1"/>
  <c r="AG790" i="1"/>
  <c r="AF790" i="1"/>
  <c r="AC790" i="1"/>
  <c r="AB790" i="1"/>
  <c r="Z790" i="1"/>
  <c r="J790" i="1"/>
  <c r="AL790" i="1" s="1"/>
  <c r="BJ787" i="1"/>
  <c r="BH787" i="1"/>
  <c r="AD787" i="1" s="1"/>
  <c r="BF787" i="1"/>
  <c r="BD787" i="1"/>
  <c r="AP787" i="1"/>
  <c r="AO787" i="1"/>
  <c r="AW787" i="1" s="1"/>
  <c r="AL787" i="1"/>
  <c r="AK787" i="1"/>
  <c r="AJ787" i="1"/>
  <c r="AH787" i="1"/>
  <c r="AG787" i="1"/>
  <c r="AF787" i="1"/>
  <c r="AC787" i="1"/>
  <c r="AB787" i="1"/>
  <c r="Z787" i="1"/>
  <c r="J787" i="1"/>
  <c r="BJ786" i="1"/>
  <c r="Z786" i="1" s="1"/>
  <c r="BI786" i="1"/>
  <c r="BF786" i="1"/>
  <c r="BD786" i="1"/>
  <c r="AW786" i="1"/>
  <c r="AP786" i="1"/>
  <c r="AX786" i="1" s="1"/>
  <c r="AO786" i="1"/>
  <c r="BH786" i="1" s="1"/>
  <c r="AL786" i="1"/>
  <c r="AK786" i="1"/>
  <c r="AJ786" i="1"/>
  <c r="AH786" i="1"/>
  <c r="AG786" i="1"/>
  <c r="AF786" i="1"/>
  <c r="AE786" i="1"/>
  <c r="AD786" i="1"/>
  <c r="AC786" i="1"/>
  <c r="AB786" i="1"/>
  <c r="J786" i="1"/>
  <c r="I786" i="1"/>
  <c r="H786" i="1"/>
  <c r="BJ782" i="1"/>
  <c r="BF782" i="1"/>
  <c r="BD782" i="1"/>
  <c r="AX782" i="1"/>
  <c r="AW782" i="1"/>
  <c r="AV782" i="1" s="1"/>
  <c r="AP782" i="1"/>
  <c r="BI782" i="1" s="1"/>
  <c r="AE782" i="1" s="1"/>
  <c r="AO782" i="1"/>
  <c r="BH782" i="1" s="1"/>
  <c r="AK782" i="1"/>
  <c r="AJ782" i="1"/>
  <c r="AH782" i="1"/>
  <c r="AG782" i="1"/>
  <c r="AF782" i="1"/>
  <c r="AD782" i="1"/>
  <c r="AC782" i="1"/>
  <c r="AB782" i="1"/>
  <c r="Z782" i="1"/>
  <c r="J782" i="1"/>
  <c r="AL782" i="1" s="1"/>
  <c r="I782" i="1"/>
  <c r="H782" i="1"/>
  <c r="BJ780" i="1"/>
  <c r="BI780" i="1"/>
  <c r="AE780" i="1" s="1"/>
  <c r="BF780" i="1"/>
  <c r="BD780" i="1"/>
  <c r="AX780" i="1"/>
  <c r="AP780" i="1"/>
  <c r="AO780" i="1"/>
  <c r="AK780" i="1"/>
  <c r="AJ780" i="1"/>
  <c r="AH780" i="1"/>
  <c r="AG780" i="1"/>
  <c r="AF780" i="1"/>
  <c r="AC780" i="1"/>
  <c r="AB780" i="1"/>
  <c r="Z780" i="1"/>
  <c r="J780" i="1"/>
  <c r="AL780" i="1" s="1"/>
  <c r="I780" i="1"/>
  <c r="BJ778" i="1"/>
  <c r="BF778" i="1"/>
  <c r="BD778" i="1"/>
  <c r="AW778" i="1"/>
  <c r="AP778" i="1"/>
  <c r="AO778" i="1"/>
  <c r="BH778" i="1" s="1"/>
  <c r="AD778" i="1" s="1"/>
  <c r="AK778" i="1"/>
  <c r="AJ778" i="1"/>
  <c r="AH778" i="1"/>
  <c r="AG778" i="1"/>
  <c r="AF778" i="1"/>
  <c r="AC778" i="1"/>
  <c r="AB778" i="1"/>
  <c r="Z778" i="1"/>
  <c r="J778" i="1"/>
  <c r="H778" i="1"/>
  <c r="BJ776" i="1"/>
  <c r="BF776" i="1"/>
  <c r="BD776" i="1"/>
  <c r="BC776" i="1"/>
  <c r="AX776" i="1"/>
  <c r="AW776" i="1"/>
  <c r="AV776" i="1"/>
  <c r="AP776" i="1"/>
  <c r="BI776" i="1" s="1"/>
  <c r="AE776" i="1" s="1"/>
  <c r="AO776" i="1"/>
  <c r="BH776" i="1" s="1"/>
  <c r="AD776" i="1" s="1"/>
  <c r="AL776" i="1"/>
  <c r="AK776" i="1"/>
  <c r="AJ776" i="1"/>
  <c r="AH776" i="1"/>
  <c r="AG776" i="1"/>
  <c r="AF776" i="1"/>
  <c r="AC776" i="1"/>
  <c r="AB776" i="1"/>
  <c r="Z776" i="1"/>
  <c r="J776" i="1"/>
  <c r="I776" i="1"/>
  <c r="H776" i="1"/>
  <c r="BJ774" i="1"/>
  <c r="BH774" i="1"/>
  <c r="AD774" i="1" s="1"/>
  <c r="BF774" i="1"/>
  <c r="BD774" i="1"/>
  <c r="AX774" i="1"/>
  <c r="AW774" i="1"/>
  <c r="AP774" i="1"/>
  <c r="BI774" i="1" s="1"/>
  <c r="AE774" i="1" s="1"/>
  <c r="AO774" i="1"/>
  <c r="H774" i="1" s="1"/>
  <c r="AK774" i="1"/>
  <c r="AJ774" i="1"/>
  <c r="AH774" i="1"/>
  <c r="AG774" i="1"/>
  <c r="AF774" i="1"/>
  <c r="AC774" i="1"/>
  <c r="AB774" i="1"/>
  <c r="Z774" i="1"/>
  <c r="J774" i="1"/>
  <c r="AL774" i="1" s="1"/>
  <c r="I774" i="1"/>
  <c r="BJ772" i="1"/>
  <c r="Z772" i="1" s="1"/>
  <c r="BF772" i="1"/>
  <c r="BD772" i="1"/>
  <c r="AX772" i="1"/>
  <c r="AW772" i="1"/>
  <c r="AP772" i="1"/>
  <c r="BI772" i="1" s="1"/>
  <c r="AO772" i="1"/>
  <c r="BH772" i="1" s="1"/>
  <c r="AL772" i="1"/>
  <c r="AK772" i="1"/>
  <c r="AJ772" i="1"/>
  <c r="AH772" i="1"/>
  <c r="AG772" i="1"/>
  <c r="AF772" i="1"/>
  <c r="AE772" i="1"/>
  <c r="AD772" i="1"/>
  <c r="AC772" i="1"/>
  <c r="AB772" i="1"/>
  <c r="J772" i="1"/>
  <c r="I772" i="1"/>
  <c r="H772" i="1"/>
  <c r="BJ771" i="1"/>
  <c r="BF771" i="1"/>
  <c r="BD771" i="1"/>
  <c r="AX771" i="1"/>
  <c r="AP771" i="1"/>
  <c r="BI771" i="1" s="1"/>
  <c r="AE771" i="1" s="1"/>
  <c r="AO771" i="1"/>
  <c r="AK771" i="1"/>
  <c r="AJ771" i="1"/>
  <c r="AH771" i="1"/>
  <c r="AG771" i="1"/>
  <c r="AF771" i="1"/>
  <c r="AC771" i="1"/>
  <c r="AB771" i="1"/>
  <c r="Z771" i="1"/>
  <c r="J771" i="1"/>
  <c r="AL771" i="1" s="1"/>
  <c r="I771" i="1"/>
  <c r="BJ770" i="1"/>
  <c r="BH770" i="1"/>
  <c r="AD770" i="1" s="1"/>
  <c r="BF770" i="1"/>
  <c r="BD770" i="1"/>
  <c r="AX770" i="1"/>
  <c r="AP770" i="1"/>
  <c r="I770" i="1" s="1"/>
  <c r="AO770" i="1"/>
  <c r="AK770" i="1"/>
  <c r="AJ770" i="1"/>
  <c r="AS764" i="1" s="1"/>
  <c r="AH770" i="1"/>
  <c r="AG770" i="1"/>
  <c r="AF770" i="1"/>
  <c r="AC770" i="1"/>
  <c r="AB770" i="1"/>
  <c r="Z770" i="1"/>
  <c r="J770" i="1"/>
  <c r="AL770" i="1" s="1"/>
  <c r="BJ769" i="1"/>
  <c r="BI769" i="1"/>
  <c r="AE769" i="1" s="1"/>
  <c r="BH769" i="1"/>
  <c r="AD769" i="1" s="1"/>
  <c r="BF769" i="1"/>
  <c r="BD769" i="1"/>
  <c r="AP769" i="1"/>
  <c r="AO769" i="1"/>
  <c r="AW769" i="1" s="1"/>
  <c r="AL769" i="1"/>
  <c r="AK769" i="1"/>
  <c r="AJ769" i="1"/>
  <c r="AH769" i="1"/>
  <c r="AG769" i="1"/>
  <c r="AF769" i="1"/>
  <c r="AC769" i="1"/>
  <c r="AB769" i="1"/>
  <c r="Z769" i="1"/>
  <c r="J769" i="1"/>
  <c r="H769" i="1"/>
  <c r="BJ768" i="1"/>
  <c r="BI768" i="1"/>
  <c r="AE768" i="1" s="1"/>
  <c r="BF768" i="1"/>
  <c r="BD768" i="1"/>
  <c r="AW768" i="1"/>
  <c r="BC768" i="1" s="1"/>
  <c r="AP768" i="1"/>
  <c r="AX768" i="1" s="1"/>
  <c r="AO768" i="1"/>
  <c r="BH768" i="1" s="1"/>
  <c r="AD768" i="1" s="1"/>
  <c r="AL768" i="1"/>
  <c r="AK768" i="1"/>
  <c r="AJ768" i="1"/>
  <c r="AH768" i="1"/>
  <c r="AG768" i="1"/>
  <c r="AF768" i="1"/>
  <c r="AC768" i="1"/>
  <c r="AB768" i="1"/>
  <c r="Z768" i="1"/>
  <c r="J768" i="1"/>
  <c r="I768" i="1"/>
  <c r="H768" i="1"/>
  <c r="BJ765" i="1"/>
  <c r="BH765" i="1"/>
  <c r="BF765" i="1"/>
  <c r="BD765" i="1"/>
  <c r="AX765" i="1"/>
  <c r="AW765" i="1"/>
  <c r="AV765" i="1"/>
  <c r="AP765" i="1"/>
  <c r="BI765" i="1" s="1"/>
  <c r="AE765" i="1" s="1"/>
  <c r="AO765" i="1"/>
  <c r="AK765" i="1"/>
  <c r="AJ765" i="1"/>
  <c r="AH765" i="1"/>
  <c r="AG765" i="1"/>
  <c r="AF765" i="1"/>
  <c r="AD765" i="1"/>
  <c r="AC765" i="1"/>
  <c r="AB765" i="1"/>
  <c r="Z765" i="1"/>
  <c r="J765" i="1"/>
  <c r="I765" i="1"/>
  <c r="H765" i="1"/>
  <c r="AT764" i="1"/>
  <c r="BJ762" i="1"/>
  <c r="BI762" i="1"/>
  <c r="AE762" i="1" s="1"/>
  <c r="BF762" i="1"/>
  <c r="BD762" i="1"/>
  <c r="AW762" i="1"/>
  <c r="AV762" i="1"/>
  <c r="AP762" i="1"/>
  <c r="AX762" i="1" s="1"/>
  <c r="AO762" i="1"/>
  <c r="BH762" i="1" s="1"/>
  <c r="AD762" i="1" s="1"/>
  <c r="AL762" i="1"/>
  <c r="AK762" i="1"/>
  <c r="AT761" i="1" s="1"/>
  <c r="AJ762" i="1"/>
  <c r="AH762" i="1"/>
  <c r="AG762" i="1"/>
  <c r="AF762" i="1"/>
  <c r="AC762" i="1"/>
  <c r="AB762" i="1"/>
  <c r="Z762" i="1"/>
  <c r="J762" i="1"/>
  <c r="I762" i="1"/>
  <c r="I761" i="1" s="1"/>
  <c r="H762" i="1"/>
  <c r="H761" i="1" s="1"/>
  <c r="AU761" i="1"/>
  <c r="AS761" i="1"/>
  <c r="J761" i="1"/>
  <c r="BJ760" i="1"/>
  <c r="BI760" i="1"/>
  <c r="BH760" i="1"/>
  <c r="BF760" i="1"/>
  <c r="BD760" i="1"/>
  <c r="AP760" i="1"/>
  <c r="AO760" i="1"/>
  <c r="AW760" i="1" s="1"/>
  <c r="AL760" i="1"/>
  <c r="AK760" i="1"/>
  <c r="AJ760" i="1"/>
  <c r="AH760" i="1"/>
  <c r="AG760" i="1"/>
  <c r="AF760" i="1"/>
  <c r="AE760" i="1"/>
  <c r="AD760" i="1"/>
  <c r="AC760" i="1"/>
  <c r="AB760" i="1"/>
  <c r="Z760" i="1"/>
  <c r="J760" i="1"/>
  <c r="H760" i="1"/>
  <c r="BJ758" i="1"/>
  <c r="BF758" i="1"/>
  <c r="BD758" i="1"/>
  <c r="AW758" i="1"/>
  <c r="AP758" i="1"/>
  <c r="AX758" i="1" s="1"/>
  <c r="AO758" i="1"/>
  <c r="BH758" i="1" s="1"/>
  <c r="AD758" i="1" s="1"/>
  <c r="AL758" i="1"/>
  <c r="AK758" i="1"/>
  <c r="AJ758" i="1"/>
  <c r="AH758" i="1"/>
  <c r="AG758" i="1"/>
  <c r="AF758" i="1"/>
  <c r="AC758" i="1"/>
  <c r="AB758" i="1"/>
  <c r="Z758" i="1"/>
  <c r="J758" i="1"/>
  <c r="I758" i="1"/>
  <c r="H758" i="1"/>
  <c r="BJ757" i="1"/>
  <c r="BF757" i="1"/>
  <c r="BD757" i="1"/>
  <c r="AX757" i="1"/>
  <c r="AV757" i="1"/>
  <c r="AP757" i="1"/>
  <c r="BI757" i="1" s="1"/>
  <c r="AE757" i="1" s="1"/>
  <c r="AO757" i="1"/>
  <c r="AW757" i="1" s="1"/>
  <c r="BC757" i="1" s="1"/>
  <c r="AK757" i="1"/>
  <c r="AJ757" i="1"/>
  <c r="AH757" i="1"/>
  <c r="AG757" i="1"/>
  <c r="AF757" i="1"/>
  <c r="AC757" i="1"/>
  <c r="AB757" i="1"/>
  <c r="Z757" i="1"/>
  <c r="J757" i="1"/>
  <c r="AL757" i="1" s="1"/>
  <c r="I757" i="1"/>
  <c r="BJ741" i="1"/>
  <c r="BI741" i="1"/>
  <c r="AE741" i="1" s="1"/>
  <c r="BF741" i="1"/>
  <c r="BD741" i="1"/>
  <c r="AP741" i="1"/>
  <c r="AO741" i="1"/>
  <c r="AK741" i="1"/>
  <c r="AJ741" i="1"/>
  <c r="AH741" i="1"/>
  <c r="AG741" i="1"/>
  <c r="AF741" i="1"/>
  <c r="AC741" i="1"/>
  <c r="AB741" i="1"/>
  <c r="Z741" i="1"/>
  <c r="J741" i="1"/>
  <c r="AL741" i="1" s="1"/>
  <c r="BJ740" i="1"/>
  <c r="BI740" i="1"/>
  <c r="BF740" i="1"/>
  <c r="BD740" i="1"/>
  <c r="BC740" i="1"/>
  <c r="AX740" i="1"/>
  <c r="AW740" i="1"/>
  <c r="AV740" i="1"/>
  <c r="AP740" i="1"/>
  <c r="I740" i="1" s="1"/>
  <c r="AO740" i="1"/>
  <c r="BH740" i="1" s="1"/>
  <c r="AD740" i="1" s="1"/>
  <c r="AK740" i="1"/>
  <c r="AJ740" i="1"/>
  <c r="AH740" i="1"/>
  <c r="AG740" i="1"/>
  <c r="AF740" i="1"/>
  <c r="AE740" i="1"/>
  <c r="AC740" i="1"/>
  <c r="AB740" i="1"/>
  <c r="Z740" i="1"/>
  <c r="J740" i="1"/>
  <c r="AL740" i="1" s="1"/>
  <c r="H740" i="1"/>
  <c r="BJ737" i="1"/>
  <c r="BF737" i="1"/>
  <c r="BD737" i="1"/>
  <c r="AX737" i="1"/>
  <c r="AW737" i="1"/>
  <c r="AP737" i="1"/>
  <c r="BI737" i="1" s="1"/>
  <c r="AE737" i="1" s="1"/>
  <c r="AO737" i="1"/>
  <c r="BH737" i="1" s="1"/>
  <c r="AD737" i="1" s="1"/>
  <c r="AL737" i="1"/>
  <c r="AK737" i="1"/>
  <c r="AJ737" i="1"/>
  <c r="AH737" i="1"/>
  <c r="AG737" i="1"/>
  <c r="AF737" i="1"/>
  <c r="AC737" i="1"/>
  <c r="AB737" i="1"/>
  <c r="Z737" i="1"/>
  <c r="J737" i="1"/>
  <c r="I737" i="1"/>
  <c r="H737" i="1"/>
  <c r="BJ732" i="1"/>
  <c r="BH732" i="1"/>
  <c r="AD732" i="1" s="1"/>
  <c r="BF732" i="1"/>
  <c r="BD732" i="1"/>
  <c r="AX732" i="1"/>
  <c r="AW732" i="1"/>
  <c r="AP732" i="1"/>
  <c r="BI732" i="1" s="1"/>
  <c r="AE732" i="1" s="1"/>
  <c r="AO732" i="1"/>
  <c r="H732" i="1" s="1"/>
  <c r="AL732" i="1"/>
  <c r="AK732" i="1"/>
  <c r="AJ732" i="1"/>
  <c r="AH732" i="1"/>
  <c r="AG732" i="1"/>
  <c r="AF732" i="1"/>
  <c r="AC732" i="1"/>
  <c r="AB732" i="1"/>
  <c r="Z732" i="1"/>
  <c r="J732" i="1"/>
  <c r="I732" i="1"/>
  <c r="BJ729" i="1"/>
  <c r="BI729" i="1"/>
  <c r="AE729" i="1" s="1"/>
  <c r="BF729" i="1"/>
  <c r="BD729" i="1"/>
  <c r="AX729" i="1"/>
  <c r="AP729" i="1"/>
  <c r="I729" i="1" s="1"/>
  <c r="AO729" i="1"/>
  <c r="AK729" i="1"/>
  <c r="AJ729" i="1"/>
  <c r="AH729" i="1"/>
  <c r="AG729" i="1"/>
  <c r="AF729" i="1"/>
  <c r="AC729" i="1"/>
  <c r="AB729" i="1"/>
  <c r="Z729" i="1"/>
  <c r="J729" i="1"/>
  <c r="BJ725" i="1"/>
  <c r="BF725" i="1"/>
  <c r="BD725" i="1"/>
  <c r="AP725" i="1"/>
  <c r="AO725" i="1"/>
  <c r="AL725" i="1"/>
  <c r="AK725" i="1"/>
  <c r="AJ725" i="1"/>
  <c r="AH725" i="1"/>
  <c r="AG725" i="1"/>
  <c r="AF725" i="1"/>
  <c r="AC725" i="1"/>
  <c r="AB725" i="1"/>
  <c r="Z725" i="1"/>
  <c r="J725" i="1"/>
  <c r="BJ723" i="1"/>
  <c r="BI723" i="1"/>
  <c r="AE723" i="1" s="1"/>
  <c r="BF723" i="1"/>
  <c r="BD723" i="1"/>
  <c r="AW723" i="1"/>
  <c r="AV723" i="1"/>
  <c r="AP723" i="1"/>
  <c r="AX723" i="1" s="1"/>
  <c r="AO723" i="1"/>
  <c r="BH723" i="1" s="1"/>
  <c r="AD723" i="1" s="1"/>
  <c r="AL723" i="1"/>
  <c r="AK723" i="1"/>
  <c r="AJ723" i="1"/>
  <c r="AH723" i="1"/>
  <c r="AG723" i="1"/>
  <c r="AF723" i="1"/>
  <c r="AC723" i="1"/>
  <c r="AB723" i="1"/>
  <c r="Z723" i="1"/>
  <c r="J723" i="1"/>
  <c r="I723" i="1"/>
  <c r="H723" i="1"/>
  <c r="BJ720" i="1"/>
  <c r="BF720" i="1"/>
  <c r="BD720" i="1"/>
  <c r="AX720" i="1"/>
  <c r="AP720" i="1"/>
  <c r="BI720" i="1" s="1"/>
  <c r="AE720" i="1" s="1"/>
  <c r="AO720" i="1"/>
  <c r="AL720" i="1"/>
  <c r="AK720" i="1"/>
  <c r="AJ720" i="1"/>
  <c r="AH720" i="1"/>
  <c r="AG720" i="1"/>
  <c r="AF720" i="1"/>
  <c r="AC720" i="1"/>
  <c r="AB720" i="1"/>
  <c r="Z720" i="1"/>
  <c r="J720" i="1"/>
  <c r="I720" i="1"/>
  <c r="BJ717" i="1"/>
  <c r="BH717" i="1"/>
  <c r="AD717" i="1" s="1"/>
  <c r="BF717" i="1"/>
  <c r="BD717" i="1"/>
  <c r="AX717" i="1"/>
  <c r="AW717" i="1"/>
  <c r="AP717" i="1"/>
  <c r="I717" i="1" s="1"/>
  <c r="AO717" i="1"/>
  <c r="H717" i="1" s="1"/>
  <c r="AK717" i="1"/>
  <c r="AJ717" i="1"/>
  <c r="AH717" i="1"/>
  <c r="AG717" i="1"/>
  <c r="AF717" i="1"/>
  <c r="AC717" i="1"/>
  <c r="AB717" i="1"/>
  <c r="Z717" i="1"/>
  <c r="J717" i="1"/>
  <c r="AL717" i="1" s="1"/>
  <c r="BJ715" i="1"/>
  <c r="BI715" i="1"/>
  <c r="AE715" i="1" s="1"/>
  <c r="BF715" i="1"/>
  <c r="BD715" i="1"/>
  <c r="AW715" i="1"/>
  <c r="AP715" i="1"/>
  <c r="AO715" i="1"/>
  <c r="BH715" i="1" s="1"/>
  <c r="AD715" i="1" s="1"/>
  <c r="AK715" i="1"/>
  <c r="AJ715" i="1"/>
  <c r="AH715" i="1"/>
  <c r="AG715" i="1"/>
  <c r="AF715" i="1"/>
  <c r="AC715" i="1"/>
  <c r="AB715" i="1"/>
  <c r="Z715" i="1"/>
  <c r="J715" i="1"/>
  <c r="AL715" i="1" s="1"/>
  <c r="H715" i="1"/>
  <c r="BJ713" i="1"/>
  <c r="BF713" i="1"/>
  <c r="BD713" i="1"/>
  <c r="BC713" i="1"/>
  <c r="AX713" i="1"/>
  <c r="AW713" i="1"/>
  <c r="AV713" i="1" s="1"/>
  <c r="AP713" i="1"/>
  <c r="BI713" i="1" s="1"/>
  <c r="AE713" i="1" s="1"/>
  <c r="AO713" i="1"/>
  <c r="BH713" i="1" s="1"/>
  <c r="AD713" i="1" s="1"/>
  <c r="AL713" i="1"/>
  <c r="AK713" i="1"/>
  <c r="AJ713" i="1"/>
  <c r="AS712" i="1" s="1"/>
  <c r="AH713" i="1"/>
  <c r="AG713" i="1"/>
  <c r="AF713" i="1"/>
  <c r="AC713" i="1"/>
  <c r="AB713" i="1"/>
  <c r="Z713" i="1"/>
  <c r="J713" i="1"/>
  <c r="I713" i="1"/>
  <c r="H713" i="1"/>
  <c r="BJ710" i="1"/>
  <c r="BF710" i="1"/>
  <c r="BD710" i="1"/>
  <c r="BC710" i="1"/>
  <c r="AX710" i="1"/>
  <c r="AW710" i="1"/>
  <c r="AV710" i="1"/>
  <c r="AP710" i="1"/>
  <c r="BI710" i="1" s="1"/>
  <c r="AE710" i="1" s="1"/>
  <c r="AO710" i="1"/>
  <c r="BH710" i="1" s="1"/>
  <c r="AD710" i="1" s="1"/>
  <c r="AK710" i="1"/>
  <c r="AJ710" i="1"/>
  <c r="AH710" i="1"/>
  <c r="AG710" i="1"/>
  <c r="AF710" i="1"/>
  <c r="AC710" i="1"/>
  <c r="AB710" i="1"/>
  <c r="Z710" i="1"/>
  <c r="J710" i="1"/>
  <c r="AL710" i="1" s="1"/>
  <c r="I710" i="1"/>
  <c r="H710" i="1"/>
  <c r="BJ706" i="1"/>
  <c r="BF706" i="1"/>
  <c r="BD706" i="1"/>
  <c r="BC706" i="1"/>
  <c r="AX706" i="1"/>
  <c r="AW706" i="1"/>
  <c r="AP706" i="1"/>
  <c r="I706" i="1" s="1"/>
  <c r="AO706" i="1"/>
  <c r="H706" i="1" s="1"/>
  <c r="AK706" i="1"/>
  <c r="AJ706" i="1"/>
  <c r="AH706" i="1"/>
  <c r="AG706" i="1"/>
  <c r="AF706" i="1"/>
  <c r="AC706" i="1"/>
  <c r="AB706" i="1"/>
  <c r="Z706" i="1"/>
  <c r="J706" i="1"/>
  <c r="BJ703" i="1"/>
  <c r="BF703" i="1"/>
  <c r="BD703" i="1"/>
  <c r="BC703" i="1"/>
  <c r="AX703" i="1"/>
  <c r="AW703" i="1"/>
  <c r="AV703" i="1"/>
  <c r="AP703" i="1"/>
  <c r="I703" i="1" s="1"/>
  <c r="I702" i="1" s="1"/>
  <c r="AO703" i="1"/>
  <c r="BH703" i="1" s="1"/>
  <c r="AD703" i="1" s="1"/>
  <c r="AK703" i="1"/>
  <c r="AT702" i="1" s="1"/>
  <c r="AJ703" i="1"/>
  <c r="AS702" i="1" s="1"/>
  <c r="AH703" i="1"/>
  <c r="AG703" i="1"/>
  <c r="AF703" i="1"/>
  <c r="AC703" i="1"/>
  <c r="AB703" i="1"/>
  <c r="Z703" i="1"/>
  <c r="J703" i="1"/>
  <c r="AL703" i="1" s="1"/>
  <c r="H703" i="1"/>
  <c r="H702" i="1" s="1"/>
  <c r="BJ698" i="1"/>
  <c r="BF698" i="1"/>
  <c r="BD698" i="1"/>
  <c r="BC698" i="1"/>
  <c r="AX698" i="1"/>
  <c r="AW698" i="1"/>
  <c r="AP698" i="1"/>
  <c r="I698" i="1" s="1"/>
  <c r="AO698" i="1"/>
  <c r="H698" i="1" s="1"/>
  <c r="AK698" i="1"/>
  <c r="AJ698" i="1"/>
  <c r="AH698" i="1"/>
  <c r="AG698" i="1"/>
  <c r="AF698" i="1"/>
  <c r="AC698" i="1"/>
  <c r="AB698" i="1"/>
  <c r="Z698" i="1"/>
  <c r="J698" i="1"/>
  <c r="AL698" i="1" s="1"/>
  <c r="BJ695" i="1"/>
  <c r="BF695" i="1"/>
  <c r="BD695" i="1"/>
  <c r="BC695" i="1"/>
  <c r="AX695" i="1"/>
  <c r="AW695" i="1"/>
  <c r="AV695" i="1"/>
  <c r="AP695" i="1"/>
  <c r="I695" i="1" s="1"/>
  <c r="AO695" i="1"/>
  <c r="BH695" i="1" s="1"/>
  <c r="AD695" i="1" s="1"/>
  <c r="AK695" i="1"/>
  <c r="AJ695" i="1"/>
  <c r="AH695" i="1"/>
  <c r="AG695" i="1"/>
  <c r="AF695" i="1"/>
  <c r="AC695" i="1"/>
  <c r="AB695" i="1"/>
  <c r="Z695" i="1"/>
  <c r="J695" i="1"/>
  <c r="AL695" i="1" s="1"/>
  <c r="H695" i="1"/>
  <c r="BJ692" i="1"/>
  <c r="BF692" i="1"/>
  <c r="BD692" i="1"/>
  <c r="AX692" i="1"/>
  <c r="AW692" i="1"/>
  <c r="AP692" i="1"/>
  <c r="BI692" i="1" s="1"/>
  <c r="AE692" i="1" s="1"/>
  <c r="AO692" i="1"/>
  <c r="BH692" i="1" s="1"/>
  <c r="AD692" i="1" s="1"/>
  <c r="AL692" i="1"/>
  <c r="AK692" i="1"/>
  <c r="AT684" i="1" s="1"/>
  <c r="AJ692" i="1"/>
  <c r="AH692" i="1"/>
  <c r="AG692" i="1"/>
  <c r="AF692" i="1"/>
  <c r="AC692" i="1"/>
  <c r="AB692" i="1"/>
  <c r="Z692" i="1"/>
  <c r="J692" i="1"/>
  <c r="I692" i="1"/>
  <c r="H692" i="1"/>
  <c r="BJ688" i="1"/>
  <c r="BH688" i="1"/>
  <c r="AD688" i="1" s="1"/>
  <c r="BF688" i="1"/>
  <c r="BD688" i="1"/>
  <c r="AX688" i="1"/>
  <c r="AP688" i="1"/>
  <c r="BI688" i="1" s="1"/>
  <c r="AE688" i="1" s="1"/>
  <c r="AO688" i="1"/>
  <c r="AK688" i="1"/>
  <c r="AJ688" i="1"/>
  <c r="AH688" i="1"/>
  <c r="AG688" i="1"/>
  <c r="AF688" i="1"/>
  <c r="AC688" i="1"/>
  <c r="AB688" i="1"/>
  <c r="Z688" i="1"/>
  <c r="J688" i="1"/>
  <c r="AL688" i="1" s="1"/>
  <c r="I688" i="1"/>
  <c r="BJ685" i="1"/>
  <c r="BI685" i="1"/>
  <c r="AE685" i="1" s="1"/>
  <c r="BH685" i="1"/>
  <c r="AD685" i="1" s="1"/>
  <c r="BF685" i="1"/>
  <c r="BD685" i="1"/>
  <c r="AP685" i="1"/>
  <c r="AO685" i="1"/>
  <c r="AL685" i="1"/>
  <c r="AK685" i="1"/>
  <c r="AJ685" i="1"/>
  <c r="AH685" i="1"/>
  <c r="AG685" i="1"/>
  <c r="AF685" i="1"/>
  <c r="AC685" i="1"/>
  <c r="AB685" i="1"/>
  <c r="Z685" i="1"/>
  <c r="J685" i="1"/>
  <c r="BJ681" i="1"/>
  <c r="BH681" i="1"/>
  <c r="AD681" i="1" s="1"/>
  <c r="BF681" i="1"/>
  <c r="BD681" i="1"/>
  <c r="AX681" i="1"/>
  <c r="AP681" i="1"/>
  <c r="BI681" i="1" s="1"/>
  <c r="AE681" i="1" s="1"/>
  <c r="AO681" i="1"/>
  <c r="AK681" i="1"/>
  <c r="AJ681" i="1"/>
  <c r="AH681" i="1"/>
  <c r="AG681" i="1"/>
  <c r="AF681" i="1"/>
  <c r="AC681" i="1"/>
  <c r="AB681" i="1"/>
  <c r="Z681" i="1"/>
  <c r="J681" i="1"/>
  <c r="I681" i="1"/>
  <c r="I680" i="1" s="1"/>
  <c r="AT680" i="1"/>
  <c r="AS680" i="1"/>
  <c r="BJ677" i="1"/>
  <c r="BF677" i="1"/>
  <c r="BD677" i="1"/>
  <c r="AX677" i="1"/>
  <c r="AW677" i="1"/>
  <c r="AP677" i="1"/>
  <c r="BI677" i="1" s="1"/>
  <c r="AC677" i="1" s="1"/>
  <c r="AO677" i="1"/>
  <c r="BH677" i="1" s="1"/>
  <c r="AB677" i="1" s="1"/>
  <c r="AL677" i="1"/>
  <c r="AK677" i="1"/>
  <c r="AJ677" i="1"/>
  <c r="AH677" i="1"/>
  <c r="AG677" i="1"/>
  <c r="AF677" i="1"/>
  <c r="AE677" i="1"/>
  <c r="AD677" i="1"/>
  <c r="Z677" i="1"/>
  <c r="J677" i="1"/>
  <c r="I677" i="1"/>
  <c r="H677" i="1"/>
  <c r="BJ673" i="1"/>
  <c r="BF673" i="1"/>
  <c r="BD673" i="1"/>
  <c r="AX673" i="1"/>
  <c r="AP673" i="1"/>
  <c r="BI673" i="1" s="1"/>
  <c r="AO673" i="1"/>
  <c r="AL673" i="1"/>
  <c r="AU668" i="1" s="1"/>
  <c r="AK673" i="1"/>
  <c r="AJ673" i="1"/>
  <c r="AH673" i="1"/>
  <c r="AG673" i="1"/>
  <c r="AF673" i="1"/>
  <c r="AE673" i="1"/>
  <c r="AD673" i="1"/>
  <c r="AC673" i="1"/>
  <c r="Z673" i="1"/>
  <c r="J673" i="1"/>
  <c r="I673" i="1"/>
  <c r="BJ669" i="1"/>
  <c r="BI669" i="1"/>
  <c r="AC669" i="1" s="1"/>
  <c r="BF669" i="1"/>
  <c r="BD669" i="1"/>
  <c r="AP669" i="1"/>
  <c r="AO669" i="1"/>
  <c r="BH669" i="1" s="1"/>
  <c r="AB669" i="1" s="1"/>
  <c r="AL669" i="1"/>
  <c r="AK669" i="1"/>
  <c r="AJ669" i="1"/>
  <c r="AS668" i="1" s="1"/>
  <c r="AH669" i="1"/>
  <c r="AG669" i="1"/>
  <c r="AF669" i="1"/>
  <c r="AE669" i="1"/>
  <c r="AD669" i="1"/>
  <c r="Z669" i="1"/>
  <c r="J669" i="1"/>
  <c r="J668" i="1" s="1"/>
  <c r="AT668" i="1"/>
  <c r="BJ665" i="1"/>
  <c r="BF665" i="1"/>
  <c r="BD665" i="1"/>
  <c r="AX665" i="1"/>
  <c r="AP665" i="1"/>
  <c r="BI665" i="1" s="1"/>
  <c r="AO665" i="1"/>
  <c r="AL665" i="1"/>
  <c r="AU657" i="1" s="1"/>
  <c r="AK665" i="1"/>
  <c r="AJ665" i="1"/>
  <c r="AH665" i="1"/>
  <c r="AG665" i="1"/>
  <c r="AF665" i="1"/>
  <c r="AE665" i="1"/>
  <c r="AD665" i="1"/>
  <c r="AC665" i="1"/>
  <c r="Z665" i="1"/>
  <c r="J665" i="1"/>
  <c r="I665" i="1"/>
  <c r="BJ658" i="1"/>
  <c r="BI658" i="1"/>
  <c r="AC658" i="1" s="1"/>
  <c r="BF658" i="1"/>
  <c r="BD658" i="1"/>
  <c r="AP658" i="1"/>
  <c r="AO658" i="1"/>
  <c r="BH658" i="1" s="1"/>
  <c r="AB658" i="1" s="1"/>
  <c r="AL658" i="1"/>
  <c r="AK658" i="1"/>
  <c r="AJ658" i="1"/>
  <c r="AH658" i="1"/>
  <c r="AG658" i="1"/>
  <c r="AF658" i="1"/>
  <c r="AE658" i="1"/>
  <c r="AD658" i="1"/>
  <c r="Z658" i="1"/>
  <c r="J658" i="1"/>
  <c r="J657" i="1" s="1"/>
  <c r="AT657" i="1"/>
  <c r="AS657" i="1"/>
  <c r="BJ656" i="1"/>
  <c r="BF656" i="1"/>
  <c r="BD656" i="1"/>
  <c r="AX656" i="1"/>
  <c r="AP656" i="1"/>
  <c r="BI656" i="1" s="1"/>
  <c r="AC656" i="1" s="1"/>
  <c r="AO656" i="1"/>
  <c r="AL656" i="1"/>
  <c r="AK656" i="1"/>
  <c r="AJ656" i="1"/>
  <c r="AH656" i="1"/>
  <c r="AG656" i="1"/>
  <c r="AF656" i="1"/>
  <c r="AE656" i="1"/>
  <c r="AD656" i="1"/>
  <c r="Z656" i="1"/>
  <c r="J656" i="1"/>
  <c r="I656" i="1"/>
  <c r="BJ654" i="1"/>
  <c r="BI654" i="1"/>
  <c r="AC654" i="1" s="1"/>
  <c r="BF654" i="1"/>
  <c r="BD654" i="1"/>
  <c r="AP654" i="1"/>
  <c r="AO654" i="1"/>
  <c r="AL654" i="1"/>
  <c r="AK654" i="1"/>
  <c r="AJ654" i="1"/>
  <c r="AS636" i="1" s="1"/>
  <c r="AH654" i="1"/>
  <c r="AG654" i="1"/>
  <c r="AF654" i="1"/>
  <c r="AE654" i="1"/>
  <c r="AD654" i="1"/>
  <c r="Z654" i="1"/>
  <c r="J654" i="1"/>
  <c r="BJ653" i="1"/>
  <c r="BF653" i="1"/>
  <c r="BD653" i="1"/>
  <c r="AP653" i="1"/>
  <c r="AO653" i="1"/>
  <c r="AL653" i="1"/>
  <c r="AK653" i="1"/>
  <c r="AT636" i="1" s="1"/>
  <c r="AJ653" i="1"/>
  <c r="AH653" i="1"/>
  <c r="AG653" i="1"/>
  <c r="AF653" i="1"/>
  <c r="AE653" i="1"/>
  <c r="AD653" i="1"/>
  <c r="Z653" i="1"/>
  <c r="J653" i="1"/>
  <c r="BJ645" i="1"/>
  <c r="BF645" i="1"/>
  <c r="BD645" i="1"/>
  <c r="AW645" i="1"/>
  <c r="BC645" i="1" s="1"/>
  <c r="AP645" i="1"/>
  <c r="AX645" i="1" s="1"/>
  <c r="AO645" i="1"/>
  <c r="BH645" i="1" s="1"/>
  <c r="AB645" i="1" s="1"/>
  <c r="AL645" i="1"/>
  <c r="AK645" i="1"/>
  <c r="AJ645" i="1"/>
  <c r="AH645" i="1"/>
  <c r="AG645" i="1"/>
  <c r="AF645" i="1"/>
  <c r="AE645" i="1"/>
  <c r="AD645" i="1"/>
  <c r="Z645" i="1"/>
  <c r="J645" i="1"/>
  <c r="I645" i="1"/>
  <c r="H645" i="1"/>
  <c r="BJ637" i="1"/>
  <c r="BH637" i="1"/>
  <c r="AB637" i="1" s="1"/>
  <c r="BF637" i="1"/>
  <c r="BD637" i="1"/>
  <c r="AX637" i="1"/>
  <c r="AW637" i="1"/>
  <c r="BC637" i="1" s="1"/>
  <c r="AP637" i="1"/>
  <c r="BI637" i="1" s="1"/>
  <c r="AC637" i="1" s="1"/>
  <c r="AO637" i="1"/>
  <c r="AK637" i="1"/>
  <c r="AJ637" i="1"/>
  <c r="AH637" i="1"/>
  <c r="AG637" i="1"/>
  <c r="AF637" i="1"/>
  <c r="AE637" i="1"/>
  <c r="AD637" i="1"/>
  <c r="Z637" i="1"/>
  <c r="J637" i="1"/>
  <c r="I637" i="1"/>
  <c r="H637" i="1"/>
  <c r="BJ635" i="1"/>
  <c r="BI635" i="1"/>
  <c r="BF635" i="1"/>
  <c r="BD635" i="1"/>
  <c r="AW635" i="1"/>
  <c r="AV635" i="1"/>
  <c r="AP635" i="1"/>
  <c r="AX635" i="1" s="1"/>
  <c r="AO635" i="1"/>
  <c r="BH635" i="1" s="1"/>
  <c r="AB635" i="1" s="1"/>
  <c r="AL635" i="1"/>
  <c r="AK635" i="1"/>
  <c r="AJ635" i="1"/>
  <c r="AH635" i="1"/>
  <c r="AG635" i="1"/>
  <c r="AF635" i="1"/>
  <c r="AE635" i="1"/>
  <c r="AD635" i="1"/>
  <c r="AC635" i="1"/>
  <c r="Z635" i="1"/>
  <c r="J635" i="1"/>
  <c r="I635" i="1"/>
  <c r="H635" i="1"/>
  <c r="BJ633" i="1"/>
  <c r="BF633" i="1"/>
  <c r="BD633" i="1"/>
  <c r="AX633" i="1"/>
  <c r="AP633" i="1"/>
  <c r="BI633" i="1" s="1"/>
  <c r="AC633" i="1" s="1"/>
  <c r="AO633" i="1"/>
  <c r="H633" i="1" s="1"/>
  <c r="AK633" i="1"/>
  <c r="AJ633" i="1"/>
  <c r="AH633" i="1"/>
  <c r="AG633" i="1"/>
  <c r="AF633" i="1"/>
  <c r="AE633" i="1"/>
  <c r="AD633" i="1"/>
  <c r="Z633" i="1"/>
  <c r="J633" i="1"/>
  <c r="AL633" i="1" s="1"/>
  <c r="I633" i="1"/>
  <c r="BJ630" i="1"/>
  <c r="BF630" i="1"/>
  <c r="BD630" i="1"/>
  <c r="AW630" i="1"/>
  <c r="AP630" i="1"/>
  <c r="AO630" i="1"/>
  <c r="H630" i="1" s="1"/>
  <c r="AK630" i="1"/>
  <c r="AJ630" i="1"/>
  <c r="AH630" i="1"/>
  <c r="AG630" i="1"/>
  <c r="AF630" i="1"/>
  <c r="AE630" i="1"/>
  <c r="AD630" i="1"/>
  <c r="Z630" i="1"/>
  <c r="J630" i="1"/>
  <c r="AL630" i="1" s="1"/>
  <c r="BJ629" i="1"/>
  <c r="BF629" i="1"/>
  <c r="BD629" i="1"/>
  <c r="BC629" i="1"/>
  <c r="AX629" i="1"/>
  <c r="AV629" i="1" s="1"/>
  <c r="AW629" i="1"/>
  <c r="AP629" i="1"/>
  <c r="I629" i="1" s="1"/>
  <c r="AO629" i="1"/>
  <c r="BH629" i="1" s="1"/>
  <c r="AK629" i="1"/>
  <c r="AJ629" i="1"/>
  <c r="AH629" i="1"/>
  <c r="AG629" i="1"/>
  <c r="AF629" i="1"/>
  <c r="AE629" i="1"/>
  <c r="AD629" i="1"/>
  <c r="AB629" i="1"/>
  <c r="Z629" i="1"/>
  <c r="J629" i="1"/>
  <c r="AL629" i="1" s="1"/>
  <c r="H629" i="1"/>
  <c r="BJ626" i="1"/>
  <c r="BF626" i="1"/>
  <c r="BD626" i="1"/>
  <c r="AX626" i="1"/>
  <c r="AW626" i="1"/>
  <c r="AP626" i="1"/>
  <c r="BI626" i="1" s="1"/>
  <c r="AO626" i="1"/>
  <c r="BH626" i="1" s="1"/>
  <c r="AB626" i="1" s="1"/>
  <c r="AL626" i="1"/>
  <c r="AK626" i="1"/>
  <c r="AT622" i="1" s="1"/>
  <c r="AJ626" i="1"/>
  <c r="AH626" i="1"/>
  <c r="AG626" i="1"/>
  <c r="AF626" i="1"/>
  <c r="AE626" i="1"/>
  <c r="AD626" i="1"/>
  <c r="AC626" i="1"/>
  <c r="Z626" i="1"/>
  <c r="J626" i="1"/>
  <c r="I626" i="1"/>
  <c r="H626" i="1"/>
  <c r="BJ623" i="1"/>
  <c r="BH623" i="1"/>
  <c r="AB623" i="1" s="1"/>
  <c r="BF623" i="1"/>
  <c r="BD623" i="1"/>
  <c r="AX623" i="1"/>
  <c r="AP623" i="1"/>
  <c r="BI623" i="1" s="1"/>
  <c r="AO623" i="1"/>
  <c r="AK623" i="1"/>
  <c r="AJ623" i="1"/>
  <c r="AH623" i="1"/>
  <c r="AG623" i="1"/>
  <c r="AF623" i="1"/>
  <c r="AE623" i="1"/>
  <c r="AD623" i="1"/>
  <c r="AC623" i="1"/>
  <c r="Z623" i="1"/>
  <c r="J623" i="1"/>
  <c r="I623" i="1"/>
  <c r="AS622" i="1"/>
  <c r="BJ621" i="1"/>
  <c r="BF621" i="1"/>
  <c r="BD621" i="1"/>
  <c r="BC621" i="1"/>
  <c r="AX621" i="1"/>
  <c r="AW621" i="1"/>
  <c r="AV621" i="1" s="1"/>
  <c r="AP621" i="1"/>
  <c r="BI621" i="1" s="1"/>
  <c r="AO621" i="1"/>
  <c r="BH621" i="1" s="1"/>
  <c r="AB621" i="1" s="1"/>
  <c r="AL621" i="1"/>
  <c r="AU620" i="1" s="1"/>
  <c r="AK621" i="1"/>
  <c r="AT620" i="1" s="1"/>
  <c r="AJ621" i="1"/>
  <c r="AS620" i="1" s="1"/>
  <c r="AH621" i="1"/>
  <c r="AG621" i="1"/>
  <c r="AF621" i="1"/>
  <c r="AE621" i="1"/>
  <c r="AD621" i="1"/>
  <c r="AC621" i="1"/>
  <c r="Z621" i="1"/>
  <c r="J621" i="1"/>
  <c r="I621" i="1"/>
  <c r="I620" i="1" s="1"/>
  <c r="H621" i="1"/>
  <c r="H620" i="1" s="1"/>
  <c r="J620" i="1"/>
  <c r="BJ617" i="1"/>
  <c r="BF617" i="1"/>
  <c r="BD617" i="1"/>
  <c r="AX617" i="1"/>
  <c r="BC617" i="1" s="1"/>
  <c r="AW617" i="1"/>
  <c r="AV617" i="1"/>
  <c r="AP617" i="1"/>
  <c r="I617" i="1" s="1"/>
  <c r="I616" i="1" s="1"/>
  <c r="AO617" i="1"/>
  <c r="BH617" i="1" s="1"/>
  <c r="AK617" i="1"/>
  <c r="AT616" i="1" s="1"/>
  <c r="AJ617" i="1"/>
  <c r="AS616" i="1" s="1"/>
  <c r="AH617" i="1"/>
  <c r="AG617" i="1"/>
  <c r="AF617" i="1"/>
  <c r="AE617" i="1"/>
  <c r="AD617" i="1"/>
  <c r="AB617" i="1"/>
  <c r="Z617" i="1"/>
  <c r="J617" i="1"/>
  <c r="AL617" i="1" s="1"/>
  <c r="AU616" i="1" s="1"/>
  <c r="H617" i="1"/>
  <c r="H616" i="1"/>
  <c r="BJ614" i="1"/>
  <c r="BI614" i="1"/>
  <c r="AC614" i="1" s="1"/>
  <c r="BF614" i="1"/>
  <c r="BD614" i="1"/>
  <c r="AW614" i="1"/>
  <c r="AP614" i="1"/>
  <c r="AX614" i="1" s="1"/>
  <c r="BC614" i="1" s="1"/>
  <c r="AO614" i="1"/>
  <c r="H614" i="1" s="1"/>
  <c r="H613" i="1" s="1"/>
  <c r="AK614" i="1"/>
  <c r="AJ614" i="1"/>
  <c r="AS613" i="1" s="1"/>
  <c r="AH614" i="1"/>
  <c r="AG614" i="1"/>
  <c r="AF614" i="1"/>
  <c r="AE614" i="1"/>
  <c r="AD614" i="1"/>
  <c r="Z614" i="1"/>
  <c r="J614" i="1"/>
  <c r="AT613" i="1"/>
  <c r="BJ607" i="1"/>
  <c r="BF607" i="1"/>
  <c r="BD607" i="1"/>
  <c r="AX607" i="1"/>
  <c r="AP607" i="1"/>
  <c r="BI607" i="1" s="1"/>
  <c r="AC607" i="1" s="1"/>
  <c r="AO607" i="1"/>
  <c r="H607" i="1" s="1"/>
  <c r="H606" i="1" s="1"/>
  <c r="AK607" i="1"/>
  <c r="AJ607" i="1"/>
  <c r="AH607" i="1"/>
  <c r="AG607" i="1"/>
  <c r="AF607" i="1"/>
  <c r="AE607" i="1"/>
  <c r="AD607" i="1"/>
  <c r="Z607" i="1"/>
  <c r="J607" i="1"/>
  <c r="I607" i="1"/>
  <c r="I606" i="1" s="1"/>
  <c r="AT606" i="1"/>
  <c r="AS606" i="1"/>
  <c r="BJ604" i="1"/>
  <c r="BF604" i="1"/>
  <c r="BD604" i="1"/>
  <c r="BC604" i="1"/>
  <c r="AX604" i="1"/>
  <c r="AV604" i="1" s="1"/>
  <c r="AW604" i="1"/>
  <c r="AP604" i="1"/>
  <c r="I604" i="1" s="1"/>
  <c r="I603" i="1" s="1"/>
  <c r="AO604" i="1"/>
  <c r="BH604" i="1" s="1"/>
  <c r="AK604" i="1"/>
  <c r="AT603" i="1" s="1"/>
  <c r="AJ604" i="1"/>
  <c r="AS603" i="1" s="1"/>
  <c r="AH604" i="1"/>
  <c r="AF604" i="1"/>
  <c r="AE604" i="1"/>
  <c r="AD604" i="1"/>
  <c r="AC604" i="1"/>
  <c r="AB604" i="1"/>
  <c r="Z604" i="1"/>
  <c r="J604" i="1"/>
  <c r="H604" i="1"/>
  <c r="H603" i="1" s="1"/>
  <c r="BJ602" i="1"/>
  <c r="BI602" i="1"/>
  <c r="BF602" i="1"/>
  <c r="BD602" i="1"/>
  <c r="BC602" i="1"/>
  <c r="AX602" i="1"/>
  <c r="AW602" i="1"/>
  <c r="AV602" i="1" s="1"/>
  <c r="AP602" i="1"/>
  <c r="AO602" i="1"/>
  <c r="H602" i="1" s="1"/>
  <c r="H601" i="1" s="1"/>
  <c r="AK602" i="1"/>
  <c r="AJ602" i="1"/>
  <c r="AS601" i="1" s="1"/>
  <c r="AH602" i="1"/>
  <c r="AG602" i="1"/>
  <c r="AF602" i="1"/>
  <c r="AE602" i="1"/>
  <c r="AD602" i="1"/>
  <c r="AC602" i="1"/>
  <c r="AB602" i="1"/>
  <c r="Z602" i="1"/>
  <c r="J602" i="1"/>
  <c r="I602" i="1"/>
  <c r="I601" i="1" s="1"/>
  <c r="AT601" i="1"/>
  <c r="BJ597" i="1"/>
  <c r="BH597" i="1"/>
  <c r="AB597" i="1" s="1"/>
  <c r="BF597" i="1"/>
  <c r="BD597" i="1"/>
  <c r="AX597" i="1"/>
  <c r="AW597" i="1"/>
  <c r="BC597" i="1" s="1"/>
  <c r="AP597" i="1"/>
  <c r="BI597" i="1" s="1"/>
  <c r="AC597" i="1" s="1"/>
  <c r="AO597" i="1"/>
  <c r="AK597" i="1"/>
  <c r="AJ597" i="1"/>
  <c r="AH597" i="1"/>
  <c r="AG597" i="1"/>
  <c r="AF597" i="1"/>
  <c r="AE597" i="1"/>
  <c r="AD597" i="1"/>
  <c r="Z597" i="1"/>
  <c r="J597" i="1"/>
  <c r="AL597" i="1" s="1"/>
  <c r="I597" i="1"/>
  <c r="H597" i="1"/>
  <c r="BJ595" i="1"/>
  <c r="BF595" i="1"/>
  <c r="BD595" i="1"/>
  <c r="AX595" i="1"/>
  <c r="AW595" i="1"/>
  <c r="AP595" i="1"/>
  <c r="BI595" i="1" s="1"/>
  <c r="AC595" i="1" s="1"/>
  <c r="AO595" i="1"/>
  <c r="H595" i="1" s="1"/>
  <c r="AK595" i="1"/>
  <c r="AJ595" i="1"/>
  <c r="AH595" i="1"/>
  <c r="AG595" i="1"/>
  <c r="AF595" i="1"/>
  <c r="AE595" i="1"/>
  <c r="AD595" i="1"/>
  <c r="Z595" i="1"/>
  <c r="J595" i="1"/>
  <c r="AL595" i="1" s="1"/>
  <c r="BJ592" i="1"/>
  <c r="BF592" i="1"/>
  <c r="BD592" i="1"/>
  <c r="BC592" i="1"/>
  <c r="AX592" i="1"/>
  <c r="AV592" i="1" s="1"/>
  <c r="AW592" i="1"/>
  <c r="AP592" i="1"/>
  <c r="I592" i="1" s="1"/>
  <c r="AO592" i="1"/>
  <c r="BH592" i="1" s="1"/>
  <c r="AK592" i="1"/>
  <c r="AJ592" i="1"/>
  <c r="AS577" i="1" s="1"/>
  <c r="AH592" i="1"/>
  <c r="AG592" i="1"/>
  <c r="AF592" i="1"/>
  <c r="AE592" i="1"/>
  <c r="AD592" i="1"/>
  <c r="AB592" i="1"/>
  <c r="Z592" i="1"/>
  <c r="J592" i="1"/>
  <c r="AL592" i="1" s="1"/>
  <c r="H592" i="1"/>
  <c r="BJ589" i="1"/>
  <c r="BF589" i="1"/>
  <c r="BD589" i="1"/>
  <c r="AX589" i="1"/>
  <c r="AW589" i="1"/>
  <c r="AV589" i="1" s="1"/>
  <c r="AP589" i="1"/>
  <c r="BI589" i="1" s="1"/>
  <c r="AC589" i="1" s="1"/>
  <c r="AO589" i="1"/>
  <c r="BH589" i="1" s="1"/>
  <c r="AB589" i="1" s="1"/>
  <c r="AL589" i="1"/>
  <c r="AK589" i="1"/>
  <c r="AJ589" i="1"/>
  <c r="AH589" i="1"/>
  <c r="AG589" i="1"/>
  <c r="AF589" i="1"/>
  <c r="AE589" i="1"/>
  <c r="AD589" i="1"/>
  <c r="Z589" i="1"/>
  <c r="J589" i="1"/>
  <c r="I589" i="1"/>
  <c r="H589" i="1"/>
  <c r="BJ587" i="1"/>
  <c r="BF587" i="1"/>
  <c r="BD587" i="1"/>
  <c r="AX587" i="1"/>
  <c r="AP587" i="1"/>
  <c r="BI587" i="1" s="1"/>
  <c r="AO587" i="1"/>
  <c r="BH587" i="1" s="1"/>
  <c r="AB587" i="1" s="1"/>
  <c r="AK587" i="1"/>
  <c r="AJ587" i="1"/>
  <c r="AH587" i="1"/>
  <c r="AG587" i="1"/>
  <c r="AF587" i="1"/>
  <c r="AE587" i="1"/>
  <c r="AD587" i="1"/>
  <c r="AC587" i="1"/>
  <c r="Z587" i="1"/>
  <c r="J587" i="1"/>
  <c r="AL587" i="1" s="1"/>
  <c r="I587" i="1"/>
  <c r="BJ585" i="1"/>
  <c r="BH585" i="1"/>
  <c r="AB585" i="1" s="1"/>
  <c r="BF585" i="1"/>
  <c r="BD585" i="1"/>
  <c r="AP585" i="1"/>
  <c r="BI585" i="1" s="1"/>
  <c r="AC585" i="1" s="1"/>
  <c r="AO585" i="1"/>
  <c r="AL585" i="1"/>
  <c r="AK585" i="1"/>
  <c r="AJ585" i="1"/>
  <c r="AH585" i="1"/>
  <c r="AG585" i="1"/>
  <c r="AF585" i="1"/>
  <c r="AE585" i="1"/>
  <c r="AD585" i="1"/>
  <c r="Z585" i="1"/>
  <c r="J585" i="1"/>
  <c r="BJ581" i="1"/>
  <c r="BI581" i="1"/>
  <c r="AC581" i="1" s="1"/>
  <c r="BF581" i="1"/>
  <c r="BD581" i="1"/>
  <c r="AP581" i="1"/>
  <c r="AO581" i="1"/>
  <c r="AL581" i="1"/>
  <c r="AK581" i="1"/>
  <c r="AJ581" i="1"/>
  <c r="AH581" i="1"/>
  <c r="AG581" i="1"/>
  <c r="AF581" i="1"/>
  <c r="AE581" i="1"/>
  <c r="AD581" i="1"/>
  <c r="Z581" i="1"/>
  <c r="J581" i="1"/>
  <c r="BJ578" i="1"/>
  <c r="BF578" i="1"/>
  <c r="BD578" i="1"/>
  <c r="AW578" i="1"/>
  <c r="AP578" i="1"/>
  <c r="AO578" i="1"/>
  <c r="BH578" i="1" s="1"/>
  <c r="AB578" i="1" s="1"/>
  <c r="AL578" i="1"/>
  <c r="AK578" i="1"/>
  <c r="AJ578" i="1"/>
  <c r="AH578" i="1"/>
  <c r="AG578" i="1"/>
  <c r="AF578" i="1"/>
  <c r="AE578" i="1"/>
  <c r="AD578" i="1"/>
  <c r="Z578" i="1"/>
  <c r="J578" i="1"/>
  <c r="H578" i="1"/>
  <c r="AU577" i="1"/>
  <c r="BJ573" i="1"/>
  <c r="BF573" i="1"/>
  <c r="BD573" i="1"/>
  <c r="AP573" i="1"/>
  <c r="AO573" i="1"/>
  <c r="AL573" i="1"/>
  <c r="AK573" i="1"/>
  <c r="AJ573" i="1"/>
  <c r="AH573" i="1"/>
  <c r="AG573" i="1"/>
  <c r="AF573" i="1"/>
  <c r="AE573" i="1"/>
  <c r="AD573" i="1"/>
  <c r="Z573" i="1"/>
  <c r="J573" i="1"/>
  <c r="BJ569" i="1"/>
  <c r="BF569" i="1"/>
  <c r="BD569" i="1"/>
  <c r="AW569" i="1"/>
  <c r="AP569" i="1"/>
  <c r="AX569" i="1" s="1"/>
  <c r="AO569" i="1"/>
  <c r="BH569" i="1" s="1"/>
  <c r="AB569" i="1" s="1"/>
  <c r="AL569" i="1"/>
  <c r="AK569" i="1"/>
  <c r="AJ569" i="1"/>
  <c r="AH569" i="1"/>
  <c r="AG569" i="1"/>
  <c r="AF569" i="1"/>
  <c r="AE569" i="1"/>
  <c r="AD569" i="1"/>
  <c r="Z569" i="1"/>
  <c r="J569" i="1"/>
  <c r="I569" i="1"/>
  <c r="H569" i="1"/>
  <c r="BJ567" i="1"/>
  <c r="BH567" i="1"/>
  <c r="AB567" i="1" s="1"/>
  <c r="BF567" i="1"/>
  <c r="BD567" i="1"/>
  <c r="AX567" i="1"/>
  <c r="AW567" i="1"/>
  <c r="BC567" i="1" s="1"/>
  <c r="AV567" i="1"/>
  <c r="AP567" i="1"/>
  <c r="BI567" i="1" s="1"/>
  <c r="AC567" i="1" s="1"/>
  <c r="AO567" i="1"/>
  <c r="AK567" i="1"/>
  <c r="AJ567" i="1"/>
  <c r="AH567" i="1"/>
  <c r="AG567" i="1"/>
  <c r="AF567" i="1"/>
  <c r="AE567" i="1"/>
  <c r="AD567" i="1"/>
  <c r="Z567" i="1"/>
  <c r="J567" i="1"/>
  <c r="AL567" i="1" s="1"/>
  <c r="I567" i="1"/>
  <c r="H567" i="1"/>
  <c r="BJ564" i="1"/>
  <c r="BI564" i="1"/>
  <c r="AC564" i="1" s="1"/>
  <c r="BF564" i="1"/>
  <c r="BD564" i="1"/>
  <c r="AW564" i="1"/>
  <c r="AP564" i="1"/>
  <c r="AX564" i="1" s="1"/>
  <c r="BC564" i="1" s="1"/>
  <c r="AO564" i="1"/>
  <c r="H564" i="1" s="1"/>
  <c r="AK564" i="1"/>
  <c r="AJ564" i="1"/>
  <c r="AH564" i="1"/>
  <c r="AG564" i="1"/>
  <c r="AF564" i="1"/>
  <c r="AE564" i="1"/>
  <c r="AD564" i="1"/>
  <c r="Z564" i="1"/>
  <c r="J564" i="1"/>
  <c r="AL564" i="1" s="1"/>
  <c r="BJ561" i="1"/>
  <c r="BF561" i="1"/>
  <c r="BD561" i="1"/>
  <c r="AX561" i="1"/>
  <c r="BC561" i="1" s="1"/>
  <c r="AW561" i="1"/>
  <c r="AP561" i="1"/>
  <c r="I561" i="1" s="1"/>
  <c r="AO561" i="1"/>
  <c r="BH561" i="1" s="1"/>
  <c r="AK561" i="1"/>
  <c r="AJ561" i="1"/>
  <c r="AH561" i="1"/>
  <c r="AG561" i="1"/>
  <c r="AF561" i="1"/>
  <c r="AE561" i="1"/>
  <c r="AD561" i="1"/>
  <c r="AB561" i="1"/>
  <c r="Z561" i="1"/>
  <c r="J561" i="1"/>
  <c r="AL561" i="1" s="1"/>
  <c r="H561" i="1"/>
  <c r="BJ559" i="1"/>
  <c r="BF559" i="1"/>
  <c r="BD559" i="1"/>
  <c r="BC559" i="1"/>
  <c r="AX559" i="1"/>
  <c r="AW559" i="1"/>
  <c r="AV559" i="1" s="1"/>
  <c r="AP559" i="1"/>
  <c r="BI559" i="1" s="1"/>
  <c r="AO559" i="1"/>
  <c r="BH559" i="1" s="1"/>
  <c r="AL559" i="1"/>
  <c r="AK559" i="1"/>
  <c r="AJ559" i="1"/>
  <c r="AH559" i="1"/>
  <c r="AG559" i="1"/>
  <c r="AF559" i="1"/>
  <c r="AE559" i="1"/>
  <c r="AD559" i="1"/>
  <c r="AC559" i="1"/>
  <c r="AB559" i="1"/>
  <c r="Z559" i="1"/>
  <c r="J559" i="1"/>
  <c r="I559" i="1"/>
  <c r="H559" i="1"/>
  <c r="BJ555" i="1"/>
  <c r="BF555" i="1"/>
  <c r="BD555" i="1"/>
  <c r="BC555" i="1"/>
  <c r="AX555" i="1"/>
  <c r="AV555" i="1" s="1"/>
  <c r="AW555" i="1"/>
  <c r="AP555" i="1"/>
  <c r="I555" i="1" s="1"/>
  <c r="I554" i="1" s="1"/>
  <c r="AO555" i="1"/>
  <c r="BH555" i="1" s="1"/>
  <c r="AK555" i="1"/>
  <c r="AT554" i="1" s="1"/>
  <c r="AJ555" i="1"/>
  <c r="AS554" i="1" s="1"/>
  <c r="AH555" i="1"/>
  <c r="AG555" i="1"/>
  <c r="AF555" i="1"/>
  <c r="AE555" i="1"/>
  <c r="AD555" i="1"/>
  <c r="AB555" i="1"/>
  <c r="Z555" i="1"/>
  <c r="J555" i="1"/>
  <c r="H555" i="1"/>
  <c r="H554" i="1" s="1"/>
  <c r="BJ551" i="1"/>
  <c r="BI551" i="1"/>
  <c r="AC551" i="1" s="1"/>
  <c r="BF551" i="1"/>
  <c r="BD551" i="1"/>
  <c r="AX551" i="1"/>
  <c r="AP551" i="1"/>
  <c r="AO551" i="1"/>
  <c r="AK551" i="1"/>
  <c r="AJ551" i="1"/>
  <c r="AS550" i="1" s="1"/>
  <c r="AH551" i="1"/>
  <c r="AG551" i="1"/>
  <c r="AF551" i="1"/>
  <c r="AE551" i="1"/>
  <c r="AD551" i="1"/>
  <c r="Z551" i="1"/>
  <c r="J551" i="1"/>
  <c r="I551" i="1"/>
  <c r="I550" i="1" s="1"/>
  <c r="AT550" i="1"/>
  <c r="BJ545" i="1"/>
  <c r="BH545" i="1"/>
  <c r="AB545" i="1" s="1"/>
  <c r="BF545" i="1"/>
  <c r="BD545" i="1"/>
  <c r="AX545" i="1"/>
  <c r="AW545" i="1"/>
  <c r="AP545" i="1"/>
  <c r="BI545" i="1" s="1"/>
  <c r="AO545" i="1"/>
  <c r="AL545" i="1"/>
  <c r="AU544" i="1" s="1"/>
  <c r="AK545" i="1"/>
  <c r="AJ545" i="1"/>
  <c r="AH545" i="1"/>
  <c r="AG545" i="1"/>
  <c r="AF545" i="1"/>
  <c r="AE545" i="1"/>
  <c r="AD545" i="1"/>
  <c r="AC545" i="1"/>
  <c r="Z545" i="1"/>
  <c r="J545" i="1"/>
  <c r="J544" i="1" s="1"/>
  <c r="I545" i="1"/>
  <c r="I544" i="1" s="1"/>
  <c r="H545" i="1"/>
  <c r="H544" i="1" s="1"/>
  <c r="AT544" i="1"/>
  <c r="AS544" i="1"/>
  <c r="BJ540" i="1"/>
  <c r="BF540" i="1"/>
  <c r="BD540" i="1"/>
  <c r="AW540" i="1"/>
  <c r="AP540" i="1"/>
  <c r="AX540" i="1" s="1"/>
  <c r="AO540" i="1"/>
  <c r="BH540" i="1" s="1"/>
  <c r="AL540" i="1"/>
  <c r="AK540" i="1"/>
  <c r="AJ540" i="1"/>
  <c r="AH540" i="1"/>
  <c r="AG540" i="1"/>
  <c r="AF540" i="1"/>
  <c r="AE540" i="1"/>
  <c r="AD540" i="1"/>
  <c r="AB540" i="1"/>
  <c r="Z540" i="1"/>
  <c r="J540" i="1"/>
  <c r="I540" i="1"/>
  <c r="H540" i="1"/>
  <c r="BJ537" i="1"/>
  <c r="BH537" i="1"/>
  <c r="AB537" i="1" s="1"/>
  <c r="BF537" i="1"/>
  <c r="BD537" i="1"/>
  <c r="AX537" i="1"/>
  <c r="AW537" i="1"/>
  <c r="AP537" i="1"/>
  <c r="BI537" i="1" s="1"/>
  <c r="AO537" i="1"/>
  <c r="AK537" i="1"/>
  <c r="AJ537" i="1"/>
  <c r="AH537" i="1"/>
  <c r="AG537" i="1"/>
  <c r="AF537" i="1"/>
  <c r="AE537" i="1"/>
  <c r="AD537" i="1"/>
  <c r="AC537" i="1"/>
  <c r="Z537" i="1"/>
  <c r="J537" i="1"/>
  <c r="I537" i="1"/>
  <c r="I536" i="1" s="1"/>
  <c r="H537" i="1"/>
  <c r="H536" i="1" s="1"/>
  <c r="AT536" i="1"/>
  <c r="AS536" i="1"/>
  <c r="BJ532" i="1"/>
  <c r="BF532" i="1"/>
  <c r="BD532" i="1"/>
  <c r="AW532" i="1"/>
  <c r="AP532" i="1"/>
  <c r="AO532" i="1"/>
  <c r="BH532" i="1" s="1"/>
  <c r="AK532" i="1"/>
  <c r="AJ532" i="1"/>
  <c r="AH532" i="1"/>
  <c r="AF532" i="1"/>
  <c r="AE532" i="1"/>
  <c r="AD532" i="1"/>
  <c r="AC532" i="1"/>
  <c r="AB532" i="1"/>
  <c r="Z532" i="1"/>
  <c r="J532" i="1"/>
  <c r="AL532" i="1" s="1"/>
  <c r="H532" i="1"/>
  <c r="BJ530" i="1"/>
  <c r="BF530" i="1"/>
  <c r="BD530" i="1"/>
  <c r="AX530" i="1"/>
  <c r="AP530" i="1"/>
  <c r="BI530" i="1" s="1"/>
  <c r="AG530" i="1" s="1"/>
  <c r="AO530" i="1"/>
  <c r="AK530" i="1"/>
  <c r="AJ530" i="1"/>
  <c r="AH530" i="1"/>
  <c r="AE530" i="1"/>
  <c r="AD530" i="1"/>
  <c r="AC530" i="1"/>
  <c r="AB530" i="1"/>
  <c r="Z530" i="1"/>
  <c r="J530" i="1"/>
  <c r="I530" i="1"/>
  <c r="BJ528" i="1"/>
  <c r="BI528" i="1"/>
  <c r="AG528" i="1" s="1"/>
  <c r="BF528" i="1"/>
  <c r="BD528" i="1"/>
  <c r="AP528" i="1"/>
  <c r="AX528" i="1" s="1"/>
  <c r="AO528" i="1"/>
  <c r="AL528" i="1"/>
  <c r="AK528" i="1"/>
  <c r="AJ528" i="1"/>
  <c r="AH528" i="1"/>
  <c r="AE528" i="1"/>
  <c r="AD528" i="1"/>
  <c r="AC528" i="1"/>
  <c r="AB528" i="1"/>
  <c r="Z528" i="1"/>
  <c r="J528" i="1"/>
  <c r="I528" i="1"/>
  <c r="AT527" i="1"/>
  <c r="AS527" i="1"/>
  <c r="BJ526" i="1"/>
  <c r="Z526" i="1" s="1"/>
  <c r="BH526" i="1"/>
  <c r="BF526" i="1"/>
  <c r="BD526" i="1"/>
  <c r="AX526" i="1"/>
  <c r="AV526" i="1"/>
  <c r="AP526" i="1"/>
  <c r="I526" i="1" s="1"/>
  <c r="I525" i="1" s="1"/>
  <c r="AO526" i="1"/>
  <c r="AW526" i="1" s="1"/>
  <c r="BC526" i="1" s="1"/>
  <c r="AL526" i="1"/>
  <c r="AU525" i="1" s="1"/>
  <c r="AK526" i="1"/>
  <c r="AT525" i="1" s="1"/>
  <c r="AJ526" i="1"/>
  <c r="AH526" i="1"/>
  <c r="AG526" i="1"/>
  <c r="AF526" i="1"/>
  <c r="AE526" i="1"/>
  <c r="AD526" i="1"/>
  <c r="AC526" i="1"/>
  <c r="AB526" i="1"/>
  <c r="J526" i="1"/>
  <c r="H526" i="1"/>
  <c r="H525" i="1" s="1"/>
  <c r="AS525" i="1"/>
  <c r="J525" i="1"/>
  <c r="BJ523" i="1"/>
  <c r="BF523" i="1"/>
  <c r="BD523" i="1"/>
  <c r="AW523" i="1"/>
  <c r="AP523" i="1"/>
  <c r="AO523" i="1"/>
  <c r="H523" i="1" s="1"/>
  <c r="H522" i="1" s="1"/>
  <c r="AL523" i="1"/>
  <c r="AK523" i="1"/>
  <c r="AT522" i="1" s="1"/>
  <c r="AJ523" i="1"/>
  <c r="AS522" i="1" s="1"/>
  <c r="AH523" i="1"/>
  <c r="AG523" i="1"/>
  <c r="AF523" i="1"/>
  <c r="AE523" i="1"/>
  <c r="AD523" i="1"/>
  <c r="Z523" i="1"/>
  <c r="J523" i="1"/>
  <c r="AU522" i="1"/>
  <c r="J522" i="1"/>
  <c r="BJ520" i="1"/>
  <c r="BF520" i="1"/>
  <c r="BD520" i="1"/>
  <c r="AX520" i="1"/>
  <c r="AP520" i="1"/>
  <c r="BI520" i="1" s="1"/>
  <c r="AC520" i="1" s="1"/>
  <c r="AO520" i="1"/>
  <c r="AK520" i="1"/>
  <c r="AT519" i="1" s="1"/>
  <c r="AJ520" i="1"/>
  <c r="AS519" i="1" s="1"/>
  <c r="AH520" i="1"/>
  <c r="AG520" i="1"/>
  <c r="AF520" i="1"/>
  <c r="AE520" i="1"/>
  <c r="AD520" i="1"/>
  <c r="Z520" i="1"/>
  <c r="J520" i="1"/>
  <c r="AL520" i="1" s="1"/>
  <c r="AU519" i="1" s="1"/>
  <c r="I520" i="1"/>
  <c r="J519" i="1"/>
  <c r="I519" i="1"/>
  <c r="BJ513" i="1"/>
  <c r="BF513" i="1"/>
  <c r="BD513" i="1"/>
  <c r="AX513" i="1"/>
  <c r="AW513" i="1"/>
  <c r="AP513" i="1"/>
  <c r="BI513" i="1" s="1"/>
  <c r="AO513" i="1"/>
  <c r="BH513" i="1" s="1"/>
  <c r="AB513" i="1" s="1"/>
  <c r="AL513" i="1"/>
  <c r="AK513" i="1"/>
  <c r="AJ513" i="1"/>
  <c r="AH513" i="1"/>
  <c r="AG513" i="1"/>
  <c r="AF513" i="1"/>
  <c r="AE513" i="1"/>
  <c r="AD513" i="1"/>
  <c r="AC513" i="1"/>
  <c r="Z513" i="1"/>
  <c r="J513" i="1"/>
  <c r="I513" i="1"/>
  <c r="H513" i="1"/>
  <c r="BJ512" i="1"/>
  <c r="BH512" i="1"/>
  <c r="AB512" i="1" s="1"/>
  <c r="BF512" i="1"/>
  <c r="BD512" i="1"/>
  <c r="AX512" i="1"/>
  <c r="AP512" i="1"/>
  <c r="BI512" i="1" s="1"/>
  <c r="AC512" i="1" s="1"/>
  <c r="AO512" i="1"/>
  <c r="AK512" i="1"/>
  <c r="AJ512" i="1"/>
  <c r="AH512" i="1"/>
  <c r="AG512" i="1"/>
  <c r="AF512" i="1"/>
  <c r="AE512" i="1"/>
  <c r="AD512" i="1"/>
  <c r="Z512" i="1"/>
  <c r="J512" i="1"/>
  <c r="AL512" i="1" s="1"/>
  <c r="I512" i="1"/>
  <c r="BJ511" i="1"/>
  <c r="BF511" i="1"/>
  <c r="BD511" i="1"/>
  <c r="AW511" i="1"/>
  <c r="AP511" i="1"/>
  <c r="AO511" i="1"/>
  <c r="H511" i="1" s="1"/>
  <c r="AL511" i="1"/>
  <c r="AK511" i="1"/>
  <c r="AJ511" i="1"/>
  <c r="AH511" i="1"/>
  <c r="AG511" i="1"/>
  <c r="AF511" i="1"/>
  <c r="AE511" i="1"/>
  <c r="AD511" i="1"/>
  <c r="Z511" i="1"/>
  <c r="J511" i="1"/>
  <c r="BJ508" i="1"/>
  <c r="BH508" i="1"/>
  <c r="AB508" i="1" s="1"/>
  <c r="BF508" i="1"/>
  <c r="BD508" i="1"/>
  <c r="AX508" i="1"/>
  <c r="AP508" i="1"/>
  <c r="I508" i="1" s="1"/>
  <c r="AO508" i="1"/>
  <c r="AW508" i="1" s="1"/>
  <c r="BC508" i="1" s="1"/>
  <c r="AL508" i="1"/>
  <c r="AK508" i="1"/>
  <c r="AJ508" i="1"/>
  <c r="AH508" i="1"/>
  <c r="AG508" i="1"/>
  <c r="AF508" i="1"/>
  <c r="AE508" i="1"/>
  <c r="AD508" i="1"/>
  <c r="Z508" i="1"/>
  <c r="J508" i="1"/>
  <c r="H508" i="1"/>
  <c r="BJ507" i="1"/>
  <c r="BF507" i="1"/>
  <c r="BD507" i="1"/>
  <c r="AP507" i="1"/>
  <c r="AO507" i="1"/>
  <c r="AL507" i="1"/>
  <c r="AK507" i="1"/>
  <c r="AJ507" i="1"/>
  <c r="AH507" i="1"/>
  <c r="AG507" i="1"/>
  <c r="AF507" i="1"/>
  <c r="AE507" i="1"/>
  <c r="AD507" i="1"/>
  <c r="Z507" i="1"/>
  <c r="J507" i="1"/>
  <c r="BJ504" i="1"/>
  <c r="BI504" i="1"/>
  <c r="AC504" i="1" s="1"/>
  <c r="BF504" i="1"/>
  <c r="BD504" i="1"/>
  <c r="AX504" i="1"/>
  <c r="AP504" i="1"/>
  <c r="I504" i="1" s="1"/>
  <c r="AO504" i="1"/>
  <c r="AW504" i="1" s="1"/>
  <c r="AK504" i="1"/>
  <c r="AJ504" i="1"/>
  <c r="AH504" i="1"/>
  <c r="AG504" i="1"/>
  <c r="AF504" i="1"/>
  <c r="AE504" i="1"/>
  <c r="AD504" i="1"/>
  <c r="Z504" i="1"/>
  <c r="J504" i="1"/>
  <c r="AL504" i="1" s="1"/>
  <c r="BJ501" i="1"/>
  <c r="BF501" i="1"/>
  <c r="BD501" i="1"/>
  <c r="AW501" i="1"/>
  <c r="AP501" i="1"/>
  <c r="AO501" i="1"/>
  <c r="BH501" i="1" s="1"/>
  <c r="AB501" i="1" s="1"/>
  <c r="AL501" i="1"/>
  <c r="AK501" i="1"/>
  <c r="AJ501" i="1"/>
  <c r="AH501" i="1"/>
  <c r="AG501" i="1"/>
  <c r="AF501" i="1"/>
  <c r="AE501" i="1"/>
  <c r="AD501" i="1"/>
  <c r="Z501" i="1"/>
  <c r="J501" i="1"/>
  <c r="H501" i="1"/>
  <c r="BJ499" i="1"/>
  <c r="BF499" i="1"/>
  <c r="BD499" i="1"/>
  <c r="AX499" i="1"/>
  <c r="AW499" i="1"/>
  <c r="AV499" i="1" s="1"/>
  <c r="AP499" i="1"/>
  <c r="BI499" i="1" s="1"/>
  <c r="AC499" i="1" s="1"/>
  <c r="AO499" i="1"/>
  <c r="BH499" i="1" s="1"/>
  <c r="AK499" i="1"/>
  <c r="AJ499" i="1"/>
  <c r="AH499" i="1"/>
  <c r="AG499" i="1"/>
  <c r="AF499" i="1"/>
  <c r="AE499" i="1"/>
  <c r="AD499" i="1"/>
  <c r="AB499" i="1"/>
  <c r="Z499" i="1"/>
  <c r="J499" i="1"/>
  <c r="AL499" i="1" s="1"/>
  <c r="I499" i="1"/>
  <c r="H499" i="1"/>
  <c r="BJ497" i="1"/>
  <c r="BF497" i="1"/>
  <c r="BD497" i="1"/>
  <c r="AX497" i="1"/>
  <c r="AW497" i="1"/>
  <c r="AP497" i="1"/>
  <c r="BI497" i="1" s="1"/>
  <c r="AC497" i="1" s="1"/>
  <c r="AO497" i="1"/>
  <c r="BH497" i="1" s="1"/>
  <c r="AB497" i="1" s="1"/>
  <c r="AK497" i="1"/>
  <c r="AJ497" i="1"/>
  <c r="AH497" i="1"/>
  <c r="AG497" i="1"/>
  <c r="AF497" i="1"/>
  <c r="AE497" i="1"/>
  <c r="AD497" i="1"/>
  <c r="Z497" i="1"/>
  <c r="J497" i="1"/>
  <c r="AL497" i="1" s="1"/>
  <c r="I497" i="1"/>
  <c r="H497" i="1"/>
  <c r="BJ493" i="1"/>
  <c r="BF493" i="1"/>
  <c r="BD493" i="1"/>
  <c r="AX493" i="1"/>
  <c r="AP493" i="1"/>
  <c r="BI493" i="1" s="1"/>
  <c r="AC493" i="1" s="1"/>
  <c r="AO493" i="1"/>
  <c r="AK493" i="1"/>
  <c r="AJ493" i="1"/>
  <c r="AH493" i="1"/>
  <c r="AG493" i="1"/>
  <c r="AF493" i="1"/>
  <c r="AE493" i="1"/>
  <c r="AD493" i="1"/>
  <c r="Z493" i="1"/>
  <c r="J493" i="1"/>
  <c r="AL493" i="1" s="1"/>
  <c r="I493" i="1"/>
  <c r="BJ491" i="1"/>
  <c r="BF491" i="1"/>
  <c r="BD491" i="1"/>
  <c r="AW491" i="1"/>
  <c r="AP491" i="1"/>
  <c r="AO491" i="1"/>
  <c r="H491" i="1" s="1"/>
  <c r="AL491" i="1"/>
  <c r="AK491" i="1"/>
  <c r="AJ491" i="1"/>
  <c r="AH491" i="1"/>
  <c r="AG491" i="1"/>
  <c r="AF491" i="1"/>
  <c r="AE491" i="1"/>
  <c r="AD491" i="1"/>
  <c r="Z491" i="1"/>
  <c r="J491" i="1"/>
  <c r="BJ489" i="1"/>
  <c r="BH489" i="1"/>
  <c r="BF489" i="1"/>
  <c r="BD489" i="1"/>
  <c r="AX489" i="1"/>
  <c r="AV489" i="1"/>
  <c r="AP489" i="1"/>
  <c r="I489" i="1" s="1"/>
  <c r="AO489" i="1"/>
  <c r="AW489" i="1" s="1"/>
  <c r="BC489" i="1" s="1"/>
  <c r="AL489" i="1"/>
  <c r="AK489" i="1"/>
  <c r="AT482" i="1" s="1"/>
  <c r="AJ489" i="1"/>
  <c r="AH489" i="1"/>
  <c r="AG489" i="1"/>
  <c r="AF489" i="1"/>
  <c r="AE489" i="1"/>
  <c r="AD489" i="1"/>
  <c r="AB489" i="1"/>
  <c r="Z489" i="1"/>
  <c r="J489" i="1"/>
  <c r="H489" i="1"/>
  <c r="BJ486" i="1"/>
  <c r="BF486" i="1"/>
  <c r="BD486" i="1"/>
  <c r="AW486" i="1"/>
  <c r="AP486" i="1"/>
  <c r="AO486" i="1"/>
  <c r="H486" i="1" s="1"/>
  <c r="AL486" i="1"/>
  <c r="AK486" i="1"/>
  <c r="AJ486" i="1"/>
  <c r="AH486" i="1"/>
  <c r="AG486" i="1"/>
  <c r="AF486" i="1"/>
  <c r="AE486" i="1"/>
  <c r="AD486" i="1"/>
  <c r="Z486" i="1"/>
  <c r="J486" i="1"/>
  <c r="BJ483" i="1"/>
  <c r="BH483" i="1"/>
  <c r="AB483" i="1" s="1"/>
  <c r="BF483" i="1"/>
  <c r="BD483" i="1"/>
  <c r="AP483" i="1"/>
  <c r="AO483" i="1"/>
  <c r="AW483" i="1" s="1"/>
  <c r="AK483" i="1"/>
  <c r="AJ483" i="1"/>
  <c r="AH483" i="1"/>
  <c r="AG483" i="1"/>
  <c r="AF483" i="1"/>
  <c r="AE483" i="1"/>
  <c r="AD483" i="1"/>
  <c r="Z483" i="1"/>
  <c r="J483" i="1"/>
  <c r="H483" i="1"/>
  <c r="BJ480" i="1"/>
  <c r="BI480" i="1"/>
  <c r="AE480" i="1" s="1"/>
  <c r="BH480" i="1"/>
  <c r="AD480" i="1" s="1"/>
  <c r="BF480" i="1"/>
  <c r="BD480" i="1"/>
  <c r="AP480" i="1"/>
  <c r="AX480" i="1" s="1"/>
  <c r="AO480" i="1"/>
  <c r="AL480" i="1"/>
  <c r="AK480" i="1"/>
  <c r="AJ480" i="1"/>
  <c r="AS475" i="1" s="1"/>
  <c r="AH480" i="1"/>
  <c r="AG480" i="1"/>
  <c r="AF480" i="1"/>
  <c r="AC480" i="1"/>
  <c r="AB480" i="1"/>
  <c r="Z480" i="1"/>
  <c r="J480" i="1"/>
  <c r="I480" i="1"/>
  <c r="BJ476" i="1"/>
  <c r="BH476" i="1"/>
  <c r="AD476" i="1" s="1"/>
  <c r="BF476" i="1"/>
  <c r="BD476" i="1"/>
  <c r="AX476" i="1"/>
  <c r="AP476" i="1"/>
  <c r="I476" i="1" s="1"/>
  <c r="I475" i="1" s="1"/>
  <c r="AO476" i="1"/>
  <c r="AW476" i="1" s="1"/>
  <c r="AK476" i="1"/>
  <c r="AJ476" i="1"/>
  <c r="AH476" i="1"/>
  <c r="AG476" i="1"/>
  <c r="AF476" i="1"/>
  <c r="AC476" i="1"/>
  <c r="AB476" i="1"/>
  <c r="Z476" i="1"/>
  <c r="J476" i="1"/>
  <c r="AL476" i="1" s="1"/>
  <c r="H476" i="1"/>
  <c r="AU475" i="1"/>
  <c r="AT475" i="1"/>
  <c r="J475" i="1"/>
  <c r="BJ473" i="1"/>
  <c r="BI473" i="1"/>
  <c r="AE473" i="1" s="1"/>
  <c r="BF473" i="1"/>
  <c r="BD473" i="1"/>
  <c r="AP473" i="1"/>
  <c r="AX473" i="1" s="1"/>
  <c r="AO473" i="1"/>
  <c r="AL473" i="1"/>
  <c r="AK473" i="1"/>
  <c r="AJ473" i="1"/>
  <c r="AS470" i="1" s="1"/>
  <c r="AH473" i="1"/>
  <c r="AG473" i="1"/>
  <c r="AF473" i="1"/>
  <c r="AC473" i="1"/>
  <c r="AB473" i="1"/>
  <c r="Z473" i="1"/>
  <c r="J473" i="1"/>
  <c r="I473" i="1"/>
  <c r="BJ471" i="1"/>
  <c r="BH471" i="1"/>
  <c r="AD471" i="1" s="1"/>
  <c r="BF471" i="1"/>
  <c r="BD471" i="1"/>
  <c r="AX471" i="1"/>
  <c r="AP471" i="1"/>
  <c r="I471" i="1" s="1"/>
  <c r="I470" i="1" s="1"/>
  <c r="AO471" i="1"/>
  <c r="AW471" i="1" s="1"/>
  <c r="AK471" i="1"/>
  <c r="AT470" i="1" s="1"/>
  <c r="AJ471" i="1"/>
  <c r="AH471" i="1"/>
  <c r="AG471" i="1"/>
  <c r="AF471" i="1"/>
  <c r="AC471" i="1"/>
  <c r="AB471" i="1"/>
  <c r="Z471" i="1"/>
  <c r="J471" i="1"/>
  <c r="H471" i="1"/>
  <c r="BJ468" i="1"/>
  <c r="BI468" i="1"/>
  <c r="AC468" i="1" s="1"/>
  <c r="BF468" i="1"/>
  <c r="BD468" i="1"/>
  <c r="AP468" i="1"/>
  <c r="AX468" i="1" s="1"/>
  <c r="AO468" i="1"/>
  <c r="AW468" i="1" s="1"/>
  <c r="BC468" i="1" s="1"/>
  <c r="AL468" i="1"/>
  <c r="AU467" i="1" s="1"/>
  <c r="AK468" i="1"/>
  <c r="AJ468" i="1"/>
  <c r="AH468" i="1"/>
  <c r="AG468" i="1"/>
  <c r="AF468" i="1"/>
  <c r="AE468" i="1"/>
  <c r="AD468" i="1"/>
  <c r="Z468" i="1"/>
  <c r="J468" i="1"/>
  <c r="AT467" i="1"/>
  <c r="AS467" i="1"/>
  <c r="J467" i="1"/>
  <c r="BJ464" i="1"/>
  <c r="BF464" i="1"/>
  <c r="BD464" i="1"/>
  <c r="AX464" i="1"/>
  <c r="AP464" i="1"/>
  <c r="BI464" i="1" s="1"/>
  <c r="AC464" i="1" s="1"/>
  <c r="AO464" i="1"/>
  <c r="AL464" i="1"/>
  <c r="AK464" i="1"/>
  <c r="AJ464" i="1"/>
  <c r="AH464" i="1"/>
  <c r="AG464" i="1"/>
  <c r="AF464" i="1"/>
  <c r="AE464" i="1"/>
  <c r="AD464" i="1"/>
  <c r="Z464" i="1"/>
  <c r="J464" i="1"/>
  <c r="I464" i="1"/>
  <c r="BJ461" i="1"/>
  <c r="BF461" i="1"/>
  <c r="BD461" i="1"/>
  <c r="AP461" i="1"/>
  <c r="AO461" i="1"/>
  <c r="AW461" i="1" s="1"/>
  <c r="AL461" i="1"/>
  <c r="AK461" i="1"/>
  <c r="AJ461" i="1"/>
  <c r="AH461" i="1"/>
  <c r="AG461" i="1"/>
  <c r="AF461" i="1"/>
  <c r="AE461" i="1"/>
  <c r="AD461" i="1"/>
  <c r="Z461" i="1"/>
  <c r="J461" i="1"/>
  <c r="BJ458" i="1"/>
  <c r="BH458" i="1"/>
  <c r="AB458" i="1" s="1"/>
  <c r="BF458" i="1"/>
  <c r="BD458" i="1"/>
  <c r="AV458" i="1"/>
  <c r="AP458" i="1"/>
  <c r="AX458" i="1" s="1"/>
  <c r="AO458" i="1"/>
  <c r="AW458" i="1" s="1"/>
  <c r="AL458" i="1"/>
  <c r="AK458" i="1"/>
  <c r="AJ458" i="1"/>
  <c r="AH458" i="1"/>
  <c r="AG458" i="1"/>
  <c r="AF458" i="1"/>
  <c r="AE458" i="1"/>
  <c r="AD458" i="1"/>
  <c r="Z458" i="1"/>
  <c r="J458" i="1"/>
  <c r="H458" i="1"/>
  <c r="BJ455" i="1"/>
  <c r="BF455" i="1"/>
  <c r="BD455" i="1"/>
  <c r="AP455" i="1"/>
  <c r="AO455" i="1"/>
  <c r="H455" i="1" s="1"/>
  <c r="AL455" i="1"/>
  <c r="AK455" i="1"/>
  <c r="AJ455" i="1"/>
  <c r="AH455" i="1"/>
  <c r="AG455" i="1"/>
  <c r="AF455" i="1"/>
  <c r="AE455" i="1"/>
  <c r="AD455" i="1"/>
  <c r="Z455" i="1"/>
  <c r="J455" i="1"/>
  <c r="BJ449" i="1"/>
  <c r="BF449" i="1"/>
  <c r="BD449" i="1"/>
  <c r="AX449" i="1"/>
  <c r="AW449" i="1"/>
  <c r="AV449" i="1"/>
  <c r="AP449" i="1"/>
  <c r="I449" i="1" s="1"/>
  <c r="AO449" i="1"/>
  <c r="BH449" i="1" s="1"/>
  <c r="AB449" i="1" s="1"/>
  <c r="AK449" i="1"/>
  <c r="AJ449" i="1"/>
  <c r="AH449" i="1"/>
  <c r="AG449" i="1"/>
  <c r="AF449" i="1"/>
  <c r="AE449" i="1"/>
  <c r="AD449" i="1"/>
  <c r="Z449" i="1"/>
  <c r="J449" i="1"/>
  <c r="AL449" i="1" s="1"/>
  <c r="H449" i="1"/>
  <c r="BJ445" i="1"/>
  <c r="BF445" i="1"/>
  <c r="BD445" i="1"/>
  <c r="BC445" i="1"/>
  <c r="AX445" i="1"/>
  <c r="AW445" i="1"/>
  <c r="AV445" i="1"/>
  <c r="AP445" i="1"/>
  <c r="BI445" i="1" s="1"/>
  <c r="AC445" i="1" s="1"/>
  <c r="AO445" i="1"/>
  <c r="BH445" i="1" s="1"/>
  <c r="AB445" i="1" s="1"/>
  <c r="AK445" i="1"/>
  <c r="AJ445" i="1"/>
  <c r="AH445" i="1"/>
  <c r="AG445" i="1"/>
  <c r="AF445" i="1"/>
  <c r="AE445" i="1"/>
  <c r="AD445" i="1"/>
  <c r="Z445" i="1"/>
  <c r="J445" i="1"/>
  <c r="AL445" i="1" s="1"/>
  <c r="I445" i="1"/>
  <c r="H445" i="1"/>
  <c r="BJ438" i="1"/>
  <c r="BF438" i="1"/>
  <c r="BD438" i="1"/>
  <c r="AX438" i="1"/>
  <c r="AW438" i="1"/>
  <c r="AP438" i="1"/>
  <c r="BI438" i="1" s="1"/>
  <c r="AC438" i="1" s="1"/>
  <c r="AO438" i="1"/>
  <c r="H438" i="1" s="1"/>
  <c r="AK438" i="1"/>
  <c r="AT437" i="1" s="1"/>
  <c r="AJ438" i="1"/>
  <c r="AH438" i="1"/>
  <c r="AG438" i="1"/>
  <c r="AF438" i="1"/>
  <c r="AE438" i="1"/>
  <c r="AD438" i="1"/>
  <c r="Z438" i="1"/>
  <c r="J438" i="1"/>
  <c r="AL438" i="1" s="1"/>
  <c r="I438" i="1"/>
  <c r="BJ434" i="1"/>
  <c r="BF434" i="1"/>
  <c r="BD434" i="1"/>
  <c r="BC434" i="1"/>
  <c r="AX434" i="1"/>
  <c r="AW434" i="1"/>
  <c r="AV434" i="1"/>
  <c r="AP434" i="1"/>
  <c r="BI434" i="1" s="1"/>
  <c r="AC434" i="1" s="1"/>
  <c r="AO434" i="1"/>
  <c r="BH434" i="1" s="1"/>
  <c r="AB434" i="1" s="1"/>
  <c r="AK434" i="1"/>
  <c r="AJ434" i="1"/>
  <c r="AH434" i="1"/>
  <c r="AG434" i="1"/>
  <c r="AF434" i="1"/>
  <c r="AE434" i="1"/>
  <c r="AD434" i="1"/>
  <c r="Z434" i="1"/>
  <c r="J434" i="1"/>
  <c r="AL434" i="1" s="1"/>
  <c r="I434" i="1"/>
  <c r="H434" i="1"/>
  <c r="BJ431" i="1"/>
  <c r="BF431" i="1"/>
  <c r="BD431" i="1"/>
  <c r="AX431" i="1"/>
  <c r="AW431" i="1"/>
  <c r="AP431" i="1"/>
  <c r="BI431" i="1" s="1"/>
  <c r="AC431" i="1" s="1"/>
  <c r="AO431" i="1"/>
  <c r="H431" i="1" s="1"/>
  <c r="AK431" i="1"/>
  <c r="AJ431" i="1"/>
  <c r="AH431" i="1"/>
  <c r="AG431" i="1"/>
  <c r="AF431" i="1"/>
  <c r="AE431" i="1"/>
  <c r="AD431" i="1"/>
  <c r="Z431" i="1"/>
  <c r="J431" i="1"/>
  <c r="AL431" i="1" s="1"/>
  <c r="I431" i="1"/>
  <c r="BJ426" i="1"/>
  <c r="BF426" i="1"/>
  <c r="BD426" i="1"/>
  <c r="BC426" i="1"/>
  <c r="AX426" i="1"/>
  <c r="AV426" i="1" s="1"/>
  <c r="AW426" i="1"/>
  <c r="AP426" i="1"/>
  <c r="I426" i="1" s="1"/>
  <c r="AO426" i="1"/>
  <c r="BH426" i="1" s="1"/>
  <c r="AB426" i="1" s="1"/>
  <c r="AK426" i="1"/>
  <c r="AJ426" i="1"/>
  <c r="AH426" i="1"/>
  <c r="AG426" i="1"/>
  <c r="AF426" i="1"/>
  <c r="AE426" i="1"/>
  <c r="AD426" i="1"/>
  <c r="Z426" i="1"/>
  <c r="J426" i="1"/>
  <c r="H426" i="1"/>
  <c r="BJ422" i="1"/>
  <c r="BH422" i="1"/>
  <c r="AB422" i="1" s="1"/>
  <c r="BF422" i="1"/>
  <c r="BD422" i="1"/>
  <c r="AX422" i="1"/>
  <c r="AP422" i="1"/>
  <c r="BI422" i="1" s="1"/>
  <c r="AC422" i="1" s="1"/>
  <c r="AO422" i="1"/>
  <c r="AL422" i="1"/>
  <c r="AK422" i="1"/>
  <c r="AT407" i="1" s="1"/>
  <c r="AJ422" i="1"/>
  <c r="AH422" i="1"/>
  <c r="AG422" i="1"/>
  <c r="AF422" i="1"/>
  <c r="AE422" i="1"/>
  <c r="AD422" i="1"/>
  <c r="Z422" i="1"/>
  <c r="J422" i="1"/>
  <c r="I422" i="1"/>
  <c r="BJ418" i="1"/>
  <c r="BF418" i="1"/>
  <c r="BD418" i="1"/>
  <c r="AP418" i="1"/>
  <c r="AO418" i="1"/>
  <c r="AW418" i="1" s="1"/>
  <c r="AL418" i="1"/>
  <c r="AK418" i="1"/>
  <c r="AJ418" i="1"/>
  <c r="AH418" i="1"/>
  <c r="AG418" i="1"/>
  <c r="AF418" i="1"/>
  <c r="AE418" i="1"/>
  <c r="AD418" i="1"/>
  <c r="Z418" i="1"/>
  <c r="J418" i="1"/>
  <c r="BJ413" i="1"/>
  <c r="BH413" i="1"/>
  <c r="AB413" i="1" s="1"/>
  <c r="BF413" i="1"/>
  <c r="BD413" i="1"/>
  <c r="AV413" i="1"/>
  <c r="AP413" i="1"/>
  <c r="AX413" i="1" s="1"/>
  <c r="AO413" i="1"/>
  <c r="AW413" i="1" s="1"/>
  <c r="BC413" i="1" s="1"/>
  <c r="AL413" i="1"/>
  <c r="AK413" i="1"/>
  <c r="AJ413" i="1"/>
  <c r="AH413" i="1"/>
  <c r="AG413" i="1"/>
  <c r="AF413" i="1"/>
  <c r="AE413" i="1"/>
  <c r="AD413" i="1"/>
  <c r="Z413" i="1"/>
  <c r="J413" i="1"/>
  <c r="H413" i="1"/>
  <c r="BJ408" i="1"/>
  <c r="BF408" i="1"/>
  <c r="BD408" i="1"/>
  <c r="AW408" i="1"/>
  <c r="AP408" i="1"/>
  <c r="AX408" i="1" s="1"/>
  <c r="AO408" i="1"/>
  <c r="H408" i="1" s="1"/>
  <c r="AL408" i="1"/>
  <c r="AK408" i="1"/>
  <c r="AJ408" i="1"/>
  <c r="AH408" i="1"/>
  <c r="AG408" i="1"/>
  <c r="AF408" i="1"/>
  <c r="AE408" i="1"/>
  <c r="AD408" i="1"/>
  <c r="Z408" i="1"/>
  <c r="J408" i="1"/>
  <c r="BJ404" i="1"/>
  <c r="BH404" i="1"/>
  <c r="AB404" i="1" s="1"/>
  <c r="BF404" i="1"/>
  <c r="BD404" i="1"/>
  <c r="AV404" i="1"/>
  <c r="AP404" i="1"/>
  <c r="AX404" i="1" s="1"/>
  <c r="AO404" i="1"/>
  <c r="AW404" i="1" s="1"/>
  <c r="BC404" i="1" s="1"/>
  <c r="AL404" i="1"/>
  <c r="AU403" i="1" s="1"/>
  <c r="AK404" i="1"/>
  <c r="AJ404" i="1"/>
  <c r="AH404" i="1"/>
  <c r="AG404" i="1"/>
  <c r="AF404" i="1"/>
  <c r="AE404" i="1"/>
  <c r="AD404" i="1"/>
  <c r="Z404" i="1"/>
  <c r="J404" i="1"/>
  <c r="J403" i="1" s="1"/>
  <c r="H404" i="1"/>
  <c r="H403" i="1" s="1"/>
  <c r="AT403" i="1"/>
  <c r="AS403" i="1"/>
  <c r="BJ395" i="1"/>
  <c r="BF395" i="1"/>
  <c r="BD395" i="1"/>
  <c r="AW395" i="1"/>
  <c r="AP395" i="1"/>
  <c r="AO395" i="1"/>
  <c r="H395" i="1" s="1"/>
  <c r="H394" i="1" s="1"/>
  <c r="AL395" i="1"/>
  <c r="AK395" i="1"/>
  <c r="AT394" i="1" s="1"/>
  <c r="AJ395" i="1"/>
  <c r="AH395" i="1"/>
  <c r="AG395" i="1"/>
  <c r="AF395" i="1"/>
  <c r="AE395" i="1"/>
  <c r="AD395" i="1"/>
  <c r="Z395" i="1"/>
  <c r="J395" i="1"/>
  <c r="AU394" i="1"/>
  <c r="AS394" i="1"/>
  <c r="J394" i="1"/>
  <c r="BJ391" i="1"/>
  <c r="BF391" i="1"/>
  <c r="BD391" i="1"/>
  <c r="AX391" i="1"/>
  <c r="AP391" i="1"/>
  <c r="BI391" i="1" s="1"/>
  <c r="AC391" i="1" s="1"/>
  <c r="AO391" i="1"/>
  <c r="AL391" i="1"/>
  <c r="AU390" i="1" s="1"/>
  <c r="AK391" i="1"/>
  <c r="AJ391" i="1"/>
  <c r="AS390" i="1" s="1"/>
  <c r="AH391" i="1"/>
  <c r="AG391" i="1"/>
  <c r="AF391" i="1"/>
  <c r="AE391" i="1"/>
  <c r="AD391" i="1"/>
  <c r="Z391" i="1"/>
  <c r="J391" i="1"/>
  <c r="I391" i="1"/>
  <c r="AT390" i="1"/>
  <c r="J390" i="1"/>
  <c r="I390" i="1"/>
  <c r="BJ386" i="1"/>
  <c r="BF386" i="1"/>
  <c r="BD386" i="1"/>
  <c r="AX386" i="1"/>
  <c r="AV386" i="1" s="1"/>
  <c r="AW386" i="1"/>
  <c r="AP386" i="1"/>
  <c r="I386" i="1" s="1"/>
  <c r="I385" i="1" s="1"/>
  <c r="AO386" i="1"/>
  <c r="BH386" i="1" s="1"/>
  <c r="AB386" i="1" s="1"/>
  <c r="AL386" i="1"/>
  <c r="AU385" i="1" s="1"/>
  <c r="AK386" i="1"/>
  <c r="AT385" i="1" s="1"/>
  <c r="AJ386" i="1"/>
  <c r="AS385" i="1" s="1"/>
  <c r="AH386" i="1"/>
  <c r="AG386" i="1"/>
  <c r="AF386" i="1"/>
  <c r="AE386" i="1"/>
  <c r="AD386" i="1"/>
  <c r="Z386" i="1"/>
  <c r="J386" i="1"/>
  <c r="J385" i="1" s="1"/>
  <c r="H386" i="1"/>
  <c r="H385" i="1"/>
  <c r="BJ379" i="1"/>
  <c r="BF379" i="1"/>
  <c r="BD379" i="1"/>
  <c r="AX379" i="1"/>
  <c r="AW379" i="1"/>
  <c r="AP379" i="1"/>
  <c r="BI379" i="1" s="1"/>
  <c r="AC379" i="1" s="1"/>
  <c r="AO379" i="1"/>
  <c r="H379" i="1" s="1"/>
  <c r="AK379" i="1"/>
  <c r="AJ379" i="1"/>
  <c r="AH379" i="1"/>
  <c r="AG379" i="1"/>
  <c r="AF379" i="1"/>
  <c r="AE379" i="1"/>
  <c r="AD379" i="1"/>
  <c r="Z379" i="1"/>
  <c r="J379" i="1"/>
  <c r="AL379" i="1" s="1"/>
  <c r="I379" i="1"/>
  <c r="BJ374" i="1"/>
  <c r="BF374" i="1"/>
  <c r="BD374" i="1"/>
  <c r="AX374" i="1"/>
  <c r="AV374" i="1" s="1"/>
  <c r="AW374" i="1"/>
  <c r="AP374" i="1"/>
  <c r="I374" i="1" s="1"/>
  <c r="AO374" i="1"/>
  <c r="BH374" i="1" s="1"/>
  <c r="AB374" i="1" s="1"/>
  <c r="AL374" i="1"/>
  <c r="AU373" i="1" s="1"/>
  <c r="AK374" i="1"/>
  <c r="AJ374" i="1"/>
  <c r="AH374" i="1"/>
  <c r="AG374" i="1"/>
  <c r="AF374" i="1"/>
  <c r="AE374" i="1"/>
  <c r="AD374" i="1"/>
  <c r="Z374" i="1"/>
  <c r="J374" i="1"/>
  <c r="H374" i="1"/>
  <c r="AS373" i="1"/>
  <c r="I373" i="1"/>
  <c r="H373" i="1"/>
  <c r="BJ371" i="1"/>
  <c r="BI371" i="1"/>
  <c r="BF371" i="1"/>
  <c r="BD371" i="1"/>
  <c r="AP371" i="1"/>
  <c r="AO371" i="1"/>
  <c r="AW371" i="1" s="1"/>
  <c r="AL371" i="1"/>
  <c r="AU370" i="1" s="1"/>
  <c r="AK371" i="1"/>
  <c r="AT370" i="1" s="1"/>
  <c r="AJ371" i="1"/>
  <c r="AH371" i="1"/>
  <c r="AG371" i="1"/>
  <c r="AF371" i="1"/>
  <c r="AE371" i="1"/>
  <c r="AD371" i="1"/>
  <c r="AC371" i="1"/>
  <c r="AB371" i="1"/>
  <c r="Z371" i="1"/>
  <c r="J371" i="1"/>
  <c r="AS370" i="1"/>
  <c r="J370" i="1"/>
  <c r="BJ369" i="1"/>
  <c r="BH369" i="1"/>
  <c r="AB369" i="1" s="1"/>
  <c r="BF369" i="1"/>
  <c r="BD369" i="1"/>
  <c r="AX369" i="1"/>
  <c r="AP369" i="1"/>
  <c r="BI369" i="1" s="1"/>
  <c r="AC369" i="1" s="1"/>
  <c r="AO369" i="1"/>
  <c r="AL369" i="1"/>
  <c r="AK369" i="1"/>
  <c r="AJ369" i="1"/>
  <c r="AH369" i="1"/>
  <c r="AG369" i="1"/>
  <c r="AF369" i="1"/>
  <c r="AE369" i="1"/>
  <c r="AD369" i="1"/>
  <c r="Z369" i="1"/>
  <c r="J369" i="1"/>
  <c r="I369" i="1"/>
  <c r="BJ367" i="1"/>
  <c r="BF367" i="1"/>
  <c r="BD367" i="1"/>
  <c r="AP367" i="1"/>
  <c r="AO367" i="1"/>
  <c r="AW367" i="1" s="1"/>
  <c r="AL367" i="1"/>
  <c r="AK367" i="1"/>
  <c r="AT362" i="1" s="1"/>
  <c r="AJ367" i="1"/>
  <c r="AH367" i="1"/>
  <c r="AG367" i="1"/>
  <c r="AF367" i="1"/>
  <c r="AE367" i="1"/>
  <c r="AD367" i="1"/>
  <c r="Z367" i="1"/>
  <c r="J367" i="1"/>
  <c r="BJ365" i="1"/>
  <c r="BF365" i="1"/>
  <c r="BD365" i="1"/>
  <c r="AP365" i="1"/>
  <c r="AX365" i="1" s="1"/>
  <c r="AO365" i="1"/>
  <c r="AW365" i="1" s="1"/>
  <c r="BC365" i="1" s="1"/>
  <c r="AL365" i="1"/>
  <c r="AK365" i="1"/>
  <c r="AJ365" i="1"/>
  <c r="AH365" i="1"/>
  <c r="AG365" i="1"/>
  <c r="AF365" i="1"/>
  <c r="AE365" i="1"/>
  <c r="AD365" i="1"/>
  <c r="Z365" i="1"/>
  <c r="J365" i="1"/>
  <c r="BJ363" i="1"/>
  <c r="BI363" i="1"/>
  <c r="AC363" i="1" s="1"/>
  <c r="BH363" i="1"/>
  <c r="AB363" i="1" s="1"/>
  <c r="BF363" i="1"/>
  <c r="BD363" i="1"/>
  <c r="AP363" i="1"/>
  <c r="AX363" i="1" s="1"/>
  <c r="AO363" i="1"/>
  <c r="H363" i="1" s="1"/>
  <c r="AL363" i="1"/>
  <c r="AK363" i="1"/>
  <c r="AJ363" i="1"/>
  <c r="AS362" i="1" s="1"/>
  <c r="AH363" i="1"/>
  <c r="AG363" i="1"/>
  <c r="AF363" i="1"/>
  <c r="AE363" i="1"/>
  <c r="AD363" i="1"/>
  <c r="Z363" i="1"/>
  <c r="J363" i="1"/>
  <c r="I363" i="1"/>
  <c r="AU362" i="1"/>
  <c r="J362" i="1"/>
  <c r="BJ361" i="1"/>
  <c r="BH361" i="1"/>
  <c r="AB361" i="1" s="1"/>
  <c r="BF361" i="1"/>
  <c r="BD361" i="1"/>
  <c r="AP361" i="1"/>
  <c r="AX361" i="1" s="1"/>
  <c r="AV361" i="1" s="1"/>
  <c r="AO361" i="1"/>
  <c r="AW361" i="1" s="1"/>
  <c r="AL361" i="1"/>
  <c r="AK361" i="1"/>
  <c r="AJ361" i="1"/>
  <c r="AH361" i="1"/>
  <c r="AG361" i="1"/>
  <c r="AF361" i="1"/>
  <c r="AE361" i="1"/>
  <c r="AD361" i="1"/>
  <c r="Z361" i="1"/>
  <c r="J361" i="1"/>
  <c r="H361" i="1"/>
  <c r="BJ360" i="1"/>
  <c r="BI360" i="1"/>
  <c r="AC360" i="1" s="1"/>
  <c r="BF360" i="1"/>
  <c r="BD360" i="1"/>
  <c r="AP360" i="1"/>
  <c r="AX360" i="1" s="1"/>
  <c r="AO360" i="1"/>
  <c r="AL360" i="1"/>
  <c r="AK360" i="1"/>
  <c r="AJ360" i="1"/>
  <c r="AH360" i="1"/>
  <c r="AG360" i="1"/>
  <c r="AF360" i="1"/>
  <c r="AE360" i="1"/>
  <c r="AD360" i="1"/>
  <c r="Z360" i="1"/>
  <c r="J360" i="1"/>
  <c r="I360" i="1"/>
  <c r="BJ359" i="1"/>
  <c r="BF359" i="1"/>
  <c r="BD359" i="1"/>
  <c r="AX359" i="1"/>
  <c r="AV359" i="1" s="1"/>
  <c r="AW359" i="1"/>
  <c r="AP359" i="1"/>
  <c r="I359" i="1" s="1"/>
  <c r="AO359" i="1"/>
  <c r="BH359" i="1" s="1"/>
  <c r="AB359" i="1" s="1"/>
  <c r="AK359" i="1"/>
  <c r="AJ359" i="1"/>
  <c r="AH359" i="1"/>
  <c r="AG359" i="1"/>
  <c r="AF359" i="1"/>
  <c r="AE359" i="1"/>
  <c r="AD359" i="1"/>
  <c r="Z359" i="1"/>
  <c r="J359" i="1"/>
  <c r="AL359" i="1" s="1"/>
  <c r="H359" i="1"/>
  <c r="BJ358" i="1"/>
  <c r="BF358" i="1"/>
  <c r="BD358" i="1"/>
  <c r="BC358" i="1"/>
  <c r="AX358" i="1"/>
  <c r="AW358" i="1"/>
  <c r="AV358" i="1" s="1"/>
  <c r="AP358" i="1"/>
  <c r="BI358" i="1" s="1"/>
  <c r="AC358" i="1" s="1"/>
  <c r="AO358" i="1"/>
  <c r="BH358" i="1" s="1"/>
  <c r="AB358" i="1" s="1"/>
  <c r="AK358" i="1"/>
  <c r="AJ358" i="1"/>
  <c r="AS357" i="1" s="1"/>
  <c r="AH358" i="1"/>
  <c r="AG358" i="1"/>
  <c r="AF358" i="1"/>
  <c r="AE358" i="1"/>
  <c r="AD358" i="1"/>
  <c r="Z358" i="1"/>
  <c r="J358" i="1"/>
  <c r="AL358" i="1" s="1"/>
  <c r="AU357" i="1" s="1"/>
  <c r="I358" i="1"/>
  <c r="H358" i="1"/>
  <c r="AT357" i="1"/>
  <c r="BJ355" i="1"/>
  <c r="BF355" i="1"/>
  <c r="BD355" i="1"/>
  <c r="AX355" i="1"/>
  <c r="AW355" i="1"/>
  <c r="BC355" i="1" s="1"/>
  <c r="AV355" i="1"/>
  <c r="AP355" i="1"/>
  <c r="BI355" i="1" s="1"/>
  <c r="AC355" i="1" s="1"/>
  <c r="AO355" i="1"/>
  <c r="BH355" i="1" s="1"/>
  <c r="AB355" i="1" s="1"/>
  <c r="AK355" i="1"/>
  <c r="AT354" i="1" s="1"/>
  <c r="AJ355" i="1"/>
  <c r="AH355" i="1"/>
  <c r="AG355" i="1"/>
  <c r="AF355" i="1"/>
  <c r="AE355" i="1"/>
  <c r="AD355" i="1"/>
  <c r="Z355" i="1"/>
  <c r="J355" i="1"/>
  <c r="I355" i="1"/>
  <c r="I354" i="1" s="1"/>
  <c r="H355" i="1"/>
  <c r="H354" i="1" s="1"/>
  <c r="AS354" i="1"/>
  <c r="BJ352" i="1"/>
  <c r="BI352" i="1"/>
  <c r="BH352" i="1"/>
  <c r="BF352" i="1"/>
  <c r="BD352" i="1"/>
  <c r="AW352" i="1"/>
  <c r="BC352" i="1" s="1"/>
  <c r="AP352" i="1"/>
  <c r="AX352" i="1" s="1"/>
  <c r="AO352" i="1"/>
  <c r="AL352" i="1"/>
  <c r="AK352" i="1"/>
  <c r="AJ352" i="1"/>
  <c r="AH352" i="1"/>
  <c r="AG352" i="1"/>
  <c r="AF352" i="1"/>
  <c r="AE352" i="1"/>
  <c r="AD352" i="1"/>
  <c r="AC352" i="1"/>
  <c r="AB352" i="1"/>
  <c r="Z352" i="1"/>
  <c r="J352" i="1"/>
  <c r="I352" i="1"/>
  <c r="H352" i="1"/>
  <c r="BJ350" i="1"/>
  <c r="BI350" i="1"/>
  <c r="BH350" i="1"/>
  <c r="BF350" i="1"/>
  <c r="BD350" i="1"/>
  <c r="AX350" i="1"/>
  <c r="AW350" i="1"/>
  <c r="BC350" i="1" s="1"/>
  <c r="AP350" i="1"/>
  <c r="AO350" i="1"/>
  <c r="AK350" i="1"/>
  <c r="AJ350" i="1"/>
  <c r="AH350" i="1"/>
  <c r="AG350" i="1"/>
  <c r="AF350" i="1"/>
  <c r="AE350" i="1"/>
  <c r="AD350" i="1"/>
  <c r="AC350" i="1"/>
  <c r="AB350" i="1"/>
  <c r="Z350" i="1"/>
  <c r="J350" i="1"/>
  <c r="AL350" i="1" s="1"/>
  <c r="I350" i="1"/>
  <c r="H350" i="1"/>
  <c r="BJ348" i="1"/>
  <c r="BF348" i="1"/>
  <c r="BD348" i="1"/>
  <c r="AX348" i="1"/>
  <c r="AP348" i="1"/>
  <c r="BI348" i="1" s="1"/>
  <c r="AO348" i="1"/>
  <c r="AW348" i="1" s="1"/>
  <c r="AL348" i="1"/>
  <c r="AK348" i="1"/>
  <c r="AJ348" i="1"/>
  <c r="AS347" i="1" s="1"/>
  <c r="AH348" i="1"/>
  <c r="AG348" i="1"/>
  <c r="AF348" i="1"/>
  <c r="AE348" i="1"/>
  <c r="AD348" i="1"/>
  <c r="AC348" i="1"/>
  <c r="Z348" i="1"/>
  <c r="J348" i="1"/>
  <c r="J347" i="1" s="1"/>
  <c r="I348" i="1"/>
  <c r="I347" i="1"/>
  <c r="BJ346" i="1"/>
  <c r="BI346" i="1"/>
  <c r="AC346" i="1" s="1"/>
  <c r="BF346" i="1"/>
  <c r="BD346" i="1"/>
  <c r="AW346" i="1"/>
  <c r="AP346" i="1"/>
  <c r="AX346" i="1" s="1"/>
  <c r="AO346" i="1"/>
  <c r="BH346" i="1" s="1"/>
  <c r="AB346" i="1" s="1"/>
  <c r="AK346" i="1"/>
  <c r="AJ346" i="1"/>
  <c r="AH346" i="1"/>
  <c r="AG346" i="1"/>
  <c r="AF346" i="1"/>
  <c r="AE346" i="1"/>
  <c r="AD346" i="1"/>
  <c r="Z346" i="1"/>
  <c r="J346" i="1"/>
  <c r="AL346" i="1" s="1"/>
  <c r="I346" i="1"/>
  <c r="BJ345" i="1"/>
  <c r="BF345" i="1"/>
  <c r="BD345" i="1"/>
  <c r="AX345" i="1"/>
  <c r="AV345" i="1" s="1"/>
  <c r="AW345" i="1"/>
  <c r="BC345" i="1" s="1"/>
  <c r="AP345" i="1"/>
  <c r="BI345" i="1" s="1"/>
  <c r="AC345" i="1" s="1"/>
  <c r="AO345" i="1"/>
  <c r="BH345" i="1" s="1"/>
  <c r="AB345" i="1" s="1"/>
  <c r="AK345" i="1"/>
  <c r="AJ345" i="1"/>
  <c r="AH345" i="1"/>
  <c r="AG345" i="1"/>
  <c r="AF345" i="1"/>
  <c r="AE345" i="1"/>
  <c r="AD345" i="1"/>
  <c r="Z345" i="1"/>
  <c r="J345" i="1"/>
  <c r="AL345" i="1" s="1"/>
  <c r="I345" i="1"/>
  <c r="H345" i="1"/>
  <c r="BJ344" i="1"/>
  <c r="BF344" i="1"/>
  <c r="BD344" i="1"/>
  <c r="AX344" i="1"/>
  <c r="AV344" i="1" s="1"/>
  <c r="AW344" i="1"/>
  <c r="BC344" i="1" s="1"/>
  <c r="AP344" i="1"/>
  <c r="I344" i="1" s="1"/>
  <c r="AO344" i="1"/>
  <c r="BH344" i="1" s="1"/>
  <c r="AB344" i="1" s="1"/>
  <c r="AK344" i="1"/>
  <c r="AJ344" i="1"/>
  <c r="AH344" i="1"/>
  <c r="AG344" i="1"/>
  <c r="AF344" i="1"/>
  <c r="AE344" i="1"/>
  <c r="AD344" i="1"/>
  <c r="Z344" i="1"/>
  <c r="J344" i="1"/>
  <c r="AL344" i="1" s="1"/>
  <c r="H344" i="1"/>
  <c r="BJ343" i="1"/>
  <c r="BI343" i="1"/>
  <c r="BF343" i="1"/>
  <c r="BD343" i="1"/>
  <c r="AW343" i="1"/>
  <c r="AP343" i="1"/>
  <c r="AX343" i="1" s="1"/>
  <c r="AV343" i="1" s="1"/>
  <c r="AO343" i="1"/>
  <c r="BH343" i="1" s="1"/>
  <c r="AB343" i="1" s="1"/>
  <c r="AL343" i="1"/>
  <c r="AK343" i="1"/>
  <c r="AJ343" i="1"/>
  <c r="AH343" i="1"/>
  <c r="AG343" i="1"/>
  <c r="AF343" i="1"/>
  <c r="AE343" i="1"/>
  <c r="AD343" i="1"/>
  <c r="AC343" i="1"/>
  <c r="Z343" i="1"/>
  <c r="J343" i="1"/>
  <c r="H343" i="1"/>
  <c r="BJ340" i="1"/>
  <c r="BF340" i="1"/>
  <c r="BD340" i="1"/>
  <c r="AX340" i="1"/>
  <c r="AV340" i="1"/>
  <c r="AP340" i="1"/>
  <c r="BI340" i="1" s="1"/>
  <c r="AO340" i="1"/>
  <c r="AW340" i="1" s="1"/>
  <c r="BC340" i="1" s="1"/>
  <c r="AL340" i="1"/>
  <c r="AK340" i="1"/>
  <c r="AJ340" i="1"/>
  <c r="AH340" i="1"/>
  <c r="AG340" i="1"/>
  <c r="AF340" i="1"/>
  <c r="AE340" i="1"/>
  <c r="AD340" i="1"/>
  <c r="AC340" i="1"/>
  <c r="Z340" i="1"/>
  <c r="J340" i="1"/>
  <c r="I340" i="1"/>
  <c r="H340" i="1"/>
  <c r="AT339" i="1"/>
  <c r="AS339" i="1"/>
  <c r="J339" i="1"/>
  <c r="BJ337" i="1"/>
  <c r="BI337" i="1"/>
  <c r="BF337" i="1"/>
  <c r="BD337" i="1"/>
  <c r="AX337" i="1"/>
  <c r="AP337" i="1"/>
  <c r="AO337" i="1"/>
  <c r="BH337" i="1" s="1"/>
  <c r="AL337" i="1"/>
  <c r="AK337" i="1"/>
  <c r="AJ337" i="1"/>
  <c r="AH337" i="1"/>
  <c r="AG337" i="1"/>
  <c r="AF337" i="1"/>
  <c r="AE337" i="1"/>
  <c r="AD337" i="1"/>
  <c r="AC337" i="1"/>
  <c r="AB337" i="1"/>
  <c r="Z337" i="1"/>
  <c r="J337" i="1"/>
  <c r="J328" i="1" s="1"/>
  <c r="I337" i="1"/>
  <c r="BJ334" i="1"/>
  <c r="BH334" i="1"/>
  <c r="AB334" i="1" s="1"/>
  <c r="BF334" i="1"/>
  <c r="BD334" i="1"/>
  <c r="AP334" i="1"/>
  <c r="AX334" i="1" s="1"/>
  <c r="AO334" i="1"/>
  <c r="AL334" i="1"/>
  <c r="AK334" i="1"/>
  <c r="AJ334" i="1"/>
  <c r="AH334" i="1"/>
  <c r="AG334" i="1"/>
  <c r="AF334" i="1"/>
  <c r="AE334" i="1"/>
  <c r="AD334" i="1"/>
  <c r="Z334" i="1"/>
  <c r="J334" i="1"/>
  <c r="BJ332" i="1"/>
  <c r="BF332" i="1"/>
  <c r="BD332" i="1"/>
  <c r="AP332" i="1"/>
  <c r="BI332" i="1" s="1"/>
  <c r="AC332" i="1" s="1"/>
  <c r="AO332" i="1"/>
  <c r="AW332" i="1" s="1"/>
  <c r="AL332" i="1"/>
  <c r="AK332" i="1"/>
  <c r="AT328" i="1" s="1"/>
  <c r="AJ332" i="1"/>
  <c r="AH332" i="1"/>
  <c r="AG332" i="1"/>
  <c r="AF332" i="1"/>
  <c r="AE332" i="1"/>
  <c r="AD332" i="1"/>
  <c r="Z332" i="1"/>
  <c r="J332" i="1"/>
  <c r="BJ329" i="1"/>
  <c r="BF329" i="1"/>
  <c r="BD329" i="1"/>
  <c r="AP329" i="1"/>
  <c r="AX329" i="1" s="1"/>
  <c r="AV329" i="1" s="1"/>
  <c r="AO329" i="1"/>
  <c r="AW329" i="1" s="1"/>
  <c r="AL329" i="1"/>
  <c r="AU328" i="1" s="1"/>
  <c r="AK329" i="1"/>
  <c r="AJ329" i="1"/>
  <c r="AH329" i="1"/>
  <c r="AG329" i="1"/>
  <c r="AF329" i="1"/>
  <c r="AE329" i="1"/>
  <c r="AD329" i="1"/>
  <c r="Z329" i="1"/>
  <c r="J329" i="1"/>
  <c r="H329" i="1"/>
  <c r="AS328" i="1"/>
  <c r="BJ326" i="1"/>
  <c r="BF326" i="1"/>
  <c r="BD326" i="1"/>
  <c r="AP326" i="1"/>
  <c r="AO326" i="1"/>
  <c r="AW326" i="1" s="1"/>
  <c r="AL326" i="1"/>
  <c r="AK326" i="1"/>
  <c r="AT320" i="1" s="1"/>
  <c r="AJ326" i="1"/>
  <c r="AH326" i="1"/>
  <c r="AG326" i="1"/>
  <c r="AF326" i="1"/>
  <c r="AE326" i="1"/>
  <c r="AD326" i="1"/>
  <c r="Z326" i="1"/>
  <c r="J326" i="1"/>
  <c r="BJ321" i="1"/>
  <c r="BF321" i="1"/>
  <c r="BD321" i="1"/>
  <c r="AP321" i="1"/>
  <c r="AX321" i="1" s="1"/>
  <c r="AO321" i="1"/>
  <c r="AW321" i="1" s="1"/>
  <c r="BC321" i="1" s="1"/>
  <c r="AL321" i="1"/>
  <c r="AU320" i="1" s="1"/>
  <c r="AK321" i="1"/>
  <c r="AJ321" i="1"/>
  <c r="AH321" i="1"/>
  <c r="AG321" i="1"/>
  <c r="AF321" i="1"/>
  <c r="AE321" i="1"/>
  <c r="AD321" i="1"/>
  <c r="Z321" i="1"/>
  <c r="J321" i="1"/>
  <c r="H321" i="1"/>
  <c r="AS320" i="1"/>
  <c r="J320" i="1"/>
  <c r="BJ318" i="1"/>
  <c r="Z318" i="1" s="1"/>
  <c r="BF318" i="1"/>
  <c r="BD318" i="1"/>
  <c r="AX318" i="1"/>
  <c r="AV318" i="1" s="1"/>
  <c r="AW318" i="1"/>
  <c r="BC318" i="1" s="1"/>
  <c r="AP318" i="1"/>
  <c r="I318" i="1" s="1"/>
  <c r="I317" i="1" s="1"/>
  <c r="AO318" i="1"/>
  <c r="BH318" i="1" s="1"/>
  <c r="AK318" i="1"/>
  <c r="AJ318" i="1"/>
  <c r="AS317" i="1" s="1"/>
  <c r="AH318" i="1"/>
  <c r="AG318" i="1"/>
  <c r="AF318" i="1"/>
  <c r="AE318" i="1"/>
  <c r="AD318" i="1"/>
  <c r="AC318" i="1"/>
  <c r="AB318" i="1"/>
  <c r="J318" i="1"/>
  <c r="H318" i="1"/>
  <c r="AT317" i="1"/>
  <c r="H317" i="1"/>
  <c r="BJ315" i="1"/>
  <c r="BF315" i="1"/>
  <c r="BD315" i="1"/>
  <c r="AW315" i="1"/>
  <c r="AP315" i="1"/>
  <c r="AX315" i="1" s="1"/>
  <c r="AO315" i="1"/>
  <c r="H315" i="1" s="1"/>
  <c r="H312" i="1" s="1"/>
  <c r="AK315" i="1"/>
  <c r="AJ315" i="1"/>
  <c r="AH315" i="1"/>
  <c r="AG315" i="1"/>
  <c r="AF315" i="1"/>
  <c r="AE315" i="1"/>
  <c r="AD315" i="1"/>
  <c r="Z315" i="1"/>
  <c r="J315" i="1"/>
  <c r="AL315" i="1" s="1"/>
  <c r="I315" i="1"/>
  <c r="BJ313" i="1"/>
  <c r="BF313" i="1"/>
  <c r="BD313" i="1"/>
  <c r="AX313" i="1"/>
  <c r="AV313" i="1" s="1"/>
  <c r="AW313" i="1"/>
  <c r="BC313" i="1" s="1"/>
  <c r="AP313" i="1"/>
  <c r="I313" i="1" s="1"/>
  <c r="I312" i="1" s="1"/>
  <c r="AO313" i="1"/>
  <c r="BH313" i="1" s="1"/>
  <c r="AB313" i="1" s="1"/>
  <c r="AK313" i="1"/>
  <c r="AJ313" i="1"/>
  <c r="AS312" i="1" s="1"/>
  <c r="AH313" i="1"/>
  <c r="AG313" i="1"/>
  <c r="AF313" i="1"/>
  <c r="AE313" i="1"/>
  <c r="AD313" i="1"/>
  <c r="Z313" i="1"/>
  <c r="J313" i="1"/>
  <c r="H313" i="1"/>
  <c r="AT312" i="1"/>
  <c r="BJ309" i="1"/>
  <c r="BF309" i="1"/>
  <c r="BD309" i="1"/>
  <c r="AW309" i="1"/>
  <c r="AP309" i="1"/>
  <c r="AX309" i="1" s="1"/>
  <c r="AO309" i="1"/>
  <c r="H309" i="1" s="1"/>
  <c r="H308" i="1" s="1"/>
  <c r="AK309" i="1"/>
  <c r="AJ309" i="1"/>
  <c r="AH309" i="1"/>
  <c r="AG309" i="1"/>
  <c r="AF309" i="1"/>
  <c r="AE309" i="1"/>
  <c r="AD309" i="1"/>
  <c r="Z309" i="1"/>
  <c r="J309" i="1"/>
  <c r="AL309" i="1" s="1"/>
  <c r="AU308" i="1" s="1"/>
  <c r="I309" i="1"/>
  <c r="I308" i="1" s="1"/>
  <c r="AT308" i="1"/>
  <c r="AS308" i="1"/>
  <c r="BJ307" i="1"/>
  <c r="BF307" i="1"/>
  <c r="BD307" i="1"/>
  <c r="AV307" i="1"/>
  <c r="AP307" i="1"/>
  <c r="AX307" i="1" s="1"/>
  <c r="AO307" i="1"/>
  <c r="AW307" i="1" s="1"/>
  <c r="BC307" i="1" s="1"/>
  <c r="AL307" i="1"/>
  <c r="AK307" i="1"/>
  <c r="AJ307" i="1"/>
  <c r="AH307" i="1"/>
  <c r="AG307" i="1"/>
  <c r="AF307" i="1"/>
  <c r="AE307" i="1"/>
  <c r="AD307" i="1"/>
  <c r="Z307" i="1"/>
  <c r="J307" i="1"/>
  <c r="H307" i="1"/>
  <c r="BJ306" i="1"/>
  <c r="BH306" i="1"/>
  <c r="AB306" i="1" s="1"/>
  <c r="BF306" i="1"/>
  <c r="BD306" i="1"/>
  <c r="AW306" i="1"/>
  <c r="AP306" i="1"/>
  <c r="AX306" i="1" s="1"/>
  <c r="AO306" i="1"/>
  <c r="H306" i="1" s="1"/>
  <c r="AK306" i="1"/>
  <c r="AJ306" i="1"/>
  <c r="AH306" i="1"/>
  <c r="AG306" i="1"/>
  <c r="AF306" i="1"/>
  <c r="AE306" i="1"/>
  <c r="AD306" i="1"/>
  <c r="Z306" i="1"/>
  <c r="J306" i="1"/>
  <c r="AL306" i="1" s="1"/>
  <c r="I306" i="1"/>
  <c r="BJ303" i="1"/>
  <c r="BF303" i="1"/>
  <c r="BD303" i="1"/>
  <c r="AW303" i="1"/>
  <c r="AP303" i="1"/>
  <c r="I303" i="1" s="1"/>
  <c r="AO303" i="1"/>
  <c r="BH303" i="1" s="1"/>
  <c r="AB303" i="1" s="1"/>
  <c r="AK303" i="1"/>
  <c r="AJ303" i="1"/>
  <c r="AH303" i="1"/>
  <c r="AG303" i="1"/>
  <c r="AF303" i="1"/>
  <c r="AE303" i="1"/>
  <c r="AD303" i="1"/>
  <c r="Z303" i="1"/>
  <c r="J303" i="1"/>
  <c r="AL303" i="1" s="1"/>
  <c r="H303" i="1"/>
  <c r="BJ301" i="1"/>
  <c r="BF301" i="1"/>
  <c r="BD301" i="1"/>
  <c r="BC301" i="1"/>
  <c r="AX301" i="1"/>
  <c r="AW301" i="1"/>
  <c r="AV301" i="1"/>
  <c r="AP301" i="1"/>
  <c r="BI301" i="1" s="1"/>
  <c r="AC301" i="1" s="1"/>
  <c r="AO301" i="1"/>
  <c r="BH301" i="1" s="1"/>
  <c r="AB301" i="1" s="1"/>
  <c r="AK301" i="1"/>
  <c r="AT300" i="1" s="1"/>
  <c r="AJ301" i="1"/>
  <c r="AS300" i="1" s="1"/>
  <c r="AH301" i="1"/>
  <c r="AG301" i="1"/>
  <c r="AF301" i="1"/>
  <c r="AE301" i="1"/>
  <c r="AD301" i="1"/>
  <c r="Z301" i="1"/>
  <c r="J301" i="1"/>
  <c r="AL301" i="1" s="1"/>
  <c r="I301" i="1"/>
  <c r="H301" i="1"/>
  <c r="BJ298" i="1"/>
  <c r="BI298" i="1"/>
  <c r="AC298" i="1" s="1"/>
  <c r="BF298" i="1"/>
  <c r="BD298" i="1"/>
  <c r="AX298" i="1"/>
  <c r="AV298" i="1" s="1"/>
  <c r="AW298" i="1"/>
  <c r="AP298" i="1"/>
  <c r="I298" i="1" s="1"/>
  <c r="AO298" i="1"/>
  <c r="BH298" i="1" s="1"/>
  <c r="AB298" i="1" s="1"/>
  <c r="AK298" i="1"/>
  <c r="AJ298" i="1"/>
  <c r="AH298" i="1"/>
  <c r="AG298" i="1"/>
  <c r="AF298" i="1"/>
  <c r="AE298" i="1"/>
  <c r="AD298" i="1"/>
  <c r="Z298" i="1"/>
  <c r="J298" i="1"/>
  <c r="AL298" i="1" s="1"/>
  <c r="H298" i="1"/>
  <c r="BJ295" i="1"/>
  <c r="BF295" i="1"/>
  <c r="BD295" i="1"/>
  <c r="BC295" i="1"/>
  <c r="AX295" i="1"/>
  <c r="AW295" i="1"/>
  <c r="AV295" i="1"/>
  <c r="AP295" i="1"/>
  <c r="BI295" i="1" s="1"/>
  <c r="AC295" i="1" s="1"/>
  <c r="AO295" i="1"/>
  <c r="BH295" i="1" s="1"/>
  <c r="AB295" i="1" s="1"/>
  <c r="AK295" i="1"/>
  <c r="AJ295" i="1"/>
  <c r="AH295" i="1"/>
  <c r="AG295" i="1"/>
  <c r="AF295" i="1"/>
  <c r="AE295" i="1"/>
  <c r="AD295" i="1"/>
  <c r="Z295" i="1"/>
  <c r="J295" i="1"/>
  <c r="AL295" i="1" s="1"/>
  <c r="I295" i="1"/>
  <c r="H295" i="1"/>
  <c r="BJ293" i="1"/>
  <c r="BF293" i="1"/>
  <c r="BD293" i="1"/>
  <c r="AX293" i="1"/>
  <c r="AW293" i="1"/>
  <c r="AP293" i="1"/>
  <c r="BI293" i="1" s="1"/>
  <c r="AC293" i="1" s="1"/>
  <c r="AO293" i="1"/>
  <c r="BH293" i="1" s="1"/>
  <c r="AK293" i="1"/>
  <c r="AJ293" i="1"/>
  <c r="AH293" i="1"/>
  <c r="AG293" i="1"/>
  <c r="AF293" i="1"/>
  <c r="AE293" i="1"/>
  <c r="AD293" i="1"/>
  <c r="AB293" i="1"/>
  <c r="Z293" i="1"/>
  <c r="J293" i="1"/>
  <c r="AL293" i="1" s="1"/>
  <c r="I293" i="1"/>
  <c r="H293" i="1"/>
  <c r="BJ290" i="1"/>
  <c r="BF290" i="1"/>
  <c r="BD290" i="1"/>
  <c r="AX290" i="1"/>
  <c r="AP290" i="1"/>
  <c r="BI290" i="1" s="1"/>
  <c r="AO290" i="1"/>
  <c r="AW290" i="1" s="1"/>
  <c r="AL290" i="1"/>
  <c r="AK290" i="1"/>
  <c r="AJ290" i="1"/>
  <c r="AH290" i="1"/>
  <c r="AG290" i="1"/>
  <c r="AF290" i="1"/>
  <c r="AE290" i="1"/>
  <c r="AD290" i="1"/>
  <c r="AC290" i="1"/>
  <c r="Z290" i="1"/>
  <c r="J290" i="1"/>
  <c r="I290" i="1"/>
  <c r="BJ287" i="1"/>
  <c r="BH287" i="1"/>
  <c r="AB287" i="1" s="1"/>
  <c r="BF287" i="1"/>
  <c r="BD287" i="1"/>
  <c r="AP287" i="1"/>
  <c r="AX287" i="1" s="1"/>
  <c r="AO287" i="1"/>
  <c r="AL287" i="1"/>
  <c r="AK287" i="1"/>
  <c r="AJ287" i="1"/>
  <c r="AH287" i="1"/>
  <c r="AG287" i="1"/>
  <c r="AF287" i="1"/>
  <c r="AE287" i="1"/>
  <c r="AD287" i="1"/>
  <c r="Z287" i="1"/>
  <c r="J287" i="1"/>
  <c r="BJ285" i="1"/>
  <c r="BF285" i="1"/>
  <c r="BD285" i="1"/>
  <c r="AP285" i="1"/>
  <c r="AO285" i="1"/>
  <c r="AW285" i="1" s="1"/>
  <c r="AL285" i="1"/>
  <c r="AK285" i="1"/>
  <c r="AJ285" i="1"/>
  <c r="AH285" i="1"/>
  <c r="AG285" i="1"/>
  <c r="AF285" i="1"/>
  <c r="AE285" i="1"/>
  <c r="AD285" i="1"/>
  <c r="Z285" i="1"/>
  <c r="J285" i="1"/>
  <c r="BJ284" i="1"/>
  <c r="BF284" i="1"/>
  <c r="BD284" i="1"/>
  <c r="AP284" i="1"/>
  <c r="AX284" i="1" s="1"/>
  <c r="AO284" i="1"/>
  <c r="AW284" i="1" s="1"/>
  <c r="BC284" i="1" s="1"/>
  <c r="AL284" i="1"/>
  <c r="AK284" i="1"/>
  <c r="AJ284" i="1"/>
  <c r="AH284" i="1"/>
  <c r="AG284" i="1"/>
  <c r="AF284" i="1"/>
  <c r="AE284" i="1"/>
  <c r="AD284" i="1"/>
  <c r="Z284" i="1"/>
  <c r="J284" i="1"/>
  <c r="H284" i="1"/>
  <c r="BJ281" i="1"/>
  <c r="BH281" i="1"/>
  <c r="AB281" i="1" s="1"/>
  <c r="BF281" i="1"/>
  <c r="BD281" i="1"/>
  <c r="AW281" i="1"/>
  <c r="AP281" i="1"/>
  <c r="AX281" i="1" s="1"/>
  <c r="AO281" i="1"/>
  <c r="H281" i="1" s="1"/>
  <c r="AK281" i="1"/>
  <c r="AJ281" i="1"/>
  <c r="AH281" i="1"/>
  <c r="AG281" i="1"/>
  <c r="AF281" i="1"/>
  <c r="AE281" i="1"/>
  <c r="AD281" i="1"/>
  <c r="Z281" i="1"/>
  <c r="J281" i="1"/>
  <c r="AL281" i="1" s="1"/>
  <c r="I281" i="1"/>
  <c r="BJ278" i="1"/>
  <c r="BI278" i="1"/>
  <c r="AC278" i="1" s="1"/>
  <c r="BF278" i="1"/>
  <c r="BD278" i="1"/>
  <c r="AX278" i="1"/>
  <c r="AV278" i="1" s="1"/>
  <c r="AW278" i="1"/>
  <c r="AP278" i="1"/>
  <c r="I278" i="1" s="1"/>
  <c r="AO278" i="1"/>
  <c r="BH278" i="1" s="1"/>
  <c r="AB278" i="1" s="1"/>
  <c r="AK278" i="1"/>
  <c r="AJ278" i="1"/>
  <c r="AH278" i="1"/>
  <c r="AG278" i="1"/>
  <c r="AF278" i="1"/>
  <c r="AE278" i="1"/>
  <c r="AD278" i="1"/>
  <c r="Z278" i="1"/>
  <c r="J278" i="1"/>
  <c r="AL278" i="1" s="1"/>
  <c r="H278" i="1"/>
  <c r="BJ275" i="1"/>
  <c r="BF275" i="1"/>
  <c r="BD275" i="1"/>
  <c r="BC275" i="1"/>
  <c r="AX275" i="1"/>
  <c r="AW275" i="1"/>
  <c r="AV275" i="1"/>
  <c r="AP275" i="1"/>
  <c r="BI275" i="1" s="1"/>
  <c r="AC275" i="1" s="1"/>
  <c r="AO275" i="1"/>
  <c r="BH275" i="1" s="1"/>
  <c r="AB275" i="1" s="1"/>
  <c r="AK275" i="1"/>
  <c r="AJ275" i="1"/>
  <c r="AH275" i="1"/>
  <c r="AG275" i="1"/>
  <c r="AF275" i="1"/>
  <c r="AE275" i="1"/>
  <c r="AD275" i="1"/>
  <c r="Z275" i="1"/>
  <c r="J275" i="1"/>
  <c r="AL275" i="1" s="1"/>
  <c r="I275" i="1"/>
  <c r="H275" i="1"/>
  <c r="BJ273" i="1"/>
  <c r="BF273" i="1"/>
  <c r="BD273" i="1"/>
  <c r="AX273" i="1"/>
  <c r="AW273" i="1"/>
  <c r="AP273" i="1"/>
  <c r="BI273" i="1" s="1"/>
  <c r="AC273" i="1" s="1"/>
  <c r="AO273" i="1"/>
  <c r="BH273" i="1" s="1"/>
  <c r="AK273" i="1"/>
  <c r="AJ273" i="1"/>
  <c r="AH273" i="1"/>
  <c r="AG273" i="1"/>
  <c r="AF273" i="1"/>
  <c r="AE273" i="1"/>
  <c r="AD273" i="1"/>
  <c r="AB273" i="1"/>
  <c r="Z273" i="1"/>
  <c r="J273" i="1"/>
  <c r="AL273" i="1" s="1"/>
  <c r="I273" i="1"/>
  <c r="H273" i="1"/>
  <c r="BJ271" i="1"/>
  <c r="BF271" i="1"/>
  <c r="BD271" i="1"/>
  <c r="AX271" i="1"/>
  <c r="AP271" i="1"/>
  <c r="BI271" i="1" s="1"/>
  <c r="AO271" i="1"/>
  <c r="AW271" i="1" s="1"/>
  <c r="AL271" i="1"/>
  <c r="AK271" i="1"/>
  <c r="AJ271" i="1"/>
  <c r="AH271" i="1"/>
  <c r="AG271" i="1"/>
  <c r="AF271" i="1"/>
  <c r="AE271" i="1"/>
  <c r="AD271" i="1"/>
  <c r="AC271" i="1"/>
  <c r="Z271" i="1"/>
  <c r="J271" i="1"/>
  <c r="I271" i="1"/>
  <c r="BJ268" i="1"/>
  <c r="BH268" i="1"/>
  <c r="AB268" i="1" s="1"/>
  <c r="BF268" i="1"/>
  <c r="BD268" i="1"/>
  <c r="AP268" i="1"/>
  <c r="AX268" i="1" s="1"/>
  <c r="AO268" i="1"/>
  <c r="AL268" i="1"/>
  <c r="AK268" i="1"/>
  <c r="AJ268" i="1"/>
  <c r="AH268" i="1"/>
  <c r="AG268" i="1"/>
  <c r="AF268" i="1"/>
  <c r="AE268" i="1"/>
  <c r="AD268" i="1"/>
  <c r="Z268" i="1"/>
  <c r="J268" i="1"/>
  <c r="BJ267" i="1"/>
  <c r="BF267" i="1"/>
  <c r="BD267" i="1"/>
  <c r="AP267" i="1"/>
  <c r="AO267" i="1"/>
  <c r="AW267" i="1" s="1"/>
  <c r="AL267" i="1"/>
  <c r="AK267" i="1"/>
  <c r="AT260" i="1" s="1"/>
  <c r="AJ267" i="1"/>
  <c r="AH267" i="1"/>
  <c r="AG267" i="1"/>
  <c r="AF267" i="1"/>
  <c r="AE267" i="1"/>
  <c r="AD267" i="1"/>
  <c r="Z267" i="1"/>
  <c r="J267" i="1"/>
  <c r="BJ265" i="1"/>
  <c r="BF265" i="1"/>
  <c r="BD265" i="1"/>
  <c r="AP265" i="1"/>
  <c r="AX265" i="1" s="1"/>
  <c r="AO265" i="1"/>
  <c r="AW265" i="1" s="1"/>
  <c r="BC265" i="1" s="1"/>
  <c r="AL265" i="1"/>
  <c r="AK265" i="1"/>
  <c r="AJ265" i="1"/>
  <c r="AH265" i="1"/>
  <c r="AG265" i="1"/>
  <c r="AF265" i="1"/>
  <c r="AE265" i="1"/>
  <c r="AD265" i="1"/>
  <c r="Z265" i="1"/>
  <c r="J265" i="1"/>
  <c r="H265" i="1"/>
  <c r="BJ263" i="1"/>
  <c r="BH263" i="1"/>
  <c r="AB263" i="1" s="1"/>
  <c r="BF263" i="1"/>
  <c r="BD263" i="1"/>
  <c r="AW263" i="1"/>
  <c r="AP263" i="1"/>
  <c r="AX263" i="1" s="1"/>
  <c r="AO263" i="1"/>
  <c r="H263" i="1" s="1"/>
  <c r="AK263" i="1"/>
  <c r="AJ263" i="1"/>
  <c r="AH263" i="1"/>
  <c r="AG263" i="1"/>
  <c r="AF263" i="1"/>
  <c r="AE263" i="1"/>
  <c r="AD263" i="1"/>
  <c r="Z263" i="1"/>
  <c r="J263" i="1"/>
  <c r="AL263" i="1" s="1"/>
  <c r="I263" i="1"/>
  <c r="BJ261" i="1"/>
  <c r="BI261" i="1"/>
  <c r="AC261" i="1" s="1"/>
  <c r="BF261" i="1"/>
  <c r="BD261" i="1"/>
  <c r="AX261" i="1"/>
  <c r="AV261" i="1" s="1"/>
  <c r="AW261" i="1"/>
  <c r="AP261" i="1"/>
  <c r="I261" i="1" s="1"/>
  <c r="AO261" i="1"/>
  <c r="BH261" i="1" s="1"/>
  <c r="AB261" i="1" s="1"/>
  <c r="AK261" i="1"/>
  <c r="AJ261" i="1"/>
  <c r="AH261" i="1"/>
  <c r="AG261" i="1"/>
  <c r="AF261" i="1"/>
  <c r="AE261" i="1"/>
  <c r="AD261" i="1"/>
  <c r="Z261" i="1"/>
  <c r="J261" i="1"/>
  <c r="H261" i="1"/>
  <c r="BJ258" i="1"/>
  <c r="BF258" i="1"/>
  <c r="BD258" i="1"/>
  <c r="AP258" i="1"/>
  <c r="AX258" i="1" s="1"/>
  <c r="AO258" i="1"/>
  <c r="H258" i="1" s="1"/>
  <c r="AK258" i="1"/>
  <c r="AJ258" i="1"/>
  <c r="AH258" i="1"/>
  <c r="AG258" i="1"/>
  <c r="AF258" i="1"/>
  <c r="AE258" i="1"/>
  <c r="AD258" i="1"/>
  <c r="Z258" i="1"/>
  <c r="J258" i="1"/>
  <c r="AL258" i="1" s="1"/>
  <c r="I258" i="1"/>
  <c r="BJ256" i="1"/>
  <c r="BI256" i="1"/>
  <c r="AC256" i="1" s="1"/>
  <c r="BF256" i="1"/>
  <c r="BD256" i="1"/>
  <c r="AX256" i="1"/>
  <c r="AV256" i="1" s="1"/>
  <c r="AW256" i="1"/>
  <c r="BC256" i="1" s="1"/>
  <c r="AP256" i="1"/>
  <c r="I256" i="1" s="1"/>
  <c r="AO256" i="1"/>
  <c r="BH256" i="1" s="1"/>
  <c r="AB256" i="1" s="1"/>
  <c r="AK256" i="1"/>
  <c r="AJ256" i="1"/>
  <c r="AH256" i="1"/>
  <c r="AG256" i="1"/>
  <c r="AF256" i="1"/>
  <c r="AE256" i="1"/>
  <c r="AD256" i="1"/>
  <c r="Z256" i="1"/>
  <c r="J256" i="1"/>
  <c r="AL256" i="1" s="1"/>
  <c r="H256" i="1"/>
  <c r="BJ253" i="1"/>
  <c r="BF253" i="1"/>
  <c r="BD253" i="1"/>
  <c r="BC253" i="1"/>
  <c r="AX253" i="1"/>
  <c r="AW253" i="1"/>
  <c r="AV253" i="1"/>
  <c r="AP253" i="1"/>
  <c r="BI253" i="1" s="1"/>
  <c r="AC253" i="1" s="1"/>
  <c r="AO253" i="1"/>
  <c r="BH253" i="1" s="1"/>
  <c r="AB253" i="1" s="1"/>
  <c r="AK253" i="1"/>
  <c r="AJ253" i="1"/>
  <c r="AH253" i="1"/>
  <c r="AG253" i="1"/>
  <c r="AF253" i="1"/>
  <c r="AE253" i="1"/>
  <c r="AD253" i="1"/>
  <c r="Z253" i="1"/>
  <c r="J253" i="1"/>
  <c r="AL253" i="1" s="1"/>
  <c r="I253" i="1"/>
  <c r="H253" i="1"/>
  <c r="BJ252" i="1"/>
  <c r="BF252" i="1"/>
  <c r="BD252" i="1"/>
  <c r="AX252" i="1"/>
  <c r="AW252" i="1"/>
  <c r="AP252" i="1"/>
  <c r="BI252" i="1" s="1"/>
  <c r="AC252" i="1" s="1"/>
  <c r="AO252" i="1"/>
  <c r="BH252" i="1" s="1"/>
  <c r="AK252" i="1"/>
  <c r="AJ252" i="1"/>
  <c r="AH252" i="1"/>
  <c r="AG252" i="1"/>
  <c r="AF252" i="1"/>
  <c r="AE252" i="1"/>
  <c r="AD252" i="1"/>
  <c r="AB252" i="1"/>
  <c r="Z252" i="1"/>
  <c r="J252" i="1"/>
  <c r="AL252" i="1" s="1"/>
  <c r="I252" i="1"/>
  <c r="H252" i="1"/>
  <c r="BJ251" i="1"/>
  <c r="BF251" i="1"/>
  <c r="BD251" i="1"/>
  <c r="AX251" i="1"/>
  <c r="AP251" i="1"/>
  <c r="BI251" i="1" s="1"/>
  <c r="AC251" i="1" s="1"/>
  <c r="AO251" i="1"/>
  <c r="AW251" i="1" s="1"/>
  <c r="AL251" i="1"/>
  <c r="AK251" i="1"/>
  <c r="AJ251" i="1"/>
  <c r="AH251" i="1"/>
  <c r="AG251" i="1"/>
  <c r="AF251" i="1"/>
  <c r="AE251" i="1"/>
  <c r="AD251" i="1"/>
  <c r="Z251" i="1"/>
  <c r="J251" i="1"/>
  <c r="I251" i="1"/>
  <c r="BJ249" i="1"/>
  <c r="BH249" i="1"/>
  <c r="AB249" i="1" s="1"/>
  <c r="BF249" i="1"/>
  <c r="BD249" i="1"/>
  <c r="AP249" i="1"/>
  <c r="AX249" i="1" s="1"/>
  <c r="AO249" i="1"/>
  <c r="AL249" i="1"/>
  <c r="AK249" i="1"/>
  <c r="AJ249" i="1"/>
  <c r="AH249" i="1"/>
  <c r="AG249" i="1"/>
  <c r="AF249" i="1"/>
  <c r="AE249" i="1"/>
  <c r="AD249" i="1"/>
  <c r="Z249" i="1"/>
  <c r="J249" i="1"/>
  <c r="BJ247" i="1"/>
  <c r="BI247" i="1"/>
  <c r="AC247" i="1" s="1"/>
  <c r="BF247" i="1"/>
  <c r="BD247" i="1"/>
  <c r="AP247" i="1"/>
  <c r="AO247" i="1"/>
  <c r="AW247" i="1" s="1"/>
  <c r="AL247" i="1"/>
  <c r="AK247" i="1"/>
  <c r="AJ247" i="1"/>
  <c r="AH247" i="1"/>
  <c r="AG247" i="1"/>
  <c r="AF247" i="1"/>
  <c r="AE247" i="1"/>
  <c r="AD247" i="1"/>
  <c r="Z247" i="1"/>
  <c r="J247" i="1"/>
  <c r="BJ245" i="1"/>
  <c r="BF245" i="1"/>
  <c r="BD245" i="1"/>
  <c r="AP245" i="1"/>
  <c r="AX245" i="1" s="1"/>
  <c r="AO245" i="1"/>
  <c r="AW245" i="1" s="1"/>
  <c r="BC245" i="1" s="1"/>
  <c r="AL245" i="1"/>
  <c r="AK245" i="1"/>
  <c r="AJ245" i="1"/>
  <c r="AH245" i="1"/>
  <c r="AG245" i="1"/>
  <c r="AF245" i="1"/>
  <c r="AE245" i="1"/>
  <c r="AD245" i="1"/>
  <c r="Z245" i="1"/>
  <c r="J245" i="1"/>
  <c r="H245" i="1"/>
  <c r="BJ243" i="1"/>
  <c r="BF243" i="1"/>
  <c r="BD243" i="1"/>
  <c r="AP243" i="1"/>
  <c r="AX243" i="1" s="1"/>
  <c r="AO243" i="1"/>
  <c r="H243" i="1" s="1"/>
  <c r="AK243" i="1"/>
  <c r="AJ243" i="1"/>
  <c r="AH243" i="1"/>
  <c r="AG243" i="1"/>
  <c r="AF243" i="1"/>
  <c r="AE243" i="1"/>
  <c r="AD243" i="1"/>
  <c r="Z243" i="1"/>
  <c r="J243" i="1"/>
  <c r="AL243" i="1" s="1"/>
  <c r="I243" i="1"/>
  <c r="BJ241" i="1"/>
  <c r="BI241" i="1"/>
  <c r="AC241" i="1" s="1"/>
  <c r="BF241" i="1"/>
  <c r="BD241" i="1"/>
  <c r="AX241" i="1"/>
  <c r="AV241" i="1" s="1"/>
  <c r="AW241" i="1"/>
  <c r="BC241" i="1" s="1"/>
  <c r="AP241" i="1"/>
  <c r="I241" i="1" s="1"/>
  <c r="AO241" i="1"/>
  <c r="BH241" i="1" s="1"/>
  <c r="AB241" i="1" s="1"/>
  <c r="AK241" i="1"/>
  <c r="AJ241" i="1"/>
  <c r="AH241" i="1"/>
  <c r="AG241" i="1"/>
  <c r="AF241" i="1"/>
  <c r="AE241" i="1"/>
  <c r="AD241" i="1"/>
  <c r="Z241" i="1"/>
  <c r="J241" i="1"/>
  <c r="AL241" i="1" s="1"/>
  <c r="H241" i="1"/>
  <c r="BJ236" i="1"/>
  <c r="BF236" i="1"/>
  <c r="BD236" i="1"/>
  <c r="BC236" i="1"/>
  <c r="AX236" i="1"/>
  <c r="AW236" i="1"/>
  <c r="AV236" i="1"/>
  <c r="AP236" i="1"/>
  <c r="BI236" i="1" s="1"/>
  <c r="AC236" i="1" s="1"/>
  <c r="AO236" i="1"/>
  <c r="BH236" i="1" s="1"/>
  <c r="AB236" i="1" s="1"/>
  <c r="AK236" i="1"/>
  <c r="AJ236" i="1"/>
  <c r="AS235" i="1" s="1"/>
  <c r="AH236" i="1"/>
  <c r="AG236" i="1"/>
  <c r="AF236" i="1"/>
  <c r="AE236" i="1"/>
  <c r="AD236" i="1"/>
  <c r="Z236" i="1"/>
  <c r="J236" i="1"/>
  <c r="AL236" i="1" s="1"/>
  <c r="I236" i="1"/>
  <c r="H236" i="1"/>
  <c r="BJ232" i="1"/>
  <c r="BF232" i="1"/>
  <c r="BD232" i="1"/>
  <c r="AW232" i="1"/>
  <c r="AP232" i="1"/>
  <c r="I232" i="1" s="1"/>
  <c r="I231" i="1" s="1"/>
  <c r="AO232" i="1"/>
  <c r="BH232" i="1" s="1"/>
  <c r="AB232" i="1" s="1"/>
  <c r="AK232" i="1"/>
  <c r="AJ232" i="1"/>
  <c r="AS231" i="1" s="1"/>
  <c r="AH232" i="1"/>
  <c r="AG232" i="1"/>
  <c r="AF232" i="1"/>
  <c r="AE232" i="1"/>
  <c r="AD232" i="1"/>
  <c r="Z232" i="1"/>
  <c r="J232" i="1"/>
  <c r="H232" i="1"/>
  <c r="AT231" i="1"/>
  <c r="H231" i="1"/>
  <c r="BJ229" i="1"/>
  <c r="BF229" i="1"/>
  <c r="BD229" i="1"/>
  <c r="AP229" i="1"/>
  <c r="AX229" i="1" s="1"/>
  <c r="AO229" i="1"/>
  <c r="H229" i="1" s="1"/>
  <c r="AK229" i="1"/>
  <c r="AJ229" i="1"/>
  <c r="AH229" i="1"/>
  <c r="AG229" i="1"/>
  <c r="AF229" i="1"/>
  <c r="AE229" i="1"/>
  <c r="AD229" i="1"/>
  <c r="Z229" i="1"/>
  <c r="J229" i="1"/>
  <c r="AL229" i="1" s="1"/>
  <c r="I229" i="1"/>
  <c r="BJ228" i="1"/>
  <c r="BF228" i="1"/>
  <c r="BD228" i="1"/>
  <c r="AW228" i="1"/>
  <c r="AP228" i="1"/>
  <c r="I228" i="1" s="1"/>
  <c r="AO228" i="1"/>
  <c r="BH228" i="1" s="1"/>
  <c r="AB228" i="1" s="1"/>
  <c r="AK228" i="1"/>
  <c r="AJ228" i="1"/>
  <c r="AH228" i="1"/>
  <c r="AG228" i="1"/>
  <c r="AF228" i="1"/>
  <c r="AE228" i="1"/>
  <c r="AD228" i="1"/>
  <c r="Z228" i="1"/>
  <c r="J228" i="1"/>
  <c r="AL228" i="1" s="1"/>
  <c r="H228" i="1"/>
  <c r="BJ225" i="1"/>
  <c r="BF225" i="1"/>
  <c r="BD225" i="1"/>
  <c r="BC225" i="1"/>
  <c r="AX225" i="1"/>
  <c r="AW225" i="1"/>
  <c r="AV225" i="1"/>
  <c r="AP225" i="1"/>
  <c r="BI225" i="1" s="1"/>
  <c r="AC225" i="1" s="1"/>
  <c r="AO225" i="1"/>
  <c r="BH225" i="1" s="1"/>
  <c r="AB225" i="1" s="1"/>
  <c r="AK225" i="1"/>
  <c r="AJ225" i="1"/>
  <c r="AS222" i="1" s="1"/>
  <c r="AH225" i="1"/>
  <c r="AG225" i="1"/>
  <c r="AF225" i="1"/>
  <c r="AE225" i="1"/>
  <c r="AD225" i="1"/>
  <c r="Z225" i="1"/>
  <c r="J225" i="1"/>
  <c r="AL225" i="1" s="1"/>
  <c r="I225" i="1"/>
  <c r="H225" i="1"/>
  <c r="BJ224" i="1"/>
  <c r="BF224" i="1"/>
  <c r="BD224" i="1"/>
  <c r="AX224" i="1"/>
  <c r="AW224" i="1"/>
  <c r="AP224" i="1"/>
  <c r="BI224" i="1" s="1"/>
  <c r="AC224" i="1" s="1"/>
  <c r="AO224" i="1"/>
  <c r="BH224" i="1" s="1"/>
  <c r="AK224" i="1"/>
  <c r="AJ224" i="1"/>
  <c r="AH224" i="1"/>
  <c r="AG224" i="1"/>
  <c r="AF224" i="1"/>
  <c r="AE224" i="1"/>
  <c r="AD224" i="1"/>
  <c r="AB224" i="1"/>
  <c r="Z224" i="1"/>
  <c r="J224" i="1"/>
  <c r="AL224" i="1" s="1"/>
  <c r="I224" i="1"/>
  <c r="H224" i="1"/>
  <c r="BJ223" i="1"/>
  <c r="BF223" i="1"/>
  <c r="BD223" i="1"/>
  <c r="AX223" i="1"/>
  <c r="AP223" i="1"/>
  <c r="BI223" i="1" s="1"/>
  <c r="AC223" i="1" s="1"/>
  <c r="AO223" i="1"/>
  <c r="AW223" i="1" s="1"/>
  <c r="AL223" i="1"/>
  <c r="AK223" i="1"/>
  <c r="AJ223" i="1"/>
  <c r="AH223" i="1"/>
  <c r="AG223" i="1"/>
  <c r="AF223" i="1"/>
  <c r="AE223" i="1"/>
  <c r="AD223" i="1"/>
  <c r="Z223" i="1"/>
  <c r="J223" i="1"/>
  <c r="I223" i="1"/>
  <c r="BJ220" i="1"/>
  <c r="BF220" i="1"/>
  <c r="BD220" i="1"/>
  <c r="AX220" i="1"/>
  <c r="AW220" i="1"/>
  <c r="AP220" i="1"/>
  <c r="BI220" i="1" s="1"/>
  <c r="AE220" i="1" s="1"/>
  <c r="AO220" i="1"/>
  <c r="BH220" i="1" s="1"/>
  <c r="AD220" i="1" s="1"/>
  <c r="AK220" i="1"/>
  <c r="AJ220" i="1"/>
  <c r="AH220" i="1"/>
  <c r="AG220" i="1"/>
  <c r="AF220" i="1"/>
  <c r="AC220" i="1"/>
  <c r="AB220" i="1"/>
  <c r="Z220" i="1"/>
  <c r="J220" i="1"/>
  <c r="AL220" i="1" s="1"/>
  <c r="I220" i="1"/>
  <c r="I218" i="1" s="1"/>
  <c r="H220" i="1"/>
  <c r="BJ219" i="1"/>
  <c r="BF219" i="1"/>
  <c r="BD219" i="1"/>
  <c r="AX219" i="1"/>
  <c r="AP219" i="1"/>
  <c r="BI219" i="1" s="1"/>
  <c r="AE219" i="1" s="1"/>
  <c r="AO219" i="1"/>
  <c r="AW219" i="1" s="1"/>
  <c r="AL219" i="1"/>
  <c r="AU218" i="1" s="1"/>
  <c r="AK219" i="1"/>
  <c r="AT218" i="1" s="1"/>
  <c r="AJ219" i="1"/>
  <c r="AH219" i="1"/>
  <c r="AG219" i="1"/>
  <c r="AF219" i="1"/>
  <c r="AC219" i="1"/>
  <c r="AB219" i="1"/>
  <c r="Z219" i="1"/>
  <c r="J219" i="1"/>
  <c r="J218" i="1" s="1"/>
  <c r="I219" i="1"/>
  <c r="AS218" i="1"/>
  <c r="BJ216" i="1"/>
  <c r="BF216" i="1"/>
  <c r="BD216" i="1"/>
  <c r="AX216" i="1"/>
  <c r="AW216" i="1"/>
  <c r="AP216" i="1"/>
  <c r="BI216" i="1" s="1"/>
  <c r="AE216" i="1" s="1"/>
  <c r="AO216" i="1"/>
  <c r="BH216" i="1" s="1"/>
  <c r="AD216" i="1" s="1"/>
  <c r="AK216" i="1"/>
  <c r="AJ216" i="1"/>
  <c r="AH216" i="1"/>
  <c r="AG216" i="1"/>
  <c r="AF216" i="1"/>
  <c r="AC216" i="1"/>
  <c r="AB216" i="1"/>
  <c r="Z216" i="1"/>
  <c r="J216" i="1"/>
  <c r="AL216" i="1" s="1"/>
  <c r="I216" i="1"/>
  <c r="I211" i="1" s="1"/>
  <c r="H216" i="1"/>
  <c r="BJ212" i="1"/>
  <c r="BF212" i="1"/>
  <c r="BD212" i="1"/>
  <c r="AX212" i="1"/>
  <c r="AP212" i="1"/>
  <c r="BI212" i="1" s="1"/>
  <c r="AE212" i="1" s="1"/>
  <c r="AO212" i="1"/>
  <c r="AW212" i="1" s="1"/>
  <c r="AL212" i="1"/>
  <c r="AU211" i="1" s="1"/>
  <c r="AK212" i="1"/>
  <c r="AJ212" i="1"/>
  <c r="AH212" i="1"/>
  <c r="AG212" i="1"/>
  <c r="AF212" i="1"/>
  <c r="AC212" i="1"/>
  <c r="AB212" i="1"/>
  <c r="Z212" i="1"/>
  <c r="J212" i="1"/>
  <c r="J211" i="1" s="1"/>
  <c r="I212" i="1"/>
  <c r="AS211" i="1"/>
  <c r="BJ209" i="1"/>
  <c r="BF209" i="1"/>
  <c r="BD209" i="1"/>
  <c r="AX209" i="1"/>
  <c r="AW209" i="1"/>
  <c r="AP209" i="1"/>
  <c r="BI209" i="1" s="1"/>
  <c r="AE209" i="1" s="1"/>
  <c r="AO209" i="1"/>
  <c r="BH209" i="1" s="1"/>
  <c r="AD209" i="1" s="1"/>
  <c r="AK209" i="1"/>
  <c r="AJ209" i="1"/>
  <c r="AH209" i="1"/>
  <c r="AG209" i="1"/>
  <c r="AF209" i="1"/>
  <c r="AC209" i="1"/>
  <c r="AB209" i="1"/>
  <c r="Z209" i="1"/>
  <c r="J209" i="1"/>
  <c r="AL209" i="1" s="1"/>
  <c r="I209" i="1"/>
  <c r="I207" i="1" s="1"/>
  <c r="H209" i="1"/>
  <c r="BJ208" i="1"/>
  <c r="BF208" i="1"/>
  <c r="BD208" i="1"/>
  <c r="AX208" i="1"/>
  <c r="AP208" i="1"/>
  <c r="BI208" i="1" s="1"/>
  <c r="AE208" i="1" s="1"/>
  <c r="AO208" i="1"/>
  <c r="AW208" i="1" s="1"/>
  <c r="AK208" i="1"/>
  <c r="AT207" i="1" s="1"/>
  <c r="AJ208" i="1"/>
  <c r="AH208" i="1"/>
  <c r="AG208" i="1"/>
  <c r="AF208" i="1"/>
  <c r="AC208" i="1"/>
  <c r="AB208" i="1"/>
  <c r="Z208" i="1"/>
  <c r="J208" i="1"/>
  <c r="J207" i="1" s="1"/>
  <c r="I208" i="1"/>
  <c r="AS207" i="1"/>
  <c r="BJ203" i="1"/>
  <c r="BF203" i="1"/>
  <c r="BD203" i="1"/>
  <c r="AX203" i="1"/>
  <c r="AW203" i="1"/>
  <c r="AP203" i="1"/>
  <c r="BI203" i="1" s="1"/>
  <c r="AE203" i="1" s="1"/>
  <c r="AO203" i="1"/>
  <c r="BH203" i="1" s="1"/>
  <c r="AD203" i="1" s="1"/>
  <c r="AK203" i="1"/>
  <c r="AJ203" i="1"/>
  <c r="AH203" i="1"/>
  <c r="AG203" i="1"/>
  <c r="AF203" i="1"/>
  <c r="AC203" i="1"/>
  <c r="AB203" i="1"/>
  <c r="Z203" i="1"/>
  <c r="J203" i="1"/>
  <c r="AL203" i="1" s="1"/>
  <c r="I203" i="1"/>
  <c r="H203" i="1"/>
  <c r="BJ199" i="1"/>
  <c r="BF199" i="1"/>
  <c r="BD199" i="1"/>
  <c r="AX199" i="1"/>
  <c r="AP199" i="1"/>
  <c r="BI199" i="1" s="1"/>
  <c r="AE199" i="1" s="1"/>
  <c r="AO199" i="1"/>
  <c r="AW199" i="1" s="1"/>
  <c r="AK199" i="1"/>
  <c r="AJ199" i="1"/>
  <c r="AH199" i="1"/>
  <c r="AG199" i="1"/>
  <c r="AF199" i="1"/>
  <c r="AC199" i="1"/>
  <c r="AB199" i="1"/>
  <c r="Z199" i="1"/>
  <c r="J199" i="1"/>
  <c r="AL199" i="1" s="1"/>
  <c r="I199" i="1"/>
  <c r="BJ194" i="1"/>
  <c r="BF194" i="1"/>
  <c r="BD194" i="1"/>
  <c r="AP194" i="1"/>
  <c r="AX194" i="1" s="1"/>
  <c r="AO194" i="1"/>
  <c r="BH194" i="1" s="1"/>
  <c r="AD194" i="1" s="1"/>
  <c r="AL194" i="1"/>
  <c r="AK194" i="1"/>
  <c r="AJ194" i="1"/>
  <c r="AH194" i="1"/>
  <c r="AG194" i="1"/>
  <c r="AF194" i="1"/>
  <c r="AC194" i="1"/>
  <c r="AB194" i="1"/>
  <c r="Z194" i="1"/>
  <c r="J194" i="1"/>
  <c r="BJ191" i="1"/>
  <c r="BF191" i="1"/>
  <c r="BD191" i="1"/>
  <c r="AP191" i="1"/>
  <c r="BI191" i="1" s="1"/>
  <c r="AE191" i="1" s="1"/>
  <c r="AO191" i="1"/>
  <c r="AW191" i="1" s="1"/>
  <c r="AL191" i="1"/>
  <c r="AK191" i="1"/>
  <c r="AJ191" i="1"/>
  <c r="AH191" i="1"/>
  <c r="AG191" i="1"/>
  <c r="AF191" i="1"/>
  <c r="AC191" i="1"/>
  <c r="AB191" i="1"/>
  <c r="Z191" i="1"/>
  <c r="J191" i="1"/>
  <c r="BJ188" i="1"/>
  <c r="BF188" i="1"/>
  <c r="BD188" i="1"/>
  <c r="AV188" i="1"/>
  <c r="AP188" i="1"/>
  <c r="AX188" i="1" s="1"/>
  <c r="AO188" i="1"/>
  <c r="AW188" i="1" s="1"/>
  <c r="AL188" i="1"/>
  <c r="AK188" i="1"/>
  <c r="AJ188" i="1"/>
  <c r="AH188" i="1"/>
  <c r="AG188" i="1"/>
  <c r="AF188" i="1"/>
  <c r="AC188" i="1"/>
  <c r="AB188" i="1"/>
  <c r="Z188" i="1"/>
  <c r="J188" i="1"/>
  <c r="H188" i="1"/>
  <c r="BJ183" i="1"/>
  <c r="BH183" i="1"/>
  <c r="BF183" i="1"/>
  <c r="BD183" i="1"/>
  <c r="AW183" i="1"/>
  <c r="AP183" i="1"/>
  <c r="AX183" i="1" s="1"/>
  <c r="AO183" i="1"/>
  <c r="H183" i="1" s="1"/>
  <c r="AK183" i="1"/>
  <c r="AJ183" i="1"/>
  <c r="AH183" i="1"/>
  <c r="AG183" i="1"/>
  <c r="AF183" i="1"/>
  <c r="AD183" i="1"/>
  <c r="AC183" i="1"/>
  <c r="AB183" i="1"/>
  <c r="Z183" i="1"/>
  <c r="J183" i="1"/>
  <c r="AL183" i="1" s="1"/>
  <c r="I183" i="1"/>
  <c r="BJ179" i="1"/>
  <c r="BI179" i="1"/>
  <c r="BF179" i="1"/>
  <c r="BD179" i="1"/>
  <c r="AX179" i="1"/>
  <c r="AV179" i="1" s="1"/>
  <c r="AW179" i="1"/>
  <c r="BC179" i="1" s="1"/>
  <c r="AP179" i="1"/>
  <c r="I179" i="1" s="1"/>
  <c r="AO179" i="1"/>
  <c r="BH179" i="1" s="1"/>
  <c r="AD179" i="1" s="1"/>
  <c r="AK179" i="1"/>
  <c r="AJ179" i="1"/>
  <c r="AH179" i="1"/>
  <c r="AG179" i="1"/>
  <c r="AF179" i="1"/>
  <c r="AE179" i="1"/>
  <c r="AC179" i="1"/>
  <c r="AB179" i="1"/>
  <c r="Z179" i="1"/>
  <c r="J179" i="1"/>
  <c r="AL179" i="1" s="1"/>
  <c r="H179" i="1"/>
  <c r="BJ175" i="1"/>
  <c r="BF175" i="1"/>
  <c r="BD175" i="1"/>
  <c r="BC175" i="1"/>
  <c r="AX175" i="1"/>
  <c r="AW175" i="1"/>
  <c r="AV175" i="1"/>
  <c r="AP175" i="1"/>
  <c r="BI175" i="1" s="1"/>
  <c r="AE175" i="1" s="1"/>
  <c r="AO175" i="1"/>
  <c r="BH175" i="1" s="1"/>
  <c r="AD175" i="1" s="1"/>
  <c r="AK175" i="1"/>
  <c r="AJ175" i="1"/>
  <c r="AH175" i="1"/>
  <c r="AG175" i="1"/>
  <c r="AF175" i="1"/>
  <c r="AC175" i="1"/>
  <c r="AB175" i="1"/>
  <c r="Z175" i="1"/>
  <c r="J175" i="1"/>
  <c r="AL175" i="1" s="1"/>
  <c r="I175" i="1"/>
  <c r="H175" i="1"/>
  <c r="BJ170" i="1"/>
  <c r="BF170" i="1"/>
  <c r="BD170" i="1"/>
  <c r="AX170" i="1"/>
  <c r="AW170" i="1"/>
  <c r="AP170" i="1"/>
  <c r="BI170" i="1" s="1"/>
  <c r="AE170" i="1" s="1"/>
  <c r="AO170" i="1"/>
  <c r="BH170" i="1" s="1"/>
  <c r="AD170" i="1" s="1"/>
  <c r="AK170" i="1"/>
  <c r="AJ170" i="1"/>
  <c r="AH170" i="1"/>
  <c r="AG170" i="1"/>
  <c r="AF170" i="1"/>
  <c r="AC170" i="1"/>
  <c r="AB170" i="1"/>
  <c r="Z170" i="1"/>
  <c r="J170" i="1"/>
  <c r="AL170" i="1" s="1"/>
  <c r="I170" i="1"/>
  <c r="H170" i="1"/>
  <c r="BJ163" i="1"/>
  <c r="BF163" i="1"/>
  <c r="BD163" i="1"/>
  <c r="BC163" i="1"/>
  <c r="AX163" i="1"/>
  <c r="AW163" i="1"/>
  <c r="AV163" i="1"/>
  <c r="AP163" i="1"/>
  <c r="BI163" i="1" s="1"/>
  <c r="AC163" i="1" s="1"/>
  <c r="AO163" i="1"/>
  <c r="BH163" i="1" s="1"/>
  <c r="AB163" i="1" s="1"/>
  <c r="AK163" i="1"/>
  <c r="AJ163" i="1"/>
  <c r="AH163" i="1"/>
  <c r="AG163" i="1"/>
  <c r="AF163" i="1"/>
  <c r="AE163" i="1"/>
  <c r="AD163" i="1"/>
  <c r="Z163" i="1"/>
  <c r="J163" i="1"/>
  <c r="AL163" i="1" s="1"/>
  <c r="I163" i="1"/>
  <c r="H163" i="1"/>
  <c r="BJ160" i="1"/>
  <c r="BF160" i="1"/>
  <c r="BD160" i="1"/>
  <c r="AX160" i="1"/>
  <c r="AW160" i="1"/>
  <c r="AP160" i="1"/>
  <c r="BI160" i="1" s="1"/>
  <c r="AC160" i="1" s="1"/>
  <c r="AO160" i="1"/>
  <c r="BH160" i="1" s="1"/>
  <c r="AK160" i="1"/>
  <c r="AJ160" i="1"/>
  <c r="AH160" i="1"/>
  <c r="AG160" i="1"/>
  <c r="AF160" i="1"/>
  <c r="AE160" i="1"/>
  <c r="AD160" i="1"/>
  <c r="AB160" i="1"/>
  <c r="Z160" i="1"/>
  <c r="J160" i="1"/>
  <c r="AL160" i="1" s="1"/>
  <c r="I160" i="1"/>
  <c r="H160" i="1"/>
  <c r="BJ159" i="1"/>
  <c r="BF159" i="1"/>
  <c r="BD159" i="1"/>
  <c r="AX159" i="1"/>
  <c r="BC159" i="1" s="1"/>
  <c r="AW159" i="1"/>
  <c r="AV159" i="1" s="1"/>
  <c r="AP159" i="1"/>
  <c r="BI159" i="1" s="1"/>
  <c r="AO159" i="1"/>
  <c r="BH159" i="1" s="1"/>
  <c r="AB159" i="1" s="1"/>
  <c r="AL159" i="1"/>
  <c r="AK159" i="1"/>
  <c r="AJ159" i="1"/>
  <c r="AH159" i="1"/>
  <c r="AG159" i="1"/>
  <c r="AF159" i="1"/>
  <c r="AE159" i="1"/>
  <c r="AD159" i="1"/>
  <c r="AC159" i="1"/>
  <c r="Z159" i="1"/>
  <c r="J159" i="1"/>
  <c r="J151" i="1" s="1"/>
  <c r="I159" i="1"/>
  <c r="H159" i="1"/>
  <c r="BJ157" i="1"/>
  <c r="BF157" i="1"/>
  <c r="BD157" i="1"/>
  <c r="AX157" i="1"/>
  <c r="AP157" i="1"/>
  <c r="BI157" i="1" s="1"/>
  <c r="AC157" i="1" s="1"/>
  <c r="AO157" i="1"/>
  <c r="BH157" i="1" s="1"/>
  <c r="AB157" i="1" s="1"/>
  <c r="AL157" i="1"/>
  <c r="AK157" i="1"/>
  <c r="AJ157" i="1"/>
  <c r="AS151" i="1" s="1"/>
  <c r="AH157" i="1"/>
  <c r="AG157" i="1"/>
  <c r="AF157" i="1"/>
  <c r="AE157" i="1"/>
  <c r="AD157" i="1"/>
  <c r="Z157" i="1"/>
  <c r="J157" i="1"/>
  <c r="I157" i="1"/>
  <c r="BJ155" i="1"/>
  <c r="BI155" i="1"/>
  <c r="AC155" i="1" s="1"/>
  <c r="BF155" i="1"/>
  <c r="BD155" i="1"/>
  <c r="AP155" i="1"/>
  <c r="AO155" i="1"/>
  <c r="AW155" i="1" s="1"/>
  <c r="AL155" i="1"/>
  <c r="AK155" i="1"/>
  <c r="AJ155" i="1"/>
  <c r="AH155" i="1"/>
  <c r="AG155" i="1"/>
  <c r="AF155" i="1"/>
  <c r="AE155" i="1"/>
  <c r="AD155" i="1"/>
  <c r="Z155" i="1"/>
  <c r="J155" i="1"/>
  <c r="BJ152" i="1"/>
  <c r="BF152" i="1"/>
  <c r="BD152" i="1"/>
  <c r="AP152" i="1"/>
  <c r="AX152" i="1" s="1"/>
  <c r="AO152" i="1"/>
  <c r="AL152" i="1"/>
  <c r="AK152" i="1"/>
  <c r="AJ152" i="1"/>
  <c r="AH152" i="1"/>
  <c r="AG152" i="1"/>
  <c r="AF152" i="1"/>
  <c r="AE152" i="1"/>
  <c r="AD152" i="1"/>
  <c r="Z152" i="1"/>
  <c r="J152" i="1"/>
  <c r="H152" i="1"/>
  <c r="AT151" i="1"/>
  <c r="BJ149" i="1"/>
  <c r="BF149" i="1"/>
  <c r="BD149" i="1"/>
  <c r="AP149" i="1"/>
  <c r="AO149" i="1"/>
  <c r="AW149" i="1" s="1"/>
  <c r="AL149" i="1"/>
  <c r="AK149" i="1"/>
  <c r="AT141" i="1" s="1"/>
  <c r="AJ149" i="1"/>
  <c r="AH149" i="1"/>
  <c r="AG149" i="1"/>
  <c r="AF149" i="1"/>
  <c r="AE149" i="1"/>
  <c r="AD149" i="1"/>
  <c r="Z149" i="1"/>
  <c r="J149" i="1"/>
  <c r="BJ147" i="1"/>
  <c r="BH147" i="1"/>
  <c r="AB147" i="1" s="1"/>
  <c r="BF147" i="1"/>
  <c r="BD147" i="1"/>
  <c r="AV147" i="1"/>
  <c r="AP147" i="1"/>
  <c r="AX147" i="1" s="1"/>
  <c r="AO147" i="1"/>
  <c r="AW147" i="1" s="1"/>
  <c r="BC147" i="1" s="1"/>
  <c r="AL147" i="1"/>
  <c r="AK147" i="1"/>
  <c r="AJ147" i="1"/>
  <c r="AH147" i="1"/>
  <c r="AG147" i="1"/>
  <c r="AF147" i="1"/>
  <c r="AE147" i="1"/>
  <c r="AD147" i="1"/>
  <c r="Z147" i="1"/>
  <c r="J147" i="1"/>
  <c r="BJ145" i="1"/>
  <c r="BF145" i="1"/>
  <c r="BD145" i="1"/>
  <c r="AP145" i="1"/>
  <c r="AX145" i="1" s="1"/>
  <c r="AO145" i="1"/>
  <c r="H145" i="1" s="1"/>
  <c r="AL145" i="1"/>
  <c r="AK145" i="1"/>
  <c r="AJ145" i="1"/>
  <c r="AH145" i="1"/>
  <c r="AG145" i="1"/>
  <c r="AF145" i="1"/>
  <c r="AE145" i="1"/>
  <c r="AD145" i="1"/>
  <c r="Z145" i="1"/>
  <c r="J145" i="1"/>
  <c r="BJ142" i="1"/>
  <c r="BF142" i="1"/>
  <c r="BD142" i="1"/>
  <c r="AX142" i="1"/>
  <c r="AW142" i="1"/>
  <c r="AV142" i="1"/>
  <c r="AP142" i="1"/>
  <c r="I142" i="1" s="1"/>
  <c r="AO142" i="1"/>
  <c r="BH142" i="1" s="1"/>
  <c r="AB142" i="1" s="1"/>
  <c r="AK142" i="1"/>
  <c r="AJ142" i="1"/>
  <c r="AH142" i="1"/>
  <c r="AG142" i="1"/>
  <c r="AF142" i="1"/>
  <c r="AE142" i="1"/>
  <c r="AD142" i="1"/>
  <c r="Z142" i="1"/>
  <c r="J142" i="1"/>
  <c r="H142" i="1"/>
  <c r="AS141" i="1"/>
  <c r="BJ139" i="1"/>
  <c r="BH139" i="1"/>
  <c r="AB139" i="1" s="1"/>
  <c r="BF139" i="1"/>
  <c r="BD139" i="1"/>
  <c r="AW139" i="1"/>
  <c r="AP139" i="1"/>
  <c r="AX139" i="1" s="1"/>
  <c r="AO139" i="1"/>
  <c r="H139" i="1" s="1"/>
  <c r="AL139" i="1"/>
  <c r="AK139" i="1"/>
  <c r="AJ139" i="1"/>
  <c r="AH139" i="1"/>
  <c r="AG139" i="1"/>
  <c r="AF139" i="1"/>
  <c r="AE139" i="1"/>
  <c r="AD139" i="1"/>
  <c r="Z139" i="1"/>
  <c r="J139" i="1"/>
  <c r="I139" i="1"/>
  <c r="BJ137" i="1"/>
  <c r="BI137" i="1"/>
  <c r="AC137" i="1" s="1"/>
  <c r="BF137" i="1"/>
  <c r="BD137" i="1"/>
  <c r="AX137" i="1"/>
  <c r="AP137" i="1"/>
  <c r="I137" i="1" s="1"/>
  <c r="AO137" i="1"/>
  <c r="BH137" i="1" s="1"/>
  <c r="AB137" i="1" s="1"/>
  <c r="AK137" i="1"/>
  <c r="AJ137" i="1"/>
  <c r="AH137" i="1"/>
  <c r="AG137" i="1"/>
  <c r="AF137" i="1"/>
  <c r="AE137" i="1"/>
  <c r="AD137" i="1"/>
  <c r="Z137" i="1"/>
  <c r="J137" i="1"/>
  <c r="AL137" i="1" s="1"/>
  <c r="H137" i="1"/>
  <c r="BJ135" i="1"/>
  <c r="BF135" i="1"/>
  <c r="BD135" i="1"/>
  <c r="AW135" i="1"/>
  <c r="AP135" i="1"/>
  <c r="BI135" i="1" s="1"/>
  <c r="AC135" i="1" s="1"/>
  <c r="AO135" i="1"/>
  <c r="BH135" i="1" s="1"/>
  <c r="AB135" i="1" s="1"/>
  <c r="AK135" i="1"/>
  <c r="AJ135" i="1"/>
  <c r="AH135" i="1"/>
  <c r="AG135" i="1"/>
  <c r="AF135" i="1"/>
  <c r="AE135" i="1"/>
  <c r="AD135" i="1"/>
  <c r="Z135" i="1"/>
  <c r="J135" i="1"/>
  <c r="AL135" i="1" s="1"/>
  <c r="I135" i="1"/>
  <c r="I127" i="1" s="1"/>
  <c r="H135" i="1"/>
  <c r="BJ133" i="1"/>
  <c r="BF133" i="1"/>
  <c r="BD133" i="1"/>
  <c r="AX133" i="1"/>
  <c r="AW133" i="1"/>
  <c r="AP133" i="1"/>
  <c r="BI133" i="1" s="1"/>
  <c r="AC133" i="1" s="1"/>
  <c r="AO133" i="1"/>
  <c r="BH133" i="1" s="1"/>
  <c r="AK133" i="1"/>
  <c r="AJ133" i="1"/>
  <c r="AH133" i="1"/>
  <c r="AG133" i="1"/>
  <c r="AF133" i="1"/>
  <c r="AE133" i="1"/>
  <c r="AD133" i="1"/>
  <c r="AB133" i="1"/>
  <c r="Z133" i="1"/>
  <c r="J133" i="1"/>
  <c r="AL133" i="1" s="1"/>
  <c r="I133" i="1"/>
  <c r="H133" i="1"/>
  <c r="BJ128" i="1"/>
  <c r="BF128" i="1"/>
  <c r="BD128" i="1"/>
  <c r="BC128" i="1"/>
  <c r="AX128" i="1"/>
  <c r="AW128" i="1"/>
  <c r="AV128" i="1" s="1"/>
  <c r="AP128" i="1"/>
  <c r="BI128" i="1" s="1"/>
  <c r="AC128" i="1" s="1"/>
  <c r="AO128" i="1"/>
  <c r="BH128" i="1" s="1"/>
  <c r="AB128" i="1" s="1"/>
  <c r="AK128" i="1"/>
  <c r="AJ128" i="1"/>
  <c r="AS127" i="1" s="1"/>
  <c r="AH128" i="1"/>
  <c r="AG128" i="1"/>
  <c r="AF128" i="1"/>
  <c r="AE128" i="1"/>
  <c r="AD128" i="1"/>
  <c r="Z128" i="1"/>
  <c r="J128" i="1"/>
  <c r="J127" i="1" s="1"/>
  <c r="I128" i="1"/>
  <c r="H128" i="1"/>
  <c r="H127" i="1"/>
  <c r="BJ124" i="1"/>
  <c r="BF124" i="1"/>
  <c r="BD124" i="1"/>
  <c r="AX124" i="1"/>
  <c r="AW124" i="1"/>
  <c r="AP124" i="1"/>
  <c r="BI124" i="1" s="1"/>
  <c r="AC124" i="1" s="1"/>
  <c r="AO124" i="1"/>
  <c r="BH124" i="1" s="1"/>
  <c r="AK124" i="1"/>
  <c r="AJ124" i="1"/>
  <c r="AH124" i="1"/>
  <c r="AG124" i="1"/>
  <c r="AF124" i="1"/>
  <c r="AE124" i="1"/>
  <c r="AD124" i="1"/>
  <c r="AB124" i="1"/>
  <c r="Z124" i="1"/>
  <c r="J124" i="1"/>
  <c r="AL124" i="1" s="1"/>
  <c r="I124" i="1"/>
  <c r="H124" i="1"/>
  <c r="BJ122" i="1"/>
  <c r="BF122" i="1"/>
  <c r="BD122" i="1"/>
  <c r="AX122" i="1"/>
  <c r="BC122" i="1" s="1"/>
  <c r="AW122" i="1"/>
  <c r="AP122" i="1"/>
  <c r="BI122" i="1" s="1"/>
  <c r="AO122" i="1"/>
  <c r="BH122" i="1" s="1"/>
  <c r="AB122" i="1" s="1"/>
  <c r="AK122" i="1"/>
  <c r="AJ122" i="1"/>
  <c r="AH122" i="1"/>
  <c r="AG122" i="1"/>
  <c r="AF122" i="1"/>
  <c r="AE122" i="1"/>
  <c r="AD122" i="1"/>
  <c r="AC122" i="1"/>
  <c r="Z122" i="1"/>
  <c r="J122" i="1"/>
  <c r="AL122" i="1" s="1"/>
  <c r="I122" i="1"/>
  <c r="H122" i="1"/>
  <c r="BJ121" i="1"/>
  <c r="BH121" i="1"/>
  <c r="BF121" i="1"/>
  <c r="BD121" i="1"/>
  <c r="AX121" i="1"/>
  <c r="BC121" i="1" s="1"/>
  <c r="AW121" i="1"/>
  <c r="AP121" i="1"/>
  <c r="BI121" i="1" s="1"/>
  <c r="AC121" i="1" s="1"/>
  <c r="AO121" i="1"/>
  <c r="AK121" i="1"/>
  <c r="AJ121" i="1"/>
  <c r="AH121" i="1"/>
  <c r="AG121" i="1"/>
  <c r="AF121" i="1"/>
  <c r="AE121" i="1"/>
  <c r="AD121" i="1"/>
  <c r="AB121" i="1"/>
  <c r="Z121" i="1"/>
  <c r="J121" i="1"/>
  <c r="AL121" i="1" s="1"/>
  <c r="I121" i="1"/>
  <c r="H121" i="1"/>
  <c r="BJ117" i="1"/>
  <c r="BF117" i="1"/>
  <c r="BD117" i="1"/>
  <c r="AW117" i="1"/>
  <c r="AP117" i="1"/>
  <c r="BI117" i="1" s="1"/>
  <c r="AC117" i="1" s="1"/>
  <c r="AO117" i="1"/>
  <c r="BH117" i="1" s="1"/>
  <c r="AB117" i="1" s="1"/>
  <c r="AK117" i="1"/>
  <c r="AJ117" i="1"/>
  <c r="AH117" i="1"/>
  <c r="AG117" i="1"/>
  <c r="AF117" i="1"/>
  <c r="AE117" i="1"/>
  <c r="AD117" i="1"/>
  <c r="Z117" i="1"/>
  <c r="J117" i="1"/>
  <c r="AL117" i="1" s="1"/>
  <c r="I117" i="1"/>
  <c r="I111" i="1" s="1"/>
  <c r="H117" i="1"/>
  <c r="BJ112" i="1"/>
  <c r="BF112" i="1"/>
  <c r="BD112" i="1"/>
  <c r="AX112" i="1"/>
  <c r="AP112" i="1"/>
  <c r="BI112" i="1" s="1"/>
  <c r="AC112" i="1" s="1"/>
  <c r="AO112" i="1"/>
  <c r="AW112" i="1" s="1"/>
  <c r="AL112" i="1"/>
  <c r="AK112" i="1"/>
  <c r="AT111" i="1" s="1"/>
  <c r="AJ112" i="1"/>
  <c r="AH112" i="1"/>
  <c r="AG112" i="1"/>
  <c r="AF112" i="1"/>
  <c r="AE112" i="1"/>
  <c r="AD112" i="1"/>
  <c r="Z112" i="1"/>
  <c r="J112" i="1"/>
  <c r="J111" i="1" s="1"/>
  <c r="I112" i="1"/>
  <c r="H112" i="1"/>
  <c r="AS111" i="1"/>
  <c r="H111" i="1"/>
  <c r="BJ108" i="1"/>
  <c r="BF108" i="1"/>
  <c r="BD108" i="1"/>
  <c r="AW108" i="1"/>
  <c r="AP108" i="1"/>
  <c r="BI108" i="1" s="1"/>
  <c r="AC108" i="1" s="1"/>
  <c r="AO108" i="1"/>
  <c r="BH108" i="1" s="1"/>
  <c r="AB108" i="1" s="1"/>
  <c r="AK108" i="1"/>
  <c r="AT107" i="1" s="1"/>
  <c r="AJ108" i="1"/>
  <c r="AS107" i="1" s="1"/>
  <c r="AH108" i="1"/>
  <c r="AG108" i="1"/>
  <c r="AF108" i="1"/>
  <c r="AE108" i="1"/>
  <c r="AD108" i="1"/>
  <c r="Z108" i="1"/>
  <c r="J108" i="1"/>
  <c r="AL108" i="1" s="1"/>
  <c r="AU107" i="1" s="1"/>
  <c r="I108" i="1"/>
  <c r="I107" i="1" s="1"/>
  <c r="H108" i="1"/>
  <c r="J107" i="1"/>
  <c r="H107" i="1"/>
  <c r="BJ103" i="1"/>
  <c r="BF103" i="1"/>
  <c r="BD103" i="1"/>
  <c r="AX103" i="1"/>
  <c r="AP103" i="1"/>
  <c r="BI103" i="1" s="1"/>
  <c r="AC103" i="1" s="1"/>
  <c r="AO103" i="1"/>
  <c r="BH103" i="1" s="1"/>
  <c r="AB103" i="1" s="1"/>
  <c r="AK103" i="1"/>
  <c r="AJ103" i="1"/>
  <c r="AS102" i="1" s="1"/>
  <c r="AH103" i="1"/>
  <c r="AG103" i="1"/>
  <c r="AF103" i="1"/>
  <c r="AE103" i="1"/>
  <c r="AD103" i="1"/>
  <c r="Z103" i="1"/>
  <c r="J103" i="1"/>
  <c r="AL103" i="1" s="1"/>
  <c r="AU102" i="1" s="1"/>
  <c r="I103" i="1"/>
  <c r="H103" i="1"/>
  <c r="H102" i="1" s="1"/>
  <c r="AT102" i="1"/>
  <c r="I102" i="1"/>
  <c r="BJ100" i="1"/>
  <c r="BF100" i="1"/>
  <c r="BD100" i="1"/>
  <c r="AX100" i="1"/>
  <c r="AW100" i="1"/>
  <c r="BC100" i="1" s="1"/>
  <c r="AP100" i="1"/>
  <c r="I100" i="1" s="1"/>
  <c r="I96" i="1" s="1"/>
  <c r="AO100" i="1"/>
  <c r="BH100" i="1" s="1"/>
  <c r="AB100" i="1" s="1"/>
  <c r="AK100" i="1"/>
  <c r="AJ100" i="1"/>
  <c r="AH100" i="1"/>
  <c r="AG100" i="1"/>
  <c r="AF100" i="1"/>
  <c r="AE100" i="1"/>
  <c r="AD100" i="1"/>
  <c r="Z100" i="1"/>
  <c r="J100" i="1"/>
  <c r="AL100" i="1" s="1"/>
  <c r="H100" i="1"/>
  <c r="BJ97" i="1"/>
  <c r="BF97" i="1"/>
  <c r="BD97" i="1"/>
  <c r="AX97" i="1"/>
  <c r="AP97" i="1"/>
  <c r="BI97" i="1" s="1"/>
  <c r="AC97" i="1" s="1"/>
  <c r="AO97" i="1"/>
  <c r="BH97" i="1" s="1"/>
  <c r="AB97" i="1" s="1"/>
  <c r="AK97" i="1"/>
  <c r="AJ97" i="1"/>
  <c r="AS96" i="1" s="1"/>
  <c r="AH97" i="1"/>
  <c r="AG97" i="1"/>
  <c r="AF97" i="1"/>
  <c r="AE97" i="1"/>
  <c r="AD97" i="1"/>
  <c r="Z97" i="1"/>
  <c r="J97" i="1"/>
  <c r="AL97" i="1" s="1"/>
  <c r="AU96" i="1" s="1"/>
  <c r="I97" i="1"/>
  <c r="H97" i="1"/>
  <c r="H96" i="1" s="1"/>
  <c r="AT96" i="1"/>
  <c r="BJ94" i="1"/>
  <c r="BF94" i="1"/>
  <c r="BD94" i="1"/>
  <c r="AX94" i="1"/>
  <c r="AW94" i="1"/>
  <c r="BC94" i="1" s="1"/>
  <c r="AP94" i="1"/>
  <c r="I94" i="1" s="1"/>
  <c r="AO94" i="1"/>
  <c r="BH94" i="1" s="1"/>
  <c r="AB94" i="1" s="1"/>
  <c r="AK94" i="1"/>
  <c r="AJ94" i="1"/>
  <c r="AH94" i="1"/>
  <c r="AG94" i="1"/>
  <c r="AF94" i="1"/>
  <c r="AE94" i="1"/>
  <c r="AD94" i="1"/>
  <c r="Z94" i="1"/>
  <c r="J94" i="1"/>
  <c r="AL94" i="1" s="1"/>
  <c r="H94" i="1"/>
  <c r="BJ92" i="1"/>
  <c r="BF92" i="1"/>
  <c r="BD92" i="1"/>
  <c r="AX92" i="1"/>
  <c r="AP92" i="1"/>
  <c r="BI92" i="1" s="1"/>
  <c r="AC92" i="1" s="1"/>
  <c r="AO92" i="1"/>
  <c r="BH92" i="1" s="1"/>
  <c r="AB92" i="1" s="1"/>
  <c r="AK92" i="1"/>
  <c r="AJ92" i="1"/>
  <c r="AH92" i="1"/>
  <c r="AG92" i="1"/>
  <c r="AF92" i="1"/>
  <c r="AE92" i="1"/>
  <c r="AD92" i="1"/>
  <c r="Z92" i="1"/>
  <c r="J92" i="1"/>
  <c r="AL92" i="1" s="1"/>
  <c r="I92" i="1"/>
  <c r="H92" i="1"/>
  <c r="H89" i="1" s="1"/>
  <c r="BJ90" i="1"/>
  <c r="BF90" i="1"/>
  <c r="BD90" i="1"/>
  <c r="AW90" i="1"/>
  <c r="AP90" i="1"/>
  <c r="BI90" i="1" s="1"/>
  <c r="AC90" i="1" s="1"/>
  <c r="AO90" i="1"/>
  <c r="BH90" i="1" s="1"/>
  <c r="AB90" i="1" s="1"/>
  <c r="AK90" i="1"/>
  <c r="AT89" i="1" s="1"/>
  <c r="AJ90" i="1"/>
  <c r="AS89" i="1" s="1"/>
  <c r="AH90" i="1"/>
  <c r="AG90" i="1"/>
  <c r="AF90" i="1"/>
  <c r="AE90" i="1"/>
  <c r="AD90" i="1"/>
  <c r="Z90" i="1"/>
  <c r="J90" i="1"/>
  <c r="AL90" i="1" s="1"/>
  <c r="I90" i="1"/>
  <c r="H90" i="1"/>
  <c r="J89" i="1"/>
  <c r="BJ88" i="1"/>
  <c r="BF88" i="1"/>
  <c r="BD88" i="1"/>
  <c r="AX88" i="1"/>
  <c r="AP88" i="1"/>
  <c r="BI88" i="1" s="1"/>
  <c r="AC88" i="1" s="1"/>
  <c r="AO88" i="1"/>
  <c r="BH88" i="1" s="1"/>
  <c r="AB88" i="1" s="1"/>
  <c r="AK88" i="1"/>
  <c r="AJ88" i="1"/>
  <c r="AH88" i="1"/>
  <c r="AG88" i="1"/>
  <c r="AF88" i="1"/>
  <c r="AE88" i="1"/>
  <c r="AD88" i="1"/>
  <c r="Z88" i="1"/>
  <c r="J88" i="1"/>
  <c r="AL88" i="1" s="1"/>
  <c r="I88" i="1"/>
  <c r="H88" i="1"/>
  <c r="H85" i="1" s="1"/>
  <c r="BJ86" i="1"/>
  <c r="BF86" i="1"/>
  <c r="BD86" i="1"/>
  <c r="AW86" i="1"/>
  <c r="AP86" i="1"/>
  <c r="BI86" i="1" s="1"/>
  <c r="AC86" i="1" s="1"/>
  <c r="AO86" i="1"/>
  <c r="BH86" i="1" s="1"/>
  <c r="AB86" i="1" s="1"/>
  <c r="AK86" i="1"/>
  <c r="AT85" i="1" s="1"/>
  <c r="AJ86" i="1"/>
  <c r="AS85" i="1" s="1"/>
  <c r="AH86" i="1"/>
  <c r="AG86" i="1"/>
  <c r="AF86" i="1"/>
  <c r="AE86" i="1"/>
  <c r="AD86" i="1"/>
  <c r="Z86" i="1"/>
  <c r="J86" i="1"/>
  <c r="AL86" i="1" s="1"/>
  <c r="AU85" i="1" s="1"/>
  <c r="I86" i="1"/>
  <c r="I85" i="1" s="1"/>
  <c r="H86" i="1"/>
  <c r="J85" i="1"/>
  <c r="BJ82" i="1"/>
  <c r="BF82" i="1"/>
  <c r="BD82" i="1"/>
  <c r="AX82" i="1"/>
  <c r="AP82" i="1"/>
  <c r="BI82" i="1" s="1"/>
  <c r="AC82" i="1" s="1"/>
  <c r="AO82" i="1"/>
  <c r="BH82" i="1" s="1"/>
  <c r="AB82" i="1" s="1"/>
  <c r="AK82" i="1"/>
  <c r="AJ82" i="1"/>
  <c r="AS60" i="1" s="1"/>
  <c r="AH82" i="1"/>
  <c r="AG82" i="1"/>
  <c r="AF82" i="1"/>
  <c r="AE82" i="1"/>
  <c r="AD82" i="1"/>
  <c r="Z82" i="1"/>
  <c r="J82" i="1"/>
  <c r="AL82" i="1" s="1"/>
  <c r="I82" i="1"/>
  <c r="H82" i="1"/>
  <c r="BJ79" i="1"/>
  <c r="BF79" i="1"/>
  <c r="BD79" i="1"/>
  <c r="AW79" i="1"/>
  <c r="AP79" i="1"/>
  <c r="BI79" i="1" s="1"/>
  <c r="AC79" i="1" s="1"/>
  <c r="AO79" i="1"/>
  <c r="BH79" i="1" s="1"/>
  <c r="AB79" i="1" s="1"/>
  <c r="AK79" i="1"/>
  <c r="AJ79" i="1"/>
  <c r="AH79" i="1"/>
  <c r="AG79" i="1"/>
  <c r="AF79" i="1"/>
  <c r="AE79" i="1"/>
  <c r="AD79" i="1"/>
  <c r="Z79" i="1"/>
  <c r="J79" i="1"/>
  <c r="AL79" i="1" s="1"/>
  <c r="I79" i="1"/>
  <c r="H79" i="1"/>
  <c r="BJ73" i="1"/>
  <c r="BF73" i="1"/>
  <c r="BD73" i="1"/>
  <c r="AX73" i="1"/>
  <c r="AP73" i="1"/>
  <c r="BI73" i="1" s="1"/>
  <c r="AC73" i="1" s="1"/>
  <c r="AO73" i="1"/>
  <c r="AW73" i="1" s="1"/>
  <c r="AL73" i="1"/>
  <c r="AK73" i="1"/>
  <c r="AJ73" i="1"/>
  <c r="AH73" i="1"/>
  <c r="AG73" i="1"/>
  <c r="AF73" i="1"/>
  <c r="AE73" i="1"/>
  <c r="AD73" i="1"/>
  <c r="Z73" i="1"/>
  <c r="J73" i="1"/>
  <c r="I73" i="1"/>
  <c r="H73" i="1"/>
  <c r="BJ69" i="1"/>
  <c r="BH69" i="1"/>
  <c r="AB69" i="1" s="1"/>
  <c r="BF69" i="1"/>
  <c r="BD69" i="1"/>
  <c r="AP69" i="1"/>
  <c r="AX69" i="1" s="1"/>
  <c r="AO69" i="1"/>
  <c r="AW69" i="1" s="1"/>
  <c r="AL69" i="1"/>
  <c r="AK69" i="1"/>
  <c r="AJ69" i="1"/>
  <c r="AH69" i="1"/>
  <c r="AG69" i="1"/>
  <c r="AF69" i="1"/>
  <c r="AE69" i="1"/>
  <c r="AD69" i="1"/>
  <c r="Z69" i="1"/>
  <c r="J69" i="1"/>
  <c r="I69" i="1"/>
  <c r="BJ65" i="1"/>
  <c r="BF65" i="1"/>
  <c r="BD65" i="1"/>
  <c r="AP65" i="1"/>
  <c r="AX65" i="1" s="1"/>
  <c r="AO65" i="1"/>
  <c r="AW65" i="1" s="1"/>
  <c r="AK65" i="1"/>
  <c r="AT60" i="1" s="1"/>
  <c r="AJ65" i="1"/>
  <c r="AH65" i="1"/>
  <c r="AG65" i="1"/>
  <c r="AF65" i="1"/>
  <c r="AE65" i="1"/>
  <c r="AD65" i="1"/>
  <c r="Z65" i="1"/>
  <c r="J65" i="1"/>
  <c r="J60" i="1" s="1"/>
  <c r="BJ61" i="1"/>
  <c r="BF61" i="1"/>
  <c r="BD61" i="1"/>
  <c r="AP61" i="1"/>
  <c r="AX61" i="1" s="1"/>
  <c r="AO61" i="1"/>
  <c r="AW61" i="1" s="1"/>
  <c r="AL61" i="1"/>
  <c r="AK61" i="1"/>
  <c r="AJ61" i="1"/>
  <c r="AH61" i="1"/>
  <c r="AG61" i="1"/>
  <c r="AF61" i="1"/>
  <c r="AE61" i="1"/>
  <c r="AD61" i="1"/>
  <c r="Z61" i="1"/>
  <c r="J61" i="1"/>
  <c r="H61" i="1"/>
  <c r="BJ58" i="1"/>
  <c r="BF58" i="1"/>
  <c r="BD58" i="1"/>
  <c r="AP58" i="1"/>
  <c r="BI58" i="1" s="1"/>
  <c r="AC58" i="1" s="1"/>
  <c r="AO58" i="1"/>
  <c r="AW58" i="1" s="1"/>
  <c r="AK58" i="1"/>
  <c r="AJ58" i="1"/>
  <c r="AH58" i="1"/>
  <c r="AG58" i="1"/>
  <c r="AF58" i="1"/>
  <c r="AE58" i="1"/>
  <c r="AD58" i="1"/>
  <c r="Z58" i="1"/>
  <c r="J58" i="1"/>
  <c r="AL58" i="1" s="1"/>
  <c r="BJ57" i="1"/>
  <c r="BF57" i="1"/>
  <c r="BD57" i="1"/>
  <c r="AP57" i="1"/>
  <c r="AX57" i="1" s="1"/>
  <c r="AO57" i="1"/>
  <c r="AW57" i="1" s="1"/>
  <c r="AL57" i="1"/>
  <c r="AK57" i="1"/>
  <c r="AJ57" i="1"/>
  <c r="AH57" i="1"/>
  <c r="AG57" i="1"/>
  <c r="AF57" i="1"/>
  <c r="AE57" i="1"/>
  <c r="AD57" i="1"/>
  <c r="Z57" i="1"/>
  <c r="J57" i="1"/>
  <c r="H57" i="1"/>
  <c r="BJ56" i="1"/>
  <c r="BF56" i="1"/>
  <c r="BD56" i="1"/>
  <c r="AW56" i="1"/>
  <c r="BC56" i="1" s="1"/>
  <c r="AP56" i="1"/>
  <c r="AX56" i="1" s="1"/>
  <c r="AO56" i="1"/>
  <c r="H56" i="1" s="1"/>
  <c r="AK56" i="1"/>
  <c r="AJ56" i="1"/>
  <c r="AH56" i="1"/>
  <c r="AG56" i="1"/>
  <c r="AF56" i="1"/>
  <c r="AE56" i="1"/>
  <c r="AD56" i="1"/>
  <c r="Z56" i="1"/>
  <c r="J56" i="1"/>
  <c r="AL56" i="1" s="1"/>
  <c r="I56" i="1"/>
  <c r="BJ54" i="1"/>
  <c r="BF54" i="1"/>
  <c r="BD54" i="1"/>
  <c r="AX54" i="1"/>
  <c r="AW54" i="1"/>
  <c r="BC54" i="1" s="1"/>
  <c r="AP54" i="1"/>
  <c r="I54" i="1" s="1"/>
  <c r="AO54" i="1"/>
  <c r="BH54" i="1" s="1"/>
  <c r="AB54" i="1" s="1"/>
  <c r="AK54" i="1"/>
  <c r="AJ54" i="1"/>
  <c r="AH54" i="1"/>
  <c r="AG54" i="1"/>
  <c r="AF54" i="1"/>
  <c r="AE54" i="1"/>
  <c r="AD54" i="1"/>
  <c r="Z54" i="1"/>
  <c r="J54" i="1"/>
  <c r="AL54" i="1" s="1"/>
  <c r="H54" i="1"/>
  <c r="BJ48" i="1"/>
  <c r="BF48" i="1"/>
  <c r="BD48" i="1"/>
  <c r="AX48" i="1"/>
  <c r="AP48" i="1"/>
  <c r="BI48" i="1" s="1"/>
  <c r="AC48" i="1" s="1"/>
  <c r="AO48" i="1"/>
  <c r="BH48" i="1" s="1"/>
  <c r="AB48" i="1" s="1"/>
  <c r="AK48" i="1"/>
  <c r="AJ48" i="1"/>
  <c r="AH48" i="1"/>
  <c r="AG48" i="1"/>
  <c r="AF48" i="1"/>
  <c r="AE48" i="1"/>
  <c r="AD48" i="1"/>
  <c r="Z48" i="1"/>
  <c r="J48" i="1"/>
  <c r="AL48" i="1" s="1"/>
  <c r="I48" i="1"/>
  <c r="H48" i="1"/>
  <c r="BJ44" i="1"/>
  <c r="BF44" i="1"/>
  <c r="BD44" i="1"/>
  <c r="AW44" i="1"/>
  <c r="AP44" i="1"/>
  <c r="BI44" i="1" s="1"/>
  <c r="AC44" i="1" s="1"/>
  <c r="AO44" i="1"/>
  <c r="BH44" i="1" s="1"/>
  <c r="AB44" i="1" s="1"/>
  <c r="AK44" i="1"/>
  <c r="AT43" i="1" s="1"/>
  <c r="AJ44" i="1"/>
  <c r="AS43" i="1" s="1"/>
  <c r="AH44" i="1"/>
  <c r="AG44" i="1"/>
  <c r="AF44" i="1"/>
  <c r="AE44" i="1"/>
  <c r="AD44" i="1"/>
  <c r="Z44" i="1"/>
  <c r="J44" i="1"/>
  <c r="AL44" i="1" s="1"/>
  <c r="I44" i="1"/>
  <c r="H44" i="1"/>
  <c r="J43" i="1"/>
  <c r="BJ40" i="1"/>
  <c r="BF40" i="1"/>
  <c r="BD40" i="1"/>
  <c r="AX40" i="1"/>
  <c r="AP40" i="1"/>
  <c r="BI40" i="1" s="1"/>
  <c r="AC40" i="1" s="1"/>
  <c r="AO40" i="1"/>
  <c r="BH40" i="1" s="1"/>
  <c r="AB40" i="1" s="1"/>
  <c r="AK40" i="1"/>
  <c r="AJ40" i="1"/>
  <c r="AH40" i="1"/>
  <c r="AG40" i="1"/>
  <c r="AF40" i="1"/>
  <c r="AE40" i="1"/>
  <c r="AD40" i="1"/>
  <c r="Z40" i="1"/>
  <c r="J40" i="1"/>
  <c r="AL40" i="1" s="1"/>
  <c r="I40" i="1"/>
  <c r="H40" i="1"/>
  <c r="H34" i="1" s="1"/>
  <c r="BJ35" i="1"/>
  <c r="BF35" i="1"/>
  <c r="BD35" i="1"/>
  <c r="AW35" i="1"/>
  <c r="AP35" i="1"/>
  <c r="BI35" i="1" s="1"/>
  <c r="AC35" i="1" s="1"/>
  <c r="AO35" i="1"/>
  <c r="BH35" i="1" s="1"/>
  <c r="AB35" i="1" s="1"/>
  <c r="AK35" i="1"/>
  <c r="AT34" i="1" s="1"/>
  <c r="AJ35" i="1"/>
  <c r="AS34" i="1" s="1"/>
  <c r="AH35" i="1"/>
  <c r="AG35" i="1"/>
  <c r="AF35" i="1"/>
  <c r="AE35" i="1"/>
  <c r="AD35" i="1"/>
  <c r="Z35" i="1"/>
  <c r="J35" i="1"/>
  <c r="AL35" i="1" s="1"/>
  <c r="AU34" i="1" s="1"/>
  <c r="I35" i="1"/>
  <c r="I34" i="1" s="1"/>
  <c r="H35" i="1"/>
  <c r="J34" i="1"/>
  <c r="BJ32" i="1"/>
  <c r="BF32" i="1"/>
  <c r="BD32" i="1"/>
  <c r="AX32" i="1"/>
  <c r="AP32" i="1"/>
  <c r="BI32" i="1" s="1"/>
  <c r="AC32" i="1" s="1"/>
  <c r="AO32" i="1"/>
  <c r="BH32" i="1" s="1"/>
  <c r="AB32" i="1" s="1"/>
  <c r="AK32" i="1"/>
  <c r="AJ32" i="1"/>
  <c r="AH32" i="1"/>
  <c r="AG32" i="1"/>
  <c r="AF32" i="1"/>
  <c r="AE32" i="1"/>
  <c r="AD32" i="1"/>
  <c r="Z32" i="1"/>
  <c r="J32" i="1"/>
  <c r="AL32" i="1" s="1"/>
  <c r="I32" i="1"/>
  <c r="H32" i="1"/>
  <c r="BJ24" i="1"/>
  <c r="BF24" i="1"/>
  <c r="BD24" i="1"/>
  <c r="AW24" i="1"/>
  <c r="AP24" i="1"/>
  <c r="BI24" i="1" s="1"/>
  <c r="AC24" i="1" s="1"/>
  <c r="AO24" i="1"/>
  <c r="BH24" i="1" s="1"/>
  <c r="AB24" i="1" s="1"/>
  <c r="AK24" i="1"/>
  <c r="AJ24" i="1"/>
  <c r="AH24" i="1"/>
  <c r="AG24" i="1"/>
  <c r="AF24" i="1"/>
  <c r="AE24" i="1"/>
  <c r="AD24" i="1"/>
  <c r="Z24" i="1"/>
  <c r="J24" i="1"/>
  <c r="AL24" i="1" s="1"/>
  <c r="I24" i="1"/>
  <c r="H24" i="1"/>
  <c r="BJ20" i="1"/>
  <c r="BF20" i="1"/>
  <c r="BD20" i="1"/>
  <c r="AX20" i="1"/>
  <c r="AP20" i="1"/>
  <c r="BI20" i="1" s="1"/>
  <c r="AC20" i="1" s="1"/>
  <c r="AO20" i="1"/>
  <c r="AW20" i="1" s="1"/>
  <c r="AL20" i="1"/>
  <c r="AK20" i="1"/>
  <c r="AJ20" i="1"/>
  <c r="AH20" i="1"/>
  <c r="AG20" i="1"/>
  <c r="AF20" i="1"/>
  <c r="AE20" i="1"/>
  <c r="AD20" i="1"/>
  <c r="Z20" i="1"/>
  <c r="J20" i="1"/>
  <c r="J13" i="1" s="1"/>
  <c r="I20" i="1"/>
  <c r="H20" i="1"/>
  <c r="BJ14" i="1"/>
  <c r="BF14" i="1"/>
  <c r="BD14" i="1"/>
  <c r="AP14" i="1"/>
  <c r="AX14" i="1" s="1"/>
  <c r="AO14" i="1"/>
  <c r="BH14" i="1" s="1"/>
  <c r="AB14" i="1" s="1"/>
  <c r="AL14" i="1"/>
  <c r="AK14" i="1"/>
  <c r="AJ14" i="1"/>
  <c r="AH14" i="1"/>
  <c r="AG14" i="1"/>
  <c r="AF14" i="1"/>
  <c r="AE14" i="1"/>
  <c r="AD14" i="1"/>
  <c r="Z14" i="1"/>
  <c r="J14" i="1"/>
  <c r="I14" i="1"/>
  <c r="AT13" i="1"/>
  <c r="I13" i="1"/>
  <c r="AU1" i="1"/>
  <c r="AT1" i="1"/>
  <c r="AS1" i="1"/>
  <c r="AV20" i="1" l="1"/>
  <c r="BC20" i="1"/>
  <c r="AV61" i="1"/>
  <c r="BC61" i="1"/>
  <c r="AV73" i="1"/>
  <c r="BC73" i="1"/>
  <c r="BC57" i="1"/>
  <c r="AV57" i="1"/>
  <c r="I89" i="1"/>
  <c r="AU111" i="1"/>
  <c r="AU43" i="1"/>
  <c r="BC65" i="1"/>
  <c r="AV65" i="1"/>
  <c r="AV69" i="1"/>
  <c r="BC69" i="1"/>
  <c r="AU89" i="1"/>
  <c r="AV112" i="1"/>
  <c r="BC112" i="1"/>
  <c r="AU60" i="1"/>
  <c r="C21" i="2"/>
  <c r="C27" i="2"/>
  <c r="BI54" i="1"/>
  <c r="AC54" i="1" s="1"/>
  <c r="BH56" i="1"/>
  <c r="AB56" i="1" s="1"/>
  <c r="BI94" i="1"/>
  <c r="AC94" i="1" s="1"/>
  <c r="BI100" i="1"/>
  <c r="AC100" i="1" s="1"/>
  <c r="BI145" i="1"/>
  <c r="AC145" i="1" s="1"/>
  <c r="AV170" i="1"/>
  <c r="BC170" i="1"/>
  <c r="AV203" i="1"/>
  <c r="BC203" i="1"/>
  <c r="AT222" i="1"/>
  <c r="BH229" i="1"/>
  <c r="AB229" i="1" s="1"/>
  <c r="AV273" i="1"/>
  <c r="BC273" i="1"/>
  <c r="AV293" i="1"/>
  <c r="BC293" i="1"/>
  <c r="BI303" i="1"/>
  <c r="AC303" i="1" s="1"/>
  <c r="J354" i="1"/>
  <c r="J319" i="1" s="1"/>
  <c r="AL355" i="1"/>
  <c r="AU354" i="1" s="1"/>
  <c r="BC408" i="1"/>
  <c r="AV408" i="1"/>
  <c r="J407" i="1"/>
  <c r="AL426" i="1"/>
  <c r="AX455" i="1"/>
  <c r="I455" i="1"/>
  <c r="I437" i="1" s="1"/>
  <c r="BI455" i="1"/>
  <c r="AC455" i="1" s="1"/>
  <c r="AW464" i="1"/>
  <c r="H464" i="1"/>
  <c r="BH464" i="1"/>
  <c r="AB464" i="1" s="1"/>
  <c r="AX523" i="1"/>
  <c r="BC523" i="1" s="1"/>
  <c r="I523" i="1"/>
  <c r="I522" i="1" s="1"/>
  <c r="BI523" i="1"/>
  <c r="AC523" i="1" s="1"/>
  <c r="AL602" i="1"/>
  <c r="AU601" i="1" s="1"/>
  <c r="J601" i="1"/>
  <c r="C28" i="2"/>
  <c r="F28" i="2" s="1"/>
  <c r="AX24" i="1"/>
  <c r="AV24" i="1" s="1"/>
  <c r="AW32" i="1"/>
  <c r="AX35" i="1"/>
  <c r="AV35" i="1" s="1"/>
  <c r="AW40" i="1"/>
  <c r="AX44" i="1"/>
  <c r="AV44" i="1" s="1"/>
  <c r="AW48" i="1"/>
  <c r="AV54" i="1"/>
  <c r="BI56" i="1"/>
  <c r="AC56" i="1" s="1"/>
  <c r="BH57" i="1"/>
  <c r="AB57" i="1" s="1"/>
  <c r="BH61" i="1"/>
  <c r="AB61" i="1" s="1"/>
  <c r="AL65" i="1"/>
  <c r="AX79" i="1"/>
  <c r="AV79" i="1" s="1"/>
  <c r="AW82" i="1"/>
  <c r="AX86" i="1"/>
  <c r="BC86" i="1" s="1"/>
  <c r="AW88" i="1"/>
  <c r="AX90" i="1"/>
  <c r="AV90" i="1" s="1"/>
  <c r="AW92" i="1"/>
  <c r="AV94" i="1"/>
  <c r="AW97" i="1"/>
  <c r="AV100" i="1"/>
  <c r="AW103" i="1"/>
  <c r="AX108" i="1"/>
  <c r="AV108" i="1" s="1"/>
  <c r="AX117" i="1"/>
  <c r="AV117" i="1" s="1"/>
  <c r="AV124" i="1"/>
  <c r="BC124" i="1"/>
  <c r="BC142" i="1"/>
  <c r="AV160" i="1"/>
  <c r="BC160" i="1"/>
  <c r="BC183" i="1"/>
  <c r="AV183" i="1"/>
  <c r="BC188" i="1"/>
  <c r="AL208" i="1"/>
  <c r="AU207" i="1" s="1"/>
  <c r="AU222" i="1"/>
  <c r="I222" i="1"/>
  <c r="BC232" i="1"/>
  <c r="AS260" i="1"/>
  <c r="BC267" i="1"/>
  <c r="AV267" i="1"/>
  <c r="AW268" i="1"/>
  <c r="H268" i="1"/>
  <c r="AW287" i="1"/>
  <c r="H287" i="1"/>
  <c r="AL313" i="1"/>
  <c r="AU312" i="1" s="1"/>
  <c r="J312" i="1"/>
  <c r="BC346" i="1"/>
  <c r="AV346" i="1"/>
  <c r="H360" i="1"/>
  <c r="AW360" i="1"/>
  <c r="BH360" i="1"/>
  <c r="AB360" i="1" s="1"/>
  <c r="AS13" i="1"/>
  <c r="BC24" i="1"/>
  <c r="BC44" i="1"/>
  <c r="AV56" i="1"/>
  <c r="BI57" i="1"/>
  <c r="AC57" i="1" s="1"/>
  <c r="BH58" i="1"/>
  <c r="AB58" i="1" s="1"/>
  <c r="BI61" i="1"/>
  <c r="AC61" i="1" s="1"/>
  <c r="BH65" i="1"/>
  <c r="AB65" i="1" s="1"/>
  <c r="BC79" i="1"/>
  <c r="BC108" i="1"/>
  <c r="BC117" i="1"/>
  <c r="H147" i="1"/>
  <c r="H141" i="1" s="1"/>
  <c r="AX149" i="1"/>
  <c r="BC149" i="1" s="1"/>
  <c r="I149" i="1"/>
  <c r="J169" i="1"/>
  <c r="AV208" i="1"/>
  <c r="BC208" i="1"/>
  <c r="AV216" i="1"/>
  <c r="BC216" i="1"/>
  <c r="AV223" i="1"/>
  <c r="BC223" i="1"/>
  <c r="AX232" i="1"/>
  <c r="AV232" i="1" s="1"/>
  <c r="AU235" i="1"/>
  <c r="AT235" i="1"/>
  <c r="AW243" i="1"/>
  <c r="AW258" i="1"/>
  <c r="AL261" i="1"/>
  <c r="AU260" i="1" s="1"/>
  <c r="J260" i="1"/>
  <c r="AV265" i="1"/>
  <c r="AX267" i="1"/>
  <c r="I267" i="1"/>
  <c r="AV284" i="1"/>
  <c r="AX285" i="1"/>
  <c r="BC285" i="1" s="1"/>
  <c r="I285" i="1"/>
  <c r="BC309" i="1"/>
  <c r="AV309" i="1"/>
  <c r="AU347" i="1"/>
  <c r="AV438" i="1"/>
  <c r="BC438" i="1"/>
  <c r="AW194" i="1"/>
  <c r="H194" i="1"/>
  <c r="BC326" i="1"/>
  <c r="AV348" i="1"/>
  <c r="BC348" i="1"/>
  <c r="AU13" i="1"/>
  <c r="BI14" i="1"/>
  <c r="AC14" i="1" s="1"/>
  <c r="BH20" i="1"/>
  <c r="AB20" i="1" s="1"/>
  <c r="C14" i="2" s="1"/>
  <c r="I57" i="1"/>
  <c r="I43" i="1" s="1"/>
  <c r="H58" i="1"/>
  <c r="H43" i="1" s="1"/>
  <c r="I61" i="1"/>
  <c r="H65" i="1"/>
  <c r="H60" i="1" s="1"/>
  <c r="BI69" i="1"/>
  <c r="AC69" i="1" s="1"/>
  <c r="BH73" i="1"/>
  <c r="AB73" i="1" s="1"/>
  <c r="J96" i="1"/>
  <c r="J1340" i="1" s="1"/>
  <c r="J102" i="1"/>
  <c r="BH112" i="1"/>
  <c r="AB112" i="1" s="1"/>
  <c r="AT127" i="1"/>
  <c r="AV133" i="1"/>
  <c r="BC133" i="1"/>
  <c r="AW145" i="1"/>
  <c r="AU151" i="1"/>
  <c r="AS169" i="1"/>
  <c r="AV219" i="1"/>
  <c r="BC219" i="1"/>
  <c r="AX228" i="1"/>
  <c r="AV228" i="1" s="1"/>
  <c r="BC247" i="1"/>
  <c r="AW249" i="1"/>
  <c r="H249" i="1"/>
  <c r="AV271" i="1"/>
  <c r="BC271" i="1"/>
  <c r="AV290" i="1"/>
  <c r="BC290" i="1"/>
  <c r="H300" i="1"/>
  <c r="BC303" i="1"/>
  <c r="AL318" i="1"/>
  <c r="AU317" i="1" s="1"/>
  <c r="J317" i="1"/>
  <c r="AX326" i="1"/>
  <c r="AV326" i="1" s="1"/>
  <c r="I326" i="1"/>
  <c r="AX486" i="1"/>
  <c r="BC486" i="1" s="1"/>
  <c r="BI486" i="1"/>
  <c r="AC486" i="1" s="1"/>
  <c r="I486" i="1"/>
  <c r="AV513" i="1"/>
  <c r="BC513" i="1"/>
  <c r="J536" i="1"/>
  <c r="AL537" i="1"/>
  <c r="AU536" i="1" s="1"/>
  <c r="BC677" i="1"/>
  <c r="AV677" i="1"/>
  <c r="J680" i="1"/>
  <c r="AL681" i="1"/>
  <c r="AU680" i="1" s="1"/>
  <c r="AV252" i="1"/>
  <c r="BC252" i="1"/>
  <c r="H14" i="1"/>
  <c r="H13" i="1" s="1"/>
  <c r="I58" i="1"/>
  <c r="I65" i="1"/>
  <c r="H69" i="1"/>
  <c r="AV122" i="1"/>
  <c r="AL128" i="1"/>
  <c r="AU127" i="1" s="1"/>
  <c r="AL142" i="1"/>
  <c r="AU141" i="1" s="1"/>
  <c r="J141" i="1"/>
  <c r="BI142" i="1"/>
  <c r="AC142" i="1" s="1"/>
  <c r="BI149" i="1"/>
  <c r="AC149" i="1" s="1"/>
  <c r="AW152" i="1"/>
  <c r="BH152" i="1"/>
  <c r="AB152" i="1" s="1"/>
  <c r="AU169" i="1"/>
  <c r="AT169" i="1"/>
  <c r="AV199" i="1"/>
  <c r="BC199" i="1"/>
  <c r="AV209" i="1"/>
  <c r="BC209" i="1"/>
  <c r="AT211" i="1"/>
  <c r="AW229" i="1"/>
  <c r="BI232" i="1"/>
  <c r="AC232" i="1" s="1"/>
  <c r="BH243" i="1"/>
  <c r="AB243" i="1" s="1"/>
  <c r="AV245" i="1"/>
  <c r="AX247" i="1"/>
  <c r="AV247" i="1" s="1"/>
  <c r="I247" i="1"/>
  <c r="BH258" i="1"/>
  <c r="AB258" i="1" s="1"/>
  <c r="BC261" i="1"/>
  <c r="BI267" i="1"/>
  <c r="AC267" i="1" s="1"/>
  <c r="BC278" i="1"/>
  <c r="BI285" i="1"/>
  <c r="AC285" i="1" s="1"/>
  <c r="BC298" i="1"/>
  <c r="AX303" i="1"/>
  <c r="AV303" i="1" s="1"/>
  <c r="BC315" i="1"/>
  <c r="AV315" i="1"/>
  <c r="AV321" i="1"/>
  <c r="BC329" i="1"/>
  <c r="AV332" i="1"/>
  <c r="AW334" i="1"/>
  <c r="H334" i="1"/>
  <c r="BC343" i="1"/>
  <c r="AT347" i="1"/>
  <c r="AV431" i="1"/>
  <c r="BC431" i="1"/>
  <c r="BI65" i="1"/>
  <c r="AC65" i="1" s="1"/>
  <c r="BC228" i="1"/>
  <c r="AW14" i="1"/>
  <c r="AX58" i="1"/>
  <c r="BC58" i="1" s="1"/>
  <c r="AV224" i="1"/>
  <c r="BC224" i="1"/>
  <c r="AL232" i="1"/>
  <c r="AU231" i="1" s="1"/>
  <c r="J231" i="1"/>
  <c r="AU300" i="1"/>
  <c r="BC306" i="1"/>
  <c r="AV306" i="1"/>
  <c r="AX332" i="1"/>
  <c r="BC332" i="1" s="1"/>
  <c r="I332" i="1"/>
  <c r="AU407" i="1"/>
  <c r="AX507" i="1"/>
  <c r="BI507" i="1"/>
  <c r="AC507" i="1" s="1"/>
  <c r="I507" i="1"/>
  <c r="BC139" i="1"/>
  <c r="AV139" i="1"/>
  <c r="AX191" i="1"/>
  <c r="BC191" i="1" s="1"/>
  <c r="I191" i="1"/>
  <c r="C20" i="2"/>
  <c r="AV121" i="1"/>
  <c r="BI139" i="1"/>
  <c r="AC139" i="1" s="1"/>
  <c r="I145" i="1"/>
  <c r="I141" i="1" s="1"/>
  <c r="BH145" i="1"/>
  <c r="AB145" i="1" s="1"/>
  <c r="AX155" i="1"/>
  <c r="BC155" i="1" s="1"/>
  <c r="I155" i="1"/>
  <c r="AW157" i="1"/>
  <c r="H157" i="1"/>
  <c r="AV212" i="1"/>
  <c r="BC212" i="1"/>
  <c r="AV220" i="1"/>
  <c r="BC220" i="1"/>
  <c r="J222" i="1"/>
  <c r="BI228" i="1"/>
  <c r="AC228" i="1" s="1"/>
  <c r="AV251" i="1"/>
  <c r="BC251" i="1"/>
  <c r="BC263" i="1"/>
  <c r="AV263" i="1"/>
  <c r="BC281" i="1"/>
  <c r="AV281" i="1"/>
  <c r="BI326" i="1"/>
  <c r="AC326" i="1" s="1"/>
  <c r="BH309" i="1"/>
  <c r="AB309" i="1" s="1"/>
  <c r="BI313" i="1"/>
  <c r="AC313" i="1" s="1"/>
  <c r="BH315" i="1"/>
  <c r="AB315" i="1" s="1"/>
  <c r="BI318" i="1"/>
  <c r="AU339" i="1"/>
  <c r="BI344" i="1"/>
  <c r="AC344" i="1" s="1"/>
  <c r="BC418" i="1"/>
  <c r="AV418" i="1"/>
  <c r="H473" i="1"/>
  <c r="H470" i="1" s="1"/>
  <c r="AW473" i="1"/>
  <c r="AX491" i="1"/>
  <c r="BC491" i="1" s="1"/>
  <c r="I491" i="1"/>
  <c r="BI491" i="1"/>
  <c r="AC491" i="1" s="1"/>
  <c r="BC504" i="1"/>
  <c r="AV504" i="1"/>
  <c r="BC827" i="1"/>
  <c r="AV827" i="1"/>
  <c r="BI183" i="1"/>
  <c r="AE183" i="1" s="1"/>
  <c r="BH188" i="1"/>
  <c r="AD188" i="1" s="1"/>
  <c r="C16" i="2" s="1"/>
  <c r="BI229" i="1"/>
  <c r="AC229" i="1" s="1"/>
  <c r="BI243" i="1"/>
  <c r="AC243" i="1" s="1"/>
  <c r="BH245" i="1"/>
  <c r="AB245" i="1" s="1"/>
  <c r="BI258" i="1"/>
  <c r="AC258" i="1" s="1"/>
  <c r="BI263" i="1"/>
  <c r="AC263" i="1" s="1"/>
  <c r="BH265" i="1"/>
  <c r="AB265" i="1" s="1"/>
  <c r="BI281" i="1"/>
  <c r="AC281" i="1" s="1"/>
  <c r="BH284" i="1"/>
  <c r="AB284" i="1" s="1"/>
  <c r="BI306" i="1"/>
  <c r="AC306" i="1" s="1"/>
  <c r="BH307" i="1"/>
  <c r="AB307" i="1" s="1"/>
  <c r="BI309" i="1"/>
  <c r="AC309" i="1" s="1"/>
  <c r="BI315" i="1"/>
  <c r="AC315" i="1" s="1"/>
  <c r="BH321" i="1"/>
  <c r="AB321" i="1" s="1"/>
  <c r="BH329" i="1"/>
  <c r="AB329" i="1" s="1"/>
  <c r="BH340" i="1"/>
  <c r="AB340" i="1" s="1"/>
  <c r="H357" i="1"/>
  <c r="AW391" i="1"/>
  <c r="H391" i="1"/>
  <c r="H390" i="1" s="1"/>
  <c r="AX395" i="1"/>
  <c r="AV395" i="1" s="1"/>
  <c r="I395" i="1"/>
  <c r="I394" i="1" s="1"/>
  <c r="AX418" i="1"/>
  <c r="I418" i="1"/>
  <c r="BC449" i="1"/>
  <c r="I483" i="1"/>
  <c r="AX483" i="1"/>
  <c r="AW493" i="1"/>
  <c r="H493" i="1"/>
  <c r="AX501" i="1"/>
  <c r="BC501" i="1" s="1"/>
  <c r="BI501" i="1"/>
  <c r="AC501" i="1" s="1"/>
  <c r="I501" i="1"/>
  <c r="AW581" i="1"/>
  <c r="H581" i="1"/>
  <c r="BH581" i="1"/>
  <c r="AB581" i="1" s="1"/>
  <c r="BC804" i="1"/>
  <c r="AV804" i="1"/>
  <c r="AX135" i="1"/>
  <c r="AW137" i="1"/>
  <c r="BI147" i="1"/>
  <c r="AC147" i="1" s="1"/>
  <c r="BH149" i="1"/>
  <c r="AB149" i="1" s="1"/>
  <c r="BI152" i="1"/>
  <c r="AC152" i="1" s="1"/>
  <c r="BH155" i="1"/>
  <c r="AB155" i="1" s="1"/>
  <c r="BI188" i="1"/>
  <c r="AE188" i="1" s="1"/>
  <c r="C17" i="2" s="1"/>
  <c r="BH191" i="1"/>
  <c r="AD191" i="1" s="1"/>
  <c r="BI245" i="1"/>
  <c r="AC245" i="1" s="1"/>
  <c r="BH247" i="1"/>
  <c r="AB247" i="1" s="1"/>
  <c r="BI265" i="1"/>
  <c r="AC265" i="1" s="1"/>
  <c r="BH267" i="1"/>
  <c r="AB267" i="1" s="1"/>
  <c r="BI284" i="1"/>
  <c r="AC284" i="1" s="1"/>
  <c r="BH285" i="1"/>
  <c r="AB285" i="1" s="1"/>
  <c r="BI307" i="1"/>
  <c r="AC307" i="1" s="1"/>
  <c r="BI321" i="1"/>
  <c r="AC321" i="1" s="1"/>
  <c r="BH326" i="1"/>
  <c r="AB326" i="1" s="1"/>
  <c r="BI329" i="1"/>
  <c r="AC329" i="1" s="1"/>
  <c r="BH332" i="1"/>
  <c r="AB332" i="1" s="1"/>
  <c r="H346" i="1"/>
  <c r="H339" i="1" s="1"/>
  <c r="BC359" i="1"/>
  <c r="AV365" i="1"/>
  <c r="AW422" i="1"/>
  <c r="H422" i="1"/>
  <c r="AX461" i="1"/>
  <c r="BC461" i="1" s="1"/>
  <c r="I461" i="1"/>
  <c r="H475" i="1"/>
  <c r="AV501" i="1"/>
  <c r="H507" i="1"/>
  <c r="BH507" i="1"/>
  <c r="AB507" i="1" s="1"/>
  <c r="AW507" i="1"/>
  <c r="AV532" i="1"/>
  <c r="BC545" i="1"/>
  <c r="AV545" i="1"/>
  <c r="AX578" i="1"/>
  <c r="AV578" i="1" s="1"/>
  <c r="BI578" i="1"/>
  <c r="AC578" i="1" s="1"/>
  <c r="I578" i="1"/>
  <c r="J622" i="1"/>
  <c r="AL623" i="1"/>
  <c r="AU622" i="1" s="1"/>
  <c r="I147" i="1"/>
  <c r="H149" i="1"/>
  <c r="I152" i="1"/>
  <c r="H155" i="1"/>
  <c r="H151" i="1" s="1"/>
  <c r="I188" i="1"/>
  <c r="I169" i="1" s="1"/>
  <c r="H191" i="1"/>
  <c r="BI194" i="1"/>
  <c r="AE194" i="1" s="1"/>
  <c r="BH199" i="1"/>
  <c r="AD199" i="1" s="1"/>
  <c r="BH208" i="1"/>
  <c r="AD208" i="1" s="1"/>
  <c r="BH212" i="1"/>
  <c r="AD212" i="1" s="1"/>
  <c r="BH219" i="1"/>
  <c r="AD219" i="1" s="1"/>
  <c r="BH223" i="1"/>
  <c r="AB223" i="1" s="1"/>
  <c r="J235" i="1"/>
  <c r="I245" i="1"/>
  <c r="I235" i="1" s="1"/>
  <c r="H247" i="1"/>
  <c r="H235" i="1" s="1"/>
  <c r="BI249" i="1"/>
  <c r="AC249" i="1" s="1"/>
  <c r="BH251" i="1"/>
  <c r="AB251" i="1" s="1"/>
  <c r="I265" i="1"/>
  <c r="I260" i="1" s="1"/>
  <c r="H267" i="1"/>
  <c r="H260" i="1" s="1"/>
  <c r="BI268" i="1"/>
  <c r="AC268" i="1" s="1"/>
  <c r="BH271" i="1"/>
  <c r="AB271" i="1" s="1"/>
  <c r="I284" i="1"/>
  <c r="H285" i="1"/>
  <c r="BI287" i="1"/>
  <c r="AC287" i="1" s="1"/>
  <c r="BH290" i="1"/>
  <c r="AB290" i="1" s="1"/>
  <c r="J300" i="1"/>
  <c r="I307" i="1"/>
  <c r="I300" i="1" s="1"/>
  <c r="I321" i="1"/>
  <c r="I320" i="1" s="1"/>
  <c r="H326" i="1"/>
  <c r="H320" i="1" s="1"/>
  <c r="I329" i="1"/>
  <c r="H332" i="1"/>
  <c r="H328" i="1" s="1"/>
  <c r="BI334" i="1"/>
  <c r="AC334" i="1" s="1"/>
  <c r="I343" i="1"/>
  <c r="I339" i="1" s="1"/>
  <c r="BH348" i="1"/>
  <c r="AB348" i="1" s="1"/>
  <c r="H365" i="1"/>
  <c r="AX367" i="1"/>
  <c r="BC367" i="1" s="1"/>
  <c r="I367" i="1"/>
  <c r="BI418" i="1"/>
  <c r="AC418" i="1" s="1"/>
  <c r="AW455" i="1"/>
  <c r="AV468" i="1"/>
  <c r="AL471" i="1"/>
  <c r="AU470" i="1" s="1"/>
  <c r="J470" i="1"/>
  <c r="BH473" i="1"/>
  <c r="AD473" i="1" s="1"/>
  <c r="AV637" i="1"/>
  <c r="H665" i="1"/>
  <c r="AW665" i="1"/>
  <c r="BH665" i="1"/>
  <c r="AB665" i="1" s="1"/>
  <c r="BH365" i="1"/>
  <c r="AB365" i="1" s="1"/>
  <c r="AW369" i="1"/>
  <c r="H369" i="1"/>
  <c r="AX371" i="1"/>
  <c r="BC371" i="1" s="1"/>
  <c r="I371" i="1"/>
  <c r="I370" i="1" s="1"/>
  <c r="BC374" i="1"/>
  <c r="BI395" i="1"/>
  <c r="AC395" i="1" s="1"/>
  <c r="J437" i="1"/>
  <c r="BI449" i="1"/>
  <c r="AC449" i="1" s="1"/>
  <c r="BI461" i="1"/>
  <c r="AC461" i="1" s="1"/>
  <c r="BI483" i="1"/>
  <c r="AC483" i="1" s="1"/>
  <c r="BH504" i="1"/>
  <c r="AB504" i="1" s="1"/>
  <c r="H888" i="1"/>
  <c r="H887" i="1" s="1"/>
  <c r="AW888" i="1"/>
  <c r="BH888" i="1"/>
  <c r="AB888" i="1" s="1"/>
  <c r="AX897" i="1"/>
  <c r="AV897" i="1" s="1"/>
  <c r="I897" i="1"/>
  <c r="BI897" i="1"/>
  <c r="AC897" i="1" s="1"/>
  <c r="I194" i="1"/>
  <c r="H199" i="1"/>
  <c r="H169" i="1" s="1"/>
  <c r="H208" i="1"/>
  <c r="H207" i="1" s="1"/>
  <c r="H212" i="1"/>
  <c r="H211" i="1" s="1"/>
  <c r="H219" i="1"/>
  <c r="H218" i="1" s="1"/>
  <c r="H223" i="1"/>
  <c r="H222" i="1" s="1"/>
  <c r="I249" i="1"/>
  <c r="H251" i="1"/>
  <c r="I268" i="1"/>
  <c r="H271" i="1"/>
  <c r="I287" i="1"/>
  <c r="H290" i="1"/>
  <c r="J308" i="1"/>
  <c r="I334" i="1"/>
  <c r="H337" i="1"/>
  <c r="BI359" i="1"/>
  <c r="AC359" i="1" s="1"/>
  <c r="AW363" i="1"/>
  <c r="J373" i="1"/>
  <c r="AV379" i="1"/>
  <c r="BC379" i="1"/>
  <c r="BC386" i="1"/>
  <c r="I408" i="1"/>
  <c r="I407" i="1" s="1"/>
  <c r="AS407" i="1"/>
  <c r="BH408" i="1"/>
  <c r="AB408" i="1" s="1"/>
  <c r="BC458" i="1"/>
  <c r="H468" i="1"/>
  <c r="H467" i="1" s="1"/>
  <c r="BH493" i="1"/>
  <c r="AB493" i="1" s="1"/>
  <c r="H504" i="1"/>
  <c r="H482" i="1" s="1"/>
  <c r="AW520" i="1"/>
  <c r="H520" i="1"/>
  <c r="H519" i="1" s="1"/>
  <c r="BH520" i="1"/>
  <c r="AB520" i="1" s="1"/>
  <c r="AW530" i="1"/>
  <c r="BH530" i="1"/>
  <c r="AF530" i="1" s="1"/>
  <c r="H530" i="1"/>
  <c r="BC809" i="1"/>
  <c r="AV809" i="1"/>
  <c r="AW337" i="1"/>
  <c r="H348" i="1"/>
  <c r="H347" i="1" s="1"/>
  <c r="AV350" i="1"/>
  <c r="AV352" i="1"/>
  <c r="BC361" i="1"/>
  <c r="BI367" i="1"/>
  <c r="AC367" i="1" s="1"/>
  <c r="AT373" i="1"/>
  <c r="BH391" i="1"/>
  <c r="AB391" i="1" s="1"/>
  <c r="BI408" i="1"/>
  <c r="AC408" i="1" s="1"/>
  <c r="AU437" i="1"/>
  <c r="AS437" i="1"/>
  <c r="BH455" i="1"/>
  <c r="AB455" i="1" s="1"/>
  <c r="BH468" i="1"/>
  <c r="AB468" i="1" s="1"/>
  <c r="H480" i="1"/>
  <c r="AW480" i="1"/>
  <c r="AL483" i="1"/>
  <c r="AU482" i="1" s="1"/>
  <c r="J482" i="1"/>
  <c r="AV511" i="1"/>
  <c r="BC537" i="1"/>
  <c r="AV537" i="1"/>
  <c r="AW654" i="1"/>
  <c r="H654" i="1"/>
  <c r="BH654" i="1"/>
  <c r="AB654" i="1" s="1"/>
  <c r="AL706" i="1"/>
  <c r="J702" i="1"/>
  <c r="AV965" i="1"/>
  <c r="BC965" i="1"/>
  <c r="BC982" i="1"/>
  <c r="AV982" i="1"/>
  <c r="H820" i="1"/>
  <c r="AW820" i="1"/>
  <c r="BH820" i="1"/>
  <c r="AD820" i="1" s="1"/>
  <c r="BI361" i="1"/>
  <c r="AC361" i="1" s="1"/>
  <c r="BI365" i="1"/>
  <c r="AC365" i="1" s="1"/>
  <c r="BH367" i="1"/>
  <c r="AB367" i="1" s="1"/>
  <c r="BH371" i="1"/>
  <c r="BH395" i="1"/>
  <c r="AB395" i="1" s="1"/>
  <c r="BI404" i="1"/>
  <c r="AC404" i="1" s="1"/>
  <c r="BI413" i="1"/>
  <c r="AC413" i="1" s="1"/>
  <c r="BH418" i="1"/>
  <c r="AB418" i="1" s="1"/>
  <c r="BI458" i="1"/>
  <c r="AC458" i="1" s="1"/>
  <c r="BH461" i="1"/>
  <c r="AB461" i="1" s="1"/>
  <c r="BC483" i="1"/>
  <c r="AV497" i="1"/>
  <c r="AX511" i="1"/>
  <c r="BC511" i="1" s="1"/>
  <c r="I511" i="1"/>
  <c r="AV523" i="1"/>
  <c r="I564" i="1"/>
  <c r="I558" i="1" s="1"/>
  <c r="I819" i="1"/>
  <c r="AX819" i="1"/>
  <c r="BI819" i="1"/>
  <c r="AE819" i="1" s="1"/>
  <c r="J357" i="1"/>
  <c r="I361" i="1"/>
  <c r="I357" i="1" s="1"/>
  <c r="I365" i="1"/>
  <c r="I362" i="1" s="1"/>
  <c r="H367" i="1"/>
  <c r="H362" i="1" s="1"/>
  <c r="H371" i="1"/>
  <c r="H370" i="1" s="1"/>
  <c r="I404" i="1"/>
  <c r="I403" i="1" s="1"/>
  <c r="I413" i="1"/>
  <c r="H418" i="1"/>
  <c r="H407" i="1" s="1"/>
  <c r="I458" i="1"/>
  <c r="H461" i="1"/>
  <c r="H437" i="1" s="1"/>
  <c r="I468" i="1"/>
  <c r="I467" i="1" s="1"/>
  <c r="BI471" i="1"/>
  <c r="AE471" i="1" s="1"/>
  <c r="BI476" i="1"/>
  <c r="AE476" i="1" s="1"/>
  <c r="AV483" i="1"/>
  <c r="AS482" i="1"/>
  <c r="BH486" i="1"/>
  <c r="AB486" i="1" s="1"/>
  <c r="BC497" i="1"/>
  <c r="AW512" i="1"/>
  <c r="H512" i="1"/>
  <c r="AS558" i="1"/>
  <c r="AV561" i="1"/>
  <c r="I614" i="1"/>
  <c r="I613" i="1" s="1"/>
  <c r="AV626" i="1"/>
  <c r="BC626" i="1"/>
  <c r="AW653" i="1"/>
  <c r="BH653" i="1"/>
  <c r="AB653" i="1" s="1"/>
  <c r="H653" i="1"/>
  <c r="H636" i="1" s="1"/>
  <c r="BC692" i="1"/>
  <c r="AV692" i="1"/>
  <c r="BC737" i="1"/>
  <c r="AV737" i="1"/>
  <c r="AL778" i="1"/>
  <c r="AU773" i="1" s="1"/>
  <c r="J773" i="1"/>
  <c r="H882" i="1"/>
  <c r="H878" i="1" s="1"/>
  <c r="AW882" i="1"/>
  <c r="BH882" i="1"/>
  <c r="AB882" i="1" s="1"/>
  <c r="AW1050" i="1"/>
  <c r="BH1050" i="1"/>
  <c r="AB1050" i="1" s="1"/>
  <c r="H1050" i="1"/>
  <c r="I1052" i="1"/>
  <c r="AX1052" i="1"/>
  <c r="BI1052" i="1"/>
  <c r="AC1052" i="1" s="1"/>
  <c r="BI374" i="1"/>
  <c r="AC374" i="1" s="1"/>
  <c r="BH379" i="1"/>
  <c r="AB379" i="1" s="1"/>
  <c r="BI386" i="1"/>
  <c r="AC386" i="1" s="1"/>
  <c r="BI426" i="1"/>
  <c r="AC426" i="1" s="1"/>
  <c r="BH431" i="1"/>
  <c r="AB431" i="1" s="1"/>
  <c r="BH438" i="1"/>
  <c r="AB438" i="1" s="1"/>
  <c r="BC471" i="1"/>
  <c r="BC476" i="1"/>
  <c r="BH528" i="1"/>
  <c r="AF528" i="1" s="1"/>
  <c r="C18" i="2" s="1"/>
  <c r="H528" i="1"/>
  <c r="BI532" i="1"/>
  <c r="AG532" i="1" s="1"/>
  <c r="C19" i="2" s="1"/>
  <c r="AX532" i="1"/>
  <c r="BC532" i="1" s="1"/>
  <c r="I532" i="1"/>
  <c r="I527" i="1" s="1"/>
  <c r="H551" i="1"/>
  <c r="H550" i="1" s="1"/>
  <c r="H535" i="1" s="1"/>
  <c r="BH551" i="1"/>
  <c r="AB551" i="1" s="1"/>
  <c r="AW551" i="1"/>
  <c r="AW573" i="1"/>
  <c r="BH573" i="1"/>
  <c r="AB573" i="1" s="1"/>
  <c r="H573" i="1"/>
  <c r="H558" i="1" s="1"/>
  <c r="H587" i="1"/>
  <c r="AW587" i="1"/>
  <c r="AV595" i="1"/>
  <c r="BC595" i="1"/>
  <c r="AL604" i="1"/>
  <c r="AU603" i="1" s="1"/>
  <c r="J603" i="1"/>
  <c r="AW607" i="1"/>
  <c r="BH607" i="1"/>
  <c r="AB607" i="1" s="1"/>
  <c r="AL614" i="1"/>
  <c r="AU613" i="1" s="1"/>
  <c r="J613" i="1"/>
  <c r="AX653" i="1"/>
  <c r="I653" i="1"/>
  <c r="I636" i="1" s="1"/>
  <c r="BI653" i="1"/>
  <c r="AC653" i="1" s="1"/>
  <c r="H656" i="1"/>
  <c r="AW656" i="1"/>
  <c r="BH656" i="1"/>
  <c r="AB656" i="1" s="1"/>
  <c r="H673" i="1"/>
  <c r="AW673" i="1"/>
  <c r="BH673" i="1"/>
  <c r="AB673" i="1" s="1"/>
  <c r="I715" i="1"/>
  <c r="AX715" i="1"/>
  <c r="AX725" i="1"/>
  <c r="I725" i="1"/>
  <c r="BI725" i="1"/>
  <c r="AE725" i="1" s="1"/>
  <c r="AT773" i="1"/>
  <c r="H780" i="1"/>
  <c r="AW780" i="1"/>
  <c r="BH780" i="1"/>
  <c r="AD780" i="1" s="1"/>
  <c r="AV795" i="1"/>
  <c r="H802" i="1"/>
  <c r="AW802" i="1"/>
  <c r="BC813" i="1"/>
  <c r="AV813" i="1"/>
  <c r="AV828" i="1"/>
  <c r="BC828" i="1"/>
  <c r="BC540" i="1"/>
  <c r="AV540" i="1"/>
  <c r="AL555" i="1"/>
  <c r="AU554" i="1" s="1"/>
  <c r="J554" i="1"/>
  <c r="AU558" i="1"/>
  <c r="BC569" i="1"/>
  <c r="AV569" i="1"/>
  <c r="AX573" i="1"/>
  <c r="I573" i="1"/>
  <c r="BI573" i="1"/>
  <c r="AC573" i="1" s="1"/>
  <c r="BI630" i="1"/>
  <c r="AC630" i="1" s="1"/>
  <c r="I630" i="1"/>
  <c r="I622" i="1" s="1"/>
  <c r="AX630" i="1"/>
  <c r="BC630" i="1" s="1"/>
  <c r="AU684" i="1"/>
  <c r="AU702" i="1"/>
  <c r="I778" i="1"/>
  <c r="I773" i="1" s="1"/>
  <c r="AX778" i="1"/>
  <c r="BI778" i="1"/>
  <c r="AE778" i="1" s="1"/>
  <c r="AW929" i="1"/>
  <c r="H929" i="1"/>
  <c r="H893" i="1" s="1"/>
  <c r="BH929" i="1"/>
  <c r="AB929" i="1" s="1"/>
  <c r="AV1020" i="1"/>
  <c r="AX1023" i="1"/>
  <c r="AV1023" i="1" s="1"/>
  <c r="I1023" i="1"/>
  <c r="BI1023" i="1"/>
  <c r="AC1023" i="1" s="1"/>
  <c r="AV1153" i="1"/>
  <c r="BC1153" i="1"/>
  <c r="AV471" i="1"/>
  <c r="AV476" i="1"/>
  <c r="BC499" i="1"/>
  <c r="AV508" i="1"/>
  <c r="BI511" i="1"/>
  <c r="AC511" i="1" s="1"/>
  <c r="AW528" i="1"/>
  <c r="AL530" i="1"/>
  <c r="AU527" i="1" s="1"/>
  <c r="J527" i="1"/>
  <c r="AV630" i="1"/>
  <c r="AW633" i="1"/>
  <c r="BH633" i="1"/>
  <c r="AB633" i="1" s="1"/>
  <c r="I685" i="1"/>
  <c r="I684" i="1" s="1"/>
  <c r="AX685" i="1"/>
  <c r="BH720" i="1"/>
  <c r="AD720" i="1" s="1"/>
  <c r="H720" i="1"/>
  <c r="AW720" i="1"/>
  <c r="BC772" i="1"/>
  <c r="AV772" i="1"/>
  <c r="AS773" i="1"/>
  <c r="AV906" i="1"/>
  <c r="BC906" i="1"/>
  <c r="BC923" i="1"/>
  <c r="AV923" i="1"/>
  <c r="AV944" i="1"/>
  <c r="BC944" i="1"/>
  <c r="AL1040" i="1"/>
  <c r="AU1039" i="1" s="1"/>
  <c r="J1039" i="1"/>
  <c r="BI489" i="1"/>
  <c r="AC489" i="1" s="1"/>
  <c r="BH491" i="1"/>
  <c r="AB491" i="1" s="1"/>
  <c r="BI508" i="1"/>
  <c r="AC508" i="1" s="1"/>
  <c r="BH511" i="1"/>
  <c r="AB511" i="1" s="1"/>
  <c r="BH523" i="1"/>
  <c r="AB523" i="1" s="1"/>
  <c r="BI526" i="1"/>
  <c r="BI540" i="1"/>
  <c r="AC540" i="1" s="1"/>
  <c r="AL551" i="1"/>
  <c r="AU550" i="1" s="1"/>
  <c r="J550" i="1"/>
  <c r="AT558" i="1"/>
  <c r="BI569" i="1"/>
  <c r="AC569" i="1" s="1"/>
  <c r="H577" i="1"/>
  <c r="BC578" i="1"/>
  <c r="J606" i="1"/>
  <c r="AL607" i="1"/>
  <c r="AU606" i="1" s="1"/>
  <c r="BI645" i="1"/>
  <c r="AC645" i="1" s="1"/>
  <c r="AW685" i="1"/>
  <c r="H685" i="1"/>
  <c r="BC758" i="1"/>
  <c r="AV758" i="1"/>
  <c r="H771" i="1"/>
  <c r="AW771" i="1"/>
  <c r="BH771" i="1"/>
  <c r="AD771" i="1" s="1"/>
  <c r="BC792" i="1"/>
  <c r="AV792" i="1"/>
  <c r="AV799" i="1"/>
  <c r="BC799" i="1"/>
  <c r="AS831" i="1"/>
  <c r="AW871" i="1"/>
  <c r="H871" i="1"/>
  <c r="H870" i="1" s="1"/>
  <c r="BH871" i="1"/>
  <c r="BC1043" i="1"/>
  <c r="AV1043" i="1"/>
  <c r="J558" i="1"/>
  <c r="AV564" i="1"/>
  <c r="AX581" i="1"/>
  <c r="I581" i="1"/>
  <c r="BC589" i="1"/>
  <c r="I595" i="1"/>
  <c r="AV597" i="1"/>
  <c r="AV614" i="1"/>
  <c r="H623" i="1"/>
  <c r="H622" i="1" s="1"/>
  <c r="AW623" i="1"/>
  <c r="BC635" i="1"/>
  <c r="I654" i="1"/>
  <c r="AX654" i="1"/>
  <c r="H681" i="1"/>
  <c r="H680" i="1" s="1"/>
  <c r="AW681" i="1"/>
  <c r="BI698" i="1"/>
  <c r="AE698" i="1" s="1"/>
  <c r="BI706" i="1"/>
  <c r="AE706" i="1" s="1"/>
  <c r="J712" i="1"/>
  <c r="AL729" i="1"/>
  <c r="AU712" i="1" s="1"/>
  <c r="H741" i="1"/>
  <c r="AW741" i="1"/>
  <c r="BH741" i="1"/>
  <c r="AD741" i="1" s="1"/>
  <c r="AV774" i="1"/>
  <c r="BC774" i="1"/>
  <c r="AV793" i="1"/>
  <c r="BC793" i="1"/>
  <c r="AX814" i="1"/>
  <c r="AV814" i="1" s="1"/>
  <c r="BI814" i="1"/>
  <c r="AE814" i="1" s="1"/>
  <c r="I814" i="1"/>
  <c r="AV817" i="1"/>
  <c r="BC817" i="1"/>
  <c r="BC822" i="1"/>
  <c r="AV822" i="1"/>
  <c r="I829" i="1"/>
  <c r="AX829" i="1"/>
  <c r="BI829" i="1"/>
  <c r="AE829" i="1" s="1"/>
  <c r="H848" i="1"/>
  <c r="H847" i="1" s="1"/>
  <c r="AW848" i="1"/>
  <c r="BH848" i="1"/>
  <c r="AD848" i="1" s="1"/>
  <c r="AV879" i="1"/>
  <c r="BC879" i="1"/>
  <c r="AX951" i="1"/>
  <c r="I951" i="1"/>
  <c r="BI951" i="1"/>
  <c r="AC951" i="1" s="1"/>
  <c r="AL1128" i="1"/>
  <c r="AU1127" i="1" s="1"/>
  <c r="J1127" i="1"/>
  <c r="AT577" i="1"/>
  <c r="J616" i="1"/>
  <c r="J636" i="1"/>
  <c r="AL637" i="1"/>
  <c r="AU636" i="1" s="1"/>
  <c r="AW658" i="1"/>
  <c r="H658" i="1"/>
  <c r="H657" i="1" s="1"/>
  <c r="AW669" i="1"/>
  <c r="H669" i="1"/>
  <c r="H668" i="1" s="1"/>
  <c r="AX741" i="1"/>
  <c r="I741" i="1"/>
  <c r="J764" i="1"/>
  <c r="AL765" i="1"/>
  <c r="AU764" i="1" s="1"/>
  <c r="BC786" i="1"/>
  <c r="AV786" i="1"/>
  <c r="BC787" i="1"/>
  <c r="I794" i="1"/>
  <c r="AX794" i="1"/>
  <c r="BI794" i="1"/>
  <c r="AE794" i="1" s="1"/>
  <c r="AX796" i="1"/>
  <c r="BC796" i="1" s="1"/>
  <c r="BI796" i="1"/>
  <c r="AE796" i="1" s="1"/>
  <c r="AW797" i="1"/>
  <c r="BH797" i="1"/>
  <c r="AD797" i="1" s="1"/>
  <c r="H797" i="1"/>
  <c r="AW806" i="1"/>
  <c r="H806" i="1"/>
  <c r="BH806" i="1"/>
  <c r="AD806" i="1" s="1"/>
  <c r="H807" i="1"/>
  <c r="BH807" i="1"/>
  <c r="AD807" i="1" s="1"/>
  <c r="AW807" i="1"/>
  <c r="AW815" i="1"/>
  <c r="BH815" i="1"/>
  <c r="AD815" i="1" s="1"/>
  <c r="AX823" i="1"/>
  <c r="AV823" i="1" s="1"/>
  <c r="I823" i="1"/>
  <c r="BI823" i="1"/>
  <c r="AE823" i="1" s="1"/>
  <c r="H826" i="1"/>
  <c r="AW826" i="1"/>
  <c r="BH826" i="1"/>
  <c r="AD826" i="1" s="1"/>
  <c r="AV829" i="1"/>
  <c r="BC829" i="1"/>
  <c r="I832" i="1"/>
  <c r="I831" i="1" s="1"/>
  <c r="AX832" i="1"/>
  <c r="BC832" i="1" s="1"/>
  <c r="BI832" i="1"/>
  <c r="AE832" i="1" s="1"/>
  <c r="J878" i="1"/>
  <c r="AT893" i="1"/>
  <c r="BC984" i="1"/>
  <c r="AV984" i="1"/>
  <c r="BC1066" i="1"/>
  <c r="AV1066" i="1"/>
  <c r="AW585" i="1"/>
  <c r="H585" i="1"/>
  <c r="AV645" i="1"/>
  <c r="I658" i="1"/>
  <c r="I657" i="1" s="1"/>
  <c r="AX658" i="1"/>
  <c r="I669" i="1"/>
  <c r="I668" i="1" s="1"/>
  <c r="AX669" i="1"/>
  <c r="J684" i="1"/>
  <c r="H688" i="1"/>
  <c r="AW688" i="1"/>
  <c r="AV717" i="1"/>
  <c r="BC717" i="1"/>
  <c r="AW729" i="1"/>
  <c r="H729" i="1"/>
  <c r="BH729" i="1"/>
  <c r="AD729" i="1" s="1"/>
  <c r="AX787" i="1"/>
  <c r="AV787" i="1" s="1"/>
  <c r="I787" i="1"/>
  <c r="BI787" i="1"/>
  <c r="AE787" i="1" s="1"/>
  <c r="H791" i="1"/>
  <c r="AW791" i="1"/>
  <c r="BH791" i="1"/>
  <c r="AD791" i="1" s="1"/>
  <c r="AV794" i="1"/>
  <c r="BC794" i="1"/>
  <c r="I806" i="1"/>
  <c r="AX806" i="1"/>
  <c r="BI806" i="1"/>
  <c r="AE806" i="1" s="1"/>
  <c r="I825" i="1"/>
  <c r="BI825" i="1"/>
  <c r="AE825" i="1" s="1"/>
  <c r="AX825" i="1"/>
  <c r="AV832" i="1"/>
  <c r="AX836" i="1"/>
  <c r="AV836" i="1" s="1"/>
  <c r="BI836" i="1"/>
  <c r="AE836" i="1" s="1"/>
  <c r="AW839" i="1"/>
  <c r="BH839" i="1"/>
  <c r="AD839" i="1" s="1"/>
  <c r="H839" i="1"/>
  <c r="H831" i="1" s="1"/>
  <c r="H867" i="1"/>
  <c r="H866" i="1" s="1"/>
  <c r="BH867" i="1"/>
  <c r="AB867" i="1" s="1"/>
  <c r="AW867" i="1"/>
  <c r="BC894" i="1"/>
  <c r="AV894" i="1"/>
  <c r="BC1102" i="1"/>
  <c r="AV1102" i="1"/>
  <c r="AV1333" i="1"/>
  <c r="I585" i="1"/>
  <c r="AX585" i="1"/>
  <c r="J577" i="1"/>
  <c r="AS684" i="1"/>
  <c r="AV698" i="1"/>
  <c r="AV706" i="1"/>
  <c r="AW725" i="1"/>
  <c r="H725" i="1"/>
  <c r="H712" i="1" s="1"/>
  <c r="BH725" i="1"/>
  <c r="AD725" i="1" s="1"/>
  <c r="I790" i="1"/>
  <c r="BI790" i="1"/>
  <c r="AE790" i="1" s="1"/>
  <c r="AX790" i="1"/>
  <c r="AW803" i="1"/>
  <c r="H803" i="1"/>
  <c r="BH803" i="1"/>
  <c r="AD803" i="1" s="1"/>
  <c r="J870" i="1"/>
  <c r="AL871" i="1"/>
  <c r="AU870" i="1" s="1"/>
  <c r="BC1284" i="1"/>
  <c r="AV1284" i="1"/>
  <c r="BI555" i="1"/>
  <c r="AC555" i="1" s="1"/>
  <c r="BI561" i="1"/>
  <c r="AC561" i="1" s="1"/>
  <c r="BH564" i="1"/>
  <c r="AB564" i="1" s="1"/>
  <c r="BI592" i="1"/>
  <c r="AC592" i="1" s="1"/>
  <c r="BH595" i="1"/>
  <c r="AB595" i="1" s="1"/>
  <c r="BH602" i="1"/>
  <c r="BI604" i="1"/>
  <c r="AG604" i="1" s="1"/>
  <c r="BH614" i="1"/>
  <c r="AB614" i="1" s="1"/>
  <c r="BI617" i="1"/>
  <c r="AC617" i="1" s="1"/>
  <c r="BI629" i="1"/>
  <c r="AC629" i="1" s="1"/>
  <c r="BH630" i="1"/>
  <c r="AB630" i="1" s="1"/>
  <c r="BI695" i="1"/>
  <c r="AE695" i="1" s="1"/>
  <c r="BH698" i="1"/>
  <c r="AD698" i="1" s="1"/>
  <c r="BI703" i="1"/>
  <c r="AE703" i="1" s="1"/>
  <c r="BH706" i="1"/>
  <c r="AD706" i="1" s="1"/>
  <c r="AV732" i="1"/>
  <c r="BC732" i="1"/>
  <c r="AW790" i="1"/>
  <c r="H790" i="1"/>
  <c r="BI804" i="1"/>
  <c r="AE804" i="1" s="1"/>
  <c r="AX805" i="1"/>
  <c r="I805" i="1"/>
  <c r="AW825" i="1"/>
  <c r="H825" i="1"/>
  <c r="AL832" i="1"/>
  <c r="AU831" i="1" s="1"/>
  <c r="J831" i="1"/>
  <c r="AV843" i="1"/>
  <c r="BC843" i="1"/>
  <c r="AV874" i="1"/>
  <c r="BC874" i="1"/>
  <c r="AX1020" i="1"/>
  <c r="BI1020" i="1"/>
  <c r="AC1020" i="1" s="1"/>
  <c r="I1020" i="1"/>
  <c r="AV1040" i="1"/>
  <c r="BC1040" i="1"/>
  <c r="BC1088" i="1"/>
  <c r="AV1088" i="1"/>
  <c r="AW1145" i="1"/>
  <c r="H1145" i="1"/>
  <c r="BH1145" i="1"/>
  <c r="AB1145" i="1" s="1"/>
  <c r="BC1194" i="1"/>
  <c r="AV1194" i="1"/>
  <c r="AX1216" i="1"/>
  <c r="I1216" i="1"/>
  <c r="BI1216" i="1"/>
  <c r="AC1216" i="1" s="1"/>
  <c r="AU1110" i="1"/>
  <c r="AW1164" i="1"/>
  <c r="H1164" i="1"/>
  <c r="BH1164" i="1"/>
  <c r="AF1164" i="1" s="1"/>
  <c r="BI717" i="1"/>
  <c r="AE717" i="1" s="1"/>
  <c r="BC723" i="1"/>
  <c r="BH757" i="1"/>
  <c r="AD757" i="1" s="1"/>
  <c r="BC762" i="1"/>
  <c r="BC765" i="1"/>
  <c r="BH794" i="1"/>
  <c r="AD794" i="1" s="1"/>
  <c r="AW798" i="1"/>
  <c r="H798" i="1"/>
  <c r="BC808" i="1"/>
  <c r="AX812" i="1"/>
  <c r="BC812" i="1" s="1"/>
  <c r="AX815" i="1"/>
  <c r="I815" i="1"/>
  <c r="AW841" i="1"/>
  <c r="H841" i="1"/>
  <c r="I870" i="1"/>
  <c r="BC892" i="1"/>
  <c r="AW904" i="1"/>
  <c r="H904" i="1"/>
  <c r="BI910" i="1"/>
  <c r="AC910" i="1" s="1"/>
  <c r="AX910" i="1"/>
  <c r="I910" i="1"/>
  <c r="AW912" i="1"/>
  <c r="H912" i="1"/>
  <c r="BH912" i="1"/>
  <c r="AB912" i="1" s="1"/>
  <c r="BC967" i="1"/>
  <c r="AV967" i="1"/>
  <c r="AW973" i="1"/>
  <c r="H973" i="1"/>
  <c r="BH973" i="1"/>
  <c r="AB973" i="1" s="1"/>
  <c r="AW989" i="1"/>
  <c r="BH989" i="1"/>
  <c r="AB989" i="1" s="1"/>
  <c r="H989" i="1"/>
  <c r="I994" i="1"/>
  <c r="AX994" i="1"/>
  <c r="I1026" i="1"/>
  <c r="AX1026" i="1"/>
  <c r="BI1026" i="1"/>
  <c r="AC1026" i="1" s="1"/>
  <c r="AV1157" i="1"/>
  <c r="BC1157" i="1"/>
  <c r="AX1163" i="1"/>
  <c r="AV1163" i="1" s="1"/>
  <c r="I1163" i="1"/>
  <c r="BI1163" i="1"/>
  <c r="AG1163" i="1" s="1"/>
  <c r="I1164" i="1"/>
  <c r="AX1164" i="1"/>
  <c r="BI1164" i="1"/>
  <c r="AG1164" i="1" s="1"/>
  <c r="AW1263" i="1"/>
  <c r="H1263" i="1"/>
  <c r="H1262" i="1" s="1"/>
  <c r="BH1263" i="1"/>
  <c r="AB1263" i="1" s="1"/>
  <c r="AX769" i="1"/>
  <c r="I769" i="1"/>
  <c r="I764" i="1" s="1"/>
  <c r="BC782" i="1"/>
  <c r="BC821" i="1"/>
  <c r="BC836" i="1"/>
  <c r="AX871" i="1"/>
  <c r="AL888" i="1"/>
  <c r="AU887" i="1" s="1"/>
  <c r="J887" i="1"/>
  <c r="I892" i="1"/>
  <c r="I887" i="1" s="1"/>
  <c r="I877" i="1" s="1"/>
  <c r="J893" i="1"/>
  <c r="H899" i="1"/>
  <c r="I912" i="1"/>
  <c r="AX912" i="1"/>
  <c r="AV921" i="1"/>
  <c r="BC921" i="1"/>
  <c r="BC946" i="1"/>
  <c r="AV946" i="1"/>
  <c r="AW951" i="1"/>
  <c r="H951" i="1"/>
  <c r="I973" i="1"/>
  <c r="AX973" i="1"/>
  <c r="AX989" i="1"/>
  <c r="I989" i="1"/>
  <c r="BI989" i="1"/>
  <c r="AC989" i="1" s="1"/>
  <c r="H998" i="1"/>
  <c r="AW998" i="1"/>
  <c r="AS1039" i="1"/>
  <c r="BC1046" i="1"/>
  <c r="AX1082" i="1"/>
  <c r="BC1082" i="1" s="1"/>
  <c r="I1082" i="1"/>
  <c r="BI1082" i="1"/>
  <c r="AC1082" i="1" s="1"/>
  <c r="AT712" i="1"/>
  <c r="H757" i="1"/>
  <c r="BI770" i="1"/>
  <c r="AE770" i="1" s="1"/>
  <c r="H787" i="1"/>
  <c r="BH790" i="1"/>
  <c r="AD790" i="1" s="1"/>
  <c r="AX797" i="1"/>
  <c r="I797" i="1"/>
  <c r="I804" i="1"/>
  <c r="BI805" i="1"/>
  <c r="AE805" i="1" s="1"/>
  <c r="AW816" i="1"/>
  <c r="H816" i="1"/>
  <c r="H823" i="1"/>
  <c r="BH825" i="1"/>
  <c r="AD825" i="1" s="1"/>
  <c r="AX839" i="1"/>
  <c r="I839" i="1"/>
  <c r="AX929" i="1"/>
  <c r="I929" i="1"/>
  <c r="BI929" i="1"/>
  <c r="AC929" i="1" s="1"/>
  <c r="BH970" i="1"/>
  <c r="AB970" i="1" s="1"/>
  <c r="BI994" i="1"/>
  <c r="AC994" i="1" s="1"/>
  <c r="AX1050" i="1"/>
  <c r="I1050" i="1"/>
  <c r="BI1050" i="1"/>
  <c r="AC1050" i="1" s="1"/>
  <c r="H1054" i="1"/>
  <c r="AW1054" i="1"/>
  <c r="AS1048" i="1"/>
  <c r="AT1141" i="1"/>
  <c r="H1240" i="1"/>
  <c r="AW1240" i="1"/>
  <c r="BH1240" i="1"/>
  <c r="AF1240" i="1" s="1"/>
  <c r="BI758" i="1"/>
  <c r="AE758" i="1" s="1"/>
  <c r="AX760" i="1"/>
  <c r="I760" i="1"/>
  <c r="AV768" i="1"/>
  <c r="AW770" i="1"/>
  <c r="H770" i="1"/>
  <c r="H764" i="1" s="1"/>
  <c r="BI801" i="1"/>
  <c r="AE801" i="1" s="1"/>
  <c r="BH841" i="1"/>
  <c r="AD841" i="1" s="1"/>
  <c r="BI871" i="1"/>
  <c r="AX899" i="1"/>
  <c r="I899" i="1"/>
  <c r="I893" i="1" s="1"/>
  <c r="BH904" i="1"/>
  <c r="AB904" i="1" s="1"/>
  <c r="AV926" i="1"/>
  <c r="BC966" i="1"/>
  <c r="H970" i="1"/>
  <c r="AV980" i="1"/>
  <c r="BC980" i="1"/>
  <c r="BC1019" i="1"/>
  <c r="AV1019" i="1"/>
  <c r="AX1138" i="1"/>
  <c r="AV1138" i="1" s="1"/>
  <c r="BI1138" i="1"/>
  <c r="AE1138" i="1" s="1"/>
  <c r="I1138" i="1"/>
  <c r="I1131" i="1" s="1"/>
  <c r="AV916" i="1"/>
  <c r="AX970" i="1"/>
  <c r="BC970" i="1" s="1"/>
  <c r="I970" i="1"/>
  <c r="AW1107" i="1"/>
  <c r="H1107" i="1"/>
  <c r="BH1107" i="1"/>
  <c r="AB1107" i="1" s="1"/>
  <c r="I1145" i="1"/>
  <c r="AX1145" i="1"/>
  <c r="BI1145" i="1"/>
  <c r="AC1145" i="1" s="1"/>
  <c r="H1247" i="1"/>
  <c r="BH1247" i="1"/>
  <c r="AF1247" i="1" s="1"/>
  <c r="AW1247" i="1"/>
  <c r="H914" i="1"/>
  <c r="AW914" i="1"/>
  <c r="H932" i="1"/>
  <c r="AW932" i="1"/>
  <c r="H957" i="1"/>
  <c r="AW957" i="1"/>
  <c r="AW1026" i="1"/>
  <c r="H1026" i="1"/>
  <c r="BC1035" i="1"/>
  <c r="AV1037" i="1"/>
  <c r="I1107" i="1"/>
  <c r="AX1107" i="1"/>
  <c r="BI1107" i="1"/>
  <c r="AC1107" i="1" s="1"/>
  <c r="AW1216" i="1"/>
  <c r="BH1216" i="1"/>
  <c r="AB1216" i="1" s="1"/>
  <c r="H1216" i="1"/>
  <c r="BH910" i="1"/>
  <c r="AB910" i="1" s="1"/>
  <c r="I926" i="1"/>
  <c r="AW931" i="1"/>
  <c r="H931" i="1"/>
  <c r="I947" i="1"/>
  <c r="AW954" i="1"/>
  <c r="H954" i="1"/>
  <c r="BI970" i="1"/>
  <c r="AC970" i="1" s="1"/>
  <c r="I984" i="1"/>
  <c r="BH1026" i="1"/>
  <c r="AB1026" i="1" s="1"/>
  <c r="H1029" i="1"/>
  <c r="AW1029" i="1"/>
  <c r="AL1046" i="1"/>
  <c r="AU1045" i="1" s="1"/>
  <c r="J1045" i="1"/>
  <c r="I1049" i="1"/>
  <c r="I1078" i="1"/>
  <c r="I1093" i="1"/>
  <c r="AW1115" i="1"/>
  <c r="H1115" i="1"/>
  <c r="H1110" i="1" s="1"/>
  <c r="BH1115" i="1"/>
  <c r="BC1182" i="1"/>
  <c r="AV1182" i="1"/>
  <c r="AX1250" i="1"/>
  <c r="BI1250" i="1"/>
  <c r="AG1250" i="1" s="1"/>
  <c r="I1250" i="1"/>
  <c r="BH914" i="1"/>
  <c r="AB914" i="1" s="1"/>
  <c r="BI926" i="1"/>
  <c r="AC926" i="1" s="1"/>
  <c r="I931" i="1"/>
  <c r="AX931" i="1"/>
  <c r="BH932" i="1"/>
  <c r="AB932" i="1" s="1"/>
  <c r="BI947" i="1"/>
  <c r="AC947" i="1" s="1"/>
  <c r="I954" i="1"/>
  <c r="AX954" i="1"/>
  <c r="BH957" i="1"/>
  <c r="AB957" i="1" s="1"/>
  <c r="H976" i="1"/>
  <c r="AW976" i="1"/>
  <c r="BI984" i="1"/>
  <c r="AC984" i="1" s="1"/>
  <c r="AW994" i="1"/>
  <c r="H994" i="1"/>
  <c r="AV1010" i="1"/>
  <c r="BC1020" i="1"/>
  <c r="BC1023" i="1"/>
  <c r="AT1048" i="1"/>
  <c r="BI1049" i="1"/>
  <c r="AC1049" i="1" s="1"/>
  <c r="AW1052" i="1"/>
  <c r="H1052" i="1"/>
  <c r="H1048" i="1" s="1"/>
  <c r="H1047" i="1" s="1"/>
  <c r="J1048" i="1"/>
  <c r="AV1061" i="1"/>
  <c r="BC1074" i="1"/>
  <c r="AV1074" i="1"/>
  <c r="J1078" i="1"/>
  <c r="AL1079" i="1"/>
  <c r="AU1078" i="1" s="1"/>
  <c r="AL1094" i="1"/>
  <c r="AU1093" i="1" s="1"/>
  <c r="J1093" i="1"/>
  <c r="AV1132" i="1"/>
  <c r="BC1132" i="1"/>
  <c r="BC1159" i="1"/>
  <c r="AV1159" i="1"/>
  <c r="I1168" i="1"/>
  <c r="BC1227" i="1"/>
  <c r="AV1227" i="1"/>
  <c r="AL1229" i="1"/>
  <c r="AU1228" i="1" s="1"/>
  <c r="J1228" i="1"/>
  <c r="AU1262" i="1"/>
  <c r="BC1271" i="1"/>
  <c r="BI920" i="1"/>
  <c r="AC920" i="1" s="1"/>
  <c r="BH921" i="1"/>
  <c r="AB921" i="1" s="1"/>
  <c r="BI940" i="1"/>
  <c r="AC940" i="1" s="1"/>
  <c r="BH944" i="1"/>
  <c r="AB944" i="1" s="1"/>
  <c r="BI1009" i="1"/>
  <c r="AC1009" i="1" s="1"/>
  <c r="BH1010" i="1"/>
  <c r="AB1010" i="1" s="1"/>
  <c r="BI1035" i="1"/>
  <c r="AC1035" i="1" s="1"/>
  <c r="BH1037" i="1"/>
  <c r="AB1037" i="1" s="1"/>
  <c r="BI1040" i="1"/>
  <c r="AE1040" i="1" s="1"/>
  <c r="BH1042" i="1"/>
  <c r="AD1042" i="1" s="1"/>
  <c r="BH1046" i="1"/>
  <c r="BI1057" i="1"/>
  <c r="AC1057" i="1" s="1"/>
  <c r="BH1061" i="1"/>
  <c r="AB1061" i="1" s="1"/>
  <c r="AV1079" i="1"/>
  <c r="AV1103" i="1"/>
  <c r="AV1142" i="1"/>
  <c r="H1147" i="1"/>
  <c r="AW1147" i="1"/>
  <c r="AV1161" i="1"/>
  <c r="AV1225" i="1"/>
  <c r="BC1225" i="1"/>
  <c r="BC1296" i="1"/>
  <c r="AV1296" i="1"/>
  <c r="H1119" i="1"/>
  <c r="AW1119" i="1"/>
  <c r="AU1131" i="1"/>
  <c r="BC1144" i="1"/>
  <c r="AU1168" i="1"/>
  <c r="AS1168" i="1"/>
  <c r="AU1173" i="1"/>
  <c r="AS1173" i="1"/>
  <c r="AU1179" i="1"/>
  <c r="AS1179" i="1"/>
  <c r="J1197" i="1"/>
  <c r="AL1198" i="1"/>
  <c r="AU1197" i="1" s="1"/>
  <c r="AX1300" i="1"/>
  <c r="AV1300" i="1" s="1"/>
  <c r="I1300" i="1"/>
  <c r="BI1300" i="1"/>
  <c r="AG1300" i="1" s="1"/>
  <c r="AX916" i="1"/>
  <c r="BC916" i="1" s="1"/>
  <c r="AW920" i="1"/>
  <c r="AX937" i="1"/>
  <c r="BC937" i="1" s="1"/>
  <c r="AW940" i="1"/>
  <c r="AX978" i="1"/>
  <c r="BC978" i="1" s="1"/>
  <c r="AX1105" i="1"/>
  <c r="AV1105" i="1" s="1"/>
  <c r="I1105" i="1"/>
  <c r="AX1111" i="1"/>
  <c r="AV1111" i="1" s="1"/>
  <c r="I1111" i="1"/>
  <c r="BC1135" i="1"/>
  <c r="AX1139" i="1"/>
  <c r="AV1139" i="1" s="1"/>
  <c r="I1139" i="1"/>
  <c r="AX1144" i="1"/>
  <c r="AV1144" i="1" s="1"/>
  <c r="I1144" i="1"/>
  <c r="I1141" i="1" s="1"/>
  <c r="BC1163" i="1"/>
  <c r="AL1217" i="1"/>
  <c r="AU1213" i="1" s="1"/>
  <c r="J1213" i="1"/>
  <c r="AW1238" i="1"/>
  <c r="H1238" i="1"/>
  <c r="H1235" i="1" s="1"/>
  <c r="I1242" i="1"/>
  <c r="AX1242" i="1"/>
  <c r="AL1289" i="1"/>
  <c r="J1262" i="1"/>
  <c r="J1231" i="1" s="1"/>
  <c r="BC1300" i="1"/>
  <c r="BI1074" i="1"/>
  <c r="AC1074" i="1" s="1"/>
  <c r="H1105" i="1"/>
  <c r="H1093" i="1" s="1"/>
  <c r="BH1105" i="1"/>
  <c r="AB1105" i="1" s="1"/>
  <c r="AS1110" i="1"/>
  <c r="BH1111" i="1"/>
  <c r="I1115" i="1"/>
  <c r="AX1115" i="1"/>
  <c r="BH1119" i="1"/>
  <c r="BH1139" i="1"/>
  <c r="AD1139" i="1" s="1"/>
  <c r="H1144" i="1"/>
  <c r="H1141" i="1" s="1"/>
  <c r="AS1141" i="1"/>
  <c r="BH1144" i="1"/>
  <c r="AB1144" i="1" s="1"/>
  <c r="AS1155" i="1"/>
  <c r="H1163" i="1"/>
  <c r="H1155" i="1" s="1"/>
  <c r="H1165" i="1"/>
  <c r="AW1165" i="1"/>
  <c r="AX1183" i="1"/>
  <c r="BC1183" i="1" s="1"/>
  <c r="BI1183" i="1"/>
  <c r="AC1183" i="1" s="1"/>
  <c r="AX1202" i="1"/>
  <c r="AV1202" i="1" s="1"/>
  <c r="BI1202" i="1"/>
  <c r="AC1202" i="1" s="1"/>
  <c r="I1202" i="1"/>
  <c r="H1213" i="1"/>
  <c r="H1220" i="1"/>
  <c r="AW1220" i="1"/>
  <c r="AX1233" i="1"/>
  <c r="AV1233" i="1" s="1"/>
  <c r="I1233" i="1"/>
  <c r="I1232" i="1" s="1"/>
  <c r="BI1233" i="1"/>
  <c r="AC1233" i="1" s="1"/>
  <c r="BH1238" i="1"/>
  <c r="AF1238" i="1" s="1"/>
  <c r="BI1242" i="1"/>
  <c r="AG1242" i="1" s="1"/>
  <c r="I1247" i="1"/>
  <c r="AX1247" i="1"/>
  <c r="BI1247" i="1"/>
  <c r="AG1247" i="1" s="1"/>
  <c r="J1087" i="1"/>
  <c r="AL1088" i="1"/>
  <c r="AU1087" i="1" s="1"/>
  <c r="AV1094" i="1"/>
  <c r="BI1105" i="1"/>
  <c r="AC1105" i="1" s="1"/>
  <c r="BI1111" i="1"/>
  <c r="AV1128" i="1"/>
  <c r="J1131" i="1"/>
  <c r="BI1139" i="1"/>
  <c r="AE1139" i="1" s="1"/>
  <c r="BI1144" i="1"/>
  <c r="AC1144" i="1" s="1"/>
  <c r="AL1151" i="1"/>
  <c r="AU1141" i="1" s="1"/>
  <c r="J1141" i="1"/>
  <c r="AU1155" i="1"/>
  <c r="AT1155" i="1"/>
  <c r="BH1163" i="1"/>
  <c r="AF1163" i="1" s="1"/>
  <c r="J1168" i="1"/>
  <c r="BC1169" i="1"/>
  <c r="AV1171" i="1"/>
  <c r="J1173" i="1"/>
  <c r="BC1174" i="1"/>
  <c r="AV1177" i="1"/>
  <c r="J1179" i="1"/>
  <c r="BC1180" i="1"/>
  <c r="AV1181" i="1"/>
  <c r="AV1183" i="1"/>
  <c r="I1213" i="1"/>
  <c r="AX1258" i="1"/>
  <c r="BC1258" i="1" s="1"/>
  <c r="BI1258" i="1"/>
  <c r="AG1258" i="1" s="1"/>
  <c r="I1258" i="1"/>
  <c r="BH1094" i="1"/>
  <c r="AB1094" i="1" s="1"/>
  <c r="BH1128" i="1"/>
  <c r="AB1128" i="1" s="1"/>
  <c r="BI1132" i="1"/>
  <c r="AE1132" i="1" s="1"/>
  <c r="BH1133" i="1"/>
  <c r="AD1133" i="1" s="1"/>
  <c r="BI1151" i="1"/>
  <c r="AC1151" i="1" s="1"/>
  <c r="BH1153" i="1"/>
  <c r="AB1153" i="1" s="1"/>
  <c r="BI1156" i="1"/>
  <c r="AG1156" i="1" s="1"/>
  <c r="BH1157" i="1"/>
  <c r="AF1157" i="1" s="1"/>
  <c r="BI1169" i="1"/>
  <c r="AC1169" i="1" s="1"/>
  <c r="BH1171" i="1"/>
  <c r="AB1171" i="1" s="1"/>
  <c r="BI1174" i="1"/>
  <c r="AC1174" i="1" s="1"/>
  <c r="BH1177" i="1"/>
  <c r="AB1177" i="1" s="1"/>
  <c r="BI1180" i="1"/>
  <c r="AC1180" i="1" s="1"/>
  <c r="BH1181" i="1"/>
  <c r="AB1181" i="1" s="1"/>
  <c r="AX1190" i="1"/>
  <c r="I1190" i="1"/>
  <c r="I1184" i="1" s="1"/>
  <c r="AW1217" i="1"/>
  <c r="H1217" i="1"/>
  <c r="AW1239" i="1"/>
  <c r="H1239" i="1"/>
  <c r="AW1287" i="1"/>
  <c r="BH1287" i="1"/>
  <c r="AF1287" i="1" s="1"/>
  <c r="H1287" i="1"/>
  <c r="AX1313" i="1"/>
  <c r="AV1313" i="1" s="1"/>
  <c r="I1313" i="1"/>
  <c r="BI1313" i="1"/>
  <c r="AS1213" i="1"/>
  <c r="I1256" i="1"/>
  <c r="AX1256" i="1"/>
  <c r="AV1256" i="1" s="1"/>
  <c r="BI1256" i="1"/>
  <c r="AG1256" i="1" s="1"/>
  <c r="AX1261" i="1"/>
  <c r="AV1261" i="1" s="1"/>
  <c r="I1261" i="1"/>
  <c r="BI1261" i="1"/>
  <c r="AG1261" i="1" s="1"/>
  <c r="AU1325" i="1"/>
  <c r="BC1198" i="1"/>
  <c r="I1207" i="1"/>
  <c r="AX1209" i="1"/>
  <c r="I1209" i="1"/>
  <c r="AX1217" i="1"/>
  <c r="AX1223" i="1"/>
  <c r="AU1235" i="1"/>
  <c r="AX1239" i="1"/>
  <c r="AW1243" i="1"/>
  <c r="BC1244" i="1"/>
  <c r="AX1246" i="1"/>
  <c r="I1246" i="1"/>
  <c r="AW1252" i="1"/>
  <c r="H1252" i="1"/>
  <c r="BH1252" i="1"/>
  <c r="AF1252" i="1" s="1"/>
  <c r="BC1264" i="1"/>
  <c r="I1267" i="1"/>
  <c r="AX1267" i="1"/>
  <c r="AV1267" i="1" s="1"/>
  <c r="BI1267" i="1"/>
  <c r="AG1267" i="1" s="1"/>
  <c r="AW1273" i="1"/>
  <c r="BH1273" i="1"/>
  <c r="AF1273" i="1" s="1"/>
  <c r="H1273" i="1"/>
  <c r="AL1306" i="1"/>
  <c r="AU1305" i="1" s="1"/>
  <c r="J1305" i="1"/>
  <c r="J1324" i="1"/>
  <c r="BI1190" i="1"/>
  <c r="AC1190" i="1" s="1"/>
  <c r="BI1194" i="1"/>
  <c r="AC1194" i="1" s="1"/>
  <c r="H1209" i="1"/>
  <c r="H1207" i="1" s="1"/>
  <c r="H1167" i="1" s="1"/>
  <c r="BI1217" i="1"/>
  <c r="AC1217" i="1" s="1"/>
  <c r="BI1223" i="1"/>
  <c r="AC1223" i="1" s="1"/>
  <c r="BC1233" i="1"/>
  <c r="AX1238" i="1"/>
  <c r="I1238" i="1"/>
  <c r="I1235" i="1" s="1"/>
  <c r="BI1239" i="1"/>
  <c r="AG1239" i="1" s="1"/>
  <c r="AW1329" i="1"/>
  <c r="H1329" i="1"/>
  <c r="BH1329" i="1"/>
  <c r="AV1188" i="1"/>
  <c r="AX1204" i="1"/>
  <c r="I1204" i="1"/>
  <c r="I1197" i="1" s="1"/>
  <c r="BH1209" i="1"/>
  <c r="AB1209" i="1" s="1"/>
  <c r="AT1213" i="1"/>
  <c r="BI1214" i="1"/>
  <c r="AC1214" i="1" s="1"/>
  <c r="J1235" i="1"/>
  <c r="AT1235" i="1"/>
  <c r="BI1237" i="1"/>
  <c r="AG1237" i="1" s="1"/>
  <c r="BH1243" i="1"/>
  <c r="AF1243" i="1" s="1"/>
  <c r="AV1245" i="1"/>
  <c r="BH1246" i="1"/>
  <c r="AF1246" i="1" s="1"/>
  <c r="AV1253" i="1"/>
  <c r="BC1253" i="1"/>
  <c r="AT1262" i="1"/>
  <c r="BC1275" i="1"/>
  <c r="AS1305" i="1"/>
  <c r="BC1301" i="1"/>
  <c r="AV1319" i="1"/>
  <c r="F38" i="3"/>
  <c r="I38" i="3" s="1"/>
  <c r="I45" i="3" s="1"/>
  <c r="I24" i="2" s="1"/>
  <c r="AL1339" i="1"/>
  <c r="AU1338" i="1" s="1"/>
  <c r="J1338" i="1"/>
  <c r="J1323" i="1" s="1"/>
  <c r="AV1250" i="1"/>
  <c r="AV1258" i="1"/>
  <c r="H1265" i="1"/>
  <c r="BC1265" i="1"/>
  <c r="BC1248" i="1"/>
  <c r="BC1250" i="1"/>
  <c r="BC1254" i="1"/>
  <c r="BI1279" i="1"/>
  <c r="AG1279" i="1" s="1"/>
  <c r="BI1290" i="1"/>
  <c r="AG1290" i="1" s="1"/>
  <c r="H1298" i="1"/>
  <c r="AV1301" i="1"/>
  <c r="I1305" i="1"/>
  <c r="BI1307" i="1"/>
  <c r="BC1312" i="1"/>
  <c r="BC1313" i="1"/>
  <c r="H1317" i="1"/>
  <c r="H1305" i="1" s="1"/>
  <c r="AW1317" i="1"/>
  <c r="AV1327" i="1"/>
  <c r="I1328" i="1"/>
  <c r="I1325" i="1" s="1"/>
  <c r="BC1328" i="1"/>
  <c r="BC1260" i="1"/>
  <c r="BC1298" i="1"/>
  <c r="BI1312" i="1"/>
  <c r="BI1328" i="1"/>
  <c r="BC1339" i="1"/>
  <c r="AV1339" i="1"/>
  <c r="AV1279" i="1"/>
  <c r="AV1282" i="1"/>
  <c r="AV1290" i="1"/>
  <c r="AV1294" i="1"/>
  <c r="BH1301" i="1"/>
  <c r="AF1301" i="1" s="1"/>
  <c r="AV1307" i="1"/>
  <c r="AV1309" i="1"/>
  <c r="AW1315" i="1"/>
  <c r="H1315" i="1"/>
  <c r="AV1321" i="1"/>
  <c r="H1325" i="1"/>
  <c r="H1256" i="1"/>
  <c r="AV1260" i="1"/>
  <c r="I1262" i="1"/>
  <c r="BI1264" i="1"/>
  <c r="AG1264" i="1" s="1"/>
  <c r="BC1267" i="1"/>
  <c r="BI1271" i="1"/>
  <c r="AG1271" i="1" s="1"/>
  <c r="AX1273" i="1"/>
  <c r="BH1275" i="1"/>
  <c r="AF1275" i="1" s="1"/>
  <c r="BC1277" i="1"/>
  <c r="BC1279" i="1"/>
  <c r="BI1286" i="1"/>
  <c r="AG1286" i="1" s="1"/>
  <c r="AX1287" i="1"/>
  <c r="BH1288" i="1"/>
  <c r="AF1288" i="1" s="1"/>
  <c r="BC1289" i="1"/>
  <c r="BC1290" i="1"/>
  <c r="AV1298" i="1"/>
  <c r="AV1303" i="1"/>
  <c r="BC1306" i="1"/>
  <c r="BC1307" i="1"/>
  <c r="H1313" i="1"/>
  <c r="BH1313" i="1"/>
  <c r="I1315" i="1"/>
  <c r="AX1315" i="1"/>
  <c r="BH1317" i="1"/>
  <c r="BC1337" i="1"/>
  <c r="AV1337" i="1"/>
  <c r="F22" i="2"/>
  <c r="I14" i="2"/>
  <c r="I22" i="2" s="1"/>
  <c r="I27" i="3"/>
  <c r="F29" i="3" s="1"/>
  <c r="BI1280" i="1"/>
  <c r="AG1280" i="1" s="1"/>
  <c r="BH1282" i="1"/>
  <c r="AF1282" i="1" s="1"/>
  <c r="BI1292" i="1"/>
  <c r="AG1292" i="1" s="1"/>
  <c r="BH1294" i="1"/>
  <c r="AF1294" i="1" s="1"/>
  <c r="BI1308" i="1"/>
  <c r="BH1309" i="1"/>
  <c r="BI1320" i="1"/>
  <c r="BH1321" i="1"/>
  <c r="BH1327" i="1"/>
  <c r="AX1329" i="1"/>
  <c r="BH1337" i="1"/>
  <c r="BH1339" i="1"/>
  <c r="AW1308" i="1"/>
  <c r="AX1319" i="1"/>
  <c r="BC1319" i="1" s="1"/>
  <c r="AW1320" i="1"/>
  <c r="AX1326" i="1"/>
  <c r="BC1326" i="1" s="1"/>
  <c r="AX1330" i="1"/>
  <c r="BC1330" i="1" s="1"/>
  <c r="AX1333" i="1"/>
  <c r="BC1333" i="1" s="1"/>
  <c r="AX1335" i="1"/>
  <c r="BC1335" i="1" s="1"/>
  <c r="BI1329" i="1"/>
  <c r="H372" i="1" l="1"/>
  <c r="H319" i="1"/>
  <c r="H1231" i="1"/>
  <c r="H1126" i="1"/>
  <c r="AV994" i="1"/>
  <c r="BC994" i="1"/>
  <c r="BC1050" i="1"/>
  <c r="AV1050" i="1"/>
  <c r="AV1320" i="1"/>
  <c r="BC1320" i="1"/>
  <c r="AV1315" i="1"/>
  <c r="BC1315" i="1"/>
  <c r="AV1238" i="1"/>
  <c r="BC1238" i="1"/>
  <c r="BC814" i="1"/>
  <c r="BC769" i="1"/>
  <c r="AV769" i="1"/>
  <c r="AV970" i="1"/>
  <c r="AV910" i="1"/>
  <c r="BC910" i="1"/>
  <c r="AV841" i="1"/>
  <c r="BC841" i="1"/>
  <c r="AV812" i="1"/>
  <c r="AV791" i="1"/>
  <c r="BC791" i="1"/>
  <c r="AV815" i="1"/>
  <c r="BC815" i="1"/>
  <c r="AV681" i="1"/>
  <c r="BC681" i="1"/>
  <c r="AV685" i="1"/>
  <c r="BC685" i="1"/>
  <c r="H773" i="1"/>
  <c r="BC653" i="1"/>
  <c r="AV653" i="1"/>
  <c r="AV1082" i="1"/>
  <c r="BC363" i="1"/>
  <c r="AV363" i="1"/>
  <c r="AV486" i="1"/>
  <c r="AV371" i="1"/>
  <c r="BC507" i="1"/>
  <c r="AV507" i="1"/>
  <c r="BC137" i="1"/>
  <c r="AV137" i="1"/>
  <c r="AV461" i="1"/>
  <c r="AV155" i="1"/>
  <c r="C15" i="2"/>
  <c r="C22" i="2" s="1"/>
  <c r="BC92" i="1"/>
  <c r="AV92" i="1"/>
  <c r="J12" i="1"/>
  <c r="AV585" i="1"/>
  <c r="BC585" i="1"/>
  <c r="I1324" i="1"/>
  <c r="I1323" i="1"/>
  <c r="BC1252" i="1"/>
  <c r="AV1252" i="1"/>
  <c r="AV1239" i="1"/>
  <c r="BC1239" i="1"/>
  <c r="AV1165" i="1"/>
  <c r="BC1165" i="1"/>
  <c r="AV920" i="1"/>
  <c r="BC920" i="1"/>
  <c r="AV978" i="1"/>
  <c r="AV914" i="1"/>
  <c r="BC914" i="1"/>
  <c r="I1155" i="1"/>
  <c r="I1126" i="1" s="1"/>
  <c r="AV807" i="1"/>
  <c r="BC807" i="1"/>
  <c r="AV797" i="1"/>
  <c r="BC797" i="1"/>
  <c r="AV658" i="1"/>
  <c r="BC658" i="1"/>
  <c r="AV741" i="1"/>
  <c r="BC741" i="1"/>
  <c r="AV673" i="1"/>
  <c r="BC673" i="1"/>
  <c r="AV587" i="1"/>
  <c r="BC587" i="1"/>
  <c r="AV337" i="1"/>
  <c r="BC337" i="1"/>
  <c r="AV369" i="1"/>
  <c r="BC369" i="1"/>
  <c r="AV422" i="1"/>
  <c r="BC422" i="1"/>
  <c r="AV135" i="1"/>
  <c r="BC135" i="1"/>
  <c r="AV391" i="1"/>
  <c r="BC391" i="1"/>
  <c r="AV367" i="1"/>
  <c r="BC229" i="1"/>
  <c r="AV229" i="1"/>
  <c r="AV249" i="1"/>
  <c r="BC249" i="1"/>
  <c r="AV194" i="1"/>
  <c r="BC194" i="1"/>
  <c r="BC258" i="1"/>
  <c r="AV258" i="1"/>
  <c r="AV464" i="1"/>
  <c r="BC464" i="1"/>
  <c r="AV86" i="1"/>
  <c r="BC1204" i="1"/>
  <c r="AV1204" i="1"/>
  <c r="J1167" i="1"/>
  <c r="BC1138" i="1"/>
  <c r="AV1220" i="1"/>
  <c r="BC1220" i="1"/>
  <c r="AV1119" i="1"/>
  <c r="BC1119" i="1"/>
  <c r="BC897" i="1"/>
  <c r="AV1308" i="1"/>
  <c r="BC1308" i="1"/>
  <c r="AV1317" i="1"/>
  <c r="BC1317" i="1"/>
  <c r="BC1202" i="1"/>
  <c r="BC1246" i="1"/>
  <c r="AV1246" i="1"/>
  <c r="AV1209" i="1"/>
  <c r="BC1209" i="1"/>
  <c r="AV1217" i="1"/>
  <c r="BC1217" i="1"/>
  <c r="I1110" i="1"/>
  <c r="J1047" i="1"/>
  <c r="I1048" i="1"/>
  <c r="AV790" i="1"/>
  <c r="BC790" i="1"/>
  <c r="BC725" i="1"/>
  <c r="AV725" i="1"/>
  <c r="AV1335" i="1"/>
  <c r="AV867" i="1"/>
  <c r="BC867" i="1"/>
  <c r="AV688" i="1"/>
  <c r="BC688" i="1"/>
  <c r="AV826" i="1"/>
  <c r="BC826" i="1"/>
  <c r="BC633" i="1"/>
  <c r="AV633" i="1"/>
  <c r="AV820" i="1"/>
  <c r="BC820" i="1"/>
  <c r="AV520" i="1"/>
  <c r="BC520" i="1"/>
  <c r="I328" i="1"/>
  <c r="I577" i="1"/>
  <c r="I535" i="1" s="1"/>
  <c r="BC395" i="1"/>
  <c r="BC145" i="1"/>
  <c r="AV145" i="1"/>
  <c r="BC243" i="1"/>
  <c r="AV243" i="1"/>
  <c r="BC88" i="1"/>
  <c r="AV88" i="1"/>
  <c r="AV771" i="1"/>
  <c r="BC771" i="1"/>
  <c r="AV802" i="1"/>
  <c r="BC802" i="1"/>
  <c r="AV480" i="1"/>
  <c r="BC480" i="1"/>
  <c r="AV14" i="1"/>
  <c r="BC14" i="1"/>
  <c r="BC152" i="1"/>
  <c r="AV152" i="1"/>
  <c r="AV287" i="1"/>
  <c r="BC287" i="1"/>
  <c r="BC48" i="1"/>
  <c r="AV48" i="1"/>
  <c r="AV1326" i="1"/>
  <c r="BC1261" i="1"/>
  <c r="AV1243" i="1"/>
  <c r="BC1243" i="1"/>
  <c r="BC1190" i="1"/>
  <c r="AV1190" i="1"/>
  <c r="BC1105" i="1"/>
  <c r="AV1147" i="1"/>
  <c r="BC1147" i="1"/>
  <c r="I1167" i="1"/>
  <c r="AV1052" i="1"/>
  <c r="BC1052" i="1"/>
  <c r="AV954" i="1"/>
  <c r="BC954" i="1"/>
  <c r="BC1216" i="1"/>
  <c r="AV1216" i="1"/>
  <c r="AV1026" i="1"/>
  <c r="BC1026" i="1"/>
  <c r="AV1107" i="1"/>
  <c r="BC1107" i="1"/>
  <c r="AV770" i="1"/>
  <c r="BC770" i="1"/>
  <c r="BC1263" i="1"/>
  <c r="AV1263" i="1"/>
  <c r="BC989" i="1"/>
  <c r="AV989" i="1"/>
  <c r="BC803" i="1"/>
  <c r="AV803" i="1"/>
  <c r="AV1330" i="1"/>
  <c r="AV796" i="1"/>
  <c r="BC823" i="1"/>
  <c r="AV871" i="1"/>
  <c r="BC871" i="1"/>
  <c r="BC720" i="1"/>
  <c r="AV720" i="1"/>
  <c r="BC929" i="1"/>
  <c r="AV929" i="1"/>
  <c r="AV656" i="1"/>
  <c r="BC656" i="1"/>
  <c r="BC607" i="1"/>
  <c r="AV607" i="1"/>
  <c r="H527" i="1"/>
  <c r="BC819" i="1"/>
  <c r="AV819" i="1"/>
  <c r="AV491" i="1"/>
  <c r="AV654" i="1"/>
  <c r="BC654" i="1"/>
  <c r="AV665" i="1"/>
  <c r="BC665" i="1"/>
  <c r="I319" i="1"/>
  <c r="AV473" i="1"/>
  <c r="BC473" i="1"/>
  <c r="I60" i="1"/>
  <c r="I12" i="1" s="1"/>
  <c r="AV191" i="1"/>
  <c r="BC90" i="1"/>
  <c r="BC360" i="1"/>
  <c r="AV360" i="1"/>
  <c r="AV285" i="1"/>
  <c r="AV103" i="1"/>
  <c r="BC103" i="1"/>
  <c r="BC82" i="1"/>
  <c r="AV82" i="1"/>
  <c r="AV58" i="1"/>
  <c r="AV1240" i="1"/>
  <c r="BC1240" i="1"/>
  <c r="H1324" i="1"/>
  <c r="H1323" i="1"/>
  <c r="BC1256" i="1"/>
  <c r="AV1242" i="1"/>
  <c r="BC1242" i="1"/>
  <c r="AV976" i="1"/>
  <c r="BC976" i="1"/>
  <c r="AV1029" i="1"/>
  <c r="BC1029" i="1"/>
  <c r="AV957" i="1"/>
  <c r="BC957" i="1"/>
  <c r="AV899" i="1"/>
  <c r="BC899" i="1"/>
  <c r="AV825" i="1"/>
  <c r="BC825" i="1"/>
  <c r="BC573" i="1"/>
  <c r="AV573" i="1"/>
  <c r="AV882" i="1"/>
  <c r="BC882" i="1"/>
  <c r="AV888" i="1"/>
  <c r="BC888" i="1"/>
  <c r="I151" i="1"/>
  <c r="AV493" i="1"/>
  <c r="BC493" i="1"/>
  <c r="AV157" i="1"/>
  <c r="BC157" i="1"/>
  <c r="BC35" i="1"/>
  <c r="AV149" i="1"/>
  <c r="BC40" i="1"/>
  <c r="AV40" i="1"/>
  <c r="BC1111" i="1"/>
  <c r="AV1247" i="1"/>
  <c r="BC1247" i="1"/>
  <c r="AV1145" i="1"/>
  <c r="BC1145" i="1"/>
  <c r="J877" i="1"/>
  <c r="J605" i="1"/>
  <c r="AV1329" i="1"/>
  <c r="BC1329" i="1"/>
  <c r="BC1287" i="1"/>
  <c r="AV1287" i="1"/>
  <c r="AV998" i="1"/>
  <c r="BC998" i="1"/>
  <c r="BC951" i="1"/>
  <c r="AV951" i="1"/>
  <c r="AV912" i="1"/>
  <c r="BC912" i="1"/>
  <c r="AV798" i="1"/>
  <c r="BC798" i="1"/>
  <c r="AV806" i="1"/>
  <c r="BC806" i="1"/>
  <c r="AV623" i="1"/>
  <c r="BC623" i="1"/>
  <c r="AV528" i="1"/>
  <c r="BC528" i="1"/>
  <c r="BC778" i="1"/>
  <c r="AV778" i="1"/>
  <c r="AV715" i="1"/>
  <c r="BC715" i="1"/>
  <c r="AV551" i="1"/>
  <c r="BC551" i="1"/>
  <c r="H877" i="1"/>
  <c r="BC455" i="1"/>
  <c r="AV455" i="1"/>
  <c r="BC581" i="1"/>
  <c r="AV581" i="1"/>
  <c r="AV334" i="1"/>
  <c r="BC334" i="1"/>
  <c r="H12" i="1"/>
  <c r="J535" i="1"/>
  <c r="BC97" i="1"/>
  <c r="AV97" i="1"/>
  <c r="AV904" i="1"/>
  <c r="BC904" i="1"/>
  <c r="BC1273" i="1"/>
  <c r="AV1273" i="1"/>
  <c r="AV1223" i="1"/>
  <c r="BC1223" i="1"/>
  <c r="I1231" i="1"/>
  <c r="AV940" i="1"/>
  <c r="BC940" i="1"/>
  <c r="BC1139" i="1"/>
  <c r="AV1115" i="1"/>
  <c r="BC1115" i="1"/>
  <c r="AV931" i="1"/>
  <c r="BC931" i="1"/>
  <c r="AV932" i="1"/>
  <c r="BC932" i="1"/>
  <c r="AV937" i="1"/>
  <c r="AV760" i="1"/>
  <c r="BC760" i="1"/>
  <c r="AV1054" i="1"/>
  <c r="BC1054" i="1"/>
  <c r="AV816" i="1"/>
  <c r="BC816" i="1"/>
  <c r="AV973" i="1"/>
  <c r="BC973" i="1"/>
  <c r="AV1164" i="1"/>
  <c r="BC1164" i="1"/>
  <c r="BC805" i="1"/>
  <c r="AV805" i="1"/>
  <c r="AV839" i="1"/>
  <c r="BC839" i="1"/>
  <c r="AV729" i="1"/>
  <c r="BC729" i="1"/>
  <c r="AV669" i="1"/>
  <c r="BC669" i="1"/>
  <c r="J1126" i="1"/>
  <c r="AV848" i="1"/>
  <c r="BC848" i="1"/>
  <c r="H684" i="1"/>
  <c r="H605" i="1" s="1"/>
  <c r="AV780" i="1"/>
  <c r="BC780" i="1"/>
  <c r="I712" i="1"/>
  <c r="I605" i="1" s="1"/>
  <c r="AV512" i="1"/>
  <c r="BC512" i="1"/>
  <c r="BC530" i="1"/>
  <c r="AV530" i="1"/>
  <c r="J372" i="1"/>
  <c r="I482" i="1"/>
  <c r="I372" i="1" s="1"/>
  <c r="C29" i="2"/>
  <c r="F29" i="2" s="1"/>
  <c r="AV268" i="1"/>
  <c r="BC268" i="1"/>
  <c r="BC32" i="1"/>
  <c r="AV32" i="1"/>
  <c r="I28" i="2" l="1"/>
  <c r="I29" i="2" s="1"/>
  <c r="I1047" i="1"/>
</calcChain>
</file>

<file path=xl/sharedStrings.xml><?xml version="1.0" encoding="utf-8"?>
<sst xmlns="http://schemas.openxmlformats.org/spreadsheetml/2006/main" count="8291" uniqueCount="2460">
  <si>
    <t>Slepý stavební rozpočet</t>
  </si>
  <si>
    <t>Název stavby:</t>
  </si>
  <si>
    <t xml:space="preserve">Regenerace návsi Ketkovice - 1. ETAPA	</t>
  </si>
  <si>
    <t>Doba výstavby:</t>
  </si>
  <si>
    <t xml:space="preserve"> </t>
  </si>
  <si>
    <t>Objednatel:</t>
  </si>
  <si>
    <t>Obec Ketkovice, Ketkovice 87, 664 91 Ivančice</t>
  </si>
  <si>
    <t>Druh stavby:</t>
  </si>
  <si>
    <t xml:space="preserve">veřejné prostranství	</t>
  </si>
  <si>
    <t>Začátek výstavby:</t>
  </si>
  <si>
    <t>06.03.2025</t>
  </si>
  <si>
    <t>Projektant:</t>
  </si>
  <si>
    <t>Atelier V8 s.r.o., Vez Zmolách 10, 675 73 Kralice</t>
  </si>
  <si>
    <t>Lokalita:</t>
  </si>
  <si>
    <t>Ketkovice</t>
  </si>
  <si>
    <t>Konec výstavby:</t>
  </si>
  <si>
    <t>Zhotovitel:</t>
  </si>
  <si>
    <t> </t>
  </si>
  <si>
    <t>JKSO:</t>
  </si>
  <si>
    <t>823</t>
  </si>
  <si>
    <t>Zpracováno dne:</t>
  </si>
  <si>
    <t>Zpracoval:</t>
  </si>
  <si>
    <t>Č</t>
  </si>
  <si>
    <t>Kód</t>
  </si>
  <si>
    <t>Zkrácený popis / Varianta</t>
  </si>
  <si>
    <t>MJ</t>
  </si>
  <si>
    <t>Množství</t>
  </si>
  <si>
    <t>Cena/MJ</t>
  </si>
  <si>
    <t>Náklady (Kč)</t>
  </si>
  <si>
    <t>Cenová</t>
  </si>
  <si>
    <t>ISWORK</t>
  </si>
  <si>
    <t>GROUPCODE</t>
  </si>
  <si>
    <t>VATTAX</t>
  </si>
  <si>
    <t>Rozměry</t>
  </si>
  <si>
    <t>(Kč)</t>
  </si>
  <si>
    <t>Dodávka</t>
  </si>
  <si>
    <t>Montáž</t>
  </si>
  <si>
    <t>Celkem</t>
  </si>
  <si>
    <t>soustava</t>
  </si>
  <si>
    <t>Přesuny</t>
  </si>
  <si>
    <t>Typ skupiny</t>
  </si>
  <si>
    <t>HSV mat</t>
  </si>
  <si>
    <t>HSV prac</t>
  </si>
  <si>
    <t>PSV mat</t>
  </si>
  <si>
    <t>PSV prac</t>
  </si>
  <si>
    <t>Mont mat</t>
  </si>
  <si>
    <t>Mont prac</t>
  </si>
  <si>
    <t>Ostatní mat.</t>
  </si>
  <si>
    <t>MAT</t>
  </si>
  <si>
    <t>WORK</t>
  </si>
  <si>
    <t>CELK</t>
  </si>
  <si>
    <t/>
  </si>
  <si>
    <t>Vodní nádrž</t>
  </si>
  <si>
    <t>13</t>
  </si>
  <si>
    <t>Hloubené vykopávky</t>
  </si>
  <si>
    <t>SO01</t>
  </si>
  <si>
    <t>1</t>
  </si>
  <si>
    <t>132201211R00</t>
  </si>
  <si>
    <t>Hloubení rýh š.do 200 cm hor.3 do 100 m3,STROJNĚ</t>
  </si>
  <si>
    <t>m3</t>
  </si>
  <si>
    <t>RTS I / 2024</t>
  </si>
  <si>
    <t>13_</t>
  </si>
  <si>
    <t>SO01_1_</t>
  </si>
  <si>
    <t>SO01_</t>
  </si>
  <si>
    <t>89,6</t>
  </si>
  <si>
    <t>stoka dešťová kanalizace uzna</t>
  </si>
  <si>
    <t>31,2</t>
  </si>
  <si>
    <t>napojení jezírka na zatrubněný potok</t>
  </si>
  <si>
    <t>RTS komentář:</t>
  </si>
  <si>
    <t>Položka obsahuje hloubení rýh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</si>
  <si>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Poznámka:</t>
  </si>
  <si>
    <t>Úseky 1 - 4 (14,3m+4,6m+48,1m+5m), odečet 29 m neuznatelný výkop
Šířka výkopu 1,2 m, hloubka výkopu 1,7 - 0,13. Odebrání svrchních a podkladních vrstev komunikací a zpevněných ploch je oceněno samostatně</t>
  </si>
  <si>
    <t>Dokumentace:</t>
  </si>
  <si>
    <t>výkres D1.1.1.06, D1.1.1.09,</t>
  </si>
  <si>
    <t>2</t>
  </si>
  <si>
    <t>132201219R00</t>
  </si>
  <si>
    <t>Přípl.za lepivost,hloubení rýh 200cm,hor.3,STROJNĚ</t>
  </si>
  <si>
    <t>kanal uzna</t>
  </si>
  <si>
    <t>13*2*1,2</t>
  </si>
  <si>
    <t>Do měrných jednotek se udává poměrné množství zeminy, které ulpí v nářadí a o které je snížen celkový výkon stroje</t>
  </si>
  <si>
    <t>3</t>
  </si>
  <si>
    <t>131201112R00</t>
  </si>
  <si>
    <t>Hloubení nezapaž. jam hor.3 do 1000 m3, STROJNĚ</t>
  </si>
  <si>
    <t>0,8*58,6*1,5</t>
  </si>
  <si>
    <t>vnější opěrné zdi jezera</t>
  </si>
  <si>
    <t>22</t>
  </si>
  <si>
    <t>jímky</t>
  </si>
  <si>
    <t>0,8*44*2</t>
  </si>
  <si>
    <t>vnitřní opěrné zdi jezera</t>
  </si>
  <si>
    <t>120*1,4</t>
  </si>
  <si>
    <t>hluboká část</t>
  </si>
  <si>
    <t>8*1,5</t>
  </si>
  <si>
    <t>šachta</t>
  </si>
  <si>
    <t>Položka obsahuje hloubení jámy,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</si>
  <si>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Od výkopu je odečtena mocnost demolované asfaltové plochy</t>
  </si>
  <si>
    <t>4</t>
  </si>
  <si>
    <t>131201119R00</t>
  </si>
  <si>
    <t>Příplatek za lepivost - hloubení nezap.jam v hor.3</t>
  </si>
  <si>
    <t>15</t>
  </si>
  <si>
    <t>Roubení</t>
  </si>
  <si>
    <t>5</t>
  </si>
  <si>
    <t>151101101R00</t>
  </si>
  <si>
    <t>Pažení a rozepření stěn rýh - příložné - hl.do 2 m</t>
  </si>
  <si>
    <t>m2</t>
  </si>
  <si>
    <t>15_</t>
  </si>
  <si>
    <t>Varianta:</t>
  </si>
  <si>
    <t>pro část výkopů rýh o hloubce nad 1,3 m</t>
  </si>
  <si>
    <t>52,7*1,7</t>
  </si>
  <si>
    <t>Stoka PP DN 250</t>
  </si>
  <si>
    <t>13*2</t>
  </si>
  <si>
    <t>Stoka PP DN 300</t>
  </si>
  <si>
    <t>Odstranění pažení a rozepření se oceňuje samostatně.</t>
  </si>
  <si>
    <t>6</t>
  </si>
  <si>
    <t>151101111R00</t>
  </si>
  <si>
    <t>Odstranění pažení stěn rýh - příložné - hl. do 2 m</t>
  </si>
  <si>
    <t>10,5*2</t>
  </si>
  <si>
    <t>16</t>
  </si>
  <si>
    <t>Přemístění výkopku</t>
  </si>
  <si>
    <t>7</t>
  </si>
  <si>
    <t>162301101R00</t>
  </si>
  <si>
    <t>Vodorovné přemístění výkopku z hor.1-4 do 500 m</t>
  </si>
  <si>
    <t>16_</t>
  </si>
  <si>
    <t>10,5*1,2*1,7</t>
  </si>
  <si>
    <t>pro zásyp odpadního potrubí</t>
  </si>
  <si>
    <t>43*1,2*0,8</t>
  </si>
  <si>
    <t>pro zásyp dešťové kanalizace</t>
  </si>
  <si>
    <t>přemístění výkopku pro zásypy deštové kanalizace</t>
  </si>
  <si>
    <t>8</t>
  </si>
  <si>
    <t>161101101R00</t>
  </si>
  <si>
    <t>Svislé přemístění výkopku z hor.1-4 do 2,5 m</t>
  </si>
  <si>
    <t>18,8</t>
  </si>
  <si>
    <t>kanalizace nad výkopy 1 m</t>
  </si>
  <si>
    <t>75</t>
  </si>
  <si>
    <t>výkopy u jezera a šachet nad 1m</t>
  </si>
  <si>
    <t>odpadní kanalizace výkopy nad 1 m</t>
  </si>
  <si>
    <t>10</t>
  </si>
  <si>
    <t>výkopy jímky</t>
  </si>
  <si>
    <t xml:space="preserve">Platí pro hloubky výkopu od 1 do 2,5 m. Při hloubce do 1 m se svislé přemístění neoceňuje.  Tabulka pro určení podílu svislého přemístění výkopku. Číselná hodnota uvedená v tabulce udává procento z celkového objemu výkopávky, pro něž se oceňuje svislé přemístění výkopku.  a) hloubení jam objemu do 100 m3  100 %  objemu do 1000 m3  8 % objemu do 10000 m3  3 %  objemu nad 10000 m3  2 %  b) hloubení rýh š. do 60 cm bez ohledu na objem  100 %  c) hloubení rýh š. do 200 cm objemu do 100 m3  100 % objemu nad 100 m3  50 %  d) hloubení zářezů objemu do 1000 m3  neoceňuje se objemu do 10000 m3  neoceňuje se objemu nad 10000 m3  neoceňuje se  </t>
  </si>
  <si>
    <t>9</t>
  </si>
  <si>
    <t>162601102R00</t>
  </si>
  <si>
    <t>Vodorovné přemístění výkopku z hor.1-4 do 5000 m</t>
  </si>
  <si>
    <t>342,72+120,8-254,3</t>
  </si>
  <si>
    <t>bez zeminy pro svahování a zpětný zásyp a neuzna kanal</t>
  </si>
  <si>
    <t>162701105R00</t>
  </si>
  <si>
    <t>Vodorovné přemístění výkopku z hor.1-4 do 10000 m</t>
  </si>
  <si>
    <t>11</t>
  </si>
  <si>
    <t>167101102R00</t>
  </si>
  <si>
    <t>Nakládání výkopku z hor. 1 ÷ 4 v množství nad 100 m3</t>
  </si>
  <si>
    <t>12</t>
  </si>
  <si>
    <t>199000002R00</t>
  </si>
  <si>
    <t>Poplatek za skládku horniny 1- 4, č. dle katal. odpadů 17 05 04</t>
  </si>
  <si>
    <t xml:space="preserve">1 m3 zeminy tř. 3 váží 1,83 t 1 m3 zeminy tř. 4 váží 1,95 </t>
  </si>
  <si>
    <t>17</t>
  </si>
  <si>
    <t>Konstrukce ze zemin</t>
  </si>
  <si>
    <t>175101101R00</t>
  </si>
  <si>
    <t>Obsyp potrubí bez prohození sypaniny</t>
  </si>
  <si>
    <t>17_</t>
  </si>
  <si>
    <t>43*1,2*0,4</t>
  </si>
  <si>
    <t>dešťová kanalizace</t>
  </si>
  <si>
    <t>10,3*1,2*0,45</t>
  </si>
  <si>
    <t>odpadní kanalizace</t>
  </si>
  <si>
    <t>Je-li pro obsyp použit jiný materiál než vytěžená sypanina, oceňuje se ve specifikaci. Ztratné se doporučuje ve výši 1%.</t>
  </si>
  <si>
    <t>14</t>
  </si>
  <si>
    <t>174101101R00</t>
  </si>
  <si>
    <t>Zásyp jam, rýh, šachet se zhutněním</t>
  </si>
  <si>
    <t>43*1,2*0,6</t>
  </si>
  <si>
    <t>stoka PP 250</t>
  </si>
  <si>
    <t>13*1,2*1,5</t>
  </si>
  <si>
    <t>stoka PP 300</t>
  </si>
  <si>
    <t>Položka obsahuje strojní přemístění materiálu pro zásyp ze vzdálenosti do 10 m od okraje zásypu.</t>
  </si>
  <si>
    <t>171101103R00</t>
  </si>
  <si>
    <t>Uložení sypaniny do násypů zhutněných na 100% PS</t>
  </si>
  <si>
    <t>91*0,5/2</t>
  </si>
  <si>
    <t>svahování pozvolné části</t>
  </si>
  <si>
    <t>47*1</t>
  </si>
  <si>
    <t>zásyp po demolici schodiště</t>
  </si>
  <si>
    <t>Položka se používá pro násypy z hornin soudržných.</t>
  </si>
  <si>
    <t>171201201R00</t>
  </si>
  <si>
    <t>Uložení sypaniny na skl.-sypanina na výšku přes 2m</t>
  </si>
  <si>
    <t>skládka zeminy pro terénní úpravy v rámci areálu staveniště</t>
  </si>
  <si>
    <t>91*0,5*2</t>
  </si>
  <si>
    <t>svahování</t>
  </si>
  <si>
    <t>(8+44+58,6)*0,4*1,5</t>
  </si>
  <si>
    <t>zásyp zdí</t>
  </si>
  <si>
    <t>Položka se nepoužívá pro prosté vysypání zeminy na skládku. To je zahrnuto v ceně odvozu. Položka neobsahuje náklady na získání skládek ani na poplatky za skládku.</t>
  </si>
  <si>
    <t>18</t>
  </si>
  <si>
    <t>899711122R00</t>
  </si>
  <si>
    <t>Fólie výstražná z PVC šedá, šířka 30 cm</t>
  </si>
  <si>
    <t>m</t>
  </si>
  <si>
    <t>s nápisem kanalizace - materiál + uložení</t>
  </si>
  <si>
    <t>45+11</t>
  </si>
  <si>
    <t>Povrchové úpravy terénu</t>
  </si>
  <si>
    <t>19</t>
  </si>
  <si>
    <t>180802112R00</t>
  </si>
  <si>
    <t>Květinová skalka zakrytá kameny do 50 %</t>
  </si>
  <si>
    <t>18_</t>
  </si>
  <si>
    <t>90</t>
  </si>
  <si>
    <t>osazení balvanů výběrových do jezírka</t>
  </si>
  <si>
    <t>20</t>
  </si>
  <si>
    <t>58380758</t>
  </si>
  <si>
    <t>Kámen lomový balvany pro fontánu a soliery</t>
  </si>
  <si>
    <t>t</t>
  </si>
  <si>
    <t>21</t>
  </si>
  <si>
    <t>Úprava podloží a základové spáry</t>
  </si>
  <si>
    <t>212571111R00</t>
  </si>
  <si>
    <t>Výplň odvodňov. trativodů štěrkopískem tříděným</t>
  </si>
  <si>
    <t>21_</t>
  </si>
  <si>
    <t>SO01_2_</t>
  </si>
  <si>
    <t>71,0*(0,7+0,3)/2*0,2</t>
  </si>
  <si>
    <t>odv. drenáž</t>
  </si>
  <si>
    <t>212753116R00</t>
  </si>
  <si>
    <t>Montáž ohebné dren. trubky do rýhy DN 160,bez lože</t>
  </si>
  <si>
    <t>odvodňovací drenáž DN160 : 71,0</t>
  </si>
  <si>
    <t>23</t>
  </si>
  <si>
    <t>212971110R00</t>
  </si>
  <si>
    <t>Opláštění trativodů z geotext., do sklonu 1:2,5</t>
  </si>
  <si>
    <t>71,0*1,8</t>
  </si>
  <si>
    <t>24</t>
  </si>
  <si>
    <t>Studny</t>
  </si>
  <si>
    <t>247681114R01</t>
  </si>
  <si>
    <t>Těsnění studny se zhutněním z jílu</t>
  </si>
  <si>
    <t>24_</t>
  </si>
  <si>
    <t>vytvoření jílové uzávěry tl. 5 cm na substrátu pro vodní rostliny</t>
  </si>
  <si>
    <t>(173+26)*0,05</t>
  </si>
  <si>
    <t>25</t>
  </si>
  <si>
    <t>58125110</t>
  </si>
  <si>
    <t>Zemina jílovinová surová GE</t>
  </si>
  <si>
    <t>10*2,5</t>
  </si>
  <si>
    <t>pro těsnící vrstvu substrátu u jezírka</t>
  </si>
  <si>
    <t>27</t>
  </si>
  <si>
    <t>Základy</t>
  </si>
  <si>
    <t>26</t>
  </si>
  <si>
    <t>271571111R00</t>
  </si>
  <si>
    <t>Polštář základu ze štěrkopísku tříděného</t>
  </si>
  <si>
    <t>27_</t>
  </si>
  <si>
    <t>58,6*1*0,3</t>
  </si>
  <si>
    <t>ŽB opěrná zeď vnější</t>
  </si>
  <si>
    <t>44*1*0,3</t>
  </si>
  <si>
    <t>ŽB opěr. vnitřní</t>
  </si>
  <si>
    <t>10*1*0,3</t>
  </si>
  <si>
    <t>31</t>
  </si>
  <si>
    <t>Zdi podpěrné a volné</t>
  </si>
  <si>
    <t>311101215R00</t>
  </si>
  <si>
    <t>Vytvoření prostupů o ploše do 0,35 m2 v nosných zdech</t>
  </si>
  <si>
    <t>31_</t>
  </si>
  <si>
    <t>SO01_3_</t>
  </si>
  <si>
    <t>vytvoření prostupů pro technologie v betonových opěrných stěnách pro technologie</t>
  </si>
  <si>
    <t>V položce nejsou kalkulovány náklady na dodávku vložek pro prostupy (trouby, prefabrikáty, tvarovky apod.). Dodávka se oceňuje ve specifikaci. Ztratné se doporučuje ve výši 1</t>
  </si>
  <si>
    <t>32</t>
  </si>
  <si>
    <t>Zdi přehradní a opěrné</t>
  </si>
  <si>
    <t>28</t>
  </si>
  <si>
    <t>327323129R00</t>
  </si>
  <si>
    <t>Konstrukce opěrných zdí ze ŽB vodostavebního zdi a valy, beton třídy  C 30/37</t>
  </si>
  <si>
    <t>32_</t>
  </si>
  <si>
    <t>58,6*1,5*0,45</t>
  </si>
  <si>
    <t>delší opěrka</t>
  </si>
  <si>
    <t>44*1,5*0,45</t>
  </si>
  <si>
    <t>kratši opěrka</t>
  </si>
  <si>
    <t>10*1,5*0,45</t>
  </si>
  <si>
    <t>102,6*0,5*0,4</t>
  </si>
  <si>
    <t>základy</t>
  </si>
  <si>
    <t>29</t>
  </si>
  <si>
    <t>327351211R00</t>
  </si>
  <si>
    <t>Bednění zdí a valů H do 20 m - zřízení</t>
  </si>
  <si>
    <t>58,6*1,5*2</t>
  </si>
  <si>
    <t>44*1,5*2</t>
  </si>
  <si>
    <t>10*1,5*2</t>
  </si>
  <si>
    <t>30</t>
  </si>
  <si>
    <t>327351221R00</t>
  </si>
  <si>
    <t>Bednění zdí a valů H do 20 m - odbednění</t>
  </si>
  <si>
    <t>327361007R00</t>
  </si>
  <si>
    <t>Výztuž zdí a valů z oceli B500B (10 505), D do 12 mm</t>
  </si>
  <si>
    <t>96*0,1</t>
  </si>
  <si>
    <t>odhad cca 100kg/m3</t>
  </si>
  <si>
    <t>327215211R00</t>
  </si>
  <si>
    <t>Zdivo nadzákladové z kamene, na sucho 1str. lícov.</t>
  </si>
  <si>
    <t>včetně materiálu</t>
  </si>
  <si>
    <t>44*0,5*0,5</t>
  </si>
  <si>
    <t>zídka v jezírku</t>
  </si>
  <si>
    <t>45</t>
  </si>
  <si>
    <t>Podkladní a vedlejší konstrukce (kromě vozovek a železničního svršku)</t>
  </si>
  <si>
    <t>33</t>
  </si>
  <si>
    <t>451541121R00</t>
  </si>
  <si>
    <t>Lože pod potrubí z prosívky frakce do 11 mm</t>
  </si>
  <si>
    <t>45_</t>
  </si>
  <si>
    <t>SO01_4_</t>
  </si>
  <si>
    <t>písek fr. 0-4, včetně dodávky materiálu</t>
  </si>
  <si>
    <t>43*0,15*1,2</t>
  </si>
  <si>
    <t>10,5*0,15*1,2</t>
  </si>
  <si>
    <t>Položka je určena i pro zřízení sběrných vrstev nad drenážními trubkami. Položka je určena pro práce v otevřeném výkopu, pro práce ve štole se k položce používá příplatek 45154-1192</t>
  </si>
  <si>
    <t>34</t>
  </si>
  <si>
    <t>452386115R00</t>
  </si>
  <si>
    <t>Vyrovnávací prstence z betonu C 30/37 výšky 100 mm</t>
  </si>
  <si>
    <t>kus</t>
  </si>
  <si>
    <t>V položkách jsou zakalkulovány i náklady na bednění, odbedněné a nátěr bednění proti přilnavosti betonu. Pro volbu položky je rozhodující výška vyrovnávacího prstence</t>
  </si>
  <si>
    <t>35</t>
  </si>
  <si>
    <t>59224348.A</t>
  </si>
  <si>
    <t>Prstenec vyrovnávací šachtový TBW-Q.1 63/8</t>
  </si>
  <si>
    <t>ŠACHTOVÉ DÍLY TYP Q.1 dle ČSN EN 1917  Vyrovnávací prstenec - stavební dílec sloužící k vyrovnání výšky šachty s terénem.  Cena nezahrnuje elastomerní těsnění</t>
  </si>
  <si>
    <t>36</t>
  </si>
  <si>
    <t>59224349</t>
  </si>
  <si>
    <t>Prstenec vyrovnávací šachtový TBW-Q.1 63/12</t>
  </si>
  <si>
    <t>37</t>
  </si>
  <si>
    <t>59224349.A</t>
  </si>
  <si>
    <t>Prstenec vyrovnávací šachtový TBW-Q.1 63/10</t>
  </si>
  <si>
    <t>59</t>
  </si>
  <si>
    <t>Kryty pozemních komunikací, letišť a ploch dlážděných (předlažby)</t>
  </si>
  <si>
    <t>38</t>
  </si>
  <si>
    <t>597071123RU1</t>
  </si>
  <si>
    <t>Žlabová vpusť  100, dl.500 mm, B 125</t>
  </si>
  <si>
    <t>59_</t>
  </si>
  <si>
    <t>SO01_5_</t>
  </si>
  <si>
    <t>stavební výška 293 mm, můstkový litinový rošt</t>
  </si>
  <si>
    <t xml:space="preserve">Položka je určena pro montáž a dodávku žlabové vpusti z polymerického betonu včetně roštu s osazením do betonového lože C12/15. Zatížení vpusti A 15, B 125. Stavební výška 293 mm, délka 500 mm.  </t>
  </si>
  <si>
    <t>39</t>
  </si>
  <si>
    <t>597071202R00</t>
  </si>
  <si>
    <t>Žlab odvodňovací150, dl.1000 mm, C 250</t>
  </si>
  <si>
    <t>Položka je určena pro montáž a dodávku odvodňovacího pojezdového žlabu z polymerického betonu s osazením do betonového lože C 12/15. Žlab slouží k odvedení povrchové vody ze zpevněných ploch. Zatížení žlabu A 15, B 125, C 250. Stavební výška 153-155  mm, světlá šířka žlabu 150 mm, délka 1000 mm.</t>
  </si>
  <si>
    <t>40</t>
  </si>
  <si>
    <t>597071291R00</t>
  </si>
  <si>
    <t>Čelní stěna plná pro žlab 150</t>
  </si>
  <si>
    <t xml:space="preserve">Položka je určena pro osazení a dodávku čela. </t>
  </si>
  <si>
    <t>41</t>
  </si>
  <si>
    <t>597071292R00</t>
  </si>
  <si>
    <t>Čelní stěna s nátrubkem pro žlab</t>
  </si>
  <si>
    <t xml:space="preserve">Položka je určena pro osazení a dodávku čela s nátrubkem. Čelo je určeno pro žlaby </t>
  </si>
  <si>
    <t>63</t>
  </si>
  <si>
    <t>Podlahy a podlahové konstrukce</t>
  </si>
  <si>
    <t>42</t>
  </si>
  <si>
    <t>631313511R00</t>
  </si>
  <si>
    <t>Mazanina betonová tl. 8 - 12 cm C 12/15</t>
  </si>
  <si>
    <t>63_</t>
  </si>
  <si>
    <t>SO01_6_</t>
  </si>
  <si>
    <t>9*0,12</t>
  </si>
  <si>
    <t>dno šachty</t>
  </si>
  <si>
    <t>Položka je určena pro mazaninu hlazenou dřevěným hladítkem a to pro mazaninu krycí, popř. podkladní nebo vyrovnávací nebo plovoucí, pod potěry, vlýsky do asfaltu, pod podlahy. Položka je určena i pro betonový okapový chodníček budovy. Jeho podloží se oceňuje samostatně. V položce jsou zakalkulovány i náklady na vytvoření dilatačních spár v mazanině bez zaplnění. Tyto náklady se oceňují položkami souboru 63460 Zaplnění dilatačních spár v mazaninách</t>
  </si>
  <si>
    <t>43</t>
  </si>
  <si>
    <t>631313811R00</t>
  </si>
  <si>
    <t>Mazanina betonová tl. 8 - 12 cm C 30/37</t>
  </si>
  <si>
    <t>44</t>
  </si>
  <si>
    <t>631319173R00</t>
  </si>
  <si>
    <t>Příplatek za stržení povrchu mazaniny tl. 12 cm</t>
  </si>
  <si>
    <t>Položka je určena za stržení povrchu spodní vrstvy mazaniny latí před vložením výztuže nebo pletiva. Položka platí také, bude-li do mazaniny vkládána druhá vrstva výztuže nad sebou oddělená vrstvou betonové směsi, kdy se oceňuje druhé stržení povrchu latí rovněž výměrou (m3) celkové tloušťky tří vrstev mazaniny.</t>
  </si>
  <si>
    <t>631361921R00</t>
  </si>
  <si>
    <t>Výztuž mazanin svařovanou sítí</t>
  </si>
  <si>
    <t>46</t>
  </si>
  <si>
    <t>631571003R00</t>
  </si>
  <si>
    <t>Násyp ze štěrkopísku 0 - 32,  zpevňující</t>
  </si>
  <si>
    <t>310*0,3</t>
  </si>
  <si>
    <t>podsyp pod folii jezera</t>
  </si>
  <si>
    <t>Položka je určena pro násyp pod podlahy, mazaniny a dlažby, popř. na plochých střechách, vodorovný nebo ve spádu, s udusáním a urovnáním povrchu.</t>
  </si>
  <si>
    <t>47</t>
  </si>
  <si>
    <t>631571005RT01</t>
  </si>
  <si>
    <t>Násyp z kameniva těž. praného fr. 4-8 a 8-16 (kačírku)</t>
  </si>
  <si>
    <t>vč. materiálu - kačírek pro jezírko</t>
  </si>
  <si>
    <t>82*0,3</t>
  </si>
  <si>
    <t>zóna nad zídkou</t>
  </si>
  <si>
    <t>91*0.18</t>
  </si>
  <si>
    <t>pozvolná zóna</t>
  </si>
  <si>
    <t>26*0,1</t>
  </si>
  <si>
    <t>submerzní rostliny</t>
  </si>
  <si>
    <t>80% tvoří frakce 4-8, 20% frakce 8-16. Bude ukládáno ve dvou vrstvách - pod jílový záklop a nad jílový záklop</t>
  </si>
  <si>
    <t>711</t>
  </si>
  <si>
    <t>Izolace proti vodě</t>
  </si>
  <si>
    <t>48</t>
  </si>
  <si>
    <t>711472051R00</t>
  </si>
  <si>
    <t>Provedení izolace proti tlakové vodě, na ploše svislé, fóliemi PVC, volně</t>
  </si>
  <si>
    <t>711_</t>
  </si>
  <si>
    <t>SO01_71_</t>
  </si>
  <si>
    <t>57*0,5</t>
  </si>
  <si>
    <t>zeď vnější</t>
  </si>
  <si>
    <t>45*1,5</t>
  </si>
  <si>
    <t>zeď vnitřní</t>
  </si>
  <si>
    <t>10*2</t>
  </si>
  <si>
    <t>čerpadlová jímka</t>
  </si>
  <si>
    <t>Plochy izolací jednotlivě menší než 10 m2 se oceňují s příplatkem položka číslo 711 49-9097.</t>
  </si>
  <si>
    <t>49</t>
  </si>
  <si>
    <t>711471051R00</t>
  </si>
  <si>
    <t>Provedení izolace proti tlakové vodě, na ploše vodorovné, fóliemi PVC, volně</t>
  </si>
  <si>
    <t>122+82+110</t>
  </si>
  <si>
    <t>Dna  a hrany podvodních zdí jezírka</t>
  </si>
  <si>
    <t>Dno šachty pro čerpadla</t>
  </si>
  <si>
    <t>50</t>
  </si>
  <si>
    <t>283221093</t>
  </si>
  <si>
    <t>Fólie hydroizolační PVC-P, -UV tl. 2,0 mm, protiskluzová úprava, zelená barva</t>
  </si>
  <si>
    <t>122+5</t>
  </si>
  <si>
    <t>pochozí dna</t>
  </si>
  <si>
    <t>;ztratné 10%; 12,7</t>
  </si>
  <si>
    <t xml:space="preserve">Hydroizolační fólie z PVC-P (měkčený polyvinylchlorid) k provádění jednovrstvých povlakových krytin plochých střech. Stabilizace praným říčním kamenivem nebo jakoukoli provozní vrstvou, např. dlažbou na podložkách, dřevěným roštem nebo vegetačním souvrstvím. Ve shodě s normou ČSN EN 13956. FLL test proti prorůstání kořenů. Vyztužená skleněným rounem.  Barva: dle vzorníku Stabilizace: přitížením Balení: role 2,05 x 15 </t>
  </si>
  <si>
    <t>51</t>
  </si>
  <si>
    <t>28322087</t>
  </si>
  <si>
    <t>Fólie hydroizolační PVC-P, tl. 2 mm, vodní plochy - zelená</t>
  </si>
  <si>
    <t>82+110</t>
  </si>
  <si>
    <t>dna pod textilii a kačírek</t>
  </si>
  <si>
    <t>170</t>
  </si>
  <si>
    <t>stěny</t>
  </si>
  <si>
    <t>;ztratné 10%; 36,2</t>
  </si>
  <si>
    <t xml:space="preserve">Hydroizolační fólie z PVC-P (měkčený polyvinylchlorid) k izolaci zahradních jezírek, rybníků, biotopů a dalších vodních ploch. Ve shodě s normou ČSN EN 13967. Nevyztužená  </t>
  </si>
  <si>
    <t>52</t>
  </si>
  <si>
    <t>711491272R00</t>
  </si>
  <si>
    <t>Provedení izolace proti tlakové vodě, na ploše svislé, ochrannou textilií</t>
  </si>
  <si>
    <t>Položka je určena i pro oceňování izolací proti zemní vlhkosti</t>
  </si>
  <si>
    <t>53</t>
  </si>
  <si>
    <t>711491172R00</t>
  </si>
  <si>
    <t>Provedení izolace proti tlakové vodě, na ploše vodorovné, ochrannou textilií</t>
  </si>
  <si>
    <t>185</t>
  </si>
  <si>
    <t>dno mělčí části</t>
  </si>
  <si>
    <t>54</t>
  </si>
  <si>
    <t>711491271R00</t>
  </si>
  <si>
    <t>Provedení izolace proti tlakové vodě, na ploše svislé, podkladní textilií</t>
  </si>
  <si>
    <t>zdi šachty</t>
  </si>
  <si>
    <t>55</t>
  </si>
  <si>
    <t>711491171R00</t>
  </si>
  <si>
    <t>Provedení izolace proti tlakové vodě, na ploše vodorovné, podkladní textilií</t>
  </si>
  <si>
    <t>56</t>
  </si>
  <si>
    <t>69366204</t>
  </si>
  <si>
    <t>Geotextilie netkaná 500 g/m2</t>
  </si>
  <si>
    <t>28,5+185+96+28,5+67,5+314+25</t>
  </si>
  <si>
    <t>;ztratné 20%; 148,9</t>
  </si>
  <si>
    <t>Geotextilie z netkaného polyesteru ve pěti hmotnostních variantách.  Použití:  se používá jako nezbytná separační, ochranná, případně filtrační vrstva pro nejrůznější typy stavebních konstrukcí. Jsou to zejména: - základové konstrukce staveb - izolace a odvodnění staveb - střešní konstrukce plochých střech - konstrukce silnic, železnic, mostů a tunelů - stavby parkovišť, průmyslových a letištních ploch - zemní konstrukce, hráze, násypy, deponie a nádrže  Základní funkce geotextilie : OCHRANA - schopnost adaptace na různé druhy hornin podloží, struktura textilie odolná proti mechanickému poškození předurčuje k ochraně hlavní izolační vrstvy ve stavbě. FILTRACE A DRENÁŽ - díky rovnoměrnému rozložení pórů umožňuje  rovnoměrný průchod vody a zabraňuje pronikání pevných částic z podloží na stavební konstrukci. SEPARACE - vzhledem k masivní struktuře umožňuje Guttatex vytvoření funkční separační vrstvy oddělující jednotlivé části stavební konstrukce. Při použití v základových konstrukcích zabraňuje kontaminaci tekutého betonu zeminou.  Montáž: Guttatex se obvykle volně pokládá s přesahy cca 150-300 mm, přesahy je možno mechanicky spojovat. V závislosti na konkrétní aplikaci je možné případné kotvení do podkladu mechanicky nebo pomocí adhesních materiálů bez organických rozpouštědel</t>
  </si>
  <si>
    <t>722</t>
  </si>
  <si>
    <t>Vnitřní vodovod</t>
  </si>
  <si>
    <t>57</t>
  </si>
  <si>
    <t>722254110RT01</t>
  </si>
  <si>
    <t>Demontáž hpožárního hydrantu a pítka</t>
  </si>
  <si>
    <t>soubor</t>
  </si>
  <si>
    <t>vlastní</t>
  </si>
  <si>
    <t>722_</t>
  </si>
  <si>
    <t>SO01_72_</t>
  </si>
  <si>
    <t>58</t>
  </si>
  <si>
    <t>722259995R00</t>
  </si>
  <si>
    <t>Vystavení revizní zprávy - požární hydrant</t>
  </si>
  <si>
    <t>Položka obsahuje vyhotovení jednoho kusu revizní zprávy</t>
  </si>
  <si>
    <t>764</t>
  </si>
  <si>
    <t>Konstrukce klempířské</t>
  </si>
  <si>
    <t>764259299R00</t>
  </si>
  <si>
    <t>Montáž ochranného koše střešní vpusti z Cu</t>
  </si>
  <si>
    <t>764_</t>
  </si>
  <si>
    <t>SO01_76_</t>
  </si>
  <si>
    <t>altán</t>
  </si>
  <si>
    <t>hasička</t>
  </si>
  <si>
    <t>Položka je určena pro montáž hotových (předvyrobených nebo nakoupených) prvků. Dodávka těchto prvků se ocení ve specifikaci.</t>
  </si>
  <si>
    <t>60</t>
  </si>
  <si>
    <t>55162490</t>
  </si>
  <si>
    <t>Lapač střešních splavenin pohledové díly, koš,</t>
  </si>
  <si>
    <t xml:space="preserve">Lapač střešních splavenin  s pohledovými díly z litiny, s kloubem na odtoku, s košem pro zachytávání nečistot, </t>
  </si>
  <si>
    <t>767</t>
  </si>
  <si>
    <t>Konstrukce doplňkové stavební (zámečnické)</t>
  </si>
  <si>
    <t>61</t>
  </si>
  <si>
    <t>767PC02</t>
  </si>
  <si>
    <t>Fontána - umělecké dílo - kov, vč instalace</t>
  </si>
  <si>
    <t>767_</t>
  </si>
  <si>
    <t>62</t>
  </si>
  <si>
    <t>767PC03</t>
  </si>
  <si>
    <t>Systémová lišta pro zahrytí hrany izolace</t>
  </si>
  <si>
    <t>59+12</t>
  </si>
  <si>
    <t>Trubní vedení</t>
  </si>
  <si>
    <t>8013</t>
  </si>
  <si>
    <t>Čerpadlo fonánové mrazuodolné D+M 245x130x135, min. 4000l/hod</t>
  </si>
  <si>
    <t>kpl</t>
  </si>
  <si>
    <t>8_</t>
  </si>
  <si>
    <t>SO01_8_</t>
  </si>
  <si>
    <t>64</t>
  </si>
  <si>
    <t>722174920R00</t>
  </si>
  <si>
    <t>Sestavení plastového rozvodu vody D 110 mm</t>
  </si>
  <si>
    <t>65</t>
  </si>
  <si>
    <t>738129129R00</t>
  </si>
  <si>
    <t>Jednotka čerpadlová dvoutrub.</t>
  </si>
  <si>
    <t>čeradlo pro hydrant</t>
  </si>
  <si>
    <t>čerpadlo pro jezero</t>
  </si>
  <si>
    <t>66</t>
  </si>
  <si>
    <t>2861347243</t>
  </si>
  <si>
    <t>Trubka pro rozvody fontány - čerpadla</t>
  </si>
  <si>
    <t>67</t>
  </si>
  <si>
    <t>28611225.A</t>
  </si>
  <si>
    <t>Trubka PVC drenážní flexibilní d 160 mm</t>
  </si>
  <si>
    <t>Položka pořadí 14 : 71,00000*1,03</t>
  </si>
  <si>
    <t>84</t>
  </si>
  <si>
    <t>Potrubí z trub azbestocementových</t>
  </si>
  <si>
    <t>68</t>
  </si>
  <si>
    <t>841220036RAC</t>
  </si>
  <si>
    <t>Plynovodní přípojka z trub PE, D 63 mm, dl.15 m</t>
  </si>
  <si>
    <t>84_</t>
  </si>
  <si>
    <t>napojení na řád D 160 mm - přeložka plynovodní přípojky včetně napojení stávajícího rozvodu v kotelně samoobsluhy</t>
  </si>
  <si>
    <t>V položce je zakalkulováno hloubení rýh nezapažených, šířky 50 cm v hornině 3, ve volném terénu, dodávka a montáž potrubí včetně navrtávací objímky, s podsypem štěrkopískem, s obsypem pískem nebo štěrkopískem, se zásypem hutněným a s odvozem přebytečné zeminy do 6 km, bez poplatku za skládku. Součástí ceny je dodávka trubního materiálu, elektrokoleno, chránička bralen, objímka, kulový kohout Novasfer, těsnící tmel, přechodka Isiflo, podpůrná vložka, držák chráničky a montáž všech částí přípojky, dále pak i výstražná fólie. Pokud je plynovodní řád veden ve zpevněné ploše, ocení se rozebrání a zřízení konstrukcí položkami 841 99 Příplatky za trasu plynovodu ve vozovce. Délka přípojky 15 m + 1,5 m z výkopu do fasády.</t>
  </si>
  <si>
    <t>87</t>
  </si>
  <si>
    <t>Potrubí z trub plastických, skleněných a čedičových</t>
  </si>
  <si>
    <t>69</t>
  </si>
  <si>
    <t>871521103R00</t>
  </si>
  <si>
    <t>Montáž plast. potrubí svařov.na tupo DN 250 mm</t>
  </si>
  <si>
    <t>87_</t>
  </si>
  <si>
    <t>potrubí 250 u</t>
  </si>
  <si>
    <t>potrubí 200 - připojení dešˇ. hasička</t>
  </si>
  <si>
    <t>potrubí 200 - připojení dešˇ. altán</t>
  </si>
  <si>
    <t>V položce je uvažováno s jedním spojem na 6 m potrubí. Případné další spoje se dorozpočtují přirážkou za každý další spoj pol. 871 52-2.... V položce není zakalkulována dodávka trub, spojek a tvarovek. Jejich dodávka se oceňuje ve specifikaci. Montáž tvarovek se oceňuje pol. č. 871 52-2...  podle množství a průměru potřebných spojů, popřípadě individuální kalkulací</t>
  </si>
  <si>
    <t>70</t>
  </si>
  <si>
    <t>28614528</t>
  </si>
  <si>
    <t>Trubka kanalizační PP MASTER SN 12  DN 250/6000</t>
  </si>
  <si>
    <t>M-250/6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</si>
  <si>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71</t>
  </si>
  <si>
    <t>28614527</t>
  </si>
  <si>
    <t>Trubka kanalizační PP MASTER SN 12  DN 250/3000</t>
  </si>
  <si>
    <t>M-250/3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</si>
  <si>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72</t>
  </si>
  <si>
    <t>28614525</t>
  </si>
  <si>
    <t>Trubka kanalizační PP MASTER SN 12  DN 200/6000</t>
  </si>
  <si>
    <t>M-200/6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</si>
  <si>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73</t>
  </si>
  <si>
    <t>28614524</t>
  </si>
  <si>
    <t>Trubka kanalizační PP MASTER SN 12  DN 200/3000</t>
  </si>
  <si>
    <t>M-200/3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</si>
  <si>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74</t>
  </si>
  <si>
    <t>877363121R00</t>
  </si>
  <si>
    <t>Montáž tvarovek odboč. plast. gum. kroužek DN 250</t>
  </si>
  <si>
    <t>Položka je určena pro montáž tvarovek odbočných na potrubí z kanalizačních trub z plastu těsněných gumovým kroužkem v otevřeném výkopu. Napojení trubních řadů z trub z plastu na jiný druh potrubí se oceňuje individuálně. V položce montáže tvarovek nejsou zakalkulovány náklady na dodání tvarovek; tyto náklady se oceňují ve specifikaci. Ztratné se doporučuje ve výši 1,5 %</t>
  </si>
  <si>
    <t>28654571</t>
  </si>
  <si>
    <t>Odbočka kanalizační  DN 250/200</t>
  </si>
  <si>
    <t>76</t>
  </si>
  <si>
    <t>28656166</t>
  </si>
  <si>
    <t>Odbočka kanalizační odolná DN 200/160 mm</t>
  </si>
  <si>
    <t>77</t>
  </si>
  <si>
    <t>871521104R00</t>
  </si>
  <si>
    <t>Montáž plast. potrubí svařov.na tupo DN 300 mm</t>
  </si>
  <si>
    <t>výpust jezírko</t>
  </si>
  <si>
    <t>78</t>
  </si>
  <si>
    <t>28614530</t>
  </si>
  <si>
    <t>Trubka kanalizační PP MASTER SN 12  DN 300/3000</t>
  </si>
  <si>
    <t>M-300/3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</si>
  <si>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79</t>
  </si>
  <si>
    <t>28614531</t>
  </si>
  <si>
    <t>Trubka kanalizační PP MASTER SN 12  DN 300/6000</t>
  </si>
  <si>
    <t>M-300/6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</si>
  <si>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89</t>
  </si>
  <si>
    <t>Ostatní konstrukce a práce na trubním vedení</t>
  </si>
  <si>
    <t>80</t>
  </si>
  <si>
    <t>894411121R00</t>
  </si>
  <si>
    <t>Zřízení šachet z dílců, dno C25/30, potrubí DN 300</t>
  </si>
  <si>
    <t>89_</t>
  </si>
  <si>
    <t>Položka je určena pro zřízení šachet kanalizačních z betonových dílců na potrubí výšky vstupu do 1,5 m s obložením dna betonem C25/30 z cementu portlandského nebo struskoportlandského. Příplatek k položce šachet z betonových dílců za každých dalších i započatých 0,60 m výšky vstupu se oceňuje položkou 89411-8001 části A 03 tohoto ceníku. V položce jsou zakalkulovány i náklady na: a) podkladní desku z betonu C -/7,5, b) dodání a osazení stupadel. V položce nejsou zakalkulovány náklady na: a) litinové poklopy; osazení litinových poklopů se oceňuje položkami souboru 89910 Osazení poklopů litinových a ocelových části A 01 tohoto sborníku; dodání poklopů se oceňuje ve specifikaci b) podkladní prstence; podkladní prstence se oceňují položkami 45238 Podkladní a vyrovnávací konstrukce z betonu části A 01 tohoto sborníku c) dodání betonových dílců; tyto náklady se oceňují ve specifikaci. Ztratné se doporučuje ve výši 1 %</t>
  </si>
  <si>
    <t>81</t>
  </si>
  <si>
    <t>59224353.A</t>
  </si>
  <si>
    <t>Konus šachtový TBR-Q.1 100-63/58/12 KPS</t>
  </si>
  <si>
    <t>ŠACHTOVÉ DÍLY DN 1000 TYP Q.1 dle ČSN EN 1917  Konus - svislý stavební dílec tvaru šikmého komolého kužele tvořící horní vstupní část šachty. KPS - kapsové plastové stupadlo + PS - kramlové ocelové stupadlo s PE povlakem.  Ceny výrobků zahrnují manipulační kotvy DEHA. Cena nezahrnuje elastomerní těsnění</t>
  </si>
  <si>
    <t>82</t>
  </si>
  <si>
    <t>59224368.A</t>
  </si>
  <si>
    <t>Dno šachtové přímé TBZ-Q.1 100/100 V max. 60</t>
  </si>
  <si>
    <t xml:space="preserve">rozměr 1000/1000/600 mm  Kanalizační šachty DN 1000 dle DIN 4034.1  Q =  splnění kvalitativních podmínek sekce pro kanalizace PS - kramlové ocelové stupadlo s PE povlakem, LS - litinové vidlicové stupadlo, KPS - kapsové plastové stupadlo, V 15 - V 60 - průměr odtoku </t>
  </si>
  <si>
    <t>83</t>
  </si>
  <si>
    <t>59224354</t>
  </si>
  <si>
    <t>Deska zákrytová šachtová TZK-Q.1 100-63/17</t>
  </si>
  <si>
    <t>892581111R00</t>
  </si>
  <si>
    <t>Zkouška těsnosti kanalizace DN do 300, vodou</t>
  </si>
  <si>
    <t>92-28</t>
  </si>
  <si>
    <t>V položce jsou zakalkulovány náklady na napuštění vodou a dodání vody pro zkoušku těsnosti</t>
  </si>
  <si>
    <t>85</t>
  </si>
  <si>
    <t>892583111R00</t>
  </si>
  <si>
    <t>Zabezpečení konců kanal. potrubí DN do 300, vodou</t>
  </si>
  <si>
    <t>úsek</t>
  </si>
  <si>
    <t>Položka je určena pro zabezpečení jakéhokoliv druhu potrubí v úseku mezi dvěma šachtami pro zkoušku těsnosti vodou. V položce jsou zakalkulovány náklady na osazení a odstranění dvou těsnicích uzávěrů. Napuštění tlakovou vodou a dodání vody pro tlakovou zkoušku se rozpočtuje příslušnou položkou 892.. - 1111. Instalace vaku zahrnuje: ¦důkladné mechanické očištění pláště vaku ¦důkladné očištění vnitřku trubky v délce instalovaného vaku ¦nafouknutí vaku na provozní tlak  ¦opakovaná kontrola tlaku ve vaku pomocí manometru nebo pistolového tlakoměru ¦zajištění vaku proti vysunutí z potrubí (zaklínit trámkem) - zvláště průtočné vaky z kovovou výstuhou, hrozí svlečení a utržení vaku z tělesa ¦přivázání vaku lanem za oko armatury vaku a šachetní stupačku (zajištění proti odplutí) ¦vypuštění vaku  ¦opatrné vytažení vyfouknutého vaku z potrubí</t>
  </si>
  <si>
    <t>86</t>
  </si>
  <si>
    <t>899623181R00</t>
  </si>
  <si>
    <t>Obetonování potrubí nebo zdiva stok betonem C30/37</t>
  </si>
  <si>
    <t>Položka je určena pro obetonování potrubí v otevřeném výkopu, pro práce ve štole se k položce používá příplatek 89962-3192. Obetonování zdiva stok ve štole se oceňuje položkami 35931 Výplň za rubem cihelného zdiva stok části A 03 tohoto sborníku</t>
  </si>
  <si>
    <t>899643111R00</t>
  </si>
  <si>
    <t>Bednění pro obetonování potrubí v otevřeném výkopu</t>
  </si>
  <si>
    <t>17*2*0,5</t>
  </si>
  <si>
    <t>V položce jsou zakalkulovány i náklady na odbednění a nátěr proti přilnavosti betonu</t>
  </si>
  <si>
    <t>88</t>
  </si>
  <si>
    <t>899000002RA0</t>
  </si>
  <si>
    <t>Jímka dešťová</t>
  </si>
  <si>
    <t>m3 OP</t>
  </si>
  <si>
    <t>výměna jímky v komunikaci - pojízdné řešení, otevřené dno (betonová)</t>
  </si>
  <si>
    <t>dešťová jímka u hasičky - k obetonování</t>
  </si>
  <si>
    <t>892855113R00</t>
  </si>
  <si>
    <t>Kontrola kanalizace TV kamerou do 100 m</t>
  </si>
  <si>
    <t>celková délka - na cizím pozemku</t>
  </si>
  <si>
    <t>894800013R01</t>
  </si>
  <si>
    <t>Osazení odlučovače nečistot vč. materiálu</t>
  </si>
  <si>
    <t>91</t>
  </si>
  <si>
    <t>895941311R00</t>
  </si>
  <si>
    <t>Zřízení vpusti uliční z dílců typ UVB - 50</t>
  </si>
  <si>
    <t xml:space="preserve">Položka je určena pro zřízení vpusti kanalizační uliční z betonových dílců. V položce jsou započteny i náklady na zřízení loiže ze štěrkopísku. V položce nejsou započteny náklady na: a) dodání betonových dílců; betonové dílce se oceňují ve specifikaci, ztratné se doporučuje ve výši 1 % b) litinové mříže; osazení mříží se oceňuje cenami souboru 89920 Osazení mříží litinových části A 01 tohoto sborníku; dodání mříží se oceňuje ve specifikaci, ztratné se nestanoví c) podkladní prstence; podkladní prstence se oceňují položkami souboru 45238 Podkladní a vyrovnávací konstrukce části A 01 tohoto sborníku. </t>
  </si>
  <si>
    <t>92</t>
  </si>
  <si>
    <t>899103111RT2</t>
  </si>
  <si>
    <t>Osazení poklopu s rámem do 150 kg</t>
  </si>
  <si>
    <t>včetně dodávky poklopu lit. kruhového D 600</t>
  </si>
  <si>
    <t>Položka je určena pro osazení poklopů litinových a ocelových včetně rámů a platí i pro osazení rektifikačních kroužků nebo rámečků. V položkách jsou zakalkulovány náklady na dodání poklop litinového kruhového D 600.  V položce jsou zakalkulovány i náklady na cementovou maltu</t>
  </si>
  <si>
    <t>93</t>
  </si>
  <si>
    <t>894423111R00</t>
  </si>
  <si>
    <t>Osazení betonových dílců šachet do 2,0 t</t>
  </si>
  <si>
    <t>osazení požeráku</t>
  </si>
  <si>
    <t>Položka je určena pro osazení betonových dílců šachet dle DIN 4034, šachtová dna na kroužek, hmotnost do 2,0 t. V položce nejsou zakalkulovány náklady na dodání betonových dílců; dílce se oceňují ve specifikaci. Ztratné se doporučuje 1 %</t>
  </si>
  <si>
    <t>94</t>
  </si>
  <si>
    <t>4266410122</t>
  </si>
  <si>
    <t>Požerák beton C35/45, 2500x600x600</t>
  </si>
  <si>
    <t>Kompletní výrobek vč. lávky a ocelového poklopu</t>
  </si>
  <si>
    <t>95</t>
  </si>
  <si>
    <t>891267211RT</t>
  </si>
  <si>
    <t>Montáž hydrantů nadzemních - přesun stávajícího hydrantu</t>
  </si>
  <si>
    <t>včetně podkladního betonového bloku, bednění a potřebných nových trubních rozvodů o délce do 5 m, tlakové zkoušky, průplachu potrubí a revize</t>
  </si>
  <si>
    <t>96</t>
  </si>
  <si>
    <t>891267211RT02</t>
  </si>
  <si>
    <t>Montáž přesunovaného pítka</t>
  </si>
  <si>
    <t>včetně podkladního betonového bloku, bednění a potřebných nových trubních rozvodů o délce do 8 m, tlakové zkoušky, průplachu potrubí  a revize</t>
  </si>
  <si>
    <t>Různé dokončovací konstrukce a práce inženýrských staveb</t>
  </si>
  <si>
    <t>97</t>
  </si>
  <si>
    <t>936311113R00</t>
  </si>
  <si>
    <t>Zabet. potrubí beton C25/30 XA2, otvor do 0,25 m2</t>
  </si>
  <si>
    <t>93_</t>
  </si>
  <si>
    <t>SO01_9_</t>
  </si>
  <si>
    <t>3*0,15*3,14</t>
  </si>
  <si>
    <t>zalití vstupů do pův. stoky</t>
  </si>
  <si>
    <t>98</t>
  </si>
  <si>
    <t>931981021R00</t>
  </si>
  <si>
    <t>Těsnění pracovní spáry bitumenovým plechem</t>
  </si>
  <si>
    <t>dno - stěny : 10,3*4+7,2*2</t>
  </si>
  <si>
    <t>Bitumenový těsnicí plech k utěsnění pracovních spár. Je odolný proti veškerým organickým splaškům a proto je vhodné použití také v čističkách odpadních vod.  Cena obsahuje montáž a dodávku plechu včetně svorek a vázacího drátu</t>
  </si>
  <si>
    <t>99</t>
  </si>
  <si>
    <t>933901111R00</t>
  </si>
  <si>
    <t>Zkouška vodotěsnosti beton. nádrže do 1000 m3</t>
  </si>
  <si>
    <t>100</t>
  </si>
  <si>
    <t>933901311R00</t>
  </si>
  <si>
    <t>Naplnění a vyprázdnění nádrže do 1000 m3</t>
  </si>
  <si>
    <t>Bourání konstrukcí</t>
  </si>
  <si>
    <t>101</t>
  </si>
  <si>
    <t>969021131R00</t>
  </si>
  <si>
    <t>Vybourání kanalizačního potrubí DN do 300 mm</t>
  </si>
  <si>
    <t>96_</t>
  </si>
  <si>
    <t>V položce není kalkulována manipulace se sutí, která se oceňuje samostatně položkami souboru 979.</t>
  </si>
  <si>
    <t>Prorážení otvorů a ostatní bourací práce</t>
  </si>
  <si>
    <t>102</t>
  </si>
  <si>
    <t>976085311R00</t>
  </si>
  <si>
    <t>Vybourání kanal.rámů a poklopů plochy do 0,6 m2</t>
  </si>
  <si>
    <t>97_</t>
  </si>
  <si>
    <t>103</t>
  </si>
  <si>
    <t>97PC01</t>
  </si>
  <si>
    <t>Prostupy vč. utěsnění</t>
  </si>
  <si>
    <t>vrtaný nebo bedněný prostup o rozměrech průměr 260 mm v konstrukci: ŽB stěna tl 300 mm. Vč. utěsnění, prostupu.</t>
  </si>
  <si>
    <t>H33</t>
  </si>
  <si>
    <t>Nádrže na tocích, úpravy toků a kanály</t>
  </si>
  <si>
    <t>104</t>
  </si>
  <si>
    <t>998331011R00</t>
  </si>
  <si>
    <t>Přesun hmot pro nádrže</t>
  </si>
  <si>
    <t>H33_</t>
  </si>
  <si>
    <t>Vodní nádrž neuznatelné</t>
  </si>
  <si>
    <t>SO01B</t>
  </si>
  <si>
    <t>105</t>
  </si>
  <si>
    <t>132201210R00</t>
  </si>
  <si>
    <t>Hloubení rýh š.do 200 cm hor.3 do 50 m3,STROJNĚ</t>
  </si>
  <si>
    <t>SO01B_1_</t>
  </si>
  <si>
    <t>SO01B_</t>
  </si>
  <si>
    <t>14,4</t>
  </si>
  <si>
    <t>stoka dešťová kanalizace neuzna</t>
  </si>
  <si>
    <t>106</t>
  </si>
  <si>
    <t>kanal neuzna</t>
  </si>
  <si>
    <t>107</t>
  </si>
  <si>
    <t>151101102R00</t>
  </si>
  <si>
    <t>Pažení a rozepření stěn rýh - příložné - hl.do 4 m</t>
  </si>
  <si>
    <t>57,6</t>
  </si>
  <si>
    <t>Stoka PP DN 250 neu</t>
  </si>
  <si>
    <t>108</t>
  </si>
  <si>
    <t>151101112R00</t>
  </si>
  <si>
    <t>Odstranění pažení stěn rýh - příložné - hl. do 4 m</t>
  </si>
  <si>
    <t>Odstranění pažení stěn rýh - příložné - hl. do 4 m neu</t>
  </si>
  <si>
    <t>109</t>
  </si>
  <si>
    <t>10*1,3</t>
  </si>
  <si>
    <t>Stoka PP DN 250 mimo pozemek investora</t>
  </si>
  <si>
    <t>110</t>
  </si>
  <si>
    <t>10*1,4</t>
  </si>
  <si>
    <t>Stoka PP DN 250 - mimo pozemek investora</t>
  </si>
  <si>
    <t>111</t>
  </si>
  <si>
    <t>7,12</t>
  </si>
  <si>
    <t>stoka neuznatelná</t>
  </si>
  <si>
    <t>112</t>
  </si>
  <si>
    <t>113</t>
  </si>
  <si>
    <t>114</t>
  </si>
  <si>
    <t>167101101R00</t>
  </si>
  <si>
    <t>Nakládání výkopku z hor. 1 ÷ 4 v množství do 100 m3</t>
  </si>
  <si>
    <t>115</t>
  </si>
  <si>
    <t>116</t>
  </si>
  <si>
    <t>29*1,2*0,4</t>
  </si>
  <si>
    <t>dešťová kanalizace neu</t>
  </si>
  <si>
    <t>117</t>
  </si>
  <si>
    <t>29*1,2*0,6</t>
  </si>
  <si>
    <t>118</t>
  </si>
  <si>
    <t>Podkladní vrstvy komunikací, letišť a ploch</t>
  </si>
  <si>
    <t>119</t>
  </si>
  <si>
    <t>564112120R00</t>
  </si>
  <si>
    <t>Podklad z bet.recyklátu fr. 0-32 po zhutn.tl.20 cm</t>
  </si>
  <si>
    <t>56_</t>
  </si>
  <si>
    <t>SO01B_5_</t>
  </si>
  <si>
    <t>Podklad z betonového recyklátu frakce 0-32 mm tl. 20 cm po zhutnění. Objemová hmotnost betonového recyklátu 1,9 t/m3 po zhutnění</t>
  </si>
  <si>
    <t>Kryty pozemních komunikací, letišť a ploch z kameniva nebo živičné</t>
  </si>
  <si>
    <t>120</t>
  </si>
  <si>
    <t>577132111R00</t>
  </si>
  <si>
    <t>Beton asfalt. ACO 11+ obrusný, š.nad 3 m, tl. 4 cm</t>
  </si>
  <si>
    <t>57_</t>
  </si>
  <si>
    <t>121</t>
  </si>
  <si>
    <t>573231123R00</t>
  </si>
  <si>
    <t>Postřik spojovací z KAE, množství zbytkového asfaltu 0,3 kg/m2</t>
  </si>
  <si>
    <t>122</t>
  </si>
  <si>
    <t>577151123R00</t>
  </si>
  <si>
    <t>Beton asfalt. ACL 16+ ložný, š. do 3 m, tl. 6 cm</t>
  </si>
  <si>
    <t>123</t>
  </si>
  <si>
    <t>457621412R01</t>
  </si>
  <si>
    <t>Úprava spár zálivkou z modif. asfaltu</t>
  </si>
  <si>
    <t>124</t>
  </si>
  <si>
    <t>SO01B_8_</t>
  </si>
  <si>
    <t>125</t>
  </si>
  <si>
    <t>870100009R00</t>
  </si>
  <si>
    <t>Montáž potrubí sklolaminátového ve výkopu, DN 150</t>
  </si>
  <si>
    <t>Položka je určena pro vodovody i kanalizace. V položce není zakalkulována dodávka trub, spojek a tvarovek. Cenu dodávky včetně dopravy stanoví výrobce na požádání dle konkretní dokumentace. Montáž tlakových tvarovek sklolaminátových se oceňuje jako montáž tvarovek litinových hrdlových nebo přírubových, popřípadě individuální kalkulací.</t>
  </si>
  <si>
    <t>126</t>
  </si>
  <si>
    <t>potrubí 250 neuznatelné</t>
  </si>
  <si>
    <t>127</t>
  </si>
  <si>
    <t>128</t>
  </si>
  <si>
    <t>SO01B_9_</t>
  </si>
  <si>
    <t>Zpevněné plochy</t>
  </si>
  <si>
    <t>Odkopávky a prokopávky</t>
  </si>
  <si>
    <t>SO02</t>
  </si>
  <si>
    <t>129</t>
  </si>
  <si>
    <t>122202202R00</t>
  </si>
  <si>
    <t>Odkopávky pro silnice v hor. 3 do 1000 m3</t>
  </si>
  <si>
    <t>12_</t>
  </si>
  <si>
    <t>SO02_1_</t>
  </si>
  <si>
    <t>SO02_</t>
  </si>
  <si>
    <t>124,5</t>
  </si>
  <si>
    <t>štěrk. trávník</t>
  </si>
  <si>
    <t>49,5</t>
  </si>
  <si>
    <t>Výměna podloží pro zpevněné plochy u vodní nádrže</t>
  </si>
  <si>
    <t>10,5</t>
  </si>
  <si>
    <t>Odtěžení zeminy pro výstavbu chodníku kolem hasičky</t>
  </si>
  <si>
    <t>2,4</t>
  </si>
  <si>
    <t>Odtěžení zeminy pro rozšíření zpev. plochy u čerpací stanice odpad. vod</t>
  </si>
  <si>
    <t>130</t>
  </si>
  <si>
    <t>122202209R00</t>
  </si>
  <si>
    <t>Příplatek za lepivost - odkop. pro silnice v hor.3</t>
  </si>
  <si>
    <t>131</t>
  </si>
  <si>
    <t>132203302R00</t>
  </si>
  <si>
    <t>Hloubení rýh pro drény, hloubky do 1,1 m, v hor.3</t>
  </si>
  <si>
    <t>ručně</t>
  </si>
  <si>
    <t>pro izolaci soklu</t>
  </si>
  <si>
    <t>V položce jsou započteny i náklady na svislépřemístění výkopku i na odstranění napadané horniny.</t>
  </si>
  <si>
    <t>132</t>
  </si>
  <si>
    <t>použití vytěžených zemin</t>
  </si>
  <si>
    <t>1015</t>
  </si>
  <si>
    <t>Podloží zpevněných ploch u vodní nádrže</t>
  </si>
  <si>
    <t>133</t>
  </si>
  <si>
    <t>181101102R00</t>
  </si>
  <si>
    <t>Úprava pláně v zářezech v hor. 1-4, se zhutněním</t>
  </si>
  <si>
    <t>pod terasu</t>
  </si>
  <si>
    <t>415</t>
  </si>
  <si>
    <t>279</t>
  </si>
  <si>
    <t>dlažba propustná u jezera</t>
  </si>
  <si>
    <t>dlažba propustná u čs</t>
  </si>
  <si>
    <t>příchod k altánu</t>
  </si>
  <si>
    <t>okolo hydrantu</t>
  </si>
  <si>
    <t>Položky jsou shodné i pro úpravu pláně v násypech.</t>
  </si>
  <si>
    <t>Schodiště</t>
  </si>
  <si>
    <t>134</t>
  </si>
  <si>
    <t>434200001RA0</t>
  </si>
  <si>
    <t>Schodiště z oceli včetně zábradlí a nátěrů</t>
  </si>
  <si>
    <t>m DVČ</t>
  </si>
  <si>
    <t>43_</t>
  </si>
  <si>
    <t>SO02_4_</t>
  </si>
  <si>
    <t>Schodiště s výplní stupňů a podesty pororošty (FeZn). Žárově zinkovaná ocel, bočnice a zábradlí opatřeny nátěrem či komaxitem v barvě RAL 7022 matná.</t>
  </si>
  <si>
    <t>Měrnou jednotkou je metr délky výstupní čáry (mDVČ). Výroba a osazení podesty a schodišťového ramene se stupni svařováním, výroba a osazení ocelového zábradlí z trubek, nátěr ocelové konstrukce základní + 2x email. Esteticky nenáročné schodiště například do výrobních prostor</t>
  </si>
  <si>
    <t>135</t>
  </si>
  <si>
    <t>564112228R00</t>
  </si>
  <si>
    <t>Podklad z bet.recyklátu fr.0-32 po zhutn.tl.28 cm</t>
  </si>
  <si>
    <t>SO02_5_</t>
  </si>
  <si>
    <t>227</t>
  </si>
  <si>
    <t>u altánu</t>
  </si>
  <si>
    <t>terasa altán</t>
  </si>
  <si>
    <t>u čs</t>
  </si>
  <si>
    <t>Podklad z betonového recyklátu frakce 0-32 mm tl. 28 cm po zhutnění. Objemová hmotnost betonového recyklátu 1,9 t/m3 po zhutnění</t>
  </si>
  <si>
    <t>136</t>
  </si>
  <si>
    <t>564112230R00</t>
  </si>
  <si>
    <t>Podklad ze směs.recyklátu fr.16-32 po zhutn.tl.30 cm</t>
  </si>
  <si>
    <t>sanace št</t>
  </si>
  <si>
    <t>165</t>
  </si>
  <si>
    <t>sanace pod dlažby</t>
  </si>
  <si>
    <t>pod terasou</t>
  </si>
  <si>
    <t>Podklad z betonového recyklátu frakce 16-32 mm tl. 30 cm po zhutnění. Objemová hmotnost betonového recyklátu 1,9 t/m3 po zhutnění</t>
  </si>
  <si>
    <t>137</t>
  </si>
  <si>
    <t>568111112R00</t>
  </si>
  <si>
    <t>Zřízení vrstvy z geotextilie skl.do 1:5,š.do 7,5 m</t>
  </si>
  <si>
    <t>138</t>
  </si>
  <si>
    <t>69366198</t>
  </si>
  <si>
    <t>Geotextilie netkaná 300 g/m2</t>
  </si>
  <si>
    <t>710*1,1</t>
  </si>
  <si>
    <t>plochy směs. recyklátu</t>
  </si>
  <si>
    <t>;ztratné 1%; 7,81</t>
  </si>
  <si>
    <t xml:space="preserve">Netkaná geotextilie zpevněná vpichováním ze 100% z polypropylenu se separační, ochranou, filtrační a zpevňovací funkcí.  Použití v pozemním stavitelství při výstavbě střech, zakládání staveb a výstavbě drenáží, v silničním a železničním stavitelství při výstavbě silničních a železničních násypů, zajišťování svahů, při výstavbě tunelů a drenážních systémů, ve vodním stavitelství při výstavbě nádrží, kanálů a rybníků, pro zajišťování hrází a břehů, při výstavbě ekologických staveb a skládek TKO.  Základní vlastnosti textilie: odolává plísním, bakteriím a běžným chemikáliím, nemá negativní vliv na kvalitu pitné vody.  rozměr 2 x 50 </t>
  </si>
  <si>
    <t>139</t>
  </si>
  <si>
    <t>564112116R00</t>
  </si>
  <si>
    <t>Podklad z bet.recyklátu fr. 0-32 po zhutn.tl.16 cm</t>
  </si>
  <si>
    <t>73,5</t>
  </si>
  <si>
    <t>chodník</t>
  </si>
  <si>
    <t>za hasičkou</t>
  </si>
  <si>
    <t>Podklad z betonového recyklátu frakce 0-32 mm tl. 16 cm po zhutnění. Objemová hmotnost betonového recyklátu 1,9 t/m3 po zhutnění</t>
  </si>
  <si>
    <t>140</t>
  </si>
  <si>
    <t>564112225R00</t>
  </si>
  <si>
    <t>Podklad z bet.recyklátu fr.0-32 po zhutn.tl.25 cm</t>
  </si>
  <si>
    <t>štěrk trav</t>
  </si>
  <si>
    <t>Podklad z betonového recyklátu frakce 0-32 mm tl. 25 cm po zhutnění. Objemová hmotnost betonového recyklátu 1,9 t/m3 po zhutnění</t>
  </si>
  <si>
    <t>141</t>
  </si>
  <si>
    <t>564871111RT2</t>
  </si>
  <si>
    <t>Podklad ze štěrkodrti po zhutnění tloušťky 25 cm</t>
  </si>
  <si>
    <t>štěrkodrť frakce 0-32 mm</t>
  </si>
  <si>
    <t>zapravení plochy nad jímkou u požární stanice</t>
  </si>
  <si>
    <t>142</t>
  </si>
  <si>
    <t>596215041R00</t>
  </si>
  <si>
    <t>Kladení zámkové dlažby tl. 8 cm do drtě tl. 5 cm</t>
  </si>
  <si>
    <t>plocha u altánu</t>
  </si>
  <si>
    <t>plocha u čs</t>
  </si>
  <si>
    <t>u hasičky</t>
  </si>
  <si>
    <t>Od CÚ 2015/ II. není v jednotkové ceně započteno řezání dlaždic!!! Rozpočtuje se samostatnou položkou 596 29-1113.R00 Řezání zámkové dlažby tl. 80 mm. V položce jsou zakalkulovány i náklady na dodání hmot pro lože a na dodání materiálu na výplň spár. V položce nejsou zakalkulovány náklady na dodání zámkové dlažby, která se oceňuje ve specifikaci, ztratné se doporučuje ve výši 5%.</t>
  </si>
  <si>
    <t>143</t>
  </si>
  <si>
    <t>5924504001</t>
  </si>
  <si>
    <t>Dlažba s distančníky lineární 300x120/150/x80 - musí být vzorkováno</t>
  </si>
  <si>
    <t>u vodní nádrže</t>
  </si>
  <si>
    <t>u čs odp. vod</t>
  </si>
  <si>
    <t>;ztratné 10%; 5,5</t>
  </si>
  <si>
    <t>144</t>
  </si>
  <si>
    <t>592480591</t>
  </si>
  <si>
    <t>Dlažba drenážní - sestava 3 kamenů (řady navazují na dist. dlažbu) - přírodní šedá</t>
  </si>
  <si>
    <t>182</t>
  </si>
  <si>
    <t>u jezera</t>
  </si>
  <si>
    <t>zadní část u hasičky</t>
  </si>
  <si>
    <t>okolo hasičky</t>
  </si>
  <si>
    <t>;ztratné 10%; 28,7</t>
  </si>
  <si>
    <t>145</t>
  </si>
  <si>
    <t>59248059</t>
  </si>
  <si>
    <t>Kámen dlažební slepecký černá</t>
  </si>
  <si>
    <t>1,5</t>
  </si>
  <si>
    <t>;ztratné 10%; 0,15</t>
  </si>
  <si>
    <t>146</t>
  </si>
  <si>
    <t>592480592</t>
  </si>
  <si>
    <t>Dlažba drenážní sest. 3 kamenů, bílá 80 mm</t>
  </si>
  <si>
    <t>oddělení park. míst</t>
  </si>
  <si>
    <t>;ztratné 10%; 0,8</t>
  </si>
  <si>
    <t>147</t>
  </si>
  <si>
    <t>596291113R00</t>
  </si>
  <si>
    <t>Řezání zámkové dlažby tl. 80 mm</t>
  </si>
  <si>
    <t>plocha u nádrže</t>
  </si>
  <si>
    <t>nové chodníky</t>
  </si>
  <si>
    <t>148</t>
  </si>
  <si>
    <t>599141111R00</t>
  </si>
  <si>
    <t>Vyplnění spár mezi panely živičnou zálivkou</t>
  </si>
  <si>
    <t>spára mezi vozovkou a novými obrubami</t>
  </si>
  <si>
    <t>V položce jsou zakalkulovány i náklady na vyčištění spár</t>
  </si>
  <si>
    <t>Úprava povrchů vnější</t>
  </si>
  <si>
    <t>149</t>
  </si>
  <si>
    <t>622323114R00</t>
  </si>
  <si>
    <t>Izolace suterénu Stomix EPS P tl. 140 mm, bez PÚ</t>
  </si>
  <si>
    <t>62_</t>
  </si>
  <si>
    <t>SO02_6_</t>
  </si>
  <si>
    <t>Bez povrchové úpravy. Součinitel tepelné vodivosti izolantu 0,035 W/m K</t>
  </si>
  <si>
    <t>150</t>
  </si>
  <si>
    <t>711823121RT6</t>
  </si>
  <si>
    <t>Montáž nopové fólie svisle</t>
  </si>
  <si>
    <t>SO02_71_</t>
  </si>
  <si>
    <t>včetně dodávky fólie  T20</t>
  </si>
  <si>
    <t>151</t>
  </si>
  <si>
    <t>711823129RT5</t>
  </si>
  <si>
    <t>Montáž ukončovací lišty k nopové fólii</t>
  </si>
  <si>
    <t>včetně dodávky lišty k T20</t>
  </si>
  <si>
    <t>152</t>
  </si>
  <si>
    <t>767200002RA0</t>
  </si>
  <si>
    <t>Zábradlí balkonové, nátěry</t>
  </si>
  <si>
    <t>SO02_76_</t>
  </si>
  <si>
    <t xml:space="preserve">Materiál: ocelové profily "pásovina" průřezu 50/15 mm /vodorovná tyč, stojky/ a tyčky O10 mm /výplň/, madlo je navrženo z akátového dřeva.
Povrchová úprava: ocelové prvky opatřené žárovým zinkem + práškový lak "komaxit", odstín šedý RAL 7022 a madlo je opatřeno exteriérovým olejovým nátěrem "lazura", odstín světlý upřesněn dle vzorníku
</t>
  </si>
  <si>
    <t>zábradlí na opěrce</t>
  </si>
  <si>
    <t>zábradlí na zídce u schodiště k suterénu</t>
  </si>
  <si>
    <t>153</t>
  </si>
  <si>
    <t>767200001RA0</t>
  </si>
  <si>
    <t>Zábradlí schodištové, madlo, nátěry</t>
  </si>
  <si>
    <t>ocelové profily "pásovina" průřezu 50/15 mm /vodorovná tyč, stojky/, madlo je navrženo z akátového dřeva.</t>
  </si>
  <si>
    <t>Doplňující konstrukce a práce na pozemních komunikacích a zpevněných plochách</t>
  </si>
  <si>
    <t>154</t>
  </si>
  <si>
    <t>917862111RV4</t>
  </si>
  <si>
    <t>Osazení stojatého obrubníku betonového, s boční opěrou, do lože z betonu C 12/15</t>
  </si>
  <si>
    <t>91_</t>
  </si>
  <si>
    <t>SO02_9_</t>
  </si>
  <si>
    <t>vč.obrub.nájezd.náběh.CSB H 15/25 1000/150/150-250</t>
  </si>
  <si>
    <t>Snížený obrubník pro nájezd ze silnice</t>
  </si>
  <si>
    <t>155</t>
  </si>
  <si>
    <t>917862114RU2</t>
  </si>
  <si>
    <t>Osazení stojatého obrubníku betonového, s boční opěrou, do lože z betonu C 25/30</t>
  </si>
  <si>
    <t>včetně obrubníku přímého 1000 x 150 x 250 mm</t>
  </si>
  <si>
    <t>Osazení betonového silničního nebo chodníkového obrubníku</t>
  </si>
  <si>
    <t>156</t>
  </si>
  <si>
    <t>917862111RT5</t>
  </si>
  <si>
    <t>včetně obrubníku ABO 100/10/25</t>
  </si>
  <si>
    <t>157</t>
  </si>
  <si>
    <t>919722212R00</t>
  </si>
  <si>
    <t>Zalití spáry asf. modifikovanou zálivkou za horka</t>
  </si>
  <si>
    <t>Spára mezi stávající vozovkou MK a novými obrubami</t>
  </si>
  <si>
    <t>158</t>
  </si>
  <si>
    <t>917862111R00</t>
  </si>
  <si>
    <t>přechodový pravý</t>
  </si>
  <si>
    <t>přechodový levý</t>
  </si>
  <si>
    <t>159</t>
  </si>
  <si>
    <t>59217491</t>
  </si>
  <si>
    <t>Obrubník silniční přechodový pravý ABO 2-15 PP v 150 x 150 x 1000 mm</t>
  </si>
  <si>
    <t>Vibrolisované silniční obrubníky PRESBETON® slouží k oddělení chodníků a dalších pochozích ploch od pojezdových komunikací (vozovky).  Impregnace Protect System IN pochozí odolnost vůči mrazu  výška 150 mm šířka 150 mm délka 1000 m</t>
  </si>
  <si>
    <t>160</t>
  </si>
  <si>
    <t>59217492</t>
  </si>
  <si>
    <t>Obrubník silniční přechodový levý ABO 2-15 PL v 150 x 150 x 1000 mm</t>
  </si>
  <si>
    <t>161</t>
  </si>
  <si>
    <t>914001121R00</t>
  </si>
  <si>
    <t>Osaz.svislé dopr.značky a sloupku,Al patka, základ</t>
  </si>
  <si>
    <t>včetně dodávky sloupku a značky, Deska  IP12 + 225</t>
  </si>
  <si>
    <t>Výkop jamky s odhozem výkopku na vzdálenost do 3 m, betonový základ (s dodávkou betonu), dodávka a osazení kotevní hliníkové patky, osazení sloupku, dodávka a osazení víčka ke sloupku, osazení svislé dopravní značky plochy do 1 m2</t>
  </si>
  <si>
    <t>162</t>
  </si>
  <si>
    <t>914991001R00</t>
  </si>
  <si>
    <t>Montáž dočasné značky včetně stojanu</t>
  </si>
  <si>
    <t>A15 - Práce na silnici</t>
  </si>
  <si>
    <t>Z4a - Směrovací deska se šikmými pruhy se sklem vlevo</t>
  </si>
  <si>
    <t>163</t>
  </si>
  <si>
    <t>914992001R00</t>
  </si>
  <si>
    <t>Nájem dopravní značky včetně stojanu - den</t>
  </si>
  <si>
    <t>164</t>
  </si>
  <si>
    <t>914993001R00</t>
  </si>
  <si>
    <t>Demontáž dočasné značky včetně stojanu</t>
  </si>
  <si>
    <t>916581112RV00</t>
  </si>
  <si>
    <t>Osazení obrub z ocelové pásoviny</t>
  </si>
  <si>
    <t>166</t>
  </si>
  <si>
    <t>135111_210</t>
  </si>
  <si>
    <t>Obruba z ocel. pásoviny - ocelová pásovina, 100 x 8 mm, roxory prům 10 mm, délka 600mm, vzdálenost po 500-700 mm</t>
  </si>
  <si>
    <t>bm</t>
  </si>
  <si>
    <t>167</t>
  </si>
  <si>
    <t>914001121RT6</t>
  </si>
  <si>
    <t>včetně dodávky sloupku a značky</t>
  </si>
  <si>
    <t>IP4b</t>
  </si>
  <si>
    <t>C2b</t>
  </si>
  <si>
    <t>B2</t>
  </si>
  <si>
    <t>Výkop jamky s odhozem výkopku na vzdálenost do 3 m, betonový základ (s dodávkou betonu), dodávka a osazení kotevní hliníkové patky, dodávka a osazení sloupku, dodávka a osazení víčka ke sloupku, dodávka a osazení svislé dopravní značky plochy do 1 m2, upínací svorka</t>
  </si>
  <si>
    <t>168</t>
  </si>
  <si>
    <t>935112911R00</t>
  </si>
  <si>
    <t>Příplatek za každý 1cm lože nad 10 cm beton C25/30; XF2+XD1</t>
  </si>
  <si>
    <t>1190</t>
  </si>
  <si>
    <t>11,9m3</t>
  </si>
  <si>
    <t>169</t>
  </si>
  <si>
    <t>966006132R00</t>
  </si>
  <si>
    <t>Odstranění doprav.značek se sloupky, s bet.patkami</t>
  </si>
  <si>
    <t>P4</t>
  </si>
  <si>
    <t>H22</t>
  </si>
  <si>
    <t>Komunikace pozemní a letiště</t>
  </si>
  <si>
    <t>998223011R00</t>
  </si>
  <si>
    <t>Přesun hmot, pozemní komunikace, kryt dlážděný</t>
  </si>
  <si>
    <t>H22_</t>
  </si>
  <si>
    <t>M46</t>
  </si>
  <si>
    <t>Zemní práce při montážích</t>
  </si>
  <si>
    <t>171</t>
  </si>
  <si>
    <t>460120082R00</t>
  </si>
  <si>
    <t>Násyp zeminy, hornina třídy 3-4</t>
  </si>
  <si>
    <t>M46_</t>
  </si>
  <si>
    <t>pro štěrkový trávník</t>
  </si>
  <si>
    <t>172</t>
  </si>
  <si>
    <t>10371500</t>
  </si>
  <si>
    <t>Substrát zahradnický B VL</t>
  </si>
  <si>
    <t>Zahradnický substrát B univerzální ze směsi rašelin, minerálního kombinovaného hnojiva se stopovými prvky a jemně mletého dolomitického vápence. Použití: pro pěstování zeleniny, stromů a keřů (s výjimkou kyselomilných rostlin), pro hrnkové květiny, trvalky a ostatní zahradní rostliny včetně okrasných trávníků. Pěstovat rostliny lze přímo v substrátu nebo po smíchání s původní zeminou  Balení: volně ložen</t>
  </si>
  <si>
    <t>173</t>
  </si>
  <si>
    <t>583427602</t>
  </si>
  <si>
    <t>Kamenivo drcené 32/63</t>
  </si>
  <si>
    <t>41*2,3</t>
  </si>
  <si>
    <t>Těženou horninou je amfibolit zelenošedé barvy s vysokou pevnost</t>
  </si>
  <si>
    <t>Zpevněné plochy - nepropustné</t>
  </si>
  <si>
    <t>SO02B</t>
  </si>
  <si>
    <t>174</t>
  </si>
  <si>
    <t>122202201R00</t>
  </si>
  <si>
    <t>Odkopávky pro silnice v hor. 3 do 100 m3</t>
  </si>
  <si>
    <t>SO02B_1_</t>
  </si>
  <si>
    <t>SO02B_</t>
  </si>
  <si>
    <t>sjezd hasička</t>
  </si>
  <si>
    <t>0,2</t>
  </si>
  <si>
    <t>úprava chodníku a plocha pro lavičku</t>
  </si>
  <si>
    <t>175</t>
  </si>
  <si>
    <t>122201109R00</t>
  </si>
  <si>
    <t>Příplatek za lepivost - odkopávky v hor. 3</t>
  </si>
  <si>
    <t>úpr. chodníku a pl. pro lavičku</t>
  </si>
  <si>
    <t>176</t>
  </si>
  <si>
    <t>úprava chodníku</t>
  </si>
  <si>
    <t>plocha pod lavičku</t>
  </si>
  <si>
    <t>177</t>
  </si>
  <si>
    <t>212850001RAA</t>
  </si>
  <si>
    <t>Drenáž podél základu objektu z dren. trub d 100 mm</t>
  </si>
  <si>
    <t>SO02B_2_</t>
  </si>
  <si>
    <t>bet.lože, obsyp kamenivo, geotextilie,reviz.šachta</t>
  </si>
  <si>
    <t>Položka obsahuje dodávku a montáž betonového lože C 16/20, drenážní flexibilní PVC trubky včetně napojení na revizní šachtu, obsyp kamenivem, ochranné geotextilie (obalení kameniva) a revizní šachty DN 315 mm po 10 m.  Položka neobsahuje zemní práce a zapažení výkopu</t>
  </si>
  <si>
    <t>178</t>
  </si>
  <si>
    <t>430320100RAA</t>
  </si>
  <si>
    <t>Schodiště ze železobetonu</t>
  </si>
  <si>
    <t>SO02B_4_</t>
  </si>
  <si>
    <t>přímočaré</t>
  </si>
  <si>
    <t>Měrnou jednotkou je metr délky výstupní čáry (mDVČ)</t>
  </si>
  <si>
    <t>179</t>
  </si>
  <si>
    <t>567132111R00</t>
  </si>
  <si>
    <t>Podklad z kameniva zpev.cementem SC C8/10 tl.16 cm</t>
  </si>
  <si>
    <t>SO02B_5_</t>
  </si>
  <si>
    <t>vjezd hasička</t>
  </si>
  <si>
    <t>180</t>
  </si>
  <si>
    <t>564112220R00</t>
  </si>
  <si>
    <t>Podklad z bet.recyklátu fr.16-32 po zhutn.tl.20 cm</t>
  </si>
  <si>
    <t>Podklad z betonového recyklátu frakce 16-32 mm tl. 20 cm po zhutnění. Objemová hmotnost betonového recyklátu 1,9 t/m3 po zhutnění</t>
  </si>
  <si>
    <t>181</t>
  </si>
  <si>
    <t>Podklad z bet.recyklátu fr.16-32 po zhutn.tl.30 cm</t>
  </si>
  <si>
    <t>u hasičky - v případě sanace podloží</t>
  </si>
  <si>
    <t>sanace sjezd u hasičky</t>
  </si>
  <si>
    <t>183</t>
  </si>
  <si>
    <t>Geotextilie netkaná  300 g/m2</t>
  </si>
  <si>
    <t>;ztratné 10%; 10,4</t>
  </si>
  <si>
    <t xml:space="preserve">Netkaná geotextilie zpevněná vpichováním ze 100% z polypropylenu se separační, ochranou, filtrační a zpevňovací funkcí.  Použití v pozemním stavitelství při výstavbě střech, zakládání staveb a výstavbě drenáží, v silničním a železničním stavitelství při výstavbě silničních a železničních násypů, zajišťování svahů, při výstavbě tunelů a drenážních systémů, ve vodním stavitelství při výstavbě nádrží, kanálů a rybníků, pro zajišťování hrází a břehů, při výstavbě ekologických staveb a skládek TKO.  Základní vlastnosti textilie : odolává plísním, bakteriím a běžným chemikáliím, nemá negativní vliv na kvalitu pitné vody.  rozměr 2 x 50 </t>
  </si>
  <si>
    <t>184</t>
  </si>
  <si>
    <t>186</t>
  </si>
  <si>
    <t>592480001</t>
  </si>
  <si>
    <t>Dlažba zámková vlnka 20,5/11,2/8 II přírodní</t>
  </si>
  <si>
    <t>;ztratné 10%; 9</t>
  </si>
  <si>
    <t>cel</t>
  </si>
  <si>
    <t>187</t>
  </si>
  <si>
    <t>188</t>
  </si>
  <si>
    <t>596291111R00</t>
  </si>
  <si>
    <t>Řezání zámkové dlažby tl. 60 mm</t>
  </si>
  <si>
    <t>chodník obyč</t>
  </si>
  <si>
    <t>189</t>
  </si>
  <si>
    <t>596215021R00</t>
  </si>
  <si>
    <t>Kladení zámkové dlažby tl. 6 cm do drtě tl. 4 cm</t>
  </si>
  <si>
    <t>rozšíření chodníku</t>
  </si>
  <si>
    <t>Od CÚ 2015/ II. není v jednotkové ceně započteno řezání dlaždic!!! Rozpočtuje se samostatnou položkou 596 29-1111.R00 Řezání zámkové dlažby tl. 60 mm. V položce jsou zakalkulovány i náklady na dodání hmot pro lože a na dodání materiálu na výplň spár. V položce nejsou zakalkulovány náklady na dodání zámkové dlažby, která se oceňuje ve specifikaci, ztratné se doporučuje ve výši 5%.</t>
  </si>
  <si>
    <t>190</t>
  </si>
  <si>
    <t>592450201</t>
  </si>
  <si>
    <t>Dlažba zámková vlnka 225x112 x 60 mm přírodní</t>
  </si>
  <si>
    <t>;ztratné 10%; 1</t>
  </si>
  <si>
    <t>191</t>
  </si>
  <si>
    <t>596111111R00</t>
  </si>
  <si>
    <t>Kladení dlažby mozaika 1barva, lože z kam.do 4 cm</t>
  </si>
  <si>
    <t>pod lavičku</t>
  </si>
  <si>
    <t>192</t>
  </si>
  <si>
    <t>58380059</t>
  </si>
  <si>
    <t>Mozaika dlažební žulová 70 až 90 mm</t>
  </si>
  <si>
    <t>;ztratné 15%; 0,45</t>
  </si>
  <si>
    <t>MOZAIKA 7/9  K dláždění venkovních zpevněných ploch určených pro pěší (chodníky, náměstí, terasy a v zahradní architektuře).  1 t = 6,0 m</t>
  </si>
  <si>
    <t>193</t>
  </si>
  <si>
    <t>SO02B_9_</t>
  </si>
  <si>
    <t>194</t>
  </si>
  <si>
    <t>460030081R00</t>
  </si>
  <si>
    <t>Řezání spáry v asfaltu nebo betonu</t>
  </si>
  <si>
    <t>Altán a drobné stavební konstrukce</t>
  </si>
  <si>
    <t>SO03</t>
  </si>
  <si>
    <t>195</t>
  </si>
  <si>
    <t>139600012RBD</t>
  </si>
  <si>
    <t>Ruční výkop v hornině 3</t>
  </si>
  <si>
    <t>SO03_1_</t>
  </si>
  <si>
    <t>SO03_</t>
  </si>
  <si>
    <t>hloubka do 1 m, odvoz do 15 km</t>
  </si>
  <si>
    <t>základové pasy C 12/15 š. 600 mm : 0,60*0,50*(1,75-0,65)+0,60*1,00*(1,15-0,65)</t>
  </si>
  <si>
    <t>0,60*2,35*(1,05-0,65)</t>
  </si>
  <si>
    <t>2 patky 800x800 mm, hl. 950 mm : 0,80*0,80*(1,05-0,65)*2</t>
  </si>
  <si>
    <t>3,3</t>
  </si>
  <si>
    <t>patky pro sestavu teras</t>
  </si>
  <si>
    <t>196</t>
  </si>
  <si>
    <t>162701109R00</t>
  </si>
  <si>
    <t>Příplatek k vod. přemístění hor.1-4 za další 1 km</t>
  </si>
  <si>
    <t>5,01*12</t>
  </si>
  <si>
    <t>předpoklad skládky cca 27 k, tj. 12 km příplate</t>
  </si>
  <si>
    <t>197</t>
  </si>
  <si>
    <t>180407111R00</t>
  </si>
  <si>
    <t>Položení travního koberce</t>
  </si>
  <si>
    <t>položení vegetačních rohoží na střechu altánu bez dodávky rohoží</t>
  </si>
  <si>
    <t>vegetace - předpěstované rohože z kokosového vlákna : 3,3535*8,60</t>
  </si>
  <si>
    <t>Hloubení pro podzemní stěny, ražení a hloubení důlní</t>
  </si>
  <si>
    <t>198</t>
  </si>
  <si>
    <t>19_</t>
  </si>
  <si>
    <t>199</t>
  </si>
  <si>
    <t>274313511R00</t>
  </si>
  <si>
    <t>Beton základových pasů prostý C 12/15</t>
  </si>
  <si>
    <t>SO03_2_</t>
  </si>
  <si>
    <t>základové pasy C 12/15 š. 600 mm : 0,60*0,50*(1,75-0,55)+0,60*1,00*(1,15-0,55)</t>
  </si>
  <si>
    <t>0,60*2,35*(1,05-0,55)</t>
  </si>
  <si>
    <t>200</t>
  </si>
  <si>
    <t>274351215R00</t>
  </si>
  <si>
    <t>Bednění stěn základových pasů - zřízení</t>
  </si>
  <si>
    <t>základové pasy PB C 12/15 š. 600 mm : 2*0,50*(0,65-0,55)+(0,60+2*1,00)*(0,65-0,55)</t>
  </si>
  <si>
    <t>(0,60+2,35)*2*(0,65-0,55)</t>
  </si>
  <si>
    <t>201</t>
  </si>
  <si>
    <t>274351216R00</t>
  </si>
  <si>
    <t>Bednění stěn základových pasů - odstranění</t>
  </si>
  <si>
    <t>202</t>
  </si>
  <si>
    <t>275313511R00</t>
  </si>
  <si>
    <t>Beton základových patek prostý C 12/15</t>
  </si>
  <si>
    <t>2 patky 800x800 mm, hl. 950 mm : 0,80*0,80*(1,05-0,10)*2</t>
  </si>
  <si>
    <t>patky pro sestavu teras - přímo do výkopu bez bednění</t>
  </si>
  <si>
    <t>203</t>
  </si>
  <si>
    <t>275351215R00</t>
  </si>
  <si>
    <t>Bednění stěn základových patek - zřízení</t>
  </si>
  <si>
    <t>2 patky 800x800 mm, hl. 950 mm : 0,80*4*(0,65-0,10)*2</t>
  </si>
  <si>
    <t>204</t>
  </si>
  <si>
    <t>275351216R00</t>
  </si>
  <si>
    <t>Bednění stěn základových patek - odstranění</t>
  </si>
  <si>
    <t>205</t>
  </si>
  <si>
    <t>311321825R00</t>
  </si>
  <si>
    <t>Železobeton nadzákladových zdí pohledový C 25/30</t>
  </si>
  <si>
    <t>SO03_3_</t>
  </si>
  <si>
    <t>nadbetonávka stávající opěrné zdi : 0,60*0,35*(1,45+0,25+9,00+8,50)</t>
  </si>
  <si>
    <t>sokl v. 250 mm : 0,20*0,25*(1,45+0,30+4,30)</t>
  </si>
  <si>
    <t>ŽB stěna tl. 200 mm, v. 2500 mm, dl. 4500 mm : 0,20*2,50*4,50</t>
  </si>
  <si>
    <t>sokl u pásu : 0,20*(0,55+0,10)*1,70</t>
  </si>
  <si>
    <t>ŽB stěna tl. 200 mm, v. 2500 mm, dl. 2150 mm : 0,20*2,50*2,15</t>
  </si>
  <si>
    <t>ŽB stěna tl. 250 mm, v. 1500 mm, dl. 1550 mm : 0,25*(1,45+0,05)*1,55</t>
  </si>
  <si>
    <t>ŽB zídka tl. 200 mm, dl. 8,5 m : 0,20*1,20*8,50+0,60*0,35*8,50</t>
  </si>
  <si>
    <t>206</t>
  </si>
  <si>
    <t>311351805R00</t>
  </si>
  <si>
    <t>Bednění nadzákladových zdí pohledových hladkých, oboustranné - zřízení</t>
  </si>
  <si>
    <t>nadbetonávka stávající opěrné zdi : 2*0,35*(1,45+0,25+9,00+8,50)+0,60*0,35</t>
  </si>
  <si>
    <t>sokl v. 250 mm : 2*0,25*(1,45+0,30+4,30)</t>
  </si>
  <si>
    <t>ŽB stěna tl. 200 mm, v. 2500 mm, dl. 4500 mm : (0,20+2,50)*2*4,50</t>
  </si>
  <si>
    <t>sokl u pásu : (0,20+1,70*2)*0,65</t>
  </si>
  <si>
    <t>ŽB stěna tl. 200 mm, v. 2500 mm, dl. 2150 mm : (0,20+2,15)*2*2,50</t>
  </si>
  <si>
    <t>ŽB stěna tl. 250 mm, v. 1500 mm, dl. 1550 mm : (0,25+1,55*2)*(1,45+0,05)</t>
  </si>
  <si>
    <t>ŽB zídka tl. 200 mm, dl. 8,5 m : (0,20+8,50*2)*1,20+(0,60+8,50*2)*0,35</t>
  </si>
  <si>
    <t>207</t>
  </si>
  <si>
    <t>311351806R00</t>
  </si>
  <si>
    <t>Bednění nadzákladových zdí pohledových hladkých, oboustranné - odstranění</t>
  </si>
  <si>
    <t>208</t>
  </si>
  <si>
    <t>311361821R00</t>
  </si>
  <si>
    <t>Výztuž nadzákladových zdí z betonářské oceli B500B (10 505)</t>
  </si>
  <si>
    <t>odhad cca 100 kg/m3 : 12,2867*100/1000</t>
  </si>
  <si>
    <t>209</t>
  </si>
  <si>
    <t>31175297X</t>
  </si>
  <si>
    <t>Patka sloupu D 140x120 mm, pozink.</t>
  </si>
  <si>
    <t>Různé kompletní konstrukce nedělitelné do stav. dílů</t>
  </si>
  <si>
    <t>210</t>
  </si>
  <si>
    <t>380931114R00</t>
  </si>
  <si>
    <t>Vložení trnu průměru 12 mm do betonu na dvousložkové lepidlo, bez dodávky trnu</t>
  </si>
  <si>
    <t>38_</t>
  </si>
  <si>
    <t>nadbetonávka stávající opěrné zdi : 2*(1,45+0,25+9,00+8,50)/0,25</t>
  </si>
  <si>
    <t>sokl v. 250 mm : 2*(1,45+0,30+4,30)/0,25</t>
  </si>
  <si>
    <t>ŽB stěna tl. 200 mm, v. 2500 mm, dl. 4500 mm : 2*4,50/0,25</t>
  </si>
  <si>
    <t>ŽB stěna tl. 250 mm, v. 1500 mm, dl. 1550 mm : 2*((1,45+0,05)+1,55)/0,25</t>
  </si>
  <si>
    <t>ŽB zídka tl. 200 mm, dl. 8,5 m : 2*8,50/0,25</t>
  </si>
  <si>
    <t>154+49+36+25+68</t>
  </si>
  <si>
    <t>211</t>
  </si>
  <si>
    <t>58953480</t>
  </si>
  <si>
    <t>Výztuž betonářská žebírková B500B, d 12 mm, střih + ohyb</t>
  </si>
  <si>
    <t>0,45*332*0,89*1,12/1000</t>
  </si>
  <si>
    <t>trny délka 450 mm, R12, g=0,89 kg/m</t>
  </si>
  <si>
    <t>Výztuž do betonu kruhového průřezu s žebírkovým povrchem, stříhaná a ohýbaná. Ocel betonářská v tyčích zn. B500B dle DIN 488; ČSN 42 0139  0,89 kg/</t>
  </si>
  <si>
    <t>212</t>
  </si>
  <si>
    <t>631571010R00</t>
  </si>
  <si>
    <t>Zřízení násypu, podlahy nebo střechy, bez dodávky</t>
  </si>
  <si>
    <t>SO03_6_</t>
  </si>
  <si>
    <t>střešní substrát pro extenzivní střechy tl. 80 mm : 3,3535*8,60*0,08</t>
  </si>
  <si>
    <t>pás kačírku na střeše š. 250 mm, v. 140 mm : 0,25*0,14*8,60</t>
  </si>
  <si>
    <t>3,1*1*0,08</t>
  </si>
  <si>
    <t>střecha rozvaděč substrát</t>
  </si>
  <si>
    <t>213</t>
  </si>
  <si>
    <t>10371522</t>
  </si>
  <si>
    <t>Substrát střešní extenzivní VL</t>
  </si>
  <si>
    <t>3,3535*8,60*0,08*1,10</t>
  </si>
  <si>
    <t>střešní substrát pro extenzivní střechy tl. 80 mm - altán</t>
  </si>
  <si>
    <t>3,1*1*0,08*1,10</t>
  </si>
  <si>
    <t>střešní substrát pro extenzivní střechy tl. 80 mm - rozvaděč</t>
  </si>
  <si>
    <t>Homogenizovaná směs drceného spongilitu, drceného expandovaného jílu a rašeliny. Vhodný pro nenáročné rostliny, jako jsou mechy, rozchodníky a některé další suchomilné trvalky a traviny, které se dlouhodobě obejdou bez zálivky,  OH suchá: 700 až 950  kg/m3 OH nasycená: 1050 až 1550 kg/m3 Balení: volně ložen</t>
  </si>
  <si>
    <t>214</t>
  </si>
  <si>
    <t>58333664</t>
  </si>
  <si>
    <t>Kačírek praný 8/16 mm, VL</t>
  </si>
  <si>
    <t>0,25*0,14*8,60*1,05</t>
  </si>
  <si>
    <t>pás kačírku na střeše š. 250 mm, v. 140 mm</t>
  </si>
  <si>
    <t xml:space="preserve">Vhodný na obsyp drenáží, okrasné kamenivo, příměs do betonových směsí, opravu komunikací, zásyp zahradních ploch.  Přepočet: cca 1 m3 = 1,6 </t>
  </si>
  <si>
    <t>215</t>
  </si>
  <si>
    <t>711409111R00</t>
  </si>
  <si>
    <t>Montáž drenážní rohože na sucho</t>
  </si>
  <si>
    <t>SO03_71_</t>
  </si>
  <si>
    <t xml:space="preserve"> (3,535+0,25)*8,60</t>
  </si>
  <si>
    <t>hydroakumulační vrstva - montáž, viz. řez A1, A2 altán</t>
  </si>
  <si>
    <t>3,1*1</t>
  </si>
  <si>
    <t>hydroakumulační vrstva rozvaděče střecha</t>
  </si>
  <si>
    <t>712</t>
  </si>
  <si>
    <t>Izolace střech (živičné krytiny)</t>
  </si>
  <si>
    <t>216</t>
  </si>
  <si>
    <t>712378001R00</t>
  </si>
  <si>
    <t>Atiková okapnice VIPLANYL rš 150 mm</t>
  </si>
  <si>
    <t>712_</t>
  </si>
  <si>
    <t>8,6</t>
  </si>
  <si>
    <t>altán zadní strana</t>
  </si>
  <si>
    <t>3,1</t>
  </si>
  <si>
    <t>střecha rozvaděče</t>
  </si>
  <si>
    <t>217</t>
  </si>
  <si>
    <t>712391171RT1</t>
  </si>
  <si>
    <t>Položení podkladní textilie na střechách do 10°</t>
  </si>
  <si>
    <t>1 vrstva - textilie ve specifikaci</t>
  </si>
  <si>
    <t>35,891+3,1</t>
  </si>
  <si>
    <t>podkladní vrstva - pp textilie 300 gr/m2 :</t>
  </si>
  <si>
    <t>35,891 +3,1</t>
  </si>
  <si>
    <t>separační a filtrační vrstva - 100% pp střiž 500 gr/m2 : 35,891</t>
  </si>
  <si>
    <t>218</t>
  </si>
  <si>
    <t>69370514</t>
  </si>
  <si>
    <t>(35,9+3,1)*1,3</t>
  </si>
  <si>
    <t>Vpichovaná netkaná textilie pro stavbu silnic, železnic, zemních staveb, pro stavbu hrází, kanálů a odvodňovacích systémů pro funkci separační, filtrační, výztužnou a ochrannou (S, F, R, P)  Materiálové složení: 100% polypropylenová střiž Barva: bíl</t>
  </si>
  <si>
    <t>219</t>
  </si>
  <si>
    <t>69370522</t>
  </si>
  <si>
    <t>Geotextilie netkaná  500 g/m2</t>
  </si>
  <si>
    <t>Vpichovaná netkaná textilie pro stavbu silnic, železnic, zemních staveb, tunelů, pro stavbu hrází, kanálů, odvodňovacích systémů pro funkci separační, filtrační, výztužnou, ochrannou a drenážní (S, F, R, P, D)  Materiálové složení: 100% polypropylenová střiž Barva: bíl</t>
  </si>
  <si>
    <t>220</t>
  </si>
  <si>
    <t>712370010RAB</t>
  </si>
  <si>
    <t>Povlaková krytina střech do 10°, termoplasty</t>
  </si>
  <si>
    <t>fólie uv stabilní 810 tl. 1,5 mm</t>
  </si>
  <si>
    <t>hydroizolační vrstva, viz. řez A1, A2 : (3,535+0,25)*8,60</t>
  </si>
  <si>
    <t>plocha atiky : 3,34</t>
  </si>
  <si>
    <t>714</t>
  </si>
  <si>
    <t>Izolace akustické a protiotřesová opatření</t>
  </si>
  <si>
    <t>221</t>
  </si>
  <si>
    <t>714192001R0X</t>
  </si>
  <si>
    <t>Montáž dřevěných fasádních hranolů včetně podkladního roštu</t>
  </si>
  <si>
    <t>714_</t>
  </si>
  <si>
    <t>vč. spojovacího materiálu - montáž na venkovní cihlovou zeď</t>
  </si>
  <si>
    <t>3,1*1,7</t>
  </si>
  <si>
    <t>zadní zeď rozvaděčů</t>
  </si>
  <si>
    <t>222</t>
  </si>
  <si>
    <t>60510057122</t>
  </si>
  <si>
    <t>Hranolek fasádní  pohledový hoblovaný sušený modřín 40 x 60 mm, délka 4 m</t>
  </si>
  <si>
    <t>38*2</t>
  </si>
  <si>
    <t>38 ks délky 1700 - 1400</t>
  </si>
  <si>
    <t>3*4</t>
  </si>
  <si>
    <t>3 podkladní hrnoly délky 3100</t>
  </si>
  <si>
    <t>Hoblovaný hranolek 40 x 60 x 4000 mm NSi - modřínový, sušený, zaoblená hran</t>
  </si>
  <si>
    <t>223</t>
  </si>
  <si>
    <t>60510057123</t>
  </si>
  <si>
    <t>Prkno pohledové hoblované Modřín sibiřský 25 x 70 mm</t>
  </si>
  <si>
    <t xml:space="preserve">Prkno pohledové hoblované fasádní  - Sibiřský modřín, rozměr 25 x 70 mm, délka 4 </t>
  </si>
  <si>
    <t>762</t>
  </si>
  <si>
    <t>Konstrukce tesařské</t>
  </si>
  <si>
    <t>224</t>
  </si>
  <si>
    <t>762136114R00</t>
  </si>
  <si>
    <t>Montáž bednění stěn z latí hoblov., mezery 4 - 6cm</t>
  </si>
  <si>
    <t>762_</t>
  </si>
  <si>
    <t>SO03_76_</t>
  </si>
  <si>
    <t>2 - obklad, viz. výkr. D.1.3.1.03 - poznámka 2, latě kvh 60x30 mm, mezera mezi latěmi 60 mm : 4,15*2</t>
  </si>
  <si>
    <t>225</t>
  </si>
  <si>
    <t>762195000R00</t>
  </si>
  <si>
    <t>Spojovací a ochranné prostředky pro montáž stěn</t>
  </si>
  <si>
    <t>2 - obklad, viz. výkr. D.1.3.1.03 - poznámka 2, latě kvh 60x30 mm, mezera mezi latěmi 60 mm : (24+42</t>
  </si>
  <si>
    <t>226</t>
  </si>
  <si>
    <t>762311103R00</t>
  </si>
  <si>
    <t>Montáž kotevních želez, příložek, patek, táhel</t>
  </si>
  <si>
    <t>kotvení pozednice závit. tyčí M14 : 4+2</t>
  </si>
  <si>
    <t>kotevní patky pro sloupky 04 : 1+1</t>
  </si>
  <si>
    <t>762441112RT4</t>
  </si>
  <si>
    <t>Montáž obložení atiky z desek na bázi dřeva, 1 vrstva, šroubováním</t>
  </si>
  <si>
    <t>včetně dodávky desky OSB ECO 3 N tl. 22 mm</t>
  </si>
  <si>
    <t>rez A1, u prvku 09 : 0,20*8,60+(0,20+0,25)*0,5*3,60*2</t>
  </si>
  <si>
    <t>228</t>
  </si>
  <si>
    <t>762495000R00</t>
  </si>
  <si>
    <t>Spojovací a ochranné prostř. obložení stěn, stropů</t>
  </si>
  <si>
    <t>3,34</t>
  </si>
  <si>
    <t>229</t>
  </si>
  <si>
    <t>762712110R00</t>
  </si>
  <si>
    <t>Montáž vázaných konstrukcí hraněných do 120 cm2</t>
  </si>
  <si>
    <t>sloupek 05 - 180x60 mm : 2,25*61</t>
  </si>
  <si>
    <t>prvky střechy 10 - 150x50 mm : 8,60*1</t>
  </si>
  <si>
    <t>prvky střechy 11 - 150x50 mm : 3,60*2</t>
  </si>
  <si>
    <t>230</t>
  </si>
  <si>
    <t>762712120R00</t>
  </si>
  <si>
    <t>Montáž vázaných konstrukcí hraněných do 224 cm2</t>
  </si>
  <si>
    <t>krokev 06 - 100x180 mm : 3,90*15</t>
  </si>
  <si>
    <t>prvky střechy 09 - 100x150 mm : 0,28*14</t>
  </si>
  <si>
    <t>231</t>
  </si>
  <si>
    <t>762712130R00</t>
  </si>
  <si>
    <t>Montáž vázaných konstrukcí hraněných do 288 cm2</t>
  </si>
  <si>
    <t>průvlak 02 - 150x150 mm : 8,90*1</t>
  </si>
  <si>
    <t>sloupek 04 - 150x150 mm : 2,25*2</t>
  </si>
  <si>
    <t>prvky střechy 07 - 150x150 mm : 0,33*2</t>
  </si>
  <si>
    <t>prvky střechy 08 - 150x150 mm : 0,42*2</t>
  </si>
  <si>
    <t>232</t>
  </si>
  <si>
    <t>762712140R00</t>
  </si>
  <si>
    <t>Montáž vázaných konstrukcí hraněných do 450 cm2</t>
  </si>
  <si>
    <t>průvlak 01 - 150x240 mm : 8,90*1</t>
  </si>
  <si>
    <t>průvlak 03 - 150x240 mm : 3,60*2</t>
  </si>
  <si>
    <t>233</t>
  </si>
  <si>
    <t>762795000R00</t>
  </si>
  <si>
    <t>Spojovací prostředky pro vázané konstrukce</t>
  </si>
  <si>
    <t>234</t>
  </si>
  <si>
    <t>605158xx</t>
  </si>
  <si>
    <t>Hranol konstrukční KVH NSi, SM</t>
  </si>
  <si>
    <t>sloupek 05 - 180x60 mm : 2,25*61*0,18*0,06</t>
  </si>
  <si>
    <t>prvky střechy 10 - 150x50 mm : 8,60*1*0,15*0,05</t>
  </si>
  <si>
    <t>prvky střechy 11 - 150x50 mm : 3,60*2*0,15*0,05</t>
  </si>
  <si>
    <t>krokev 06 - 100x180 mm : 3,90*15*0,10*0,18</t>
  </si>
  <si>
    <t>prvky střechy 09 - 100x150 mm : 0,28*14*0,10*0,15</t>
  </si>
  <si>
    <t>průvlak 02 - 150x150 mm : 8,90*1*0,15*0,15</t>
  </si>
  <si>
    <t>sloupek 04 - 150x150 mm : 2,25*2*0,15*0,15</t>
  </si>
  <si>
    <t>prvky střechy 07 - 150x150 mm : 0,33*2*0,15*0,15</t>
  </si>
  <si>
    <t>prvky střechy 08 - 150x150 mm : 0,42*2*0,15*0,15</t>
  </si>
  <si>
    <t>průvlak 01 - 150x240 mm : 8,90*1*0,15*0,24</t>
  </si>
  <si>
    <t>průvlak 03 - 150x240 mm : 3,60*2*0,15*0,24</t>
  </si>
  <si>
    <t>3,6274*1,08</t>
  </si>
  <si>
    <t>;ztratné 10%; 0,392</t>
  </si>
  <si>
    <t xml:space="preserve">Stavební masivní dřevo KVH  Sušené hoblované hranoly určené pro skryté i pohledové konstrukce. </t>
  </si>
  <si>
    <t>235</t>
  </si>
  <si>
    <t>605158XY</t>
  </si>
  <si>
    <t>Příplatek za provedení KVH hranolů ve kvalitě Si, pohledové</t>
  </si>
  <si>
    <t>236</t>
  </si>
  <si>
    <t>55399999</t>
  </si>
  <si>
    <t>výrobek kovový zámečnický, atypický</t>
  </si>
  <si>
    <t>kg</t>
  </si>
  <si>
    <t>kotvení pozednice závit. tyčí M14, á=0,50 m,  : (4+2)*0,50*0,00097*1,25*1000</t>
  </si>
  <si>
    <t>237</t>
  </si>
  <si>
    <t>998762202R00</t>
  </si>
  <si>
    <t>Přesun hmot pro konstrukce tesařské v objektech výšky do 12 m</t>
  </si>
  <si>
    <t>%</t>
  </si>
  <si>
    <t>763</t>
  </si>
  <si>
    <t>Dřevostavby</t>
  </si>
  <si>
    <t>238</t>
  </si>
  <si>
    <t>763613232RW6</t>
  </si>
  <si>
    <t>Montáž záklop stropů, z desek tl. nad 18 mm, na P+D, šroubováním, včetně dodávky desky dřevoštěpkové</t>
  </si>
  <si>
    <t>763_</t>
  </si>
  <si>
    <t>skladba ST/1, 07 : (3,90-0,15)*8,60</t>
  </si>
  <si>
    <t>239</t>
  </si>
  <si>
    <t>764817140RT2</t>
  </si>
  <si>
    <t>Oplechování  zdí (atik), z lakovaného pozinkovaného plechu, rš 400 mm, dodávka + montáž lepením</t>
  </si>
  <si>
    <t>4,00+8,90+4,00</t>
  </si>
  <si>
    <t>1+3,1+1</t>
  </si>
  <si>
    <t>rozvaděče</t>
  </si>
  <si>
    <t>240</t>
  </si>
  <si>
    <t>764819211R00</t>
  </si>
  <si>
    <t>Odpadní trouby kruhové, průměr 80 mm, z lakovaného pozinkovaného plechu,  , dodávka a montáž</t>
  </si>
  <si>
    <t>241</t>
  </si>
  <si>
    <t>764815211R00</t>
  </si>
  <si>
    <t>Žlaby podokapní půlkruhové, z lakovaného pozinkovaného plechu, rš 250 mm, dodávka a montáž</t>
  </si>
  <si>
    <t>242</t>
  </si>
  <si>
    <t>764815808R00</t>
  </si>
  <si>
    <t>Ostatní prvky ke žlabům a odpadním troubám kotlík žlabový oválného tvaru o rozměru 250/80 mm, z lakovaného pozinkovaného plechu,  , dodávka a montáž</t>
  </si>
  <si>
    <t>243</t>
  </si>
  <si>
    <t>764815890R00</t>
  </si>
  <si>
    <t>Ostatní prvky ke žlabům a odpadním troubám přetočení rovných háků při montáži,  ,  ,</t>
  </si>
  <si>
    <t>244</t>
  </si>
  <si>
    <t>998764201R00</t>
  </si>
  <si>
    <t>Přesun hmot pro konstrukce klempířské v objektech výšky do 6 m</t>
  </si>
  <si>
    <t>766</t>
  </si>
  <si>
    <t>Konstrukce truhlářské</t>
  </si>
  <si>
    <t>245</t>
  </si>
  <si>
    <t>766414142R00</t>
  </si>
  <si>
    <t>Montáž obložení stěn, sloupů a pilířů o ploše do 5 m2, panely obkladovými, z aglomerovaných desek, velikosti přes 0,6 do 1,5 m2</t>
  </si>
  <si>
    <t>766_</t>
  </si>
  <si>
    <t>obklad z vláknocement. desek tl. 8 mm - stěny : (0,24+0,33)*(4,00+9,00+4,00)+0,32*9,00+0,25*0,20*2</t>
  </si>
  <si>
    <t>246</t>
  </si>
  <si>
    <t>766422343R00</t>
  </si>
  <si>
    <t>Montáž obložení podhledů jednoduchých, panely obkladovými, z aglomerovaných desek, velikosti přes 1,5 m2</t>
  </si>
  <si>
    <t>obklad z vláknocement. desek tl. 8 mm - podhled : 3,95*9,00-0,20*(4,50+2,15)</t>
  </si>
  <si>
    <t>247</t>
  </si>
  <si>
    <t>766427112R00</t>
  </si>
  <si>
    <t>Montáž obložení podhledů doplňkové konstrukce  podkladový rošt</t>
  </si>
  <si>
    <t>34,22</t>
  </si>
  <si>
    <t>248</t>
  </si>
  <si>
    <t>766417111R0X</t>
  </si>
  <si>
    <t>Podkladový rošt pod obložení stěn, vč. materiálu, závěsů a spojovacího materiálu</t>
  </si>
  <si>
    <t>montáž obkladu z vláknocementových desek</t>
  </si>
  <si>
    <t>249</t>
  </si>
  <si>
    <t>59590735</t>
  </si>
  <si>
    <t>deska cementotřísková l = 3 350 mm; š = 1 250 mm; tl. 8,0 mm; povrch hladký</t>
  </si>
  <si>
    <t>46,89*1,12</t>
  </si>
  <si>
    <t>250</t>
  </si>
  <si>
    <t>998766201R00</t>
  </si>
  <si>
    <t>Přesun hmot pro konstrukce truhlářské v objektech výšky do 6 m</t>
  </si>
  <si>
    <t>251</t>
  </si>
  <si>
    <t>766441111R00</t>
  </si>
  <si>
    <t>Položení podlahy teras z prken, na podkladní rošt</t>
  </si>
  <si>
    <t>kompozitní terasa, materiály ve specifikaci</t>
  </si>
  <si>
    <t>včetně  položení podkladního roštu do štěrkového lože, nebo na rovný pevný povrch, položení palubek a upevnění nerezovými šrouby skrytým spojem. Bez povrchové úpravy nátěrem</t>
  </si>
  <si>
    <t>252</t>
  </si>
  <si>
    <t>20015</t>
  </si>
  <si>
    <t>EPDM - podkladní pryž pro kompozitní terasy</t>
  </si>
  <si>
    <t>2024</t>
  </si>
  <si>
    <t>253</t>
  </si>
  <si>
    <t>20018</t>
  </si>
  <si>
    <t>Osvětlení bodové pro terasy - sada - bodové světlo Alpha LED teplá bílá 0,5W, 12V, IP 67, veznkovní zápustné svítidlo nerez 10 ks, zdroj, kabel 25m</t>
  </si>
  <si>
    <t>254</t>
  </si>
  <si>
    <t>20017</t>
  </si>
  <si>
    <t>TR_EM_239 - řídící jednotka, paralelní chod</t>
  </si>
  <si>
    <t>ks</t>
  </si>
  <si>
    <t>255</t>
  </si>
  <si>
    <t>20016</t>
  </si>
  <si>
    <t>Poklop - elektroinstalace</t>
  </si>
  <si>
    <t>256</t>
  </si>
  <si>
    <t>20014</t>
  </si>
  <si>
    <t>Poklop - kulové dorazy rámu nerez A2</t>
  </si>
  <si>
    <t>257</t>
  </si>
  <si>
    <t>20013</t>
  </si>
  <si>
    <t>Poklop - pohon LA</t>
  </si>
  <si>
    <t>258</t>
  </si>
  <si>
    <t>20012</t>
  </si>
  <si>
    <t>Poklop - nerezový pant vícekloubový</t>
  </si>
  <si>
    <t>259</t>
  </si>
  <si>
    <t>20011</t>
  </si>
  <si>
    <t>Poklop - závěs motoru</t>
  </si>
  <si>
    <t>260</t>
  </si>
  <si>
    <t>20010</t>
  </si>
  <si>
    <t>Podkladové hranoly pro kompozitní terasy Plas Pro 50x50x2400</t>
  </si>
  <si>
    <t>261</t>
  </si>
  <si>
    <t>2009</t>
  </si>
  <si>
    <t>Poklop z hliníkových profilů vč. svařování, zinkování a dopravy</t>
  </si>
  <si>
    <t>262</t>
  </si>
  <si>
    <t>2008</t>
  </si>
  <si>
    <t>Nerez vrut pro montáž podkladních rožtů, A2 5x80 záp. hl. Tx, 5x60 záp. hl. Tx</t>
  </si>
  <si>
    <t>263</t>
  </si>
  <si>
    <t>2007</t>
  </si>
  <si>
    <t>Betonové podkladní dlaždice pro terasy 1000x200x50 mm</t>
  </si>
  <si>
    <t>264</t>
  </si>
  <si>
    <t>2006</t>
  </si>
  <si>
    <t>Podkladní podložky fixní 2, 5, 10 a 15 mm</t>
  </si>
  <si>
    <t>265</t>
  </si>
  <si>
    <t>2005</t>
  </si>
  <si>
    <t>Podkladní hranol pro kompozitní terasy WPC 50x50x4000 mm</t>
  </si>
  <si>
    <t>266</t>
  </si>
  <si>
    <t>2004</t>
  </si>
  <si>
    <t>Barva pro kompozitní terasy (zatření viditelných hran a řezných ploch)</t>
  </si>
  <si>
    <t>bal</t>
  </si>
  <si>
    <t>267</t>
  </si>
  <si>
    <t>2003</t>
  </si>
  <si>
    <t>Vruty nerez systémové pro kompozitní terasy box 250 ks</t>
  </si>
  <si>
    <t>268</t>
  </si>
  <si>
    <t>2002</t>
  </si>
  <si>
    <t>Okrajová lišta se zaoblenou hranou ohebná, design dřeva, systémový prvek 2400x50x32 mm</t>
  </si>
  <si>
    <t>269</t>
  </si>
  <si>
    <t>2001</t>
  </si>
  <si>
    <t>Svislá deska pro terasy kompozitní - 3600x147x16 mm pro lemování teras</t>
  </si>
  <si>
    <t>270</t>
  </si>
  <si>
    <t>2000</t>
  </si>
  <si>
    <t>Terasová prkna z kompozitního materiálu Enhanced Grain 3600x176x32, barva Golden Oak,</t>
  </si>
  <si>
    <t>271</t>
  </si>
  <si>
    <t>766441111RAX</t>
  </si>
  <si>
    <t>Zhotovení soustavy teras z kompozitního materiálu</t>
  </si>
  <si>
    <t>počítán pouze půdorysný průmět terasy</t>
  </si>
  <si>
    <t>včetně  zhotovení podkladní konstrukce - uložení na betonové patky (patky oceněny samostatně)</t>
  </si>
  <si>
    <t>272</t>
  </si>
  <si>
    <t>20025</t>
  </si>
  <si>
    <t>Poklop posuvný - zamykání</t>
  </si>
  <si>
    <t>273</t>
  </si>
  <si>
    <t>274</t>
  </si>
  <si>
    <t>20024</t>
  </si>
  <si>
    <t>Poklop pojízdný nad šachtou, vč. lyžin, Al - nosná konstrukce bez opláštění</t>
  </si>
  <si>
    <t>275</t>
  </si>
  <si>
    <t>20023</t>
  </si>
  <si>
    <t>Závitová tyč nerez A2, 12 mm</t>
  </si>
  <si>
    <t>276</t>
  </si>
  <si>
    <t>20022</t>
  </si>
  <si>
    <t>Vrut pozink 6x100, 6x120 šestihranná hlava</t>
  </si>
  <si>
    <t>277</t>
  </si>
  <si>
    <t>20021</t>
  </si>
  <si>
    <t>Profil plastový Plaspro pro kompozitní terasy 50x50x2400</t>
  </si>
  <si>
    <t>278</t>
  </si>
  <si>
    <t>20020</t>
  </si>
  <si>
    <t>Sloupek plastový pro kompouitní terasy 100x100x3000</t>
  </si>
  <si>
    <t>20019</t>
  </si>
  <si>
    <t>Podkladní hranol plastový Plaspro 125x50x300</t>
  </si>
  <si>
    <t>280</t>
  </si>
  <si>
    <t>281</t>
  </si>
  <si>
    <t>282</t>
  </si>
  <si>
    <t>283</t>
  </si>
  <si>
    <t>1+4*0,5</t>
  </si>
  <si>
    <t>Počítána horní strana i boční strany</t>
  </si>
  <si>
    <t>284</t>
  </si>
  <si>
    <t>Zamykání k poklopu</t>
  </si>
  <si>
    <t>285</t>
  </si>
  <si>
    <t>286</t>
  </si>
  <si>
    <t>20034</t>
  </si>
  <si>
    <t>Nosná konstrukce pro zakrytí šachyty - Al - vnější rozměr boxu 1,08x1.08x0,4, včetně pantů poklopu</t>
  </si>
  <si>
    <t>287</t>
  </si>
  <si>
    <t>288</t>
  </si>
  <si>
    <t>289</t>
  </si>
  <si>
    <t>290</t>
  </si>
  <si>
    <t>767225110R00</t>
  </si>
  <si>
    <t>Montáž zábradlí - osazení samostatného sloupku</t>
  </si>
  <si>
    <t>291</t>
  </si>
  <si>
    <t>55343626R</t>
  </si>
  <si>
    <t>lišta kabelových tras; materiál Al; l = 3 000 mm</t>
  </si>
  <si>
    <t>8,57/2</t>
  </si>
  <si>
    <t>292</t>
  </si>
  <si>
    <t>709214012</t>
  </si>
  <si>
    <t>Síť pro zábradlí vř. lan - viz PD, barva přírodní</t>
  </si>
  <si>
    <t>14*1</t>
  </si>
  <si>
    <t>;ztratné 5%; 0,7</t>
  </si>
  <si>
    <t>293</t>
  </si>
  <si>
    <t>749108071</t>
  </si>
  <si>
    <t>Sloupek s pouzdrem viz PD</t>
  </si>
  <si>
    <t>slopupek včetně pouzdra a krytky - nasazovací</t>
  </si>
  <si>
    <t>294</t>
  </si>
  <si>
    <t>767896110R00</t>
  </si>
  <si>
    <t>Montáž ostatních kovových doplňků staveb částí lišt hliníkových šroubovaných</t>
  </si>
  <si>
    <t>mtž kačírkové lišty Z2 : 8,57</t>
  </si>
  <si>
    <t>295</t>
  </si>
  <si>
    <t>767.Z1</t>
  </si>
  <si>
    <t>Lavička 410 x1600 mm, dodávka a montáž</t>
  </si>
  <si>
    <t>atypická lavička na stěnu ve stejné designové řadě jako zbytek mobiliáře, dřevo akát, konstrukce FeZn+komaxit RAL 7022</t>
  </si>
  <si>
    <t>"lazura", odstín světlý upřesněn dle vzorníku : 3</t>
  </si>
  <si>
    <t>296</t>
  </si>
  <si>
    <t>998767201R00</t>
  </si>
  <si>
    <t>Přesun hmot pro kovové stavební doplňk. konstrukce v objektech výšky do 6 m</t>
  </si>
  <si>
    <t>783</t>
  </si>
  <si>
    <t>Nátěry</t>
  </si>
  <si>
    <t>297</t>
  </si>
  <si>
    <t>783711101R00</t>
  </si>
  <si>
    <t>Nátěr olejový tesařských konstrukcí, napuštění</t>
  </si>
  <si>
    <t>783_</t>
  </si>
  <si>
    <t>SO03_78_</t>
  </si>
  <si>
    <t>sloupek 05 - 180x60 mm : 2,25*61*(0,18+0,06)*2</t>
  </si>
  <si>
    <t>prvky střechy 10 - 150x50 mm : 8,60*1*(0,15+0,05)*2</t>
  </si>
  <si>
    <t>prvky střechy 11 - 150x50 mm : 3,60*2*(0,15+0,05)*2</t>
  </si>
  <si>
    <t>krokev 06 - 100x180 mm : 3,90*15*(0,10+0,18)*2</t>
  </si>
  <si>
    <t>prvky střechy 09 - 100x150 mm : 0,28*14*(0,10+0,15)*2</t>
  </si>
  <si>
    <t>průvlak 02 - 150x150 mm : 8,90*1*0,15*4</t>
  </si>
  <si>
    <t>sloupek 04 - 150x150 mm : 2,25*2*0,15*4</t>
  </si>
  <si>
    <t>prvky střechy 07 - 150x150 mm : 0,33*2*0,15*4</t>
  </si>
  <si>
    <t>prvky střechy 08 - 150x150 mm : 0,42*2*0,15*4</t>
  </si>
  <si>
    <t>průvlak 01 - 150x240 mm : 8,90*1*(0,15+0,24)*2</t>
  </si>
  <si>
    <t>průvlak 03 - 150x240 mm : 3,60*2*(0,15+0,24)*2</t>
  </si>
  <si>
    <t>128,418*1,08</t>
  </si>
  <si>
    <t>38*0,2*1,7+2*0,19*2+3*0,2*3,1</t>
  </si>
  <si>
    <t>obklad zadní stěny rozvaděčů</t>
  </si>
  <si>
    <t>298</t>
  </si>
  <si>
    <t>783782422RT2</t>
  </si>
  <si>
    <t>Nátěry tesařských konstrukcí ochranné fungicidní a biocidní (proti plísním, houbám a hmyzu) v exteriéru, jednonásobný</t>
  </si>
  <si>
    <t>Různé dokončovací konstrukce a práce na pozemních stavbách</t>
  </si>
  <si>
    <t>299</t>
  </si>
  <si>
    <t>952901411R00</t>
  </si>
  <si>
    <t>Vyčištění ostatních objektů</t>
  </si>
  <si>
    <t>95_</t>
  </si>
  <si>
    <t>SO03_9_</t>
  </si>
  <si>
    <t>Vyčištění budov a ostatních objektů ostatních objektů (např. kanálů, zásobníků, kůlen apod.) - vynesení zbytků stavebního rumu, kropení a 2 x zametení podlah, oprášení stěn a výplní otvorů jakékoliv výšky podlaží</t>
  </si>
  <si>
    <t>3,95*9,00</t>
  </si>
  <si>
    <t>M</t>
  </si>
  <si>
    <t>Ostatní materiál</t>
  </si>
  <si>
    <t>300</t>
  </si>
  <si>
    <t>00590031</t>
  </si>
  <si>
    <t>Rohož střešní vegetační - specifikace v PD</t>
  </si>
  <si>
    <t>0</t>
  </si>
  <si>
    <t>Z99999_</t>
  </si>
  <si>
    <t>SO03_Z_</t>
  </si>
  <si>
    <t xml:space="preserve"> 3,3535*8,60*1,10</t>
  </si>
  <si>
    <t>vegetace - předpěstované rohože z kokosového vlákna : altán</t>
  </si>
  <si>
    <t>3,1*1*1,1</t>
  </si>
  <si>
    <t>vegetace - předpěstované rohože z kokosového vlákna : rozvaděč</t>
  </si>
  <si>
    <t>301</t>
  </si>
  <si>
    <t>28323332</t>
  </si>
  <si>
    <t>Deska z recyklovaných polyesterových vláken 1200x600x30 mm, 3000 g/m2</t>
  </si>
  <si>
    <t xml:space="preserve"> (3,535+0,25)*8,60*1,12</t>
  </si>
  <si>
    <t>hydroakumulační vrstva, viz. řez A1, A2 :</t>
  </si>
  <si>
    <t>3,1*1*1,12</t>
  </si>
  <si>
    <t>na rozvaděče</t>
  </si>
  <si>
    <t>zeleň</t>
  </si>
  <si>
    <t>001VD</t>
  </si>
  <si>
    <t>Řez dřevin</t>
  </si>
  <si>
    <t>SO04A</t>
  </si>
  <si>
    <t>302</t>
  </si>
  <si>
    <t>0015</t>
  </si>
  <si>
    <t>Zdravotní řez plocha stromu 201 - 300 m?</t>
  </si>
  <si>
    <t>RTS I / 2020</t>
  </si>
  <si>
    <t>001VD_</t>
  </si>
  <si>
    <t>SO04A_0_</t>
  </si>
  <si>
    <t>SO04A_</t>
  </si>
  <si>
    <t>včetně rozřezání, vodorovného přemístění na místo likvidace či odvozu, lze použít i na samotné odstraňování (ořez) jmelí</t>
  </si>
  <si>
    <t>strom inv. č. 20</t>
  </si>
  <si>
    <t>303</t>
  </si>
  <si>
    <t>0010</t>
  </si>
  <si>
    <t>Výchovný řez 4-6 m</t>
  </si>
  <si>
    <t>21+5</t>
  </si>
  <si>
    <t>1. rok</t>
  </si>
  <si>
    <t>2. rok</t>
  </si>
  <si>
    <t>304</t>
  </si>
  <si>
    <t>0014</t>
  </si>
  <si>
    <t>Zdravotní řez plocha stromu 101 - 200 m?</t>
  </si>
  <si>
    <t>000VD</t>
  </si>
  <si>
    <t>Ochrana a řez dřevin</t>
  </si>
  <si>
    <t>305</t>
  </si>
  <si>
    <t>0000100VL</t>
  </si>
  <si>
    <t>Ochrana stromů na staveništi - viz popis v PD</t>
  </si>
  <si>
    <t>000VD_</t>
  </si>
  <si>
    <t>Plošná ochrana oplocením 170,8 m (pevné, mobilní), ochrana soliterních dřevin dřevěným oplocením /pevné, stabilní) 112m (7ks)</t>
  </si>
  <si>
    <t>výkres D.1.4.2</t>
  </si>
  <si>
    <t>306</t>
  </si>
  <si>
    <t>111227</t>
  </si>
  <si>
    <t>Hloubková injektáž včetně předchozích analýz, aplikace půdního kondicioneru specifikace v PD</t>
  </si>
  <si>
    <t>RTS II / 2022</t>
  </si>
  <si>
    <t>307</t>
  </si>
  <si>
    <t>162702292R00</t>
  </si>
  <si>
    <t>Poplatek za skládku: větve a kulatiny, štěpka</t>
  </si>
  <si>
    <t>308</t>
  </si>
  <si>
    <t>183101121R00</t>
  </si>
  <si>
    <t>Hloubení jamek bez výměny půdy do 1 m3, svah 1:5</t>
  </si>
  <si>
    <t>SO04A_1_</t>
  </si>
  <si>
    <t>výsadba</t>
  </si>
  <si>
    <t>přesazení</t>
  </si>
  <si>
    <t>309</t>
  </si>
  <si>
    <t>183105112R00</t>
  </si>
  <si>
    <t>Hloub. jamek bez výměny půdy do 0,02 m3, svah 1:1</t>
  </si>
  <si>
    <t>keře větší</t>
  </si>
  <si>
    <t>310</t>
  </si>
  <si>
    <t>183101111R00</t>
  </si>
  <si>
    <t>Hloub. jamek bez výměny půdy do 0,01 m3, svah 1:5</t>
  </si>
  <si>
    <t>pokryvné a pnoucí keře</t>
  </si>
  <si>
    <t>650</t>
  </si>
  <si>
    <t>trvalky</t>
  </si>
  <si>
    <t>900</t>
  </si>
  <si>
    <t>do jezírka</t>
  </si>
  <si>
    <t>3500</t>
  </si>
  <si>
    <t>cibuloviny</t>
  </si>
  <si>
    <t>311</t>
  </si>
  <si>
    <t>183101112R00</t>
  </si>
  <si>
    <t>Hloub. jamek bez výměny půdy do 0,02 m3, svah 1:5</t>
  </si>
  <si>
    <t>312</t>
  </si>
  <si>
    <t>184102117R00</t>
  </si>
  <si>
    <t>Výsadba dřevin s balem D do 1 m, v rovině</t>
  </si>
  <si>
    <t>313</t>
  </si>
  <si>
    <t>026621167</t>
  </si>
  <si>
    <t>Smrk pichalvý - Picea abies Inversa v. 250-300 cm</t>
  </si>
  <si>
    <t>314</t>
  </si>
  <si>
    <t>0265600322</t>
  </si>
  <si>
    <t>Alejový strom viz seznam v PD</t>
  </si>
  <si>
    <t>OK 20-25, zemní bal</t>
  </si>
  <si>
    <t>315</t>
  </si>
  <si>
    <t>184102121R00</t>
  </si>
  <si>
    <t>Výsadba dřevin s balem D do 20 cm, na svahu 1:2</t>
  </si>
  <si>
    <t>105+90</t>
  </si>
  <si>
    <t>316</t>
  </si>
  <si>
    <t>184102112R00</t>
  </si>
  <si>
    <t>Výsadba dřevin s balem D do 30 cm, v rovině</t>
  </si>
  <si>
    <t>15+3+15+18+37+8+21</t>
  </si>
  <si>
    <t>317</t>
  </si>
  <si>
    <t>026621321</t>
  </si>
  <si>
    <t>keře větší - viz seznam v PD</t>
  </si>
  <si>
    <t>svah</t>
  </si>
  <si>
    <t>rovina</t>
  </si>
  <si>
    <t>velikost 40-60 cm kontejner o objemu 2</t>
  </si>
  <si>
    <t>318</t>
  </si>
  <si>
    <t>184102110R00</t>
  </si>
  <si>
    <t>Výsadba dřevin s balem D do 10 cm, v rovině</t>
  </si>
  <si>
    <t>319</t>
  </si>
  <si>
    <t>02652262</t>
  </si>
  <si>
    <t>Malé keře a popínavky</t>
  </si>
  <si>
    <t xml:space="preserve">k 9x9 cm  950113												
</t>
  </si>
  <si>
    <t>320</t>
  </si>
  <si>
    <t>183204116R00</t>
  </si>
  <si>
    <t>Výsadba květin hrnkovaných, květináč do 25 cm</t>
  </si>
  <si>
    <t>321</t>
  </si>
  <si>
    <t>026100055</t>
  </si>
  <si>
    <t>Trvalky a vodní rostliny - průměrná cena</t>
  </si>
  <si>
    <t>322</t>
  </si>
  <si>
    <t>183204113R00</t>
  </si>
  <si>
    <t>Výsadba cibulí nebo hlíz</t>
  </si>
  <si>
    <t>323</t>
  </si>
  <si>
    <t>026111115</t>
  </si>
  <si>
    <t>Cibuloviny</t>
  </si>
  <si>
    <t>324</t>
  </si>
  <si>
    <t>182001131R00</t>
  </si>
  <si>
    <t>Plošná úprava terénu, nerovnosti do 20 cm v rovině</t>
  </si>
  <si>
    <t>RTS I / 2025</t>
  </si>
  <si>
    <t>keře v rovině</t>
  </si>
  <si>
    <t>trávník rekreační</t>
  </si>
  <si>
    <t>600</t>
  </si>
  <si>
    <t>trávník luční rovina</t>
  </si>
  <si>
    <t>325</t>
  </si>
  <si>
    <t>182001133R00</t>
  </si>
  <si>
    <t>Plošná úprava terénu, nerovnosti do 20 cm svah 1:1</t>
  </si>
  <si>
    <t>keře svah</t>
  </si>
  <si>
    <t>luční trávník svah</t>
  </si>
  <si>
    <t>326</t>
  </si>
  <si>
    <t>184921093R00</t>
  </si>
  <si>
    <t>Mulčování rostlin tl. do 0,1 m rovina</t>
  </si>
  <si>
    <t>stromové mísy</t>
  </si>
  <si>
    <t>327</t>
  </si>
  <si>
    <t>184921095R00</t>
  </si>
  <si>
    <t>Mulčování rostlin tl. do 0,1 m, svah do 1:1</t>
  </si>
  <si>
    <t>328</t>
  </si>
  <si>
    <t>103911000</t>
  </si>
  <si>
    <t>Kůra mulčovací VL - jemně drcená</t>
  </si>
  <si>
    <t>329</t>
  </si>
  <si>
    <t>180400120RA0</t>
  </si>
  <si>
    <t>Založení trávníku parkového v rovině s odplevelením a dodáním osiva</t>
  </si>
  <si>
    <t>620</t>
  </si>
  <si>
    <t>štěrkový trávník</t>
  </si>
  <si>
    <t>Založení trávníku v rovině nebo ve svahu  do 1 : 5, doporučená spotřeba 3 dkg/m2. V položce jsou zakalkulovány náklady na první pokosení, naložení odpadu a odvezení do 20 km, se složením. V položce nejsou zakalkulovány náklady na vypletí a zalévání</t>
  </si>
  <si>
    <t>330</t>
  </si>
  <si>
    <t>180401211R00</t>
  </si>
  <si>
    <t>Založení trávníku lučního výsevem v rovině</t>
  </si>
  <si>
    <t>550</t>
  </si>
  <si>
    <t xml:space="preserve"> V položce nejsou zakalkulovány náklady na vypletí a zalévání</t>
  </si>
  <si>
    <t>331</t>
  </si>
  <si>
    <t>180401213R00</t>
  </si>
  <si>
    <t>Založení trávníku lučního výsevem ve svahu do 1:1</t>
  </si>
  <si>
    <t>332</t>
  </si>
  <si>
    <t>005020</t>
  </si>
  <si>
    <t>Trávobylinná směs s podílem letniček (20/50/30%), složení viz PD</t>
  </si>
  <si>
    <t>RTS I / 2022</t>
  </si>
  <si>
    <t>333</t>
  </si>
  <si>
    <t>00521</t>
  </si>
  <si>
    <t>Travní osivo - směs pro štěrkové trávníky s řebříčkem</t>
  </si>
  <si>
    <t>420*0,03</t>
  </si>
  <si>
    <t>;ztratné 5%; 0,63</t>
  </si>
  <si>
    <t>334</t>
  </si>
  <si>
    <t>00572400</t>
  </si>
  <si>
    <t>Směs travní parková I. běžná zátěž složení viz PD</t>
  </si>
  <si>
    <t>620*0,03</t>
  </si>
  <si>
    <t>;ztratné 5%; 0,93</t>
  </si>
  <si>
    <t>pro běžnou zátěž  1 kg na 40 m2  balení 25 kg</t>
  </si>
  <si>
    <t>335</t>
  </si>
  <si>
    <t>184401114R00</t>
  </si>
  <si>
    <t>Příprava dřevin k přesazení bal do 1,4 m, v rovině</t>
  </si>
  <si>
    <t>336</t>
  </si>
  <si>
    <t>184901111R00</t>
  </si>
  <si>
    <t>Osazení kůlů k dřevině s uvázáním, dl. kůlů do 2 m</t>
  </si>
  <si>
    <t>337</t>
  </si>
  <si>
    <t>70836130.A</t>
  </si>
  <si>
    <t>Popruh vícevrstvý polyester/bavlna šíře 30 mm</t>
  </si>
  <si>
    <t>21*0,7*3</t>
  </si>
  <si>
    <t>361501030010/71  tkací vazba: vícevrstvá, spojovaná materiál: bavlna a její směsi provedení jednobarevné, režná, bílá bez úprav</t>
  </si>
  <si>
    <t>338</t>
  </si>
  <si>
    <t>60850011</t>
  </si>
  <si>
    <t>Kůl vyvazovací impregnovaný 200 x 8 cm</t>
  </si>
  <si>
    <t>21*3</t>
  </si>
  <si>
    <t>frézovaný válec délka 200 cm průměr 8 cm 1 x fazeta 1 x špice vakuotlaková impregnace - zelen</t>
  </si>
  <si>
    <t>339</t>
  </si>
  <si>
    <t>608500305</t>
  </si>
  <si>
    <t>Příčka spojovací ke kůlům 50 x 8 cm</t>
  </si>
  <si>
    <t>3*21</t>
  </si>
  <si>
    <t>spojovací příčka k vyvazovacím kůlům frézovaná půlkulatina (půlválec) bez impregnac</t>
  </si>
  <si>
    <t>340</t>
  </si>
  <si>
    <t>181300014RAE</t>
  </si>
  <si>
    <t>Rozprostření ornice v rovině tloušťka 30 cm</t>
  </si>
  <si>
    <t>dovoz ornice  ze vzdálenosti 15 km, osetí trávou</t>
  </si>
  <si>
    <t>341</t>
  </si>
  <si>
    <t>184813161</t>
  </si>
  <si>
    <t>Zřízení ochranného nátěru kmene stromu do výšky 1 m obvodu do 180 mm</t>
  </si>
  <si>
    <t>URS2023</t>
  </si>
  <si>
    <t>342</t>
  </si>
  <si>
    <t>251100</t>
  </si>
  <si>
    <t>Ochranný nátěr dřevin - podkladový nátěr - 0.5l/strom</t>
  </si>
  <si>
    <t>l</t>
  </si>
  <si>
    <t>343</t>
  </si>
  <si>
    <t>251101</t>
  </si>
  <si>
    <t>Ochranný nátěr kmene dřevin - svrchní nátěr (trvanlivost min. 5 let), bal. 5 kg - 1 kg/1m2</t>
  </si>
  <si>
    <t>20*0,25*2/5</t>
  </si>
  <si>
    <t>344</t>
  </si>
  <si>
    <t>182301123R00</t>
  </si>
  <si>
    <t>Rozprostření ornice, svah, tl. 15-20 cm, do 500 m2</t>
  </si>
  <si>
    <t>Položka se používá pro souvislé plochy do 500 m2.</t>
  </si>
  <si>
    <t>345</t>
  </si>
  <si>
    <t>181301103R00</t>
  </si>
  <si>
    <t>Rozprostření ornice, rovina, tl. 15-20 cm,do 500m2</t>
  </si>
  <si>
    <t>po chodníčku</t>
  </si>
  <si>
    <t>440</t>
  </si>
  <si>
    <t>substrát u hasičky</t>
  </si>
  <si>
    <t>u nádrže</t>
  </si>
  <si>
    <t>346</t>
  </si>
  <si>
    <t>618*0,18</t>
  </si>
  <si>
    <t>na svahy</t>
  </si>
  <si>
    <t>405*0,15</t>
  </si>
  <si>
    <t>na roviny</t>
  </si>
  <si>
    <t>;ztratné 20%; 34,398</t>
  </si>
  <si>
    <t>347</t>
  </si>
  <si>
    <t>185802114R00</t>
  </si>
  <si>
    <t>Hnojení umělým hnojivem k rostlinám v rovině</t>
  </si>
  <si>
    <t>21*0,001</t>
  </si>
  <si>
    <t>stromy</t>
  </si>
  <si>
    <t>312*0,002</t>
  </si>
  <si>
    <t>velké keře</t>
  </si>
  <si>
    <t>345*0,0002</t>
  </si>
  <si>
    <t>střední keře</t>
  </si>
  <si>
    <t>348</t>
  </si>
  <si>
    <t>10391505.A</t>
  </si>
  <si>
    <t>Kondicionér fyzikální půdní</t>
  </si>
  <si>
    <t>21*1</t>
  </si>
  <si>
    <t>0,2*312</t>
  </si>
  <si>
    <t>keře velké</t>
  </si>
  <si>
    <t>0.02*345</t>
  </si>
  <si>
    <t>keře střední</t>
  </si>
  <si>
    <t>Zvyšuje vodní retenční kapacitu půdy a přístupnost hnojiv, zlepšuje půdní struktury, omezuje účinky přesazovacího šoku. Vhodný pro použití v degradovaných nebo problematických půdách. Půdní kondicionér se musí smíchat s růstovým médiem do kořenové zóny.  Balení: 20 k</t>
  </si>
  <si>
    <t>349</t>
  </si>
  <si>
    <t>185804311R00</t>
  </si>
  <si>
    <t>Zalití rostlin vodou plochy do 20 m2</t>
  </si>
  <si>
    <t>zalití při výsadbě, včetně vody</t>
  </si>
  <si>
    <t>21*0,1</t>
  </si>
  <si>
    <t>345*0,05</t>
  </si>
  <si>
    <t>keře malé</t>
  </si>
  <si>
    <t>312*0,1</t>
  </si>
  <si>
    <t>650*0,02</t>
  </si>
  <si>
    <t>350</t>
  </si>
  <si>
    <t>185851111R00</t>
  </si>
  <si>
    <t>Dovoz vody pro zálivku rostlin do 6 km</t>
  </si>
  <si>
    <t>351</t>
  </si>
  <si>
    <t>21*0,1*12</t>
  </si>
  <si>
    <t>stromy 1. rok</t>
  </si>
  <si>
    <t>21*0,1*8</t>
  </si>
  <si>
    <t>stromy 2. rok</t>
  </si>
  <si>
    <t>345*0,05*8</t>
  </si>
  <si>
    <t>keře malé 1. rok</t>
  </si>
  <si>
    <t>345*0,05*4</t>
  </si>
  <si>
    <t>keře malé 2. rok</t>
  </si>
  <si>
    <t>312*0,1*8</t>
  </si>
  <si>
    <t>keře velké 1. rok</t>
  </si>
  <si>
    <t>312*0,1*4</t>
  </si>
  <si>
    <t>keře velké 2. rok</t>
  </si>
  <si>
    <t>650*0,02*4</t>
  </si>
  <si>
    <t>trvalky 1. rok</t>
  </si>
  <si>
    <t>650*0,02*2</t>
  </si>
  <si>
    <t>trvalky 2. rok</t>
  </si>
  <si>
    <t>352</t>
  </si>
  <si>
    <t>353</t>
  </si>
  <si>
    <t>185804214R00</t>
  </si>
  <si>
    <t>Vypletí dřevin ve skupinách v rovině</t>
  </si>
  <si>
    <t>145*4</t>
  </si>
  <si>
    <t>keře 1. rok</t>
  </si>
  <si>
    <t>145*3</t>
  </si>
  <si>
    <t>keře 2. rok</t>
  </si>
  <si>
    <t>354</t>
  </si>
  <si>
    <t>185804211R00</t>
  </si>
  <si>
    <t>Vypletí záhonu květin v rovině</t>
  </si>
  <si>
    <t>210*4</t>
  </si>
  <si>
    <t>210*3</t>
  </si>
  <si>
    <t>355</t>
  </si>
  <si>
    <t>185804111R00</t>
  </si>
  <si>
    <t>Ošetření vysázených květin v rovině</t>
  </si>
  <si>
    <t>(28+42)*3</t>
  </si>
  <si>
    <t>356</t>
  </si>
  <si>
    <t>184202111R01</t>
  </si>
  <si>
    <t>Kontrola a oprava kotvení</t>
  </si>
  <si>
    <t>357</t>
  </si>
  <si>
    <t>185804234R00</t>
  </si>
  <si>
    <t>Vypletí dřevin ve skupinách na svahu 1:2</t>
  </si>
  <si>
    <t>25*4</t>
  </si>
  <si>
    <t>25*3</t>
  </si>
  <si>
    <t>358</t>
  </si>
  <si>
    <t>183400012RAA</t>
  </si>
  <si>
    <t>Příprava půdy pro výsadbu v rovině, strojní</t>
  </si>
  <si>
    <t>chemické odplevelení, frézování, hnojení</t>
  </si>
  <si>
    <t>359</t>
  </si>
  <si>
    <t>183400022RAA</t>
  </si>
  <si>
    <t>Příprava půdy pro výsadbu, ve svahu, strojní</t>
  </si>
  <si>
    <t>360</t>
  </si>
  <si>
    <t>711823121R00</t>
  </si>
  <si>
    <t>SO04A_71_</t>
  </si>
  <si>
    <t>instalace zálivkového lemu</t>
  </si>
  <si>
    <t>361</t>
  </si>
  <si>
    <t>10056</t>
  </si>
  <si>
    <t>Spojka lemu - Speciální spona určena pro spojení konců zavlažovacího lemu</t>
  </si>
  <si>
    <t>362</t>
  </si>
  <si>
    <t>10055</t>
  </si>
  <si>
    <t>Závlahový lem -  3mm širokého speciálního plastu LDPE, který je odolný vůči tlaku vody</t>
  </si>
  <si>
    <t>1,5*21</t>
  </si>
  <si>
    <t>H23</t>
  </si>
  <si>
    <t>Plochy a úpravy území</t>
  </si>
  <si>
    <t>363</t>
  </si>
  <si>
    <t>998231311R00</t>
  </si>
  <si>
    <t>Přesun hmot pro sadovnické a krajin. úpravy do 5km</t>
  </si>
  <si>
    <t>H23_</t>
  </si>
  <si>
    <t>SO04A_9_</t>
  </si>
  <si>
    <t>Demolice</t>
  </si>
  <si>
    <t>Přípravné a přidružené práce</t>
  </si>
  <si>
    <t>SO04B</t>
  </si>
  <si>
    <t>364</t>
  </si>
  <si>
    <t>111212131R00</t>
  </si>
  <si>
    <t>Odstranění dřevin výš.nad 1m, svah 1:5, s pařezem</t>
  </si>
  <si>
    <t>11_</t>
  </si>
  <si>
    <t>SO04B_1_</t>
  </si>
  <si>
    <t>SO04B_</t>
  </si>
  <si>
    <t>365</t>
  </si>
  <si>
    <t>112101223R00</t>
  </si>
  <si>
    <t>Kácení stromů jehličnatých průměru 40 cm, svah 1:5</t>
  </si>
  <si>
    <t>smrk č. 15</t>
  </si>
  <si>
    <t>366</t>
  </si>
  <si>
    <t>112101222R00</t>
  </si>
  <si>
    <t>Kácení stromů jehličnatých průměru 30 cm, svah 1:5</t>
  </si>
  <si>
    <t>smrk 47</t>
  </si>
  <si>
    <t>367</t>
  </si>
  <si>
    <t>112101112R00</t>
  </si>
  <si>
    <t>Kácení stromů listnatých průměru 30 cm, svah 1:5</t>
  </si>
  <si>
    <t>Acer ´Globosum´č, 35, 36, 37, 40, 41, 42, 43, 44,</t>
  </si>
  <si>
    <t>368</t>
  </si>
  <si>
    <t>111251115R00</t>
  </si>
  <si>
    <t>Drcení ořezaných větví průměru do 15 cm</t>
  </si>
  <si>
    <t>369</t>
  </si>
  <si>
    <t>113106231R00</t>
  </si>
  <si>
    <t>Rozebrání dlažeb ze zámkové dlažby v kamenivu</t>
  </si>
  <si>
    <t>sjezd k hasičce</t>
  </si>
  <si>
    <t>33+57+10+12</t>
  </si>
  <si>
    <t>u centrální plochy</t>
  </si>
  <si>
    <t>370</t>
  </si>
  <si>
    <t>113108415R00</t>
  </si>
  <si>
    <t>Odstranění asfaltové vrstvy pl.nad 50 m2, tl.15 cm</t>
  </si>
  <si>
    <t>940,0</t>
  </si>
  <si>
    <t>Prostor vodní nádrže (stávající parkoviště)</t>
  </si>
  <si>
    <t>3,6</t>
  </si>
  <si>
    <t>Rýha pro přeložku plynovodní přípojky domu č. p. 214</t>
  </si>
  <si>
    <t>Rýha pro uložení kanalizace u obchodu č.p. 214</t>
  </si>
  <si>
    <t>Položka není určena pro odstranění podkladu nebo krytu frézováním. Pro volbu položky z hlediska množství se uvažuje každá souvisle odstraňovaná plocha krytu nebo podkladu stejného druhu samostatně.Odstraňuje-li se několik vrstev vozovky najednou, jednotlivé vrstvy se oceňují každá samostatně</t>
  </si>
  <si>
    <t>371</t>
  </si>
  <si>
    <t>113107620R00</t>
  </si>
  <si>
    <t>Odstranění podkladu nad 50 m2,kam.drcené tl.20 cm</t>
  </si>
  <si>
    <t>Chodníky u hasičky</t>
  </si>
  <si>
    <t>Stávající dětské hřiště u čerpací stanice odpadních vod</t>
  </si>
  <si>
    <t>Chodník u stáv. dětského hřiště</t>
  </si>
  <si>
    <t>Plocha u stáv. altánu</t>
  </si>
  <si>
    <t>1008,6</t>
  </si>
  <si>
    <t>pod asfalty</t>
  </si>
  <si>
    <t>sjezd k hasičce - svrchní vrstva</t>
  </si>
  <si>
    <t>Položka je určena i pro odstranění podkladů nebo krytů ze zemin stabilizovaných vápnem. Pro volbu položky z hlediska množství se uvažuje každá souvisle odstraňovaná plocha krytu nebo podkladu stejného druhu samostatně.Odstraňuje-li se několik vrstev vozovky najednou, jednotlivé vrstvy se oceňují každá samostatně</t>
  </si>
  <si>
    <t>372</t>
  </si>
  <si>
    <t>113107630R00</t>
  </si>
  <si>
    <t>Odstranění podkladu nad 50 m2,kam.drcené tl.30 cm</t>
  </si>
  <si>
    <t>parkoviště u stáv. altánu</t>
  </si>
  <si>
    <t>373</t>
  </si>
  <si>
    <t>121103111R00</t>
  </si>
  <si>
    <t>Skrývka zemin v rovině a sklonu 1:5</t>
  </si>
  <si>
    <t>164*0,25</t>
  </si>
  <si>
    <t>1409*0,3</t>
  </si>
  <si>
    <t>374</t>
  </si>
  <si>
    <t>120901123R00</t>
  </si>
  <si>
    <t>Bourání konstrukcí ze železobetonu v odkopávkách</t>
  </si>
  <si>
    <t>12*0,4*0.6</t>
  </si>
  <si>
    <t>zídka u hasičky</t>
  </si>
  <si>
    <t>131*0,3*0,6</t>
  </si>
  <si>
    <t>nadzemní - centrální plocha</t>
  </si>
  <si>
    <t>8*0,5*0,6</t>
  </si>
  <si>
    <t>u samošky</t>
  </si>
  <si>
    <t>Položka neobsahuje svislou ani vodorovnou přepravu vybouraného materiálu, ani uložení a poplatek za skládku. Položka jsou určeny pouze pro bourání konstrukcí ze zdiva nebo z betonu ve výkopišti při provádění zemních prací oři obklopení horninou nebo sypaninou tak, že k nim není bez vykopávky přístup. Objem vybouraného materiálu pro přemístění se rovná objemu konstrukcí před rozbouráním</t>
  </si>
  <si>
    <t>375</t>
  </si>
  <si>
    <t>171203111R00</t>
  </si>
  <si>
    <t>Uložení výkopku bez zhutnění na svahu do 1 : 5</t>
  </si>
  <si>
    <t>dočasné uložení podkladních vrstev a ornice ke zpětnému využití do zásypů</t>
  </si>
  <si>
    <t>1409*0,25</t>
  </si>
  <si>
    <t>164*0,3</t>
  </si>
  <si>
    <t>376</t>
  </si>
  <si>
    <t>962100022RA0</t>
  </si>
  <si>
    <t>Bourání nadzákladového zdiva z železobetonu</t>
  </si>
  <si>
    <t>SO04B_9_</t>
  </si>
  <si>
    <t>12*0,4*1</t>
  </si>
  <si>
    <t>20*0,6</t>
  </si>
  <si>
    <t>schodiště</t>
  </si>
  <si>
    <t>156*0,3*1</t>
  </si>
  <si>
    <t>35*0.3</t>
  </si>
  <si>
    <t>překlady nádrže</t>
  </si>
  <si>
    <t>šachty nádrže</t>
  </si>
  <si>
    <t>V položce není kalkulován poplatek za skládku pro vybouranou suť. Tyto náklady se oceňují individuálně podle místních podmínek. Orientační hmotnost vybouraných konstrukcí je 2,400 t/m3 konstrukce.</t>
  </si>
  <si>
    <t>377</t>
  </si>
  <si>
    <t>12355</t>
  </si>
  <si>
    <t>Zkouška na obsah PAU (polycyklické aromatické uhlovodíky)</t>
  </si>
  <si>
    <t>378</t>
  </si>
  <si>
    <t>460030102R00</t>
  </si>
  <si>
    <t>Vytrhání obrubníků, lože MC, stojatých</t>
  </si>
  <si>
    <t>47+3+98</t>
  </si>
  <si>
    <t>379</t>
  </si>
  <si>
    <t>963065312R00</t>
  </si>
  <si>
    <t>Bourání nosné konstrukce trámové ze dřeva tvrdého</t>
  </si>
  <si>
    <t>bourání altánu, vč. naložení a odvozu</t>
  </si>
  <si>
    <t>380</t>
  </si>
  <si>
    <t>976061111R00</t>
  </si>
  <si>
    <t>Vybourání dřevěných zábradlí a madel</t>
  </si>
  <si>
    <t>bourání plotu u altánu</t>
  </si>
  <si>
    <t>S</t>
  </si>
  <si>
    <t>Přesuny sutí</t>
  </si>
  <si>
    <t>381</t>
  </si>
  <si>
    <t>979081111R00</t>
  </si>
  <si>
    <t>Odvoz suti a vybour. hmot na skládku do 1 km</t>
  </si>
  <si>
    <t>S_</t>
  </si>
  <si>
    <t>dlažby</t>
  </si>
  <si>
    <t>asfalt</t>
  </si>
  <si>
    <t>beton, překlady + obrubníky</t>
  </si>
  <si>
    <t>382</t>
  </si>
  <si>
    <t>979081121R00</t>
  </si>
  <si>
    <t>Příplatek k odvozu za každý další 1 km</t>
  </si>
  <si>
    <t>33*14</t>
  </si>
  <si>
    <t>380*14</t>
  </si>
  <si>
    <t>365*14</t>
  </si>
  <si>
    <t>beton + obrubníky</t>
  </si>
  <si>
    <t>383</t>
  </si>
  <si>
    <t>979095312R00</t>
  </si>
  <si>
    <t>Naložení a složení suti</t>
  </si>
  <si>
    <t>podkladní vrstvy zpevněných ploch budou použity pro násypy pod zpevněnými plochami</t>
  </si>
  <si>
    <t>384</t>
  </si>
  <si>
    <t>979999998R00</t>
  </si>
  <si>
    <t>Poplatek za ukládku suť do 5 % příměsí (skup.170107)</t>
  </si>
  <si>
    <t xml:space="preserve">kusovost do 1600 cm2  </t>
  </si>
  <si>
    <t>Mobiliář a hřiště</t>
  </si>
  <si>
    <t>Kryty pozemních komunikací, letišť a ploch z betonu a ostatních hmot</t>
  </si>
  <si>
    <t>SO05</t>
  </si>
  <si>
    <t>385</t>
  </si>
  <si>
    <t>589152006RXX</t>
  </si>
  <si>
    <t>Kryt sport. ploch z pryž. dlaždic tl. 50 mm volně</t>
  </si>
  <si>
    <t>58_</t>
  </si>
  <si>
    <t>SO05_5_</t>
  </si>
  <si>
    <t>SO05_</t>
  </si>
  <si>
    <t>Bezpečnostní plocha ze zatravňovacích gumových rohoží</t>
  </si>
  <si>
    <t>kotveno systémovými kotvícími kolíky na trávník</t>
  </si>
  <si>
    <t>386</t>
  </si>
  <si>
    <t>762137121R00</t>
  </si>
  <si>
    <t>Montáž oplocení z dílců, na sloupky</t>
  </si>
  <si>
    <t>SO05_76_</t>
  </si>
  <si>
    <t>387</t>
  </si>
  <si>
    <t>595135867.A</t>
  </si>
  <si>
    <t>Držák plotového pole koncový barva, pro sloupek o prům 48 mm</t>
  </si>
  <si>
    <t>Systémový držák plotového pole pro sloupek prům. 48 mm</t>
  </si>
  <si>
    <t>388</t>
  </si>
  <si>
    <t>Držák plotového pole průběžný barva, pro sloupek o prům 48 mm</t>
  </si>
  <si>
    <t>26*4</t>
  </si>
  <si>
    <t>Systémový držák plotového pole</t>
  </si>
  <si>
    <t>389</t>
  </si>
  <si>
    <t>03006</t>
  </si>
  <si>
    <t>Pole plotové, rámové s výpletem ze svařované sítě, 2000x1000 mm, FeZn + komaxit RAL 6003 zelená</t>
  </si>
  <si>
    <t>390</t>
  </si>
  <si>
    <t>5534621211</t>
  </si>
  <si>
    <t>Sloupek plotový STANDARD PLUS d 48 mm, h 1750 mm</t>
  </si>
  <si>
    <t xml:space="preserve">síla stěny 1,5 mm  zelená barva  součástí sloupku je čepička PVC černá </t>
  </si>
  <si>
    <t>391</t>
  </si>
  <si>
    <t>936124112R00</t>
  </si>
  <si>
    <t>Zřízení lavice stabilní se zabetonováním noh</t>
  </si>
  <si>
    <t>SO05_9_</t>
  </si>
  <si>
    <t>montáž mobiliáře - součástí dodávky mobiliáře je i kotevní materiál</t>
  </si>
  <si>
    <t>392</t>
  </si>
  <si>
    <t>74910617</t>
  </si>
  <si>
    <t>Stojan na kola IKk zavěšení - specifikace v PD</t>
  </si>
  <si>
    <t>393</t>
  </si>
  <si>
    <t>0031234</t>
  </si>
  <si>
    <t>Informační tabule, specifikace v PD</t>
  </si>
  <si>
    <t>S provozními řády hřiště a s informacemi o obci</t>
  </si>
  <si>
    <t>394</t>
  </si>
  <si>
    <t>010004</t>
  </si>
  <si>
    <t>Odpadkový koš s víkem, celokovový, RAL 7022, dle specifikace v PD</t>
  </si>
  <si>
    <t>včetně kotevní patky k zabetonování</t>
  </si>
  <si>
    <t>395</t>
  </si>
  <si>
    <t>749004</t>
  </si>
  <si>
    <t>Stůl, 120 cm, kombinace latě a prkna, modřín lazura+ocel, barva 7022, design viz specifikace v PD</t>
  </si>
  <si>
    <t>včetně kotevního materiálu</t>
  </si>
  <si>
    <t>396</t>
  </si>
  <si>
    <t>010002</t>
  </si>
  <si>
    <t>Lavička s dřevěnými prkny a latěmi, modřín,bez opěrky a područek. Dřevo s nátěrem, kostra RAL 7022, specifikace v PD</t>
  </si>
  <si>
    <t>včetně kotevních sad</t>
  </si>
  <si>
    <t>397</t>
  </si>
  <si>
    <t>749001</t>
  </si>
  <si>
    <t>Lavička s opěradlem a područkami, 120 cm, kombinace latě a prkna, modřín lazura+ocel, barva antracit, design viz specifikace v PD</t>
  </si>
  <si>
    <t>M012VD</t>
  </si>
  <si>
    <t>Herní prvky a konstrukce</t>
  </si>
  <si>
    <t>398</t>
  </si>
  <si>
    <t>01223</t>
  </si>
  <si>
    <t>Doprava a montáž herních prvků a prvků mobiliáře</t>
  </si>
  <si>
    <t>M012VD_</t>
  </si>
  <si>
    <t>399</t>
  </si>
  <si>
    <t>0031226</t>
  </si>
  <si>
    <t>Velká lezecká sestava pro děti do 14 let</t>
  </si>
  <si>
    <t>certifikovaná herní multifunkční herní sestava z akátového dřeva s certifikátem udržitelnosti a 100% recyklovatelného PE stabilizovaného vůči UV, certifikace ČSN EN 1176</t>
  </si>
  <si>
    <t>400</t>
  </si>
  <si>
    <t>0031225</t>
  </si>
  <si>
    <t>Herní sestava pro malé děti</t>
  </si>
  <si>
    <t>ertifikovaná herní multifunkční herní sestava z akátového dřeva s certifikátem udržitelnosti a 100% recyklovatelného PE stabilizovaného vůči UV, certifikace ČSN EN 1176</t>
  </si>
  <si>
    <t>401</t>
  </si>
  <si>
    <t>0031223</t>
  </si>
  <si>
    <t>Houpačka kombinovaná ocelová sestava vč. instalace</t>
  </si>
  <si>
    <t>kombinovaná sestava dvoujhoupačky a hnízda, certifikátem udržitelnosti a 100% recyklovatelného PE stabilizovaného vůči UV, certifikace ČSN EN 1176</t>
  </si>
  <si>
    <t>402</t>
  </si>
  <si>
    <t>0031222</t>
  </si>
  <si>
    <t>Pískoviště vč. Výplně pískem a dna - viz PD</t>
  </si>
  <si>
    <t>RTS I / 2021</t>
  </si>
  <si>
    <t>403</t>
  </si>
  <si>
    <t>0031228</t>
  </si>
  <si>
    <t>Krycí plachta pískoviště</t>
  </si>
  <si>
    <t>404</t>
  </si>
  <si>
    <t>0031227</t>
  </si>
  <si>
    <t>Stínění nad pískoviště</t>
  </si>
  <si>
    <t>UV stabilní, na akátových sloupech, viz specifikace v PD</t>
  </si>
  <si>
    <t>Přeložka vodního toku</t>
  </si>
  <si>
    <t>SO06</t>
  </si>
  <si>
    <t>405</t>
  </si>
  <si>
    <t>132301212R00</t>
  </si>
  <si>
    <t>Hloubení rýh š.do 200 cm hor.4 do 1000 m3, STROJNĚ</t>
  </si>
  <si>
    <t>SO06_1_</t>
  </si>
  <si>
    <t>SO06_</t>
  </si>
  <si>
    <t>406</t>
  </si>
  <si>
    <t>407</t>
  </si>
  <si>
    <t>385,80</t>
  </si>
  <si>
    <t>Stoka bet 1200</t>
  </si>
  <si>
    <t>408</t>
  </si>
  <si>
    <t>385,8</t>
  </si>
  <si>
    <t>409</t>
  </si>
  <si>
    <t>410</t>
  </si>
  <si>
    <t>411</t>
  </si>
  <si>
    <t>412</t>
  </si>
  <si>
    <t>413</t>
  </si>
  <si>
    <t>175101101RT2</t>
  </si>
  <si>
    <t>s dodáním štěrkopísku frakce 0 - 22 mm</t>
  </si>
  <si>
    <t>Včetně dodávky kameniva</t>
  </si>
  <si>
    <t>414</t>
  </si>
  <si>
    <t>31+35</t>
  </si>
  <si>
    <t>416</t>
  </si>
  <si>
    <t>147,01*2,5</t>
  </si>
  <si>
    <t>417</t>
  </si>
  <si>
    <t>451541111R00</t>
  </si>
  <si>
    <t>Lože pod potrubí ze štěrkodrtě 0 - 63 mm</t>
  </si>
  <si>
    <t>SO06_4_</t>
  </si>
  <si>
    <t>66*2*0,15</t>
  </si>
  <si>
    <t>StokaŽP DN 1200</t>
  </si>
  <si>
    <t>418</t>
  </si>
  <si>
    <t>452312171R00</t>
  </si>
  <si>
    <t>Sedlové lože pod potrubí z betonu C 30/37</t>
  </si>
  <si>
    <t>Položka je určena pro práce v otevřeném výkopu, pro práce ve štole se k položce používá příplatek 45231-2192. Položka je určena pro jakékoliv úkosy sedel</t>
  </si>
  <si>
    <t>419</t>
  </si>
  <si>
    <t>452384111R00</t>
  </si>
  <si>
    <t>Podkladní pražce z betonu C -/7,5 do 25000 mm2</t>
  </si>
  <si>
    <t>78*1,5</t>
  </si>
  <si>
    <t>Položka je určena pro práce v otevřeném výkopu, pro práce ve štole se k položce používá příplatek 45238-4192. V položkách jsou zakalkulovány i náklady na bednění, odbedněné a nátěr bednění proti přilnavosti betonu. Množství podkladní konstrukce z pražců se určuje v m součtem jednotlivých délek pražců. Pro volbu položky je rozhodující průřezová plocha pražce</t>
  </si>
  <si>
    <t>Potrubí z trub betonových</t>
  </si>
  <si>
    <t>420</t>
  </si>
  <si>
    <t>811527111R00</t>
  </si>
  <si>
    <t>Kladení netěsněného potrubí z trub beton., DN 1200</t>
  </si>
  <si>
    <t>81_</t>
  </si>
  <si>
    <t>SO06_8_</t>
  </si>
  <si>
    <t>421</t>
  </si>
  <si>
    <t>592231350</t>
  </si>
  <si>
    <t>Trouba betonová hrdlová TBH-Q 120/250</t>
  </si>
  <si>
    <t>14+12</t>
  </si>
  <si>
    <t>;ztratné 10%; 2,6</t>
  </si>
  <si>
    <t>Q  =  splnění kvalitativních podmínek sekce pro kanalizace XA2, XA3 = odolnost vůči chemické korozi CV =  trouba s čedičovou výstelkou PO =  polymerbetonová výstelka</t>
  </si>
  <si>
    <t>422</t>
  </si>
  <si>
    <t>423</t>
  </si>
  <si>
    <t>892855112R00</t>
  </si>
  <si>
    <t>Kontrola kanalizace TV kamerou do 50 m</t>
  </si>
  <si>
    <t>424</t>
  </si>
  <si>
    <t>894423114R00</t>
  </si>
  <si>
    <t>Osaz. bet. dílců šachet, dna, na kroužek, do 5,0 t</t>
  </si>
  <si>
    <t>Položka je určena pro osazení betonových dílců šachet dle DIN 4034, šachtová dna na kroužek, hmotnost do 5,0 t. V položce nejsou zakalkulovány náklady na dodání betonových dílců; dílce se oceňují ve specifikaci. Ztratné se doporučuje 1 %</t>
  </si>
  <si>
    <t>425</t>
  </si>
  <si>
    <t>552417131</t>
  </si>
  <si>
    <t>Poklop litina bez odvětrání</t>
  </si>
  <si>
    <t>426</t>
  </si>
  <si>
    <t>427</t>
  </si>
  <si>
    <t>428</t>
  </si>
  <si>
    <t>592243502</t>
  </si>
  <si>
    <t>Deska přechodová šachtová TZK-Q.1 150-100/25</t>
  </si>
  <si>
    <t>ŠACHTOVÉ DÍLY DN 1500 TYP Q.1 dle ČSN EN 1917  Přechodová deska - stavební dílec pro přechod z jednoho profilu šachty do druhého.  Cena nezahrnuje elastomerní těsnění</t>
  </si>
  <si>
    <t>429</t>
  </si>
  <si>
    <t>2869595281</t>
  </si>
  <si>
    <t>Dno šachtové monolitické 3,7m3</t>
  </si>
  <si>
    <t>H27</t>
  </si>
  <si>
    <t>Vedení trubní dálková a přípojná</t>
  </si>
  <si>
    <t>430</t>
  </si>
  <si>
    <t>998271301R00</t>
  </si>
  <si>
    <t>Přesun hmot pro kanalizace betonové, otevř. výkop</t>
  </si>
  <si>
    <t>H27_</t>
  </si>
  <si>
    <t>SO06_9_</t>
  </si>
  <si>
    <t>Položka je určena pro kanalizace hloubené nebo ražené monolitické z betonu nebo železobetonu včetně drobných objektů. Platnost položky je vymezena pro nejmenší skladovací plochu 100 m2 + 0,18 m2/t, pro největší dopravní vzdálenost 15 m od hrany výkopu na povrchu nebo 15 m od kraje šachty k těžišti skládek na povrchu. V případech, kdy nejsou splněny tyto podmínky použije se příplatek -1315 až -1319</t>
  </si>
  <si>
    <t>Zařízení silnoproudé el. vč. ochrany před bleskem</t>
  </si>
  <si>
    <t>SO07</t>
  </si>
  <si>
    <t>431</t>
  </si>
  <si>
    <t>974082821RXX</t>
  </si>
  <si>
    <t>Vytvoření drážek pro LED osvětlení v altánu</t>
  </si>
  <si>
    <t>SO07_9_</t>
  </si>
  <si>
    <t>SO07_</t>
  </si>
  <si>
    <t xml:space="preserve">V položce není kalkulována manipulace se sutí, která se oceňuje samostatně položkami souboru 979. </t>
  </si>
  <si>
    <t>M21</t>
  </si>
  <si>
    <t>Elektromontáže</t>
  </si>
  <si>
    <t>432</t>
  </si>
  <si>
    <t>210010124R00</t>
  </si>
  <si>
    <t>Trubka ochranná z PE, uložená volně, DN do 80 mm</t>
  </si>
  <si>
    <t>M21_</t>
  </si>
  <si>
    <t>433</t>
  </si>
  <si>
    <t>210010023R00</t>
  </si>
  <si>
    <t>Trubka tuhá z PVC uložená pevně, 29 mm</t>
  </si>
  <si>
    <t>434</t>
  </si>
  <si>
    <t>210100173R00</t>
  </si>
  <si>
    <t>Ukončení kabelů do 3x4</t>
  </si>
  <si>
    <t>435</t>
  </si>
  <si>
    <t>210100251R00</t>
  </si>
  <si>
    <t>Ukončení celoplast. kabelů zákl./pás.do 4x10 mm2</t>
  </si>
  <si>
    <t>436</t>
  </si>
  <si>
    <t>210100252R00</t>
  </si>
  <si>
    <t>Ukončení celoplast. kabelů zákl./pás.do 4x25 mm2</t>
  </si>
  <si>
    <t>437</t>
  </si>
  <si>
    <t>210191501R00</t>
  </si>
  <si>
    <t>Usazení tenkocementové skříně SP</t>
  </si>
  <si>
    <t>438</t>
  </si>
  <si>
    <t>210191542R00</t>
  </si>
  <si>
    <t>Usazení pilířů pro rozv a ELM rozv.</t>
  </si>
  <si>
    <t>439</t>
  </si>
  <si>
    <t>210220021R00</t>
  </si>
  <si>
    <t>Vedení uzemňovací v zemi FeZn do 120 mm2 vč.svorek</t>
  </si>
  <si>
    <t>210220003R00</t>
  </si>
  <si>
    <t>Vedení uzemňovací na povrchu Cu do 50 mm2</t>
  </si>
  <si>
    <t>441</t>
  </si>
  <si>
    <t>210220010R00</t>
  </si>
  <si>
    <t>Nátěr zemnicího pásku do 120 mm2</t>
  </si>
  <si>
    <t>442</t>
  </si>
  <si>
    <t>210020951R00</t>
  </si>
  <si>
    <t>Tabulka výstražná smaltovaná formát A3 - A4</t>
  </si>
  <si>
    <t>443</t>
  </si>
  <si>
    <t>210 20-3805s</t>
  </si>
  <si>
    <t>Svítidlo LED pásek v AL liště IP 65 2m lišty - montáž</t>
  </si>
  <si>
    <t>444</t>
  </si>
  <si>
    <t>210810046RT3</t>
  </si>
  <si>
    <t>Kabel CYKY-m 750 V 3 x 2,5 mm2 pevně uložený</t>
  </si>
  <si>
    <t>včetně dodávky kabelu</t>
  </si>
  <si>
    <t>445</t>
  </si>
  <si>
    <t>210810056RT1</t>
  </si>
  <si>
    <t>Kabel CYKY-m 750 V 5 x 2,5 mm2 pevně uložený</t>
  </si>
  <si>
    <t>446</t>
  </si>
  <si>
    <t>210810053R01</t>
  </si>
  <si>
    <t>Kabel CYKY 5C x 6 mm2 pevně uložený</t>
  </si>
  <si>
    <t>447</t>
  </si>
  <si>
    <t>210810054R01</t>
  </si>
  <si>
    <t>Kabel CYKY 5 x 10 pevně uložený</t>
  </si>
  <si>
    <t>448</t>
  </si>
  <si>
    <t>210190005R00</t>
  </si>
  <si>
    <t>Montáž celoplechových rozvodnic do váhy 200 kg</t>
  </si>
  <si>
    <t>449</t>
  </si>
  <si>
    <t>210020653R00</t>
  </si>
  <si>
    <t>Konstrukce ocelová nosná pro zařízení do 50 kg</t>
  </si>
  <si>
    <t>450</t>
  </si>
  <si>
    <t>210120401R00</t>
  </si>
  <si>
    <t>Jistič vzduch.1pólový do 25 A IJV-IJM-PO bez krytu</t>
  </si>
  <si>
    <t>montáž</t>
  </si>
  <si>
    <t>451</t>
  </si>
  <si>
    <t>210120421R00</t>
  </si>
  <si>
    <t>Jistič jednopólový modulární</t>
  </si>
  <si>
    <t>Odizolování vodičů, vyformování a zapojení. Osazení na lištu</t>
  </si>
  <si>
    <t>452</t>
  </si>
  <si>
    <t>21012xxx</t>
  </si>
  <si>
    <t>Montáž hlídání hladiny</t>
  </si>
  <si>
    <t>453</t>
  </si>
  <si>
    <t>2101201xxx</t>
  </si>
  <si>
    <t>úprava rozvodnice - přezbrojení</t>
  </si>
  <si>
    <t>454</t>
  </si>
  <si>
    <t>3571772222</t>
  </si>
  <si>
    <t>Elektroměrová rozvodnice pro přímé měření el. energie - typová25A</t>
  </si>
  <si>
    <t>455</t>
  </si>
  <si>
    <t>456</t>
  </si>
  <si>
    <t>210220401RT1</t>
  </si>
  <si>
    <t>Označení svodu štítky, smaltované, umělá hmota</t>
  </si>
  <si>
    <t>včetně dodávky štítku</t>
  </si>
  <si>
    <t>457</t>
  </si>
  <si>
    <t>210220302RX2</t>
  </si>
  <si>
    <t>Svorka hromosvodová nad 2 šrouby /ST, SJ, SR, atd/</t>
  </si>
  <si>
    <t>včetně svorky univerzální SU</t>
  </si>
  <si>
    <t>458</t>
  </si>
  <si>
    <t>210220302RT6</t>
  </si>
  <si>
    <t>včetně dodávky svorky SP kovových částí d 3-12 mm</t>
  </si>
  <si>
    <t>459</t>
  </si>
  <si>
    <t>210220302RT3</t>
  </si>
  <si>
    <t>včetně dodávky svorky SK pro vodič d 6-10 mm</t>
  </si>
  <si>
    <t>460</t>
  </si>
  <si>
    <t>210220302RT1</t>
  </si>
  <si>
    <t>včetně dodávky svorky SR 2b Fe pro pásek 30x4 mm</t>
  </si>
  <si>
    <t>461</t>
  </si>
  <si>
    <t>210220302RT2</t>
  </si>
  <si>
    <t>včetně dodávky svorky SR 3a Fe</t>
  </si>
  <si>
    <t>462</t>
  </si>
  <si>
    <t>210220301RT3</t>
  </si>
  <si>
    <t>Svorka hromosvodová do 2 šroubů /SS, SZ, SO/</t>
  </si>
  <si>
    <t>včetně dodávky svorky SZ</t>
  </si>
  <si>
    <t>463</t>
  </si>
  <si>
    <t>210220111R00</t>
  </si>
  <si>
    <t>Vodiče svodové FeZn D do 10,Al 10,Cu 8, bez podpěr</t>
  </si>
  <si>
    <t>464</t>
  </si>
  <si>
    <t>210220101RU2</t>
  </si>
  <si>
    <t>Vodiče svodové FeZn D do 10,Al 10,Cu 8 +podpěry</t>
  </si>
  <si>
    <t>včetně dodávky drátu AlMgSi T/4 8 mm</t>
  </si>
  <si>
    <t>465</t>
  </si>
  <si>
    <t>210220021RT1</t>
  </si>
  <si>
    <t>včetně pásku FeZn 30 x 4 mm</t>
  </si>
  <si>
    <t>466</t>
  </si>
  <si>
    <t>3571772725</t>
  </si>
  <si>
    <t>Rozvodnice pro napájení el. rozvodů altánu a čerpadel fontány, nerez 600x600</t>
  </si>
  <si>
    <t xml:space="preserve">IP 54/20 + vybavení přístroj lištami, a přípojnicemi, zákryty Přívod spodem,
vývody  spodem. Hl. jistič 25A s vypínací cívkou 
Přepěťová ochr. I.+ II stupeň
2x poj. odpojovač  do 63A 6x jistič trojpól  do 63A, 
5x jistič jednopól do 25A , 1 x spínací hodiny, 1 x hladin spínač
1 x proud. Chránič 4P/25A - 30mA.,1 x proud. Chránič 4P/25A - 300mA.,
 Tlač. hřibové, 2 x zás. Vest. 230V/16A,
1x  zás vest. 400V-32A 5P , svorka řadová35ks
</t>
  </si>
  <si>
    <t>467</t>
  </si>
  <si>
    <t>650031115R00</t>
  </si>
  <si>
    <t>Osazení rozvodnice do výklenku, pl. do 0,6 m2</t>
  </si>
  <si>
    <t>468</t>
  </si>
  <si>
    <t>460620014R00</t>
  </si>
  <si>
    <t>Provizorní úprava terénu v přírodní hornině 4</t>
  </si>
  <si>
    <t>469</t>
  </si>
  <si>
    <t>460560164R00</t>
  </si>
  <si>
    <t>Zához rýhy 35/80 cm, hornina třídy 4</t>
  </si>
  <si>
    <t>470</t>
  </si>
  <si>
    <t>460490012R00</t>
  </si>
  <si>
    <t>Fólie výstražná z PVC, šířka 33 cm</t>
  </si>
  <si>
    <t>471</t>
  </si>
  <si>
    <t>460420501RT1</t>
  </si>
  <si>
    <t>Křížovatka se silovým kabelem</t>
  </si>
  <si>
    <t>dodávka a osazení betonového žlabu</t>
  </si>
  <si>
    <t>472</t>
  </si>
  <si>
    <t>460420022RT3</t>
  </si>
  <si>
    <t>Zřízení kabelového lože v rýze š. do 65 cm z písku</t>
  </si>
  <si>
    <t>lože tloušťky 20 cm</t>
  </si>
  <si>
    <t>473</t>
  </si>
  <si>
    <t>460270082R00</t>
  </si>
  <si>
    <t>Osazení pilířů do plotů pro skříně SR 2,3,5</t>
  </si>
  <si>
    <t>474</t>
  </si>
  <si>
    <t>460260011R00</t>
  </si>
  <si>
    <t>Pevné spojení páskových zemničů</t>
  </si>
  <si>
    <t>475</t>
  </si>
  <si>
    <t>460200163RT2</t>
  </si>
  <si>
    <t>Výkop kabelové rýhy 35/80 cm  hor.3</t>
  </si>
  <si>
    <t>ruční výkop rýhy</t>
  </si>
  <si>
    <t>476</t>
  </si>
  <si>
    <t>460080002R00</t>
  </si>
  <si>
    <t>Betonový základ do bednění</t>
  </si>
  <si>
    <t>pod poj. skříně</t>
  </si>
  <si>
    <t>477</t>
  </si>
  <si>
    <t>460010024R00</t>
  </si>
  <si>
    <t>Vytýčení kabelové trasy v zastavěném prostoru</t>
  </si>
  <si>
    <t>km</t>
  </si>
  <si>
    <t>478</t>
  </si>
  <si>
    <t>35444148</t>
  </si>
  <si>
    <t>Podpěra vedení na plechové střechy nerez PV 23 N</t>
  </si>
  <si>
    <t xml:space="preserve">Podpěra vedení na plechové střechy  použití: upevnění vodiče na plechových střechách </t>
  </si>
  <si>
    <t>479</t>
  </si>
  <si>
    <t>35441542</t>
  </si>
  <si>
    <t>Podpěra vedení na ploché střechy PV 21c</t>
  </si>
  <si>
    <t>podpěra vedení na ploché střechy  použití: upevnění vodiče na plochých střechách materiál: plast PE se štěrkovou výpln</t>
  </si>
  <si>
    <t>480</t>
  </si>
  <si>
    <t>2861330122</t>
  </si>
  <si>
    <t>Trubka ochranná tuhá 29mm</t>
  </si>
  <si>
    <t>SO07_Z_</t>
  </si>
  <si>
    <t>481</t>
  </si>
  <si>
    <t>2861330123</t>
  </si>
  <si>
    <t>Trubka ochranná korugovaná 40mm</t>
  </si>
  <si>
    <t>482</t>
  </si>
  <si>
    <t>3414222022</t>
  </si>
  <si>
    <t>Zemnící vodič D 10mm</t>
  </si>
  <si>
    <t>483</t>
  </si>
  <si>
    <t>341409681</t>
  </si>
  <si>
    <t>Vodič silový CY  16,00 mm2</t>
  </si>
  <si>
    <t>484</t>
  </si>
  <si>
    <t>35444105</t>
  </si>
  <si>
    <t>Svorka připojovací nerez SP N</t>
  </si>
  <si>
    <t>použití: připojování kruhového vodiče ke kovovým částem objekt</t>
  </si>
  <si>
    <t>485</t>
  </si>
  <si>
    <t>34109517</t>
  </si>
  <si>
    <t>Kabel silový s Cu jádrem 750 V CYKYLo 3 x 2,5 mm2</t>
  </si>
  <si>
    <t>486</t>
  </si>
  <si>
    <t>34111094</t>
  </si>
  <si>
    <t>Kabel silový s Cu jádrem 750 V CYKY 5 x 2,5 mm2</t>
  </si>
  <si>
    <t>CYKY Instalační kabely  Použití: pro pevné uložení ve vnitřních a venkovních prostorách, v zemi, v betonu. Kabely jsou odolné proti UV záření a proti šíření plamene.  Konstrukce: 1. Měděné plné holé jádro 2. PVC izolace 3. Výplňový obal 4. PVC pláš</t>
  </si>
  <si>
    <t>487</t>
  </si>
  <si>
    <t>34111100</t>
  </si>
  <si>
    <t>Kabel silový s Cu jádrem 750 V CYKY 5 x 6 mm2</t>
  </si>
  <si>
    <t>488</t>
  </si>
  <si>
    <t>34111101</t>
  </si>
  <si>
    <t>Kabel silový s Cu jádrem 750 V CYKY 5 x 10 mm2</t>
  </si>
  <si>
    <t>489</t>
  </si>
  <si>
    <t>3582200101322</t>
  </si>
  <si>
    <t>Jistič djednopól do 10A</t>
  </si>
  <si>
    <t>490</t>
  </si>
  <si>
    <t>35824402022</t>
  </si>
  <si>
    <t>Trojpól. Jistič 25A</t>
  </si>
  <si>
    <t>491</t>
  </si>
  <si>
    <t>34836013222</t>
  </si>
  <si>
    <t>A- LED  pásek 12m v Al liště, IP 65, vč lišt, nap. Zdroje a koncovek 10W/m</t>
  </si>
  <si>
    <t>492</t>
  </si>
  <si>
    <t>35811685155</t>
  </si>
  <si>
    <t>Hladinový spínač včetně snímačů</t>
  </si>
  <si>
    <t>Vedlejší a ostatní náklady</t>
  </si>
  <si>
    <t>VORN</t>
  </si>
  <si>
    <t>Vedlejší a ostatní rozpočtové náklady</t>
  </si>
  <si>
    <t>01VRN</t>
  </si>
  <si>
    <t>Průzkumy, geodetické a projektové práce</t>
  </si>
  <si>
    <t>493</t>
  </si>
  <si>
    <t>013002VRN</t>
  </si>
  <si>
    <t>Projektové práce - dokumentace skutečného provedení stavby</t>
  </si>
  <si>
    <t>Soubor</t>
  </si>
  <si>
    <t>01VRN_</t>
  </si>
  <si>
    <t>VORN_Â _</t>
  </si>
  <si>
    <t>VORN_</t>
  </si>
  <si>
    <t>494</t>
  </si>
  <si>
    <t>012002VRN</t>
  </si>
  <si>
    <t>Geodetické práce - zaměření skutečného provedení</t>
  </si>
  <si>
    <t>495</t>
  </si>
  <si>
    <t>Geodetické práce - vytýčení stavby</t>
  </si>
  <si>
    <t>496</t>
  </si>
  <si>
    <t>Geodetické práce - vytyčení inženýrských stítí správci jednotlivých sítí</t>
  </si>
  <si>
    <t>497</t>
  </si>
  <si>
    <t>Projektové práce - vypracovánní prováděcí projektové dokumentace</t>
  </si>
  <si>
    <t xml:space="preserve">Prováděcí projektová dokumentace je potřeba pro jezírko a především jeho technologické řešení (konkrétní typy čerpadel) a dále pro řešení podzemních nádrží na dešťovou vodu u požární zbrojnice. U ostatních částí zhotovitel bude postupovat dle rozšířené projektové dokumentace pro stavební povolení. Pro výrobky předloží předem buď technické listy konkrétních reálných výrobků, popř. realizační projektovou dokumentaci. Pro herní prvky vč. dimenze základů a statického posouzení.
</t>
  </si>
  <si>
    <t>03VRN</t>
  </si>
  <si>
    <t>Zařízení staveniště</t>
  </si>
  <si>
    <t>498</t>
  </si>
  <si>
    <t>030001VRN</t>
  </si>
  <si>
    <t>Zařízení staveniště - včetně odstranění (oplocení staveniště, mobilní WC)</t>
  </si>
  <si>
    <t>03VRN_</t>
  </si>
  <si>
    <t>04VRN</t>
  </si>
  <si>
    <t>Inženýrské činnosti</t>
  </si>
  <si>
    <t>499</t>
  </si>
  <si>
    <t>043002VRN</t>
  </si>
  <si>
    <t>Zkoušky</t>
  </si>
  <si>
    <t>04VRN_</t>
  </si>
  <si>
    <t xml:space="preserve">Zatěžovací zkoušky na pláni 2 ks navíc oproti standardům určených plochou												
</t>
  </si>
  <si>
    <t>500</t>
  </si>
  <si>
    <t>Výchozí revize elektroinstalace</t>
  </si>
  <si>
    <t>09VRN</t>
  </si>
  <si>
    <t>Ostatní náklady</t>
  </si>
  <si>
    <t>501</t>
  </si>
  <si>
    <t>090001VRN</t>
  </si>
  <si>
    <t>Ostatní náklady - informační plachta 1,5x1 m po dobu stavby</t>
  </si>
  <si>
    <t>09VRN_</t>
  </si>
  <si>
    <t>Celkem:</t>
  </si>
  <si>
    <t>Krycí list slepého rozpočtu</t>
  </si>
  <si>
    <t>IČO/DIČ:</t>
  </si>
  <si>
    <t>00375322/</t>
  </si>
  <si>
    <t>09080988/</t>
  </si>
  <si>
    <t>Položek:</t>
  </si>
  <si>
    <t>Datum:</t>
  </si>
  <si>
    <t>Rozpočtové náklady v Kč</t>
  </si>
  <si>
    <t>A</t>
  </si>
  <si>
    <t>Základní rozpočtové náklady</t>
  </si>
  <si>
    <t>B</t>
  </si>
  <si>
    <t>Doplňkové náklady</t>
  </si>
  <si>
    <t>C</t>
  </si>
  <si>
    <t>Náklady na umístění stavby (NUS)</t>
  </si>
  <si>
    <t>HSV</t>
  </si>
  <si>
    <t>Dodávky</t>
  </si>
  <si>
    <t>Práce přesčas</t>
  </si>
  <si>
    <t>Bez pevné podl.</t>
  </si>
  <si>
    <t>Mimostav. doprava</t>
  </si>
  <si>
    <t>PSV</t>
  </si>
  <si>
    <t>Kulturní památka</t>
  </si>
  <si>
    <t>Územní vlivy</t>
  </si>
  <si>
    <t>Provozní vlivy</t>
  </si>
  <si>
    <t>"M"</t>
  </si>
  <si>
    <t>Ostatní</t>
  </si>
  <si>
    <t>NUS z rozpočtu</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</si>
  <si>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</si>
  <si>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</si>
  <si>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</si>
  <si>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</si>
  <si>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</si>
  <si>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</si>
  <si>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</si>
  <si>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</si>
  <si>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</si>
  <si>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</si>
  <si>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</si>
  <si>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</si>
  <si>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</si>
  <si>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</si>
  <si>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</si>
  <si>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</si>
  <si>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</si>
  <si>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</si>
  <si>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</si>
  <si>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Vedlejší rozpočtové náklady VRN</t>
  </si>
  <si>
    <t>Doplňkové náklady DN</t>
  </si>
  <si>
    <t>Kč</t>
  </si>
  <si>
    <t>Základna</t>
  </si>
  <si>
    <t>Celkem DN</t>
  </si>
  <si>
    <t>Celkem NUS</t>
  </si>
  <si>
    <t>Celkem VRN</t>
  </si>
  <si>
    <t>Vedlejší a ostatní rozpočtové náklady VORN</t>
  </si>
  <si>
    <t>Ostatní rozpočtové náklady (VORN)</t>
  </si>
  <si>
    <t>Příprava staveniště</t>
  </si>
  <si>
    <t>Finanční náklady</t>
  </si>
  <si>
    <t>Náklady na pracovníky</t>
  </si>
  <si>
    <t>Vlastní VORN</t>
  </si>
  <si>
    <t>Celkem VORN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</si>
</sst>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Calibri"/>
      <charset val="1"/>
    </font>
    <font>
      <sz val="18"/>
      <color rgb="FF000000"/>
      <name val="Arial"/>
      <charset val="238"/>
    </font>
    <font>
      <b/>
      <sz val="10"/>
      <color rgb="FF000000"/>
      <name val="Arial"/>
      <charset val="238"/>
    </font>
    <font>
      <sz val="10"/>
      <color rgb="FF000000"/>
      <name val="Arial"/>
      <charset val="238"/>
    </font>
    <font>
      <i/>
      <sz val="10"/>
      <color rgb="FF000080"/>
      <name val="Arial"/>
      <charset val="238"/>
    </font>
    <font>
      <i/>
      <sz val="10"/>
      <color rgb="FF000000"/>
      <name val="Arial"/>
      <charset val="238"/>
    </font>
    <font>
      <i/>
      <sz val="8"/>
      <color rgb="FF000000"/>
      <name val="Arial"/>
      <charset val="238"/>
    </font>
    <font>
      <b/>
      <sz val="18"/>
      <color rgb="FF000000"/>
      <name val="Arial"/>
      <charset val="238"/>
    </font>
    <font>
      <b/>
      <sz val="20"/>
      <color rgb="FF000000"/>
      <name val="Arial"/>
      <charset val="238"/>
    </font>
    <font>
      <b/>
      <sz val="11"/>
      <color rgb="FF000000"/>
      <name val="Arial"/>
      <charset val="238"/>
    </font>
    <font>
      <b/>
      <sz val="12"/>
      <color rgb="FF000000"/>
      <name val="Arial"/>
      <charset val="238"/>
    </font>
    <font>
      <sz val="12"/>
      <color rgb="FF000000"/>
      <name val="Arial"/>
      <charset val="238"/>
    </font>
  </fonts>
  <fills count="3">
    <fill>
      <patternFill patternType="none"/>
    </fill>
    <fill>
      <patternFill patternType="gray125"/>
    </fill>
    <fill>
      <patternFill patternType="solid">
        <fgColor rgb="FFC0C0C0"/>
        <bgColor rgb="FFC0C0C0"/>
      </patternFill>
    </fill>
  </fills>
  <borders count="74">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159">
    <xf numFmtId="0" fontId="0" fillId="0" borderId="0" xfId="0"/>
    <xf numFmtId="4" fontId="2" fillId="2" borderId="0" xfId="0" applyNumberFormat="1" applyFont="1" applyFill="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2" borderId="28" xfId="0" applyFont="1" applyFill="1" applyBorder="1" applyAlignment="1">
      <alignment horizontal="left" vertical="center"/>
    </xf>
    <xf numFmtId="0" fontId="2" fillId="2" borderId="29" xfId="0" applyFont="1" applyFill="1" applyBorder="1" applyAlignment="1">
      <alignment horizontal="left" vertical="center"/>
    </xf>
    <xf numFmtId="0" fontId="3" fillId="2" borderId="29" xfId="0" applyFont="1" applyFill="1" applyBorder="1" applyAlignment="1">
      <alignment horizontal="left" vertical="center"/>
    </xf>
    <xf numFmtId="4" fontId="2" fillId="2" borderId="29" xfId="0" applyNumberFormat="1" applyFont="1" applyFill="1" applyBorder="1" applyAlignment="1">
      <alignment horizontal="right" vertical="center"/>
    </xf>
    <xf numFmtId="0" fontId="2" fillId="2" borderId="30" xfId="0" applyFont="1" applyFill="1" applyBorder="1" applyAlignment="1">
      <alignment horizontal="right" vertical="center"/>
    </xf>
    <xf numFmtId="0" fontId="3" fillId="2" borderId="5"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2" borderId="6" xfId="0" applyFont="1" applyFill="1" applyBorder="1" applyAlignment="1">
      <alignment horizontal="right" vertical="center"/>
    </xf>
    <xf numFmtId="4" fontId="3" fillId="0" borderId="0" xfId="0" applyNumberFormat="1" applyFont="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0" fillId="0" borderId="5" xfId="0" applyBorder="1"/>
    <xf numFmtId="0" fontId="4" fillId="0" borderId="0" xfId="0" applyFont="1" applyAlignment="1">
      <alignment horizontal="left" vertical="center"/>
    </xf>
    <xf numFmtId="4" fontId="4" fillId="0" borderId="0" xfId="0" applyNumberFormat="1" applyFont="1" applyAlignment="1">
      <alignment horizontal="right" vertical="center"/>
    </xf>
    <xf numFmtId="0" fontId="0" fillId="0" borderId="6" xfId="0" applyBorder="1"/>
    <xf numFmtId="0" fontId="4"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horizontal="righ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4" fontId="3" fillId="0" borderId="32" xfId="0" applyNumberFormat="1" applyFont="1" applyBorder="1" applyAlignment="1">
      <alignment horizontal="right" vertical="center"/>
    </xf>
    <xf numFmtId="0" fontId="3" fillId="0" borderId="33" xfId="0" applyFont="1" applyBorder="1" applyAlignment="1">
      <alignment horizontal="right" vertical="center"/>
    </xf>
    <xf numFmtId="4" fontId="2" fillId="0" borderId="34" xfId="0" applyNumberFormat="1" applyFont="1" applyBorder="1" applyAlignment="1">
      <alignment horizontal="right" vertical="center"/>
    </xf>
    <xf numFmtId="0" fontId="6" fillId="0" borderId="0" xfId="0" applyFont="1" applyAlignment="1">
      <alignment horizontal="left" vertical="center"/>
    </xf>
    <xf numFmtId="0" fontId="8" fillId="2" borderId="36" xfId="0" applyFont="1" applyFill="1" applyBorder="1" applyAlignment="1">
      <alignment horizontal="center" vertical="center"/>
    </xf>
    <xf numFmtId="0" fontId="8" fillId="2" borderId="39" xfId="0" applyFont="1" applyFill="1" applyBorder="1" applyAlignment="1">
      <alignment horizontal="center" vertical="center"/>
    </xf>
    <xf numFmtId="0" fontId="10" fillId="0" borderId="40" xfId="0" applyFont="1" applyBorder="1" applyAlignment="1">
      <alignment horizontal="left" vertical="center"/>
    </xf>
    <xf numFmtId="0" fontId="11" fillId="0" borderId="41" xfId="0" applyFont="1" applyBorder="1" applyAlignment="1">
      <alignment horizontal="left" vertical="center"/>
    </xf>
    <xf numFmtId="4" fontId="11" fillId="0" borderId="41" xfId="0" applyNumberFormat="1" applyFont="1" applyBorder="1" applyAlignment="1">
      <alignment horizontal="right" vertical="center"/>
    </xf>
    <xf numFmtId="0" fontId="11" fillId="0" borderId="41" xfId="0" applyFont="1" applyBorder="1" applyAlignment="1">
      <alignment horizontal="right" vertical="center"/>
    </xf>
    <xf numFmtId="0" fontId="10" fillId="0" borderId="44" xfId="0" applyFont="1" applyBorder="1" applyAlignment="1">
      <alignment horizontal="left" vertical="center"/>
    </xf>
    <xf numFmtId="4" fontId="11" fillId="0" borderId="48" xfId="0" applyNumberFormat="1" applyFont="1" applyBorder="1" applyAlignment="1">
      <alignment horizontal="right" vertical="center"/>
    </xf>
    <xf numFmtId="0" fontId="11" fillId="0" borderId="48" xfId="0" applyFont="1" applyBorder="1" applyAlignment="1">
      <alignment horizontal="right" vertical="center"/>
    </xf>
    <xf numFmtId="4" fontId="11" fillId="0" borderId="39" xfId="0" applyNumberFormat="1" applyFont="1" applyBorder="1" applyAlignment="1">
      <alignment horizontal="right" vertical="center"/>
    </xf>
    <xf numFmtId="4" fontId="11" fillId="0" borderId="25" xfId="0" applyNumberFormat="1" applyFont="1" applyBorder="1" applyAlignment="1">
      <alignment horizontal="right" vertical="center"/>
    </xf>
    <xf numFmtId="4" fontId="10" fillId="2" borderId="38" xfId="0" applyNumberFormat="1" applyFont="1" applyFill="1" applyBorder="1" applyAlignment="1">
      <alignment horizontal="right" vertical="center"/>
    </xf>
    <xf numFmtId="4" fontId="10" fillId="2" borderId="43" xfId="0" applyNumberFormat="1" applyFont="1" applyFill="1" applyBorder="1" applyAlignment="1">
      <alignment horizontal="right" vertical="center"/>
    </xf>
    <xf numFmtId="0" fontId="6" fillId="0" borderId="29" xfId="0" applyFont="1" applyBorder="1" applyAlignment="1">
      <alignment horizontal="left" vertical="center"/>
    </xf>
    <xf numFmtId="0" fontId="2" fillId="0" borderId="64" xfId="0" applyFont="1" applyBorder="1" applyAlignment="1">
      <alignment horizontal="right" vertical="center"/>
    </xf>
    <xf numFmtId="4" fontId="3" fillId="0" borderId="41" xfId="0" applyNumberFormat="1" applyFont="1" applyBorder="1" applyAlignment="1">
      <alignment horizontal="right" vertical="center"/>
    </xf>
    <xf numFmtId="0" fontId="3" fillId="0" borderId="41" xfId="0" applyFont="1" applyBorder="1" applyAlignment="1">
      <alignment horizontal="left" vertical="center"/>
    </xf>
    <xf numFmtId="4" fontId="3" fillId="0" borderId="68" xfId="0" applyNumberFormat="1" applyFont="1" applyBorder="1" applyAlignment="1">
      <alignment horizontal="right" vertical="center"/>
    </xf>
    <xf numFmtId="0" fontId="3" fillId="0" borderId="68" xfId="0" applyFont="1" applyBorder="1" applyAlignment="1">
      <alignment horizontal="left" vertical="center"/>
    </xf>
    <xf numFmtId="0" fontId="2" fillId="0" borderId="72" xfId="0" applyFont="1" applyBorder="1" applyAlignment="1">
      <alignment horizontal="left" vertical="center"/>
    </xf>
    <xf numFmtId="0" fontId="2" fillId="0" borderId="72" xfId="0" applyFont="1" applyBorder="1" applyAlignment="1">
      <alignment horizontal="right" vertical="center"/>
    </xf>
    <xf numFmtId="4" fontId="2" fillId="0" borderId="72" xfId="0" applyNumberFormat="1" applyFont="1" applyBorder="1" applyAlignment="1">
      <alignment horizontal="right" vertical="center"/>
    </xf>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29"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6" xfId="0" applyFont="1" applyBorder="1" applyAlignment="1">
      <alignment horizontal="left" vertical="center"/>
    </xf>
    <xf numFmtId="0" fontId="3" fillId="0" borderId="32" xfId="0" applyFont="1" applyBorder="1" applyAlignment="1">
      <alignment horizontal="left" vertical="center" wrapText="1"/>
    </xf>
    <xf numFmtId="0" fontId="3" fillId="0" borderId="32" xfId="0" applyFont="1" applyBorder="1" applyAlignment="1">
      <alignment horizontal="left" vertical="center"/>
    </xf>
    <xf numFmtId="0" fontId="2" fillId="0" borderId="34" xfId="0" applyFont="1" applyBorder="1" applyAlignment="1">
      <alignment horizontal="left" vertical="center"/>
    </xf>
    <xf numFmtId="0" fontId="1" fillId="0" borderId="1" xfId="0" applyFont="1" applyBorder="1" applyAlignment="1">
      <alignment horizontal="center" vertical="center" wrapText="1"/>
    </xf>
    <xf numFmtId="0" fontId="3" fillId="0" borderId="31" xfId="0" applyFont="1" applyBorder="1" applyAlignment="1">
      <alignment horizontal="left" vertical="center"/>
    </xf>
    <xf numFmtId="1" fontId="3" fillId="0" borderId="6" xfId="0" applyNumberFormat="1" applyFont="1" applyBorder="1" applyAlignment="1">
      <alignment horizontal="left" vertical="center"/>
    </xf>
    <xf numFmtId="0" fontId="3" fillId="0" borderId="6" xfId="0" applyFont="1" applyBorder="1" applyAlignment="1">
      <alignment horizontal="left" vertical="center" wrapText="1"/>
    </xf>
    <xf numFmtId="0" fontId="3" fillId="0" borderId="33" xfId="0" applyFont="1" applyBorder="1" applyAlignment="1">
      <alignment horizontal="left" vertical="center"/>
    </xf>
    <xf numFmtId="0" fontId="7" fillId="0" borderId="35" xfId="0" applyFont="1" applyBorder="1" applyAlignment="1">
      <alignment horizontal="center" vertical="center"/>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10" fillId="0" borderId="45" xfId="0" applyFont="1" applyBorder="1" applyAlignment="1">
      <alignment horizontal="left" vertical="center"/>
    </xf>
    <xf numFmtId="0" fontId="10" fillId="0" borderId="43"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50" xfId="0" applyFont="1" applyBorder="1" applyAlignment="1">
      <alignment horizontal="left" vertical="center"/>
    </xf>
    <xf numFmtId="0" fontId="10" fillId="0" borderId="38" xfId="0" applyFont="1" applyBorder="1" applyAlignment="1">
      <alignment horizontal="left" vertical="center"/>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49" xfId="0" applyFont="1" applyBorder="1" applyAlignment="1">
      <alignment horizontal="left" vertical="center"/>
    </xf>
    <xf numFmtId="0" fontId="11" fillId="0" borderId="47" xfId="0" applyFont="1" applyBorder="1" applyAlignment="1">
      <alignment horizontal="left" vertical="center"/>
    </xf>
    <xf numFmtId="0" fontId="10" fillId="0" borderId="37" xfId="0" applyFont="1" applyBorder="1" applyAlignment="1">
      <alignment horizontal="left" vertical="center"/>
    </xf>
    <xf numFmtId="0" fontId="10" fillId="0" borderId="42" xfId="0" applyFont="1" applyBorder="1" applyAlignment="1">
      <alignment horizontal="left" vertical="center"/>
    </xf>
    <xf numFmtId="0" fontId="10" fillId="2" borderId="50"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45" xfId="0" applyFont="1" applyFill="1" applyBorder="1" applyAlignment="1">
      <alignment horizontal="left" vertical="center"/>
    </xf>
    <xf numFmtId="0" fontId="10" fillId="2" borderId="52" xfId="0" applyFont="1" applyFill="1" applyBorder="1" applyAlignment="1">
      <alignment horizontal="left" vertical="center"/>
    </xf>
    <xf numFmtId="0" fontId="10" fillId="2" borderId="37" xfId="0" applyFont="1" applyFill="1" applyBorder="1" applyAlignment="1">
      <alignment horizontal="left" vertical="center"/>
    </xf>
    <xf numFmtId="0" fontId="10" fillId="2" borderId="42" xfId="0" applyFont="1" applyFill="1" applyBorder="1" applyAlignment="1">
      <alignment horizontal="left" vertical="center"/>
    </xf>
    <xf numFmtId="0" fontId="11" fillId="0" borderId="53" xfId="0" applyFont="1" applyBorder="1" applyAlignment="1">
      <alignment horizontal="left" vertical="center"/>
    </xf>
    <xf numFmtId="0" fontId="11" fillId="0" borderId="54" xfId="0" applyFont="1" applyBorder="1" applyAlignment="1">
      <alignment horizontal="left" vertical="center"/>
    </xf>
    <xf numFmtId="0" fontId="11" fillId="0" borderId="55" xfId="0" applyFont="1" applyBorder="1" applyAlignment="1">
      <alignment horizontal="left" vertical="center"/>
    </xf>
    <xf numFmtId="0" fontId="11" fillId="0" borderId="57" xfId="0" applyFont="1" applyBorder="1" applyAlignment="1">
      <alignment horizontal="left" vertical="center"/>
    </xf>
    <xf numFmtId="0" fontId="11" fillId="0" borderId="0" xfId="0" applyFont="1" applyAlignment="1">
      <alignment horizontal="left" vertical="center"/>
    </xf>
    <xf numFmtId="0" fontId="11" fillId="0" borderId="58" xfId="0" applyFont="1" applyBorder="1" applyAlignment="1">
      <alignment horizontal="left" vertical="center"/>
    </xf>
    <xf numFmtId="0" fontId="11" fillId="0" borderId="60" xfId="0" applyFont="1" applyBorder="1" applyAlignment="1">
      <alignment horizontal="left" vertical="center"/>
    </xf>
    <xf numFmtId="0" fontId="11" fillId="0" borderId="61" xfId="0" applyFont="1" applyBorder="1" applyAlignment="1">
      <alignment horizontal="left" vertical="center"/>
    </xf>
    <xf numFmtId="0" fontId="11" fillId="0" borderId="62" xfId="0" applyFont="1" applyBorder="1" applyAlignment="1">
      <alignment horizontal="left" vertical="center"/>
    </xf>
    <xf numFmtId="0" fontId="11" fillId="0" borderId="56" xfId="0" applyFont="1" applyBorder="1" applyAlignment="1">
      <alignment horizontal="left" vertical="center"/>
    </xf>
    <xf numFmtId="0" fontId="11" fillId="0" borderId="59" xfId="0" applyFont="1" applyBorder="1" applyAlignment="1">
      <alignment horizontal="left" vertical="center"/>
    </xf>
    <xf numFmtId="0" fontId="11" fillId="0" borderId="63" xfId="0" applyFont="1" applyBorder="1" applyAlignment="1">
      <alignment horizontal="left" vertical="center"/>
    </xf>
    <xf numFmtId="0" fontId="10"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3" fillId="0" borderId="45" xfId="0" applyFont="1" applyBorder="1" applyAlignment="1">
      <alignment horizontal="left" vertical="center"/>
    </xf>
    <xf numFmtId="0" fontId="3" fillId="0" borderId="52" xfId="0" applyFont="1" applyBorder="1" applyAlignment="1">
      <alignment horizontal="left" vertical="center"/>
    </xf>
    <xf numFmtId="0" fontId="3" fillId="0" borderId="43" xfId="0" applyFont="1" applyBorder="1" applyAlignment="1">
      <alignment horizontal="left"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2" fillId="0" borderId="69"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10" fillId="0" borderId="69" xfId="0" applyFont="1" applyBorder="1" applyAlignment="1">
      <alignment horizontal="left" vertical="center"/>
    </xf>
    <xf numFmtId="0" fontId="10" fillId="0" borderId="70" xfId="0" applyFont="1" applyBorder="1" applyAlignment="1">
      <alignment horizontal="left" vertical="center"/>
    </xf>
    <xf numFmtId="0" fontId="10" fillId="0" borderId="71" xfId="0" applyFont="1" applyBorder="1" applyAlignment="1">
      <alignment horizontal="left" vertical="center"/>
    </xf>
    <xf numFmtId="4" fontId="10" fillId="0" borderId="73" xfId="0" applyNumberFormat="1" applyFont="1" applyBorder="1" applyAlignment="1">
      <alignment horizontal="right" vertical="center"/>
    </xf>
    <xf numFmtId="0" fontId="10" fillId="0" borderId="70" xfId="0" applyFont="1" applyBorder="1" applyAlignment="1">
      <alignment horizontal="right" vertical="center"/>
    </xf>
    <xf numFmtId="0" fontId="10" fillId="0" borderId="71" xfId="0" applyFont="1" applyBorder="1" applyAlignment="1">
      <alignment horizontal="righ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342"/>
  <sheetViews>
    <sheetView tabSelected="1" workbookViewId="0">
      <pane ySplit="11" topLeftCell="A12" activePane="bottomLeft" state="frozen"/>
      <selection pane="bottomLeft" activeCell="G4" sqref="G4:G5"/>
    </sheetView>
  </sheetViews>
  <sheetFormatPr defaultColWidth="12.109375" defaultRowHeight="15" customHeight="1" x14ac:dyDescent="0.3"/>
  <cols>
    <col min="1" max="1" width="4" customWidth="1"/>
    <col min="2" max="2" width="17.88671875" customWidth="1"/>
    <col min="3" max="3" width="42.88671875" customWidth="1"/>
    <col min="4" max="4" width="35.6640625" customWidth="1"/>
    <col min="5" max="5" width="8.44140625" customWidth="1"/>
    <col min="6" max="6" width="12.88671875" customWidth="1"/>
    <col min="7" max="7" width="12" customWidth="1"/>
    <col min="8" max="10" width="15.6640625" customWidth="1"/>
    <col min="11" max="11" width="14.6640625" customWidth="1"/>
    <col min="25" max="75" width="12.109375" hidden="1"/>
    <col min="76" max="76" width="78.5546875" hidden="1" customWidth="1"/>
    <col min="77" max="78" width="12.109375" hidden="1"/>
  </cols>
  <sheetData>
    <row r="1" spans="1:76" ht="54.75" customHeight="1" x14ac:dyDescent="0.3">
      <c r="A1" s="66" t="s">
        <v>0</v>
      </c>
      <c r="B1" s="66"/>
      <c r="C1" s="66"/>
      <c r="D1" s="66"/>
      <c r="E1" s="66"/>
      <c r="F1" s="66"/>
      <c r="G1" s="66"/>
      <c r="H1" s="66"/>
      <c r="I1" s="66"/>
      <c r="J1" s="66"/>
      <c r="K1" s="66"/>
      <c r="AS1" s="1">
        <f>SUM(AJ1:AJ2)</f>
        <v>0</v>
      </c>
      <c r="AT1" s="1">
        <f>SUM(AK1:AK2)</f>
        <v>0</v>
      </c>
      <c r="AU1" s="1">
        <f>SUM(AL1:AL2)</f>
        <v>0</v>
      </c>
    </row>
    <row r="2" spans="1:76" ht="14.4" x14ac:dyDescent="0.3">
      <c r="A2" s="67" t="s">
        <v>1</v>
      </c>
      <c r="B2" s="68"/>
      <c r="C2" s="76" t="s">
        <v>2</v>
      </c>
      <c r="D2" s="77"/>
      <c r="E2" s="68" t="s">
        <v>3</v>
      </c>
      <c r="F2" s="68"/>
      <c r="G2" s="68" t="s">
        <v>4</v>
      </c>
      <c r="H2" s="74" t="s">
        <v>5</v>
      </c>
      <c r="I2" s="74" t="s">
        <v>6</v>
      </c>
      <c r="J2" s="68"/>
      <c r="K2" s="79"/>
    </row>
    <row r="3" spans="1:76" ht="14.4" x14ac:dyDescent="0.3">
      <c r="A3" s="69"/>
      <c r="B3" s="70"/>
      <c r="C3" s="78"/>
      <c r="D3" s="78"/>
      <c r="E3" s="70"/>
      <c r="F3" s="70"/>
      <c r="G3" s="70"/>
      <c r="H3" s="70"/>
      <c r="I3" s="70"/>
      <c r="J3" s="70"/>
      <c r="K3" s="80"/>
    </row>
    <row r="4" spans="1:76" ht="14.4" x14ac:dyDescent="0.3">
      <c r="A4" s="71" t="s">
        <v>7</v>
      </c>
      <c r="B4" s="70"/>
      <c r="C4" s="75" t="s">
        <v>8</v>
      </c>
      <c r="D4" s="70"/>
      <c r="E4" s="70" t="s">
        <v>9</v>
      </c>
      <c r="F4" s="70"/>
      <c r="G4" s="70"/>
      <c r="H4" s="75" t="s">
        <v>11</v>
      </c>
      <c r="I4" s="75" t="s">
        <v>12</v>
      </c>
      <c r="J4" s="70"/>
      <c r="K4" s="80"/>
    </row>
    <row r="5" spans="1:76" ht="14.4" x14ac:dyDescent="0.3">
      <c r="A5" s="69"/>
      <c r="B5" s="70"/>
      <c r="C5" s="70"/>
      <c r="D5" s="70"/>
      <c r="E5" s="70"/>
      <c r="F5" s="70"/>
      <c r="G5" s="70"/>
      <c r="H5" s="70"/>
      <c r="I5" s="70"/>
      <c r="J5" s="70"/>
      <c r="K5" s="80"/>
    </row>
    <row r="6" spans="1:76" ht="14.4" x14ac:dyDescent="0.3">
      <c r="A6" s="71" t="s">
        <v>13</v>
      </c>
      <c r="B6" s="70"/>
      <c r="C6" s="75" t="s">
        <v>14</v>
      </c>
      <c r="D6" s="70"/>
      <c r="E6" s="70" t="s">
        <v>15</v>
      </c>
      <c r="F6" s="70"/>
      <c r="G6" s="70" t="s">
        <v>4</v>
      </c>
      <c r="H6" s="75" t="s">
        <v>16</v>
      </c>
      <c r="I6" s="70" t="s">
        <v>17</v>
      </c>
      <c r="J6" s="70"/>
      <c r="K6" s="80"/>
    </row>
    <row r="7" spans="1:76" ht="14.4" x14ac:dyDescent="0.3">
      <c r="A7" s="69"/>
      <c r="B7" s="70"/>
      <c r="C7" s="70"/>
      <c r="D7" s="70"/>
      <c r="E7" s="70"/>
      <c r="F7" s="70"/>
      <c r="G7" s="70"/>
      <c r="H7" s="70"/>
      <c r="I7" s="70"/>
      <c r="J7" s="70"/>
      <c r="K7" s="80"/>
    </row>
    <row r="8" spans="1:76" ht="14.4" x14ac:dyDescent="0.3">
      <c r="A8" s="71" t="s">
        <v>18</v>
      </c>
      <c r="B8" s="70"/>
      <c r="C8" s="75" t="s">
        <v>19</v>
      </c>
      <c r="D8" s="70"/>
      <c r="E8" s="70" t="s">
        <v>20</v>
      </c>
      <c r="F8" s="70"/>
      <c r="G8" s="70" t="s">
        <v>10</v>
      </c>
      <c r="H8" s="75" t="s">
        <v>21</v>
      </c>
      <c r="I8" s="70" t="s">
        <v>17</v>
      </c>
      <c r="J8" s="70"/>
      <c r="K8" s="80"/>
    </row>
    <row r="9" spans="1:76" ht="14.4" x14ac:dyDescent="0.3">
      <c r="A9" s="72"/>
      <c r="B9" s="73"/>
      <c r="C9" s="73"/>
      <c r="D9" s="73"/>
      <c r="E9" s="73"/>
      <c r="F9" s="73"/>
      <c r="G9" s="73"/>
      <c r="H9" s="73"/>
      <c r="I9" s="73"/>
      <c r="J9" s="73"/>
      <c r="K9" s="81"/>
    </row>
    <row r="10" spans="1:76" ht="14.4" x14ac:dyDescent="0.3">
      <c r="A10" s="5" t="s">
        <v>22</v>
      </c>
      <c r="B10" s="6" t="s">
        <v>23</v>
      </c>
      <c r="C10" s="82" t="s">
        <v>24</v>
      </c>
      <c r="D10" s="83"/>
      <c r="E10" s="6" t="s">
        <v>25</v>
      </c>
      <c r="F10" s="7" t="s">
        <v>26</v>
      </c>
      <c r="G10" s="8" t="s">
        <v>27</v>
      </c>
      <c r="H10" s="86" t="s">
        <v>28</v>
      </c>
      <c r="I10" s="87"/>
      <c r="J10" s="88"/>
      <c r="K10" s="9" t="s">
        <v>29</v>
      </c>
      <c r="BK10" s="10" t="s">
        <v>30</v>
      </c>
      <c r="BL10" s="11" t="s">
        <v>31</v>
      </c>
      <c r="BW10" s="11" t="s">
        <v>32</v>
      </c>
    </row>
    <row r="11" spans="1:76" ht="14.4" x14ac:dyDescent="0.3">
      <c r="A11" s="12" t="s">
        <v>4</v>
      </c>
      <c r="B11" s="13" t="s">
        <v>4</v>
      </c>
      <c r="C11" s="84" t="s">
        <v>33</v>
      </c>
      <c r="D11" s="85"/>
      <c r="E11" s="13" t="s">
        <v>4</v>
      </c>
      <c r="F11" s="13" t="s">
        <v>4</v>
      </c>
      <c r="G11" s="14" t="s">
        <v>34</v>
      </c>
      <c r="H11" s="15" t="s">
        <v>35</v>
      </c>
      <c r="I11" s="16" t="s">
        <v>36</v>
      </c>
      <c r="J11" s="17" t="s">
        <v>37</v>
      </c>
      <c r="K11" s="18" t="s">
        <v>38</v>
      </c>
      <c r="Z11" s="10" t="s">
        <v>39</v>
      </c>
      <c r="AA11" s="10" t="s">
        <v>40</v>
      </c>
      <c r="AB11" s="10" t="s">
        <v>41</v>
      </c>
      <c r="AC11" s="10" t="s">
        <v>42</v>
      </c>
      <c r="AD11" s="10" t="s">
        <v>43</v>
      </c>
      <c r="AE11" s="10" t="s">
        <v>44</v>
      </c>
      <c r="AF11" s="10" t="s">
        <v>45</v>
      </c>
      <c r="AG11" s="10" t="s">
        <v>46</v>
      </c>
      <c r="AH11" s="10" t="s">
        <v>47</v>
      </c>
      <c r="BH11" s="10" t="s">
        <v>48</v>
      </c>
      <c r="BI11" s="10" t="s">
        <v>49</v>
      </c>
      <c r="BJ11" s="10" t="s">
        <v>50</v>
      </c>
    </row>
    <row r="12" spans="1:76" ht="14.4" x14ac:dyDescent="0.3">
      <c r="A12" s="19" t="s">
        <v>51</v>
      </c>
      <c r="B12" s="20" t="s">
        <v>51</v>
      </c>
      <c r="C12" s="89" t="s">
        <v>52</v>
      </c>
      <c r="D12" s="90"/>
      <c r="E12" s="21" t="s">
        <v>4</v>
      </c>
      <c r="F12" s="21" t="s">
        <v>4</v>
      </c>
      <c r="G12" s="21" t="s">
        <v>4</v>
      </c>
      <c r="H12" s="22">
        <f>H13+H34+H43+H60+H85+H89+H96+H102+H107+H111+H127+H141+H151+H169+H207+H211+H218+H222+H231+H235+H260+H300+H308+H312+H317</f>
        <v>0</v>
      </c>
      <c r="I12" s="22">
        <f>I13+I34+I43+I60+I85+I89+I96+I102+I107+I111+I127+I141+I151+I169+I207+I211+I218+I222+I231+I235+I260+I300+I308+I312+I317</f>
        <v>0</v>
      </c>
      <c r="J12" s="22">
        <f>J13+J34+J43+J60+J85+J89+J96+J102+J107+J111+J127+J141+J151+J169+J207+J211+J218+J222+J231+J235+J260+J300+J308+J312+J317</f>
        <v>0</v>
      </c>
      <c r="K12" s="23" t="s">
        <v>51</v>
      </c>
    </row>
    <row r="13" spans="1:76" ht="14.4" x14ac:dyDescent="0.3">
      <c r="A13" s="24" t="s">
        <v>51</v>
      </c>
      <c r="B13" s="25" t="s">
        <v>53</v>
      </c>
      <c r="C13" s="91" t="s">
        <v>54</v>
      </c>
      <c r="D13" s="92"/>
      <c r="E13" s="26" t="s">
        <v>4</v>
      </c>
      <c r="F13" s="26" t="s">
        <v>4</v>
      </c>
      <c r="G13" s="26" t="s">
        <v>4</v>
      </c>
      <c r="H13" s="1">
        <f>SUM(H14:H32)</f>
        <v>0</v>
      </c>
      <c r="I13" s="1">
        <f>SUM(I14:I32)</f>
        <v>0</v>
      </c>
      <c r="J13" s="1">
        <f>SUM(J14:J32)</f>
        <v>0</v>
      </c>
      <c r="K13" s="27" t="s">
        <v>51</v>
      </c>
      <c r="AI13" s="10" t="s">
        <v>55</v>
      </c>
      <c r="AS13" s="1">
        <f>SUM(AJ14:AJ32)</f>
        <v>0</v>
      </c>
      <c r="AT13" s="1">
        <f>SUM(AK14:AK32)</f>
        <v>0</v>
      </c>
      <c r="AU13" s="1">
        <f>SUM(AL14:AL32)</f>
        <v>0</v>
      </c>
    </row>
    <row r="14" spans="1:76" ht="14.4" x14ac:dyDescent="0.3">
      <c r="A14" s="2" t="s">
        <v>56</v>
      </c>
      <c r="B14" s="3" t="s">
        <v>57</v>
      </c>
      <c r="C14" s="75" t="s">
        <v>58</v>
      </c>
      <c r="D14" s="70"/>
      <c r="E14" s="3" t="s">
        <v>59</v>
      </c>
      <c r="F14" s="28">
        <v>120.8</v>
      </c>
      <c r="G14" s="28">
        <v>0</v>
      </c>
      <c r="H14" s="28">
        <f>ROUND(F14*AO14,2)</f>
        <v>0</v>
      </c>
      <c r="I14" s="28">
        <f>ROUND(F14*AP14,2)</f>
        <v>0</v>
      </c>
      <c r="J14" s="28">
        <f>ROUND(F14*G14,2)</f>
        <v>0</v>
      </c>
      <c r="K14" s="29" t="s">
        <v>60</v>
      </c>
      <c r="Z14" s="28">
        <f>ROUND(IF(AQ14="5",BJ14,0),2)</f>
        <v>0</v>
      </c>
      <c r="AB14" s="28">
        <f>ROUND(IF(AQ14="1",BH14,0),2)</f>
        <v>0</v>
      </c>
      <c r="AC14" s="28">
        <f>ROUND(IF(AQ14="1",BI14,0),2)</f>
        <v>0</v>
      </c>
      <c r="AD14" s="28">
        <f>ROUND(IF(AQ14="7",BH14,0),2)</f>
        <v>0</v>
      </c>
      <c r="AE14" s="28">
        <f>ROUND(IF(AQ14="7",BI14,0),2)</f>
        <v>0</v>
      </c>
      <c r="AF14" s="28">
        <f>ROUND(IF(AQ14="2",BH14,0),2)</f>
        <v>0</v>
      </c>
      <c r="AG14" s="28">
        <f>ROUND(IF(AQ14="2",BI14,0),2)</f>
        <v>0</v>
      </c>
      <c r="AH14" s="28">
        <f>ROUND(IF(AQ14="0",BJ14,0),2)</f>
        <v>0</v>
      </c>
      <c r="AI14" s="10" t="s">
        <v>55</v>
      </c>
      <c r="AJ14" s="28">
        <f>IF(AN14=0,J14,0)</f>
        <v>0</v>
      </c>
      <c r="AK14" s="28">
        <f>IF(AN14=12,J14,0)</f>
        <v>0</v>
      </c>
      <c r="AL14" s="28">
        <f>IF(AN14=21,J14,0)</f>
        <v>0</v>
      </c>
      <c r="AN14" s="28">
        <v>21</v>
      </c>
      <c r="AO14" s="28">
        <f>G14*0</f>
        <v>0</v>
      </c>
      <c r="AP14" s="28">
        <f>G14*(1-0)</f>
        <v>0</v>
      </c>
      <c r="AQ14" s="30" t="s">
        <v>56</v>
      </c>
      <c r="AV14" s="28">
        <f>ROUND(AW14+AX14,2)</f>
        <v>0</v>
      </c>
      <c r="AW14" s="28">
        <f>ROUND(F14*AO14,2)</f>
        <v>0</v>
      </c>
      <c r="AX14" s="28">
        <f>ROUND(F14*AP14,2)</f>
        <v>0</v>
      </c>
      <c r="AY14" s="30" t="s">
        <v>61</v>
      </c>
      <c r="AZ14" s="30" t="s">
        <v>62</v>
      </c>
      <c r="BA14" s="10" t="s">
        <v>63</v>
      </c>
      <c r="BC14" s="28">
        <f>AW14+AX14</f>
        <v>0</v>
      </c>
      <c r="BD14" s="28">
        <f>G14/(100-BE14)*100</f>
        <v>0</v>
      </c>
      <c r="BE14" s="28">
        <v>0</v>
      </c>
      <c r="BF14" s="28">
        <f>14</f>
        <v>14</v>
      </c>
      <c r="BH14" s="28">
        <f>F14*AO14</f>
        <v>0</v>
      </c>
      <c r="BI14" s="28">
        <f>F14*AP14</f>
        <v>0</v>
      </c>
      <c r="BJ14" s="28">
        <f>F14*G14</f>
        <v>0</v>
      </c>
      <c r="BK14" s="28"/>
      <c r="BL14" s="28">
        <v>13</v>
      </c>
      <c r="BW14" s="28">
        <v>21</v>
      </c>
      <c r="BX14" s="4" t="s">
        <v>58</v>
      </c>
    </row>
    <row r="15" spans="1:76" ht="14.4" x14ac:dyDescent="0.3">
      <c r="A15" s="31"/>
      <c r="C15" s="32" t="s">
        <v>64</v>
      </c>
      <c r="D15" s="32" t="s">
        <v>65</v>
      </c>
      <c r="F15" s="33">
        <v>89.6</v>
      </c>
      <c r="K15" s="34"/>
    </row>
    <row r="16" spans="1:76" ht="14.4" x14ac:dyDescent="0.3">
      <c r="A16" s="31"/>
      <c r="C16" s="32" t="s">
        <v>66</v>
      </c>
      <c r="D16" s="32" t="s">
        <v>67</v>
      </c>
      <c r="F16" s="33">
        <v>31.2</v>
      </c>
      <c r="K16" s="34"/>
    </row>
    <row r="17" spans="1:76" ht="66" x14ac:dyDescent="0.3">
      <c r="A17" s="31"/>
      <c r="B17" s="35" t="s">
        <v>68</v>
      </c>
      <c r="C17" s="93" t="s">
        <v>69</v>
      </c>
      <c r="D17" s="94"/>
      <c r="E17" s="94"/>
      <c r="F17" s="94"/>
      <c r="G17" s="94"/>
      <c r="H17" s="94"/>
      <c r="I17" s="94"/>
      <c r="J17" s="94"/>
      <c r="K17" s="95"/>
      <c r="BX17" s="36" t="s">
        <v>69</v>
      </c>
    </row>
    <row r="18" spans="1:76" ht="27" customHeight="1" x14ac:dyDescent="0.3">
      <c r="A18" s="31"/>
      <c r="B18" s="37" t="s">
        <v>70</v>
      </c>
      <c r="C18" s="96" t="s">
        <v>71</v>
      </c>
      <c r="D18" s="97"/>
      <c r="E18" s="97"/>
      <c r="F18" s="97"/>
      <c r="G18" s="97"/>
      <c r="H18" s="97"/>
      <c r="I18" s="97"/>
      <c r="J18" s="97"/>
      <c r="K18" s="98"/>
    </row>
    <row r="19" spans="1:76" ht="13.5" customHeight="1" x14ac:dyDescent="0.3">
      <c r="A19" s="31"/>
      <c r="B19" s="37" t="s">
        <v>72</v>
      </c>
      <c r="C19" s="96" t="s">
        <v>73</v>
      </c>
      <c r="D19" s="97"/>
      <c r="E19" s="97"/>
      <c r="F19" s="97"/>
      <c r="G19" s="97"/>
      <c r="H19" s="97"/>
      <c r="I19" s="97"/>
      <c r="J19" s="97"/>
      <c r="K19" s="98"/>
    </row>
    <row r="20" spans="1:76" ht="14.4" x14ac:dyDescent="0.3">
      <c r="A20" s="2" t="s">
        <v>74</v>
      </c>
      <c r="B20" s="3" t="s">
        <v>75</v>
      </c>
      <c r="C20" s="75" t="s">
        <v>76</v>
      </c>
      <c r="D20" s="70"/>
      <c r="E20" s="3" t="s">
        <v>59</v>
      </c>
      <c r="F20" s="28">
        <v>120.8</v>
      </c>
      <c r="G20" s="28">
        <v>0</v>
      </c>
      <c r="H20" s="28">
        <f>ROUND(F20*AO20,2)</f>
        <v>0</v>
      </c>
      <c r="I20" s="28">
        <f>ROUND(F20*AP20,2)</f>
        <v>0</v>
      </c>
      <c r="J20" s="28">
        <f>ROUND(F20*G20,2)</f>
        <v>0</v>
      </c>
      <c r="K20" s="29" t="s">
        <v>60</v>
      </c>
      <c r="Z20" s="28">
        <f>ROUND(IF(AQ20="5",BJ20,0),2)</f>
        <v>0</v>
      </c>
      <c r="AB20" s="28">
        <f>ROUND(IF(AQ20="1",BH20,0),2)</f>
        <v>0</v>
      </c>
      <c r="AC20" s="28">
        <f>ROUND(IF(AQ20="1",BI20,0),2)</f>
        <v>0</v>
      </c>
      <c r="AD20" s="28">
        <f>ROUND(IF(AQ20="7",BH20,0),2)</f>
        <v>0</v>
      </c>
      <c r="AE20" s="28">
        <f>ROUND(IF(AQ20="7",BI20,0),2)</f>
        <v>0</v>
      </c>
      <c r="AF20" s="28">
        <f>ROUND(IF(AQ20="2",BH20,0),2)</f>
        <v>0</v>
      </c>
      <c r="AG20" s="28">
        <f>ROUND(IF(AQ20="2",BI20,0),2)</f>
        <v>0</v>
      </c>
      <c r="AH20" s="28">
        <f>ROUND(IF(AQ20="0",BJ20,0),2)</f>
        <v>0</v>
      </c>
      <c r="AI20" s="10" t="s">
        <v>55</v>
      </c>
      <c r="AJ20" s="28">
        <f>IF(AN20=0,J20,0)</f>
        <v>0</v>
      </c>
      <c r="AK20" s="28">
        <f>IF(AN20=12,J20,0)</f>
        <v>0</v>
      </c>
      <c r="AL20" s="28">
        <f>IF(AN20=21,J20,0)</f>
        <v>0</v>
      </c>
      <c r="AN20" s="28">
        <v>21</v>
      </c>
      <c r="AO20" s="28">
        <f>G20*0</f>
        <v>0</v>
      </c>
      <c r="AP20" s="28">
        <f>G20*(1-0)</f>
        <v>0</v>
      </c>
      <c r="AQ20" s="30" t="s">
        <v>56</v>
      </c>
      <c r="AV20" s="28">
        <f>ROUND(AW20+AX20,2)</f>
        <v>0</v>
      </c>
      <c r="AW20" s="28">
        <f>ROUND(F20*AO20,2)</f>
        <v>0</v>
      </c>
      <c r="AX20" s="28">
        <f>ROUND(F20*AP20,2)</f>
        <v>0</v>
      </c>
      <c r="AY20" s="30" t="s">
        <v>61</v>
      </c>
      <c r="AZ20" s="30" t="s">
        <v>62</v>
      </c>
      <c r="BA20" s="10" t="s">
        <v>63</v>
      </c>
      <c r="BC20" s="28">
        <f>AW20+AX20</f>
        <v>0</v>
      </c>
      <c r="BD20" s="28">
        <f>G20/(100-BE20)*100</f>
        <v>0</v>
      </c>
      <c r="BE20" s="28">
        <v>0</v>
      </c>
      <c r="BF20" s="28">
        <f>20</f>
        <v>20</v>
      </c>
      <c r="BH20" s="28">
        <f>F20*AO20</f>
        <v>0</v>
      </c>
      <c r="BI20" s="28">
        <f>F20*AP20</f>
        <v>0</v>
      </c>
      <c r="BJ20" s="28">
        <f>F20*G20</f>
        <v>0</v>
      </c>
      <c r="BK20" s="28"/>
      <c r="BL20" s="28">
        <v>13</v>
      </c>
      <c r="BW20" s="28">
        <v>21</v>
      </c>
      <c r="BX20" s="4" t="s">
        <v>76</v>
      </c>
    </row>
    <row r="21" spans="1:76" ht="14.4" x14ac:dyDescent="0.3">
      <c r="A21" s="31"/>
      <c r="C21" s="32" t="s">
        <v>64</v>
      </c>
      <c r="D21" s="32" t="s">
        <v>77</v>
      </c>
      <c r="F21" s="33">
        <v>89.6</v>
      </c>
      <c r="K21" s="34"/>
    </row>
    <row r="22" spans="1:76" ht="14.4" x14ac:dyDescent="0.3">
      <c r="A22" s="31"/>
      <c r="C22" s="32" t="s">
        <v>78</v>
      </c>
      <c r="D22" s="32" t="s">
        <v>67</v>
      </c>
      <c r="F22" s="33">
        <v>31.2</v>
      </c>
      <c r="K22" s="34"/>
    </row>
    <row r="23" spans="1:76" ht="26.4" x14ac:dyDescent="0.3">
      <c r="A23" s="31"/>
      <c r="B23" s="35" t="s">
        <v>68</v>
      </c>
      <c r="C23" s="93" t="s">
        <v>79</v>
      </c>
      <c r="D23" s="94"/>
      <c r="E23" s="94"/>
      <c r="F23" s="94"/>
      <c r="G23" s="94"/>
      <c r="H23" s="94"/>
      <c r="I23" s="94"/>
      <c r="J23" s="94"/>
      <c r="K23" s="95"/>
      <c r="BX23" s="36" t="s">
        <v>79</v>
      </c>
    </row>
    <row r="24" spans="1:76" ht="14.4" x14ac:dyDescent="0.3">
      <c r="A24" s="2" t="s">
        <v>80</v>
      </c>
      <c r="B24" s="3" t="s">
        <v>81</v>
      </c>
      <c r="C24" s="75" t="s">
        <v>82</v>
      </c>
      <c r="D24" s="70"/>
      <c r="E24" s="3" t="s">
        <v>59</v>
      </c>
      <c r="F24" s="28">
        <v>342.72</v>
      </c>
      <c r="G24" s="28">
        <v>0</v>
      </c>
      <c r="H24" s="28">
        <f>ROUND(F24*AO24,2)</f>
        <v>0</v>
      </c>
      <c r="I24" s="28">
        <f>ROUND(F24*AP24,2)</f>
        <v>0</v>
      </c>
      <c r="J24" s="28">
        <f>ROUND(F24*G24,2)</f>
        <v>0</v>
      </c>
      <c r="K24" s="29" t="s">
        <v>60</v>
      </c>
      <c r="Z24" s="28">
        <f>ROUND(IF(AQ24="5",BJ24,0),2)</f>
        <v>0</v>
      </c>
      <c r="AB24" s="28">
        <f>ROUND(IF(AQ24="1",BH24,0),2)</f>
        <v>0</v>
      </c>
      <c r="AC24" s="28">
        <f>ROUND(IF(AQ24="1",BI24,0),2)</f>
        <v>0</v>
      </c>
      <c r="AD24" s="28">
        <f>ROUND(IF(AQ24="7",BH24,0),2)</f>
        <v>0</v>
      </c>
      <c r="AE24" s="28">
        <f>ROUND(IF(AQ24="7",BI24,0),2)</f>
        <v>0</v>
      </c>
      <c r="AF24" s="28">
        <f>ROUND(IF(AQ24="2",BH24,0),2)</f>
        <v>0</v>
      </c>
      <c r="AG24" s="28">
        <f>ROUND(IF(AQ24="2",BI24,0),2)</f>
        <v>0</v>
      </c>
      <c r="AH24" s="28">
        <f>ROUND(IF(AQ24="0",BJ24,0),2)</f>
        <v>0</v>
      </c>
      <c r="AI24" s="10" t="s">
        <v>55</v>
      </c>
      <c r="AJ24" s="28">
        <f>IF(AN24=0,J24,0)</f>
        <v>0</v>
      </c>
      <c r="AK24" s="28">
        <f>IF(AN24=12,J24,0)</f>
        <v>0</v>
      </c>
      <c r="AL24" s="28">
        <f>IF(AN24=21,J24,0)</f>
        <v>0</v>
      </c>
      <c r="AN24" s="28">
        <v>21</v>
      </c>
      <c r="AO24" s="28">
        <f>G24*0</f>
        <v>0</v>
      </c>
      <c r="AP24" s="28">
        <f>G24*(1-0)</f>
        <v>0</v>
      </c>
      <c r="AQ24" s="30" t="s">
        <v>56</v>
      </c>
      <c r="AV24" s="28">
        <f>ROUND(AW24+AX24,2)</f>
        <v>0</v>
      </c>
      <c r="AW24" s="28">
        <f>ROUND(F24*AO24,2)</f>
        <v>0</v>
      </c>
      <c r="AX24" s="28">
        <f>ROUND(F24*AP24,2)</f>
        <v>0</v>
      </c>
      <c r="AY24" s="30" t="s">
        <v>61</v>
      </c>
      <c r="AZ24" s="30" t="s">
        <v>62</v>
      </c>
      <c r="BA24" s="10" t="s">
        <v>63</v>
      </c>
      <c r="BC24" s="28">
        <f>AW24+AX24</f>
        <v>0</v>
      </c>
      <c r="BD24" s="28">
        <f>G24/(100-BE24)*100</f>
        <v>0</v>
      </c>
      <c r="BE24" s="28">
        <v>0</v>
      </c>
      <c r="BF24" s="28">
        <f>24</f>
        <v>24</v>
      </c>
      <c r="BH24" s="28">
        <f>F24*AO24</f>
        <v>0</v>
      </c>
      <c r="BI24" s="28">
        <f>F24*AP24</f>
        <v>0</v>
      </c>
      <c r="BJ24" s="28">
        <f>F24*G24</f>
        <v>0</v>
      </c>
      <c r="BK24" s="28"/>
      <c r="BL24" s="28">
        <v>13</v>
      </c>
      <c r="BW24" s="28">
        <v>21</v>
      </c>
      <c r="BX24" s="4" t="s">
        <v>82</v>
      </c>
    </row>
    <row r="25" spans="1:76" ht="14.4" x14ac:dyDescent="0.3">
      <c r="A25" s="31"/>
      <c r="C25" s="32" t="s">
        <v>83</v>
      </c>
      <c r="D25" s="32" t="s">
        <v>84</v>
      </c>
      <c r="F25" s="33">
        <v>70.319999999999993</v>
      </c>
      <c r="K25" s="34"/>
    </row>
    <row r="26" spans="1:76" ht="14.4" x14ac:dyDescent="0.3">
      <c r="A26" s="31"/>
      <c r="C26" s="32" t="s">
        <v>85</v>
      </c>
      <c r="D26" s="32" t="s">
        <v>86</v>
      </c>
      <c r="F26" s="33">
        <v>22</v>
      </c>
      <c r="K26" s="34"/>
    </row>
    <row r="27" spans="1:76" ht="14.4" x14ac:dyDescent="0.3">
      <c r="A27" s="31"/>
      <c r="C27" s="32" t="s">
        <v>87</v>
      </c>
      <c r="D27" s="32" t="s">
        <v>88</v>
      </c>
      <c r="F27" s="33">
        <v>70.400000000000006</v>
      </c>
      <c r="K27" s="34"/>
    </row>
    <row r="28" spans="1:76" ht="14.4" x14ac:dyDescent="0.3">
      <c r="A28" s="31"/>
      <c r="C28" s="32" t="s">
        <v>89</v>
      </c>
      <c r="D28" s="32" t="s">
        <v>90</v>
      </c>
      <c r="F28" s="33">
        <v>168</v>
      </c>
      <c r="K28" s="34"/>
    </row>
    <row r="29" spans="1:76" ht="14.4" x14ac:dyDescent="0.3">
      <c r="A29" s="31"/>
      <c r="C29" s="32" t="s">
        <v>91</v>
      </c>
      <c r="D29" s="32" t="s">
        <v>92</v>
      </c>
      <c r="F29" s="33">
        <v>12</v>
      </c>
      <c r="K29" s="34"/>
    </row>
    <row r="30" spans="1:76" ht="66" x14ac:dyDescent="0.3">
      <c r="A30" s="31"/>
      <c r="B30" s="35" t="s">
        <v>68</v>
      </c>
      <c r="C30" s="93" t="s">
        <v>93</v>
      </c>
      <c r="D30" s="94"/>
      <c r="E30" s="94"/>
      <c r="F30" s="94"/>
      <c r="G30" s="94"/>
      <c r="H30" s="94"/>
      <c r="I30" s="94"/>
      <c r="J30" s="94"/>
      <c r="K30" s="95"/>
      <c r="BX30" s="36" t="s">
        <v>93</v>
      </c>
    </row>
    <row r="31" spans="1:76" ht="13.5" customHeight="1" x14ac:dyDescent="0.3">
      <c r="A31" s="31"/>
      <c r="B31" s="37" t="s">
        <v>70</v>
      </c>
      <c r="C31" s="96" t="s">
        <v>94</v>
      </c>
      <c r="D31" s="97"/>
      <c r="E31" s="97"/>
      <c r="F31" s="97"/>
      <c r="G31" s="97"/>
      <c r="H31" s="97"/>
      <c r="I31" s="97"/>
      <c r="J31" s="97"/>
      <c r="K31" s="98"/>
    </row>
    <row r="32" spans="1:76" ht="14.4" x14ac:dyDescent="0.3">
      <c r="A32" s="2" t="s">
        <v>95</v>
      </c>
      <c r="B32" s="3" t="s">
        <v>96</v>
      </c>
      <c r="C32" s="75" t="s">
        <v>97</v>
      </c>
      <c r="D32" s="70"/>
      <c r="E32" s="3" t="s">
        <v>59</v>
      </c>
      <c r="F32" s="28">
        <v>342.72</v>
      </c>
      <c r="G32" s="28">
        <v>0</v>
      </c>
      <c r="H32" s="28">
        <f>ROUND(F32*AO32,2)</f>
        <v>0</v>
      </c>
      <c r="I32" s="28">
        <f>ROUND(F32*AP32,2)</f>
        <v>0</v>
      </c>
      <c r="J32" s="28">
        <f>ROUND(F32*G32,2)</f>
        <v>0</v>
      </c>
      <c r="K32" s="29" t="s">
        <v>60</v>
      </c>
      <c r="Z32" s="28">
        <f>ROUND(IF(AQ32="5",BJ32,0),2)</f>
        <v>0</v>
      </c>
      <c r="AB32" s="28">
        <f>ROUND(IF(AQ32="1",BH32,0),2)</f>
        <v>0</v>
      </c>
      <c r="AC32" s="28">
        <f>ROUND(IF(AQ32="1",BI32,0),2)</f>
        <v>0</v>
      </c>
      <c r="AD32" s="28">
        <f>ROUND(IF(AQ32="7",BH32,0),2)</f>
        <v>0</v>
      </c>
      <c r="AE32" s="28">
        <f>ROUND(IF(AQ32="7",BI32,0),2)</f>
        <v>0</v>
      </c>
      <c r="AF32" s="28">
        <f>ROUND(IF(AQ32="2",BH32,0),2)</f>
        <v>0</v>
      </c>
      <c r="AG32" s="28">
        <f>ROUND(IF(AQ32="2",BI32,0),2)</f>
        <v>0</v>
      </c>
      <c r="AH32" s="28">
        <f>ROUND(IF(AQ32="0",BJ32,0),2)</f>
        <v>0</v>
      </c>
      <c r="AI32" s="10" t="s">
        <v>55</v>
      </c>
      <c r="AJ32" s="28">
        <f>IF(AN32=0,J32,0)</f>
        <v>0</v>
      </c>
      <c r="AK32" s="28">
        <f>IF(AN32=12,J32,0)</f>
        <v>0</v>
      </c>
      <c r="AL32" s="28">
        <f>IF(AN32=21,J32,0)</f>
        <v>0</v>
      </c>
      <c r="AN32" s="28">
        <v>21</v>
      </c>
      <c r="AO32" s="28">
        <f>G32*0</f>
        <v>0</v>
      </c>
      <c r="AP32" s="28">
        <f>G32*(1-0)</f>
        <v>0</v>
      </c>
      <c r="AQ32" s="30" t="s">
        <v>56</v>
      </c>
      <c r="AV32" s="28">
        <f>ROUND(AW32+AX32,2)</f>
        <v>0</v>
      </c>
      <c r="AW32" s="28">
        <f>ROUND(F32*AO32,2)</f>
        <v>0</v>
      </c>
      <c r="AX32" s="28">
        <f>ROUND(F32*AP32,2)</f>
        <v>0</v>
      </c>
      <c r="AY32" s="30" t="s">
        <v>61</v>
      </c>
      <c r="AZ32" s="30" t="s">
        <v>62</v>
      </c>
      <c r="BA32" s="10" t="s">
        <v>63</v>
      </c>
      <c r="BC32" s="28">
        <f>AW32+AX32</f>
        <v>0</v>
      </c>
      <c r="BD32" s="28">
        <f>G32/(100-BE32)*100</f>
        <v>0</v>
      </c>
      <c r="BE32" s="28">
        <v>0</v>
      </c>
      <c r="BF32" s="28">
        <f>32</f>
        <v>32</v>
      </c>
      <c r="BH32" s="28">
        <f>F32*AO32</f>
        <v>0</v>
      </c>
      <c r="BI32" s="28">
        <f>F32*AP32</f>
        <v>0</v>
      </c>
      <c r="BJ32" s="28">
        <f>F32*G32</f>
        <v>0</v>
      </c>
      <c r="BK32" s="28"/>
      <c r="BL32" s="28">
        <v>13</v>
      </c>
      <c r="BW32" s="28">
        <v>21</v>
      </c>
      <c r="BX32" s="4" t="s">
        <v>97</v>
      </c>
    </row>
    <row r="33" spans="1:76" ht="26.4" x14ac:dyDescent="0.3">
      <c r="A33" s="31"/>
      <c r="B33" s="35" t="s">
        <v>68</v>
      </c>
      <c r="C33" s="93" t="s">
        <v>79</v>
      </c>
      <c r="D33" s="94"/>
      <c r="E33" s="94"/>
      <c r="F33" s="94"/>
      <c r="G33" s="94"/>
      <c r="H33" s="94"/>
      <c r="I33" s="94"/>
      <c r="J33" s="94"/>
      <c r="K33" s="95"/>
      <c r="BX33" s="36" t="s">
        <v>79</v>
      </c>
    </row>
    <row r="34" spans="1:76" ht="14.4" x14ac:dyDescent="0.3">
      <c r="A34" s="24" t="s">
        <v>51</v>
      </c>
      <c r="B34" s="25" t="s">
        <v>98</v>
      </c>
      <c r="C34" s="91" t="s">
        <v>99</v>
      </c>
      <c r="D34" s="92"/>
      <c r="E34" s="26" t="s">
        <v>4</v>
      </c>
      <c r="F34" s="26" t="s">
        <v>4</v>
      </c>
      <c r="G34" s="26" t="s">
        <v>4</v>
      </c>
      <c r="H34" s="1">
        <f>SUM(H35:H40)</f>
        <v>0</v>
      </c>
      <c r="I34" s="1">
        <f>SUM(I35:I40)</f>
        <v>0</v>
      </c>
      <c r="J34" s="1">
        <f>SUM(J35:J40)</f>
        <v>0</v>
      </c>
      <c r="K34" s="27" t="s">
        <v>51</v>
      </c>
      <c r="AI34" s="10" t="s">
        <v>55</v>
      </c>
      <c r="AS34" s="1">
        <f>SUM(AJ35:AJ40)</f>
        <v>0</v>
      </c>
      <c r="AT34" s="1">
        <f>SUM(AK35:AK40)</f>
        <v>0</v>
      </c>
      <c r="AU34" s="1">
        <f>SUM(AL35:AL40)</f>
        <v>0</v>
      </c>
    </row>
    <row r="35" spans="1:76" ht="14.4" x14ac:dyDescent="0.3">
      <c r="A35" s="2" t="s">
        <v>100</v>
      </c>
      <c r="B35" s="3" t="s">
        <v>101</v>
      </c>
      <c r="C35" s="75" t="s">
        <v>102</v>
      </c>
      <c r="D35" s="70"/>
      <c r="E35" s="3" t="s">
        <v>103</v>
      </c>
      <c r="F35" s="28">
        <v>115.59</v>
      </c>
      <c r="G35" s="28">
        <v>0</v>
      </c>
      <c r="H35" s="28">
        <f>ROUND(F35*AO35,2)</f>
        <v>0</v>
      </c>
      <c r="I35" s="28">
        <f>ROUND(F35*AP35,2)</f>
        <v>0</v>
      </c>
      <c r="J35" s="28">
        <f>ROUND(F35*G35,2)</f>
        <v>0</v>
      </c>
      <c r="K35" s="29" t="s">
        <v>60</v>
      </c>
      <c r="Z35" s="28">
        <f>ROUND(IF(AQ35="5",BJ35,0),2)</f>
        <v>0</v>
      </c>
      <c r="AB35" s="28">
        <f>ROUND(IF(AQ35="1",BH35,0),2)</f>
        <v>0</v>
      </c>
      <c r="AC35" s="28">
        <f>ROUND(IF(AQ35="1",BI35,0),2)</f>
        <v>0</v>
      </c>
      <c r="AD35" s="28">
        <f>ROUND(IF(AQ35="7",BH35,0),2)</f>
        <v>0</v>
      </c>
      <c r="AE35" s="28">
        <f>ROUND(IF(AQ35="7",BI35,0),2)</f>
        <v>0</v>
      </c>
      <c r="AF35" s="28">
        <f>ROUND(IF(AQ35="2",BH35,0),2)</f>
        <v>0</v>
      </c>
      <c r="AG35" s="28">
        <f>ROUND(IF(AQ35="2",BI35,0),2)</f>
        <v>0</v>
      </c>
      <c r="AH35" s="28">
        <f>ROUND(IF(AQ35="0",BJ35,0),2)</f>
        <v>0</v>
      </c>
      <c r="AI35" s="10" t="s">
        <v>55</v>
      </c>
      <c r="AJ35" s="28">
        <f>IF(AN35=0,J35,0)</f>
        <v>0</v>
      </c>
      <c r="AK35" s="28">
        <f>IF(AN35=12,J35,0)</f>
        <v>0</v>
      </c>
      <c r="AL35" s="28">
        <f>IF(AN35=21,J35,0)</f>
        <v>0</v>
      </c>
      <c r="AN35" s="28">
        <v>21</v>
      </c>
      <c r="AO35" s="28">
        <f>G35*0.091290152</f>
        <v>0</v>
      </c>
      <c r="AP35" s="28">
        <f>G35*(1-0.091290152)</f>
        <v>0</v>
      </c>
      <c r="AQ35" s="30" t="s">
        <v>56</v>
      </c>
      <c r="AV35" s="28">
        <f>ROUND(AW35+AX35,2)</f>
        <v>0</v>
      </c>
      <c r="AW35" s="28">
        <f>ROUND(F35*AO35,2)</f>
        <v>0</v>
      </c>
      <c r="AX35" s="28">
        <f>ROUND(F35*AP35,2)</f>
        <v>0</v>
      </c>
      <c r="AY35" s="30" t="s">
        <v>104</v>
      </c>
      <c r="AZ35" s="30" t="s">
        <v>62</v>
      </c>
      <c r="BA35" s="10" t="s">
        <v>63</v>
      </c>
      <c r="BC35" s="28">
        <f>AW35+AX35</f>
        <v>0</v>
      </c>
      <c r="BD35" s="28">
        <f>G35/(100-BE35)*100</f>
        <v>0</v>
      </c>
      <c r="BE35" s="28">
        <v>0</v>
      </c>
      <c r="BF35" s="28">
        <f>35</f>
        <v>35</v>
      </c>
      <c r="BH35" s="28">
        <f>F35*AO35</f>
        <v>0</v>
      </c>
      <c r="BI35" s="28">
        <f>F35*AP35</f>
        <v>0</v>
      </c>
      <c r="BJ35" s="28">
        <f>F35*G35</f>
        <v>0</v>
      </c>
      <c r="BK35" s="28"/>
      <c r="BL35" s="28">
        <v>15</v>
      </c>
      <c r="BW35" s="28">
        <v>21</v>
      </c>
      <c r="BX35" s="4" t="s">
        <v>102</v>
      </c>
    </row>
    <row r="36" spans="1:76" ht="13.5" customHeight="1" x14ac:dyDescent="0.3">
      <c r="A36" s="31"/>
      <c r="B36" s="35" t="s">
        <v>105</v>
      </c>
      <c r="C36" s="96" t="s">
        <v>106</v>
      </c>
      <c r="D36" s="97"/>
      <c r="E36" s="97"/>
      <c r="F36" s="97"/>
      <c r="G36" s="97"/>
      <c r="H36" s="97"/>
      <c r="I36" s="97"/>
      <c r="J36" s="97"/>
      <c r="K36" s="98"/>
    </row>
    <row r="37" spans="1:76" ht="14.4" x14ac:dyDescent="0.3">
      <c r="A37" s="31"/>
      <c r="C37" s="32" t="s">
        <v>107</v>
      </c>
      <c r="D37" s="32" t="s">
        <v>108</v>
      </c>
      <c r="F37" s="33">
        <v>89.59</v>
      </c>
      <c r="K37" s="34"/>
    </row>
    <row r="38" spans="1:76" ht="14.4" x14ac:dyDescent="0.3">
      <c r="A38" s="31"/>
      <c r="C38" s="32" t="s">
        <v>109</v>
      </c>
      <c r="D38" s="32" t="s">
        <v>110</v>
      </c>
      <c r="F38" s="33">
        <v>26</v>
      </c>
      <c r="K38" s="34"/>
    </row>
    <row r="39" spans="1:76" ht="14.4" x14ac:dyDescent="0.3">
      <c r="A39" s="31"/>
      <c r="B39" s="35" t="s">
        <v>68</v>
      </c>
      <c r="C39" s="93" t="s">
        <v>111</v>
      </c>
      <c r="D39" s="94"/>
      <c r="E39" s="94"/>
      <c r="F39" s="94"/>
      <c r="G39" s="94"/>
      <c r="H39" s="94"/>
      <c r="I39" s="94"/>
      <c r="J39" s="94"/>
      <c r="K39" s="95"/>
      <c r="BX39" s="36" t="s">
        <v>111</v>
      </c>
    </row>
    <row r="40" spans="1:76" ht="14.4" x14ac:dyDescent="0.3">
      <c r="A40" s="2" t="s">
        <v>112</v>
      </c>
      <c r="B40" s="3" t="s">
        <v>113</v>
      </c>
      <c r="C40" s="75" t="s">
        <v>114</v>
      </c>
      <c r="D40" s="70"/>
      <c r="E40" s="3" t="s">
        <v>103</v>
      </c>
      <c r="F40" s="28">
        <v>110.59</v>
      </c>
      <c r="G40" s="28">
        <v>0</v>
      </c>
      <c r="H40" s="28">
        <f>ROUND(F40*AO40,2)</f>
        <v>0</v>
      </c>
      <c r="I40" s="28">
        <f>ROUND(F40*AP40,2)</f>
        <v>0</v>
      </c>
      <c r="J40" s="28">
        <f>ROUND(F40*G40,2)</f>
        <v>0</v>
      </c>
      <c r="K40" s="29" t="s">
        <v>60</v>
      </c>
      <c r="Z40" s="28">
        <f>ROUND(IF(AQ40="5",BJ40,0),2)</f>
        <v>0</v>
      </c>
      <c r="AB40" s="28">
        <f>ROUND(IF(AQ40="1",BH40,0),2)</f>
        <v>0</v>
      </c>
      <c r="AC40" s="28">
        <f>ROUND(IF(AQ40="1",BI40,0),2)</f>
        <v>0</v>
      </c>
      <c r="AD40" s="28">
        <f>ROUND(IF(AQ40="7",BH40,0),2)</f>
        <v>0</v>
      </c>
      <c r="AE40" s="28">
        <f>ROUND(IF(AQ40="7",BI40,0),2)</f>
        <v>0</v>
      </c>
      <c r="AF40" s="28">
        <f>ROUND(IF(AQ40="2",BH40,0),2)</f>
        <v>0</v>
      </c>
      <c r="AG40" s="28">
        <f>ROUND(IF(AQ40="2",BI40,0),2)</f>
        <v>0</v>
      </c>
      <c r="AH40" s="28">
        <f>ROUND(IF(AQ40="0",BJ40,0),2)</f>
        <v>0</v>
      </c>
      <c r="AI40" s="10" t="s">
        <v>55</v>
      </c>
      <c r="AJ40" s="28">
        <f>IF(AN40=0,J40,0)</f>
        <v>0</v>
      </c>
      <c r="AK40" s="28">
        <f>IF(AN40=12,J40,0)</f>
        <v>0</v>
      </c>
      <c r="AL40" s="28">
        <f>IF(AN40=21,J40,0)</f>
        <v>0</v>
      </c>
      <c r="AN40" s="28">
        <v>21</v>
      </c>
      <c r="AO40" s="28">
        <f>G40*0</f>
        <v>0</v>
      </c>
      <c r="AP40" s="28">
        <f>G40*(1-0)</f>
        <v>0</v>
      </c>
      <c r="AQ40" s="30" t="s">
        <v>56</v>
      </c>
      <c r="AV40" s="28">
        <f>ROUND(AW40+AX40,2)</f>
        <v>0</v>
      </c>
      <c r="AW40" s="28">
        <f>ROUND(F40*AO40,2)</f>
        <v>0</v>
      </c>
      <c r="AX40" s="28">
        <f>ROUND(F40*AP40,2)</f>
        <v>0</v>
      </c>
      <c r="AY40" s="30" t="s">
        <v>104</v>
      </c>
      <c r="AZ40" s="30" t="s">
        <v>62</v>
      </c>
      <c r="BA40" s="10" t="s">
        <v>63</v>
      </c>
      <c r="BC40" s="28">
        <f>AW40+AX40</f>
        <v>0</v>
      </c>
      <c r="BD40" s="28">
        <f>G40/(100-BE40)*100</f>
        <v>0</v>
      </c>
      <c r="BE40" s="28">
        <v>0</v>
      </c>
      <c r="BF40" s="28">
        <f>40</f>
        <v>40</v>
      </c>
      <c r="BH40" s="28">
        <f>F40*AO40</f>
        <v>0</v>
      </c>
      <c r="BI40" s="28">
        <f>F40*AP40</f>
        <v>0</v>
      </c>
      <c r="BJ40" s="28">
        <f>F40*G40</f>
        <v>0</v>
      </c>
      <c r="BK40" s="28"/>
      <c r="BL40" s="28">
        <v>15</v>
      </c>
      <c r="BW40" s="28">
        <v>21</v>
      </c>
      <c r="BX40" s="4" t="s">
        <v>114</v>
      </c>
    </row>
    <row r="41" spans="1:76" ht="14.4" x14ac:dyDescent="0.3">
      <c r="A41" s="31"/>
      <c r="C41" s="32" t="s">
        <v>107</v>
      </c>
      <c r="D41" s="32" t="s">
        <v>108</v>
      </c>
      <c r="F41" s="33">
        <v>89.59</v>
      </c>
      <c r="K41" s="34"/>
    </row>
    <row r="42" spans="1:76" ht="14.4" x14ac:dyDescent="0.3">
      <c r="A42" s="31"/>
      <c r="C42" s="32" t="s">
        <v>115</v>
      </c>
      <c r="D42" s="32" t="s">
        <v>110</v>
      </c>
      <c r="F42" s="33">
        <v>21</v>
      </c>
      <c r="K42" s="34"/>
    </row>
    <row r="43" spans="1:76" ht="14.4" x14ac:dyDescent="0.3">
      <c r="A43" s="24" t="s">
        <v>51</v>
      </c>
      <c r="B43" s="25" t="s">
        <v>116</v>
      </c>
      <c r="C43" s="91" t="s">
        <v>117</v>
      </c>
      <c r="D43" s="92"/>
      <c r="E43" s="26" t="s">
        <v>4</v>
      </c>
      <c r="F43" s="26" t="s">
        <v>4</v>
      </c>
      <c r="G43" s="26" t="s">
        <v>4</v>
      </c>
      <c r="H43" s="1">
        <f>SUM(H44:H58)</f>
        <v>0</v>
      </c>
      <c r="I43" s="1">
        <f>SUM(I44:I58)</f>
        <v>0</v>
      </c>
      <c r="J43" s="1">
        <f>SUM(J44:J58)</f>
        <v>0</v>
      </c>
      <c r="K43" s="27" t="s">
        <v>51</v>
      </c>
      <c r="AI43" s="10" t="s">
        <v>55</v>
      </c>
      <c r="AS43" s="1">
        <f>SUM(AJ44:AJ58)</f>
        <v>0</v>
      </c>
      <c r="AT43" s="1">
        <f>SUM(AK44:AK58)</f>
        <v>0</v>
      </c>
      <c r="AU43" s="1">
        <f>SUM(AL44:AL58)</f>
        <v>0</v>
      </c>
    </row>
    <row r="44" spans="1:76" ht="14.4" x14ac:dyDescent="0.3">
      <c r="A44" s="2" t="s">
        <v>118</v>
      </c>
      <c r="B44" s="3" t="s">
        <v>119</v>
      </c>
      <c r="C44" s="75" t="s">
        <v>120</v>
      </c>
      <c r="D44" s="70"/>
      <c r="E44" s="3" t="s">
        <v>59</v>
      </c>
      <c r="F44" s="28">
        <v>62.7</v>
      </c>
      <c r="G44" s="28">
        <v>0</v>
      </c>
      <c r="H44" s="28">
        <f>ROUND(F44*AO44,2)</f>
        <v>0</v>
      </c>
      <c r="I44" s="28">
        <f>ROUND(F44*AP44,2)</f>
        <v>0</v>
      </c>
      <c r="J44" s="28">
        <f>ROUND(F44*G44,2)</f>
        <v>0</v>
      </c>
      <c r="K44" s="29" t="s">
        <v>60</v>
      </c>
      <c r="Z44" s="28">
        <f>ROUND(IF(AQ44="5",BJ44,0),2)</f>
        <v>0</v>
      </c>
      <c r="AB44" s="28">
        <f>ROUND(IF(AQ44="1",BH44,0),2)</f>
        <v>0</v>
      </c>
      <c r="AC44" s="28">
        <f>ROUND(IF(AQ44="1",BI44,0),2)</f>
        <v>0</v>
      </c>
      <c r="AD44" s="28">
        <f>ROUND(IF(AQ44="7",BH44,0),2)</f>
        <v>0</v>
      </c>
      <c r="AE44" s="28">
        <f>ROUND(IF(AQ44="7",BI44,0),2)</f>
        <v>0</v>
      </c>
      <c r="AF44" s="28">
        <f>ROUND(IF(AQ44="2",BH44,0),2)</f>
        <v>0</v>
      </c>
      <c r="AG44" s="28">
        <f>ROUND(IF(AQ44="2",BI44,0),2)</f>
        <v>0</v>
      </c>
      <c r="AH44" s="28">
        <f>ROUND(IF(AQ44="0",BJ44,0),2)</f>
        <v>0</v>
      </c>
      <c r="AI44" s="10" t="s">
        <v>55</v>
      </c>
      <c r="AJ44" s="28">
        <f>IF(AN44=0,J44,0)</f>
        <v>0</v>
      </c>
      <c r="AK44" s="28">
        <f>IF(AN44=12,J44,0)</f>
        <v>0</v>
      </c>
      <c r="AL44" s="28">
        <f>IF(AN44=21,J44,0)</f>
        <v>0</v>
      </c>
      <c r="AN44" s="28">
        <v>21</v>
      </c>
      <c r="AO44" s="28">
        <f>G44*0</f>
        <v>0</v>
      </c>
      <c r="AP44" s="28">
        <f>G44*(1-0)</f>
        <v>0</v>
      </c>
      <c r="AQ44" s="30" t="s">
        <v>56</v>
      </c>
      <c r="AV44" s="28">
        <f>ROUND(AW44+AX44,2)</f>
        <v>0</v>
      </c>
      <c r="AW44" s="28">
        <f>ROUND(F44*AO44,2)</f>
        <v>0</v>
      </c>
      <c r="AX44" s="28">
        <f>ROUND(F44*AP44,2)</f>
        <v>0</v>
      </c>
      <c r="AY44" s="30" t="s">
        <v>121</v>
      </c>
      <c r="AZ44" s="30" t="s">
        <v>62</v>
      </c>
      <c r="BA44" s="10" t="s">
        <v>63</v>
      </c>
      <c r="BC44" s="28">
        <f>AW44+AX44</f>
        <v>0</v>
      </c>
      <c r="BD44" s="28">
        <f>G44/(100-BE44)*100</f>
        <v>0</v>
      </c>
      <c r="BE44" s="28">
        <v>0</v>
      </c>
      <c r="BF44" s="28">
        <f>44</f>
        <v>44</v>
      </c>
      <c r="BH44" s="28">
        <f>F44*AO44</f>
        <v>0</v>
      </c>
      <c r="BI44" s="28">
        <f>F44*AP44</f>
        <v>0</v>
      </c>
      <c r="BJ44" s="28">
        <f>F44*G44</f>
        <v>0</v>
      </c>
      <c r="BK44" s="28"/>
      <c r="BL44" s="28">
        <v>16</v>
      </c>
      <c r="BW44" s="28">
        <v>21</v>
      </c>
      <c r="BX44" s="4" t="s">
        <v>120</v>
      </c>
    </row>
    <row r="45" spans="1:76" ht="14.4" x14ac:dyDescent="0.3">
      <c r="A45" s="31"/>
      <c r="C45" s="32" t="s">
        <v>122</v>
      </c>
      <c r="D45" s="32" t="s">
        <v>123</v>
      </c>
      <c r="F45" s="33">
        <v>21.42</v>
      </c>
      <c r="K45" s="34"/>
    </row>
    <row r="46" spans="1:76" ht="14.4" x14ac:dyDescent="0.3">
      <c r="A46" s="31"/>
      <c r="C46" s="32" t="s">
        <v>124</v>
      </c>
      <c r="D46" s="32" t="s">
        <v>125</v>
      </c>
      <c r="F46" s="33">
        <v>41.28</v>
      </c>
      <c r="K46" s="34"/>
    </row>
    <row r="47" spans="1:76" ht="13.5" customHeight="1" x14ac:dyDescent="0.3">
      <c r="A47" s="31"/>
      <c r="B47" s="37" t="s">
        <v>70</v>
      </c>
      <c r="C47" s="96" t="s">
        <v>126</v>
      </c>
      <c r="D47" s="97"/>
      <c r="E47" s="97"/>
      <c r="F47" s="97"/>
      <c r="G47" s="97"/>
      <c r="H47" s="97"/>
      <c r="I47" s="97"/>
      <c r="J47" s="97"/>
      <c r="K47" s="98"/>
    </row>
    <row r="48" spans="1:76" ht="14.4" x14ac:dyDescent="0.3">
      <c r="A48" s="2" t="s">
        <v>127</v>
      </c>
      <c r="B48" s="3" t="s">
        <v>128</v>
      </c>
      <c r="C48" s="75" t="s">
        <v>129</v>
      </c>
      <c r="D48" s="70"/>
      <c r="E48" s="3" t="s">
        <v>59</v>
      </c>
      <c r="F48" s="28">
        <v>116.8</v>
      </c>
      <c r="G48" s="28">
        <v>0</v>
      </c>
      <c r="H48" s="28">
        <f>ROUND(F48*AO48,2)</f>
        <v>0</v>
      </c>
      <c r="I48" s="28">
        <f>ROUND(F48*AP48,2)</f>
        <v>0</v>
      </c>
      <c r="J48" s="28">
        <f>ROUND(F48*G48,2)</f>
        <v>0</v>
      </c>
      <c r="K48" s="29" t="s">
        <v>60</v>
      </c>
      <c r="Z48" s="28">
        <f>ROUND(IF(AQ48="5",BJ48,0),2)</f>
        <v>0</v>
      </c>
      <c r="AB48" s="28">
        <f>ROUND(IF(AQ48="1",BH48,0),2)</f>
        <v>0</v>
      </c>
      <c r="AC48" s="28">
        <f>ROUND(IF(AQ48="1",BI48,0),2)</f>
        <v>0</v>
      </c>
      <c r="AD48" s="28">
        <f>ROUND(IF(AQ48="7",BH48,0),2)</f>
        <v>0</v>
      </c>
      <c r="AE48" s="28">
        <f>ROUND(IF(AQ48="7",BI48,0),2)</f>
        <v>0</v>
      </c>
      <c r="AF48" s="28">
        <f>ROUND(IF(AQ48="2",BH48,0),2)</f>
        <v>0</v>
      </c>
      <c r="AG48" s="28">
        <f>ROUND(IF(AQ48="2",BI48,0),2)</f>
        <v>0</v>
      </c>
      <c r="AH48" s="28">
        <f>ROUND(IF(AQ48="0",BJ48,0),2)</f>
        <v>0</v>
      </c>
      <c r="AI48" s="10" t="s">
        <v>55</v>
      </c>
      <c r="AJ48" s="28">
        <f>IF(AN48=0,J48,0)</f>
        <v>0</v>
      </c>
      <c r="AK48" s="28">
        <f>IF(AN48=12,J48,0)</f>
        <v>0</v>
      </c>
      <c r="AL48" s="28">
        <f>IF(AN48=21,J48,0)</f>
        <v>0</v>
      </c>
      <c r="AN48" s="28">
        <v>21</v>
      </c>
      <c r="AO48" s="28">
        <f>G48*0</f>
        <v>0</v>
      </c>
      <c r="AP48" s="28">
        <f>G48*(1-0)</f>
        <v>0</v>
      </c>
      <c r="AQ48" s="30" t="s">
        <v>56</v>
      </c>
      <c r="AV48" s="28">
        <f>ROUND(AW48+AX48,2)</f>
        <v>0</v>
      </c>
      <c r="AW48" s="28">
        <f>ROUND(F48*AO48,2)</f>
        <v>0</v>
      </c>
      <c r="AX48" s="28">
        <f>ROUND(F48*AP48,2)</f>
        <v>0</v>
      </c>
      <c r="AY48" s="30" t="s">
        <v>121</v>
      </c>
      <c r="AZ48" s="30" t="s">
        <v>62</v>
      </c>
      <c r="BA48" s="10" t="s">
        <v>63</v>
      </c>
      <c r="BC48" s="28">
        <f>AW48+AX48</f>
        <v>0</v>
      </c>
      <c r="BD48" s="28">
        <f>G48/(100-BE48)*100</f>
        <v>0</v>
      </c>
      <c r="BE48" s="28">
        <v>0</v>
      </c>
      <c r="BF48" s="28">
        <f>48</f>
        <v>48</v>
      </c>
      <c r="BH48" s="28">
        <f>F48*AO48</f>
        <v>0</v>
      </c>
      <c r="BI48" s="28">
        <f>F48*AP48</f>
        <v>0</v>
      </c>
      <c r="BJ48" s="28">
        <f>F48*G48</f>
        <v>0</v>
      </c>
      <c r="BK48" s="28"/>
      <c r="BL48" s="28">
        <v>16</v>
      </c>
      <c r="BW48" s="28">
        <v>21</v>
      </c>
      <c r="BX48" s="4" t="s">
        <v>129</v>
      </c>
    </row>
    <row r="49" spans="1:76" ht="14.4" x14ac:dyDescent="0.3">
      <c r="A49" s="31"/>
      <c r="C49" s="32" t="s">
        <v>130</v>
      </c>
      <c r="D49" s="32" t="s">
        <v>131</v>
      </c>
      <c r="F49" s="33">
        <v>18.8</v>
      </c>
      <c r="K49" s="34"/>
    </row>
    <row r="50" spans="1:76" ht="14.4" x14ac:dyDescent="0.3">
      <c r="A50" s="31"/>
      <c r="C50" s="32" t="s">
        <v>132</v>
      </c>
      <c r="D50" s="32" t="s">
        <v>133</v>
      </c>
      <c r="F50" s="33">
        <v>75</v>
      </c>
      <c r="K50" s="34"/>
    </row>
    <row r="51" spans="1:76" ht="14.4" x14ac:dyDescent="0.3">
      <c r="A51" s="31"/>
      <c r="C51" s="32" t="s">
        <v>53</v>
      </c>
      <c r="D51" s="32" t="s">
        <v>134</v>
      </c>
      <c r="F51" s="33">
        <v>13</v>
      </c>
      <c r="K51" s="34"/>
    </row>
    <row r="52" spans="1:76" ht="14.4" x14ac:dyDescent="0.3">
      <c r="A52" s="31"/>
      <c r="C52" s="32" t="s">
        <v>135</v>
      </c>
      <c r="D52" s="32" t="s">
        <v>136</v>
      </c>
      <c r="F52" s="33">
        <v>10</v>
      </c>
      <c r="K52" s="34"/>
    </row>
    <row r="53" spans="1:76" ht="105.6" x14ac:dyDescent="0.3">
      <c r="A53" s="31"/>
      <c r="B53" s="35" t="s">
        <v>68</v>
      </c>
      <c r="C53" s="93" t="s">
        <v>137</v>
      </c>
      <c r="D53" s="94"/>
      <c r="E53" s="94"/>
      <c r="F53" s="94"/>
      <c r="G53" s="94"/>
      <c r="H53" s="94"/>
      <c r="I53" s="94"/>
      <c r="J53" s="94"/>
      <c r="K53" s="95"/>
      <c r="BX53" s="36" t="s">
        <v>137</v>
      </c>
    </row>
    <row r="54" spans="1:76" ht="14.4" x14ac:dyDescent="0.3">
      <c r="A54" s="2" t="s">
        <v>138</v>
      </c>
      <c r="B54" s="3" t="s">
        <v>139</v>
      </c>
      <c r="C54" s="75" t="s">
        <v>140</v>
      </c>
      <c r="D54" s="70"/>
      <c r="E54" s="3" t="s">
        <v>59</v>
      </c>
      <c r="F54" s="28">
        <v>209.22</v>
      </c>
      <c r="G54" s="28">
        <v>0</v>
      </c>
      <c r="H54" s="28">
        <f>ROUND(F54*AO54,2)</f>
        <v>0</v>
      </c>
      <c r="I54" s="28">
        <f>ROUND(F54*AP54,2)</f>
        <v>0</v>
      </c>
      <c r="J54" s="28">
        <f>ROUND(F54*G54,2)</f>
        <v>0</v>
      </c>
      <c r="K54" s="29" t="s">
        <v>60</v>
      </c>
      <c r="Z54" s="28">
        <f>ROUND(IF(AQ54="5",BJ54,0),2)</f>
        <v>0</v>
      </c>
      <c r="AB54" s="28">
        <f>ROUND(IF(AQ54="1",BH54,0),2)</f>
        <v>0</v>
      </c>
      <c r="AC54" s="28">
        <f>ROUND(IF(AQ54="1",BI54,0),2)</f>
        <v>0</v>
      </c>
      <c r="AD54" s="28">
        <f>ROUND(IF(AQ54="7",BH54,0),2)</f>
        <v>0</v>
      </c>
      <c r="AE54" s="28">
        <f>ROUND(IF(AQ54="7",BI54,0),2)</f>
        <v>0</v>
      </c>
      <c r="AF54" s="28">
        <f>ROUND(IF(AQ54="2",BH54,0),2)</f>
        <v>0</v>
      </c>
      <c r="AG54" s="28">
        <f>ROUND(IF(AQ54="2",BI54,0),2)</f>
        <v>0</v>
      </c>
      <c r="AH54" s="28">
        <f>ROUND(IF(AQ54="0",BJ54,0),2)</f>
        <v>0</v>
      </c>
      <c r="AI54" s="10" t="s">
        <v>55</v>
      </c>
      <c r="AJ54" s="28">
        <f>IF(AN54=0,J54,0)</f>
        <v>0</v>
      </c>
      <c r="AK54" s="28">
        <f>IF(AN54=12,J54,0)</f>
        <v>0</v>
      </c>
      <c r="AL54" s="28">
        <f>IF(AN54=21,J54,0)</f>
        <v>0</v>
      </c>
      <c r="AN54" s="28">
        <v>21</v>
      </c>
      <c r="AO54" s="28">
        <f>G54*0</f>
        <v>0</v>
      </c>
      <c r="AP54" s="28">
        <f>G54*(1-0)</f>
        <v>0</v>
      </c>
      <c r="AQ54" s="30" t="s">
        <v>56</v>
      </c>
      <c r="AV54" s="28">
        <f>ROUND(AW54+AX54,2)</f>
        <v>0</v>
      </c>
      <c r="AW54" s="28">
        <f>ROUND(F54*AO54,2)</f>
        <v>0</v>
      </c>
      <c r="AX54" s="28">
        <f>ROUND(F54*AP54,2)</f>
        <v>0</v>
      </c>
      <c r="AY54" s="30" t="s">
        <v>121</v>
      </c>
      <c r="AZ54" s="30" t="s">
        <v>62</v>
      </c>
      <c r="BA54" s="10" t="s">
        <v>63</v>
      </c>
      <c r="BC54" s="28">
        <f>AW54+AX54</f>
        <v>0</v>
      </c>
      <c r="BD54" s="28">
        <f>G54/(100-BE54)*100</f>
        <v>0</v>
      </c>
      <c r="BE54" s="28">
        <v>0</v>
      </c>
      <c r="BF54" s="28">
        <f>54</f>
        <v>54</v>
      </c>
      <c r="BH54" s="28">
        <f>F54*AO54</f>
        <v>0</v>
      </c>
      <c r="BI54" s="28">
        <f>F54*AP54</f>
        <v>0</v>
      </c>
      <c r="BJ54" s="28">
        <f>F54*G54</f>
        <v>0</v>
      </c>
      <c r="BK54" s="28"/>
      <c r="BL54" s="28">
        <v>16</v>
      </c>
      <c r="BW54" s="28">
        <v>21</v>
      </c>
      <c r="BX54" s="4" t="s">
        <v>140</v>
      </c>
    </row>
    <row r="55" spans="1:76" ht="14.4" x14ac:dyDescent="0.3">
      <c r="A55" s="31"/>
      <c r="C55" s="32" t="s">
        <v>141</v>
      </c>
      <c r="D55" s="32" t="s">
        <v>142</v>
      </c>
      <c r="F55" s="33">
        <v>209.22</v>
      </c>
      <c r="K55" s="34"/>
    </row>
    <row r="56" spans="1:76" ht="14.4" x14ac:dyDescent="0.3">
      <c r="A56" s="2" t="s">
        <v>135</v>
      </c>
      <c r="B56" s="3" t="s">
        <v>143</v>
      </c>
      <c r="C56" s="75" t="s">
        <v>144</v>
      </c>
      <c r="D56" s="70"/>
      <c r="E56" s="3" t="s">
        <v>59</v>
      </c>
      <c r="F56" s="28">
        <v>203.22</v>
      </c>
      <c r="G56" s="28">
        <v>0</v>
      </c>
      <c r="H56" s="28">
        <f>ROUND(F56*AO56,2)</f>
        <v>0</v>
      </c>
      <c r="I56" s="28">
        <f>ROUND(F56*AP56,2)</f>
        <v>0</v>
      </c>
      <c r="J56" s="28">
        <f>ROUND(F56*G56,2)</f>
        <v>0</v>
      </c>
      <c r="K56" s="29" t="s">
        <v>60</v>
      </c>
      <c r="Z56" s="28">
        <f>ROUND(IF(AQ56="5",BJ56,0),2)</f>
        <v>0</v>
      </c>
      <c r="AB56" s="28">
        <f>ROUND(IF(AQ56="1",BH56,0),2)</f>
        <v>0</v>
      </c>
      <c r="AC56" s="28">
        <f>ROUND(IF(AQ56="1",BI56,0),2)</f>
        <v>0</v>
      </c>
      <c r="AD56" s="28">
        <f>ROUND(IF(AQ56="7",BH56,0),2)</f>
        <v>0</v>
      </c>
      <c r="AE56" s="28">
        <f>ROUND(IF(AQ56="7",BI56,0),2)</f>
        <v>0</v>
      </c>
      <c r="AF56" s="28">
        <f>ROUND(IF(AQ56="2",BH56,0),2)</f>
        <v>0</v>
      </c>
      <c r="AG56" s="28">
        <f>ROUND(IF(AQ56="2",BI56,0),2)</f>
        <v>0</v>
      </c>
      <c r="AH56" s="28">
        <f>ROUND(IF(AQ56="0",BJ56,0),2)</f>
        <v>0</v>
      </c>
      <c r="AI56" s="10" t="s">
        <v>55</v>
      </c>
      <c r="AJ56" s="28">
        <f>IF(AN56=0,J56,0)</f>
        <v>0</v>
      </c>
      <c r="AK56" s="28">
        <f>IF(AN56=12,J56,0)</f>
        <v>0</v>
      </c>
      <c r="AL56" s="28">
        <f>IF(AN56=21,J56,0)</f>
        <v>0</v>
      </c>
      <c r="AN56" s="28">
        <v>21</v>
      </c>
      <c r="AO56" s="28">
        <f>G56*0</f>
        <v>0</v>
      </c>
      <c r="AP56" s="28">
        <f>G56*(1-0)</f>
        <v>0</v>
      </c>
      <c r="AQ56" s="30" t="s">
        <v>56</v>
      </c>
      <c r="AV56" s="28">
        <f>ROUND(AW56+AX56,2)</f>
        <v>0</v>
      </c>
      <c r="AW56" s="28">
        <f>ROUND(F56*AO56,2)</f>
        <v>0</v>
      </c>
      <c r="AX56" s="28">
        <f>ROUND(F56*AP56,2)</f>
        <v>0</v>
      </c>
      <c r="AY56" s="30" t="s">
        <v>121</v>
      </c>
      <c r="AZ56" s="30" t="s">
        <v>62</v>
      </c>
      <c r="BA56" s="10" t="s">
        <v>63</v>
      </c>
      <c r="BC56" s="28">
        <f>AW56+AX56</f>
        <v>0</v>
      </c>
      <c r="BD56" s="28">
        <f>G56/(100-BE56)*100</f>
        <v>0</v>
      </c>
      <c r="BE56" s="28">
        <v>0</v>
      </c>
      <c r="BF56" s="28">
        <f>56</f>
        <v>56</v>
      </c>
      <c r="BH56" s="28">
        <f>F56*AO56</f>
        <v>0</v>
      </c>
      <c r="BI56" s="28">
        <f>F56*AP56</f>
        <v>0</v>
      </c>
      <c r="BJ56" s="28">
        <f>F56*G56</f>
        <v>0</v>
      </c>
      <c r="BK56" s="28"/>
      <c r="BL56" s="28">
        <v>16</v>
      </c>
      <c r="BW56" s="28">
        <v>21</v>
      </c>
      <c r="BX56" s="4" t="s">
        <v>144</v>
      </c>
    </row>
    <row r="57" spans="1:76" ht="14.4" x14ac:dyDescent="0.3">
      <c r="A57" s="2" t="s">
        <v>145</v>
      </c>
      <c r="B57" s="3" t="s">
        <v>146</v>
      </c>
      <c r="C57" s="75" t="s">
        <v>147</v>
      </c>
      <c r="D57" s="70"/>
      <c r="E57" s="3" t="s">
        <v>59</v>
      </c>
      <c r="F57" s="28">
        <v>203.22</v>
      </c>
      <c r="G57" s="28">
        <v>0</v>
      </c>
      <c r="H57" s="28">
        <f>ROUND(F57*AO57,2)</f>
        <v>0</v>
      </c>
      <c r="I57" s="28">
        <f>ROUND(F57*AP57,2)</f>
        <v>0</v>
      </c>
      <c r="J57" s="28">
        <f>ROUND(F57*G57,2)</f>
        <v>0</v>
      </c>
      <c r="K57" s="29" t="s">
        <v>60</v>
      </c>
      <c r="Z57" s="28">
        <f>ROUND(IF(AQ57="5",BJ57,0),2)</f>
        <v>0</v>
      </c>
      <c r="AB57" s="28">
        <f>ROUND(IF(AQ57="1",BH57,0),2)</f>
        <v>0</v>
      </c>
      <c r="AC57" s="28">
        <f>ROUND(IF(AQ57="1",BI57,0),2)</f>
        <v>0</v>
      </c>
      <c r="AD57" s="28">
        <f>ROUND(IF(AQ57="7",BH57,0),2)</f>
        <v>0</v>
      </c>
      <c r="AE57" s="28">
        <f>ROUND(IF(AQ57="7",BI57,0),2)</f>
        <v>0</v>
      </c>
      <c r="AF57" s="28">
        <f>ROUND(IF(AQ57="2",BH57,0),2)</f>
        <v>0</v>
      </c>
      <c r="AG57" s="28">
        <f>ROUND(IF(AQ57="2",BI57,0),2)</f>
        <v>0</v>
      </c>
      <c r="AH57" s="28">
        <f>ROUND(IF(AQ57="0",BJ57,0),2)</f>
        <v>0</v>
      </c>
      <c r="AI57" s="10" t="s">
        <v>55</v>
      </c>
      <c r="AJ57" s="28">
        <f>IF(AN57=0,J57,0)</f>
        <v>0</v>
      </c>
      <c r="AK57" s="28">
        <f>IF(AN57=12,J57,0)</f>
        <v>0</v>
      </c>
      <c r="AL57" s="28">
        <f>IF(AN57=21,J57,0)</f>
        <v>0</v>
      </c>
      <c r="AN57" s="28">
        <v>21</v>
      </c>
      <c r="AO57" s="28">
        <f>G57*0</f>
        <v>0</v>
      </c>
      <c r="AP57" s="28">
        <f>G57*(1-0)</f>
        <v>0</v>
      </c>
      <c r="AQ57" s="30" t="s">
        <v>56</v>
      </c>
      <c r="AV57" s="28">
        <f>ROUND(AW57+AX57,2)</f>
        <v>0</v>
      </c>
      <c r="AW57" s="28">
        <f>ROUND(F57*AO57,2)</f>
        <v>0</v>
      </c>
      <c r="AX57" s="28">
        <f>ROUND(F57*AP57,2)</f>
        <v>0</v>
      </c>
      <c r="AY57" s="30" t="s">
        <v>121</v>
      </c>
      <c r="AZ57" s="30" t="s">
        <v>62</v>
      </c>
      <c r="BA57" s="10" t="s">
        <v>63</v>
      </c>
      <c r="BC57" s="28">
        <f>AW57+AX57</f>
        <v>0</v>
      </c>
      <c r="BD57" s="28">
        <f>G57/(100-BE57)*100</f>
        <v>0</v>
      </c>
      <c r="BE57" s="28">
        <v>0</v>
      </c>
      <c r="BF57" s="28">
        <f>57</f>
        <v>57</v>
      </c>
      <c r="BH57" s="28">
        <f>F57*AO57</f>
        <v>0</v>
      </c>
      <c r="BI57" s="28">
        <f>F57*AP57</f>
        <v>0</v>
      </c>
      <c r="BJ57" s="28">
        <f>F57*G57</f>
        <v>0</v>
      </c>
      <c r="BK57" s="28"/>
      <c r="BL57" s="28">
        <v>16</v>
      </c>
      <c r="BW57" s="28">
        <v>21</v>
      </c>
      <c r="BX57" s="4" t="s">
        <v>147</v>
      </c>
    </row>
    <row r="58" spans="1:76" ht="14.4" x14ac:dyDescent="0.3">
      <c r="A58" s="2" t="s">
        <v>148</v>
      </c>
      <c r="B58" s="3" t="s">
        <v>149</v>
      </c>
      <c r="C58" s="75" t="s">
        <v>150</v>
      </c>
      <c r="D58" s="70"/>
      <c r="E58" s="3" t="s">
        <v>59</v>
      </c>
      <c r="F58" s="28">
        <v>204</v>
      </c>
      <c r="G58" s="28">
        <v>0</v>
      </c>
      <c r="H58" s="28">
        <f>ROUND(F58*AO58,2)</f>
        <v>0</v>
      </c>
      <c r="I58" s="28">
        <f>ROUND(F58*AP58,2)</f>
        <v>0</v>
      </c>
      <c r="J58" s="28">
        <f>ROUND(F58*G58,2)</f>
        <v>0</v>
      </c>
      <c r="K58" s="29" t="s">
        <v>60</v>
      </c>
      <c r="Z58" s="28">
        <f>ROUND(IF(AQ58="5",BJ58,0),2)</f>
        <v>0</v>
      </c>
      <c r="AB58" s="28">
        <f>ROUND(IF(AQ58="1",BH58,0),2)</f>
        <v>0</v>
      </c>
      <c r="AC58" s="28">
        <f>ROUND(IF(AQ58="1",BI58,0),2)</f>
        <v>0</v>
      </c>
      <c r="AD58" s="28">
        <f>ROUND(IF(AQ58="7",BH58,0),2)</f>
        <v>0</v>
      </c>
      <c r="AE58" s="28">
        <f>ROUND(IF(AQ58="7",BI58,0),2)</f>
        <v>0</v>
      </c>
      <c r="AF58" s="28">
        <f>ROUND(IF(AQ58="2",BH58,0),2)</f>
        <v>0</v>
      </c>
      <c r="AG58" s="28">
        <f>ROUND(IF(AQ58="2",BI58,0),2)</f>
        <v>0</v>
      </c>
      <c r="AH58" s="28">
        <f>ROUND(IF(AQ58="0",BJ58,0),2)</f>
        <v>0</v>
      </c>
      <c r="AI58" s="10" t="s">
        <v>55</v>
      </c>
      <c r="AJ58" s="28">
        <f>IF(AN58=0,J58,0)</f>
        <v>0</v>
      </c>
      <c r="AK58" s="28">
        <f>IF(AN58=12,J58,0)</f>
        <v>0</v>
      </c>
      <c r="AL58" s="28">
        <f>IF(AN58=21,J58,0)</f>
        <v>0</v>
      </c>
      <c r="AN58" s="28">
        <v>21</v>
      </c>
      <c r="AO58" s="28">
        <f>G58*0</f>
        <v>0</v>
      </c>
      <c r="AP58" s="28">
        <f>G58*(1-0)</f>
        <v>0</v>
      </c>
      <c r="AQ58" s="30" t="s">
        <v>56</v>
      </c>
      <c r="AV58" s="28">
        <f>ROUND(AW58+AX58,2)</f>
        <v>0</v>
      </c>
      <c r="AW58" s="28">
        <f>ROUND(F58*AO58,2)</f>
        <v>0</v>
      </c>
      <c r="AX58" s="28">
        <f>ROUND(F58*AP58,2)</f>
        <v>0</v>
      </c>
      <c r="AY58" s="30" t="s">
        <v>121</v>
      </c>
      <c r="AZ58" s="30" t="s">
        <v>62</v>
      </c>
      <c r="BA58" s="10" t="s">
        <v>63</v>
      </c>
      <c r="BC58" s="28">
        <f>AW58+AX58</f>
        <v>0</v>
      </c>
      <c r="BD58" s="28">
        <f>G58/(100-BE58)*100</f>
        <v>0</v>
      </c>
      <c r="BE58" s="28">
        <v>0</v>
      </c>
      <c r="BF58" s="28">
        <f>58</f>
        <v>58</v>
      </c>
      <c r="BH58" s="28">
        <f>F58*AO58</f>
        <v>0</v>
      </c>
      <c r="BI58" s="28">
        <f>F58*AP58</f>
        <v>0</v>
      </c>
      <c r="BJ58" s="28">
        <f>F58*G58</f>
        <v>0</v>
      </c>
      <c r="BK58" s="28"/>
      <c r="BL58" s="28">
        <v>16</v>
      </c>
      <c r="BW58" s="28">
        <v>21</v>
      </c>
      <c r="BX58" s="4" t="s">
        <v>150</v>
      </c>
    </row>
    <row r="59" spans="1:76" ht="14.4" x14ac:dyDescent="0.3">
      <c r="A59" s="31"/>
      <c r="B59" s="35" t="s">
        <v>68</v>
      </c>
      <c r="C59" s="93" t="s">
        <v>151</v>
      </c>
      <c r="D59" s="94"/>
      <c r="E59" s="94"/>
      <c r="F59" s="94"/>
      <c r="G59" s="94"/>
      <c r="H59" s="94"/>
      <c r="I59" s="94"/>
      <c r="J59" s="94"/>
      <c r="K59" s="95"/>
      <c r="BX59" s="36" t="s">
        <v>151</v>
      </c>
    </row>
    <row r="60" spans="1:76" ht="14.4" x14ac:dyDescent="0.3">
      <c r="A60" s="24" t="s">
        <v>51</v>
      </c>
      <c r="B60" s="25" t="s">
        <v>152</v>
      </c>
      <c r="C60" s="91" t="s">
        <v>153</v>
      </c>
      <c r="D60" s="92"/>
      <c r="E60" s="26" t="s">
        <v>4</v>
      </c>
      <c r="F60" s="26" t="s">
        <v>4</v>
      </c>
      <c r="G60" s="26" t="s">
        <v>4</v>
      </c>
      <c r="H60" s="1">
        <f>SUM(H61:H82)</f>
        <v>0</v>
      </c>
      <c r="I60" s="1">
        <f>SUM(I61:I82)</f>
        <v>0</v>
      </c>
      <c r="J60" s="1">
        <f>SUM(J61:J82)</f>
        <v>0</v>
      </c>
      <c r="K60" s="27" t="s">
        <v>51</v>
      </c>
      <c r="AI60" s="10" t="s">
        <v>55</v>
      </c>
      <c r="AS60" s="1">
        <f>SUM(AJ61:AJ82)</f>
        <v>0</v>
      </c>
      <c r="AT60" s="1">
        <f>SUM(AK61:AK82)</f>
        <v>0</v>
      </c>
      <c r="AU60" s="1">
        <f>SUM(AL61:AL82)</f>
        <v>0</v>
      </c>
    </row>
    <row r="61" spans="1:76" ht="14.4" x14ac:dyDescent="0.3">
      <c r="A61" s="2" t="s">
        <v>53</v>
      </c>
      <c r="B61" s="3" t="s">
        <v>154</v>
      </c>
      <c r="C61" s="75" t="s">
        <v>155</v>
      </c>
      <c r="D61" s="70"/>
      <c r="E61" s="3" t="s">
        <v>59</v>
      </c>
      <c r="F61" s="28">
        <v>26.2</v>
      </c>
      <c r="G61" s="28">
        <v>0</v>
      </c>
      <c r="H61" s="28">
        <f>ROUND(F61*AO61,2)</f>
        <v>0</v>
      </c>
      <c r="I61" s="28">
        <f>ROUND(F61*AP61,2)</f>
        <v>0</v>
      </c>
      <c r="J61" s="28">
        <f>ROUND(F61*G61,2)</f>
        <v>0</v>
      </c>
      <c r="K61" s="29" t="s">
        <v>60</v>
      </c>
      <c r="Z61" s="28">
        <f>ROUND(IF(AQ61="5",BJ61,0),2)</f>
        <v>0</v>
      </c>
      <c r="AB61" s="28">
        <f>ROUND(IF(AQ61="1",BH61,0),2)</f>
        <v>0</v>
      </c>
      <c r="AC61" s="28">
        <f>ROUND(IF(AQ61="1",BI61,0),2)</f>
        <v>0</v>
      </c>
      <c r="AD61" s="28">
        <f>ROUND(IF(AQ61="7",BH61,0),2)</f>
        <v>0</v>
      </c>
      <c r="AE61" s="28">
        <f>ROUND(IF(AQ61="7",BI61,0),2)</f>
        <v>0</v>
      </c>
      <c r="AF61" s="28">
        <f>ROUND(IF(AQ61="2",BH61,0),2)</f>
        <v>0</v>
      </c>
      <c r="AG61" s="28">
        <f>ROUND(IF(AQ61="2",BI61,0),2)</f>
        <v>0</v>
      </c>
      <c r="AH61" s="28">
        <f>ROUND(IF(AQ61="0",BJ61,0),2)</f>
        <v>0</v>
      </c>
      <c r="AI61" s="10" t="s">
        <v>55</v>
      </c>
      <c r="AJ61" s="28">
        <f>IF(AN61=0,J61,0)</f>
        <v>0</v>
      </c>
      <c r="AK61" s="28">
        <f>IF(AN61=12,J61,0)</f>
        <v>0</v>
      </c>
      <c r="AL61" s="28">
        <f>IF(AN61=21,J61,0)</f>
        <v>0</v>
      </c>
      <c r="AN61" s="28">
        <v>21</v>
      </c>
      <c r="AO61" s="28">
        <f>G61*0</f>
        <v>0</v>
      </c>
      <c r="AP61" s="28">
        <f>G61*(1-0)</f>
        <v>0</v>
      </c>
      <c r="AQ61" s="30" t="s">
        <v>56</v>
      </c>
      <c r="AV61" s="28">
        <f>ROUND(AW61+AX61,2)</f>
        <v>0</v>
      </c>
      <c r="AW61" s="28">
        <f>ROUND(F61*AO61,2)</f>
        <v>0</v>
      </c>
      <c r="AX61" s="28">
        <f>ROUND(F61*AP61,2)</f>
        <v>0</v>
      </c>
      <c r="AY61" s="30" t="s">
        <v>156</v>
      </c>
      <c r="AZ61" s="30" t="s">
        <v>62</v>
      </c>
      <c r="BA61" s="10" t="s">
        <v>63</v>
      </c>
      <c r="BC61" s="28">
        <f>AW61+AX61</f>
        <v>0</v>
      </c>
      <c r="BD61" s="28">
        <f>G61/(100-BE61)*100</f>
        <v>0</v>
      </c>
      <c r="BE61" s="28">
        <v>0</v>
      </c>
      <c r="BF61" s="28">
        <f>61</f>
        <v>61</v>
      </c>
      <c r="BH61" s="28">
        <f>F61*AO61</f>
        <v>0</v>
      </c>
      <c r="BI61" s="28">
        <f>F61*AP61</f>
        <v>0</v>
      </c>
      <c r="BJ61" s="28">
        <f>F61*G61</f>
        <v>0</v>
      </c>
      <c r="BK61" s="28"/>
      <c r="BL61" s="28">
        <v>17</v>
      </c>
      <c r="BW61" s="28">
        <v>21</v>
      </c>
      <c r="BX61" s="4" t="s">
        <v>155</v>
      </c>
    </row>
    <row r="62" spans="1:76" ht="14.4" x14ac:dyDescent="0.3">
      <c r="A62" s="31"/>
      <c r="C62" s="32" t="s">
        <v>157</v>
      </c>
      <c r="D62" s="32" t="s">
        <v>158</v>
      </c>
      <c r="F62" s="33">
        <v>20.64</v>
      </c>
      <c r="K62" s="34"/>
    </row>
    <row r="63" spans="1:76" ht="14.4" x14ac:dyDescent="0.3">
      <c r="A63" s="31"/>
      <c r="C63" s="32" t="s">
        <v>159</v>
      </c>
      <c r="D63" s="32" t="s">
        <v>160</v>
      </c>
      <c r="F63" s="33">
        <v>5.56</v>
      </c>
      <c r="K63" s="34"/>
    </row>
    <row r="64" spans="1:76" ht="26.4" x14ac:dyDescent="0.3">
      <c r="A64" s="31"/>
      <c r="B64" s="35" t="s">
        <v>68</v>
      </c>
      <c r="C64" s="93" t="s">
        <v>161</v>
      </c>
      <c r="D64" s="94"/>
      <c r="E64" s="94"/>
      <c r="F64" s="94"/>
      <c r="G64" s="94"/>
      <c r="H64" s="94"/>
      <c r="I64" s="94"/>
      <c r="J64" s="94"/>
      <c r="K64" s="95"/>
      <c r="BX64" s="36" t="s">
        <v>161</v>
      </c>
    </row>
    <row r="65" spans="1:76" ht="14.4" x14ac:dyDescent="0.3">
      <c r="A65" s="2" t="s">
        <v>162</v>
      </c>
      <c r="B65" s="3" t="s">
        <v>163</v>
      </c>
      <c r="C65" s="75" t="s">
        <v>164</v>
      </c>
      <c r="D65" s="70"/>
      <c r="E65" s="3" t="s">
        <v>59</v>
      </c>
      <c r="F65" s="28">
        <v>54.36</v>
      </c>
      <c r="G65" s="28">
        <v>0</v>
      </c>
      <c r="H65" s="28">
        <f>ROUND(F65*AO65,2)</f>
        <v>0</v>
      </c>
      <c r="I65" s="28">
        <f>ROUND(F65*AP65,2)</f>
        <v>0</v>
      </c>
      <c r="J65" s="28">
        <f>ROUND(F65*G65,2)</f>
        <v>0</v>
      </c>
      <c r="K65" s="29" t="s">
        <v>60</v>
      </c>
      <c r="Z65" s="28">
        <f>ROUND(IF(AQ65="5",BJ65,0),2)</f>
        <v>0</v>
      </c>
      <c r="AB65" s="28">
        <f>ROUND(IF(AQ65="1",BH65,0),2)</f>
        <v>0</v>
      </c>
      <c r="AC65" s="28">
        <f>ROUND(IF(AQ65="1",BI65,0),2)</f>
        <v>0</v>
      </c>
      <c r="AD65" s="28">
        <f>ROUND(IF(AQ65="7",BH65,0),2)</f>
        <v>0</v>
      </c>
      <c r="AE65" s="28">
        <f>ROUND(IF(AQ65="7",BI65,0),2)</f>
        <v>0</v>
      </c>
      <c r="AF65" s="28">
        <f>ROUND(IF(AQ65="2",BH65,0),2)</f>
        <v>0</v>
      </c>
      <c r="AG65" s="28">
        <f>ROUND(IF(AQ65="2",BI65,0),2)</f>
        <v>0</v>
      </c>
      <c r="AH65" s="28">
        <f>ROUND(IF(AQ65="0",BJ65,0),2)</f>
        <v>0</v>
      </c>
      <c r="AI65" s="10" t="s">
        <v>55</v>
      </c>
      <c r="AJ65" s="28">
        <f>IF(AN65=0,J65,0)</f>
        <v>0</v>
      </c>
      <c r="AK65" s="28">
        <f>IF(AN65=12,J65,0)</f>
        <v>0</v>
      </c>
      <c r="AL65" s="28">
        <f>IF(AN65=21,J65,0)</f>
        <v>0</v>
      </c>
      <c r="AN65" s="28">
        <v>21</v>
      </c>
      <c r="AO65" s="28">
        <f>G65*0</f>
        <v>0</v>
      </c>
      <c r="AP65" s="28">
        <f>G65*(1-0)</f>
        <v>0</v>
      </c>
      <c r="AQ65" s="30" t="s">
        <v>56</v>
      </c>
      <c r="AV65" s="28">
        <f>ROUND(AW65+AX65,2)</f>
        <v>0</v>
      </c>
      <c r="AW65" s="28">
        <f>ROUND(F65*AO65,2)</f>
        <v>0</v>
      </c>
      <c r="AX65" s="28">
        <f>ROUND(F65*AP65,2)</f>
        <v>0</v>
      </c>
      <c r="AY65" s="30" t="s">
        <v>156</v>
      </c>
      <c r="AZ65" s="30" t="s">
        <v>62</v>
      </c>
      <c r="BA65" s="10" t="s">
        <v>63</v>
      </c>
      <c r="BC65" s="28">
        <f>AW65+AX65</f>
        <v>0</v>
      </c>
      <c r="BD65" s="28">
        <f>G65/(100-BE65)*100</f>
        <v>0</v>
      </c>
      <c r="BE65" s="28">
        <v>0</v>
      </c>
      <c r="BF65" s="28">
        <f>65</f>
        <v>65</v>
      </c>
      <c r="BH65" s="28">
        <f>F65*AO65</f>
        <v>0</v>
      </c>
      <c r="BI65" s="28">
        <f>F65*AP65</f>
        <v>0</v>
      </c>
      <c r="BJ65" s="28">
        <f>F65*G65</f>
        <v>0</v>
      </c>
      <c r="BK65" s="28"/>
      <c r="BL65" s="28">
        <v>17</v>
      </c>
      <c r="BW65" s="28">
        <v>21</v>
      </c>
      <c r="BX65" s="4" t="s">
        <v>164</v>
      </c>
    </row>
    <row r="66" spans="1:76" ht="14.4" x14ac:dyDescent="0.3">
      <c r="A66" s="31"/>
      <c r="C66" s="32" t="s">
        <v>165</v>
      </c>
      <c r="D66" s="32" t="s">
        <v>166</v>
      </c>
      <c r="F66" s="33">
        <v>30.96</v>
      </c>
      <c r="K66" s="34"/>
    </row>
    <row r="67" spans="1:76" ht="14.4" x14ac:dyDescent="0.3">
      <c r="A67" s="31"/>
      <c r="C67" s="32" t="s">
        <v>167</v>
      </c>
      <c r="D67" s="32" t="s">
        <v>168</v>
      </c>
      <c r="F67" s="33">
        <v>23.4</v>
      </c>
      <c r="K67" s="34"/>
    </row>
    <row r="68" spans="1:76" ht="26.4" x14ac:dyDescent="0.3">
      <c r="A68" s="31"/>
      <c r="B68" s="35" t="s">
        <v>68</v>
      </c>
      <c r="C68" s="93" t="s">
        <v>169</v>
      </c>
      <c r="D68" s="94"/>
      <c r="E68" s="94"/>
      <c r="F68" s="94"/>
      <c r="G68" s="94"/>
      <c r="H68" s="94"/>
      <c r="I68" s="94"/>
      <c r="J68" s="94"/>
      <c r="K68" s="95"/>
      <c r="BX68" s="36" t="s">
        <v>169</v>
      </c>
    </row>
    <row r="69" spans="1:76" ht="14.4" x14ac:dyDescent="0.3">
      <c r="A69" s="2" t="s">
        <v>98</v>
      </c>
      <c r="B69" s="3" t="s">
        <v>170</v>
      </c>
      <c r="C69" s="75" t="s">
        <v>171</v>
      </c>
      <c r="D69" s="70"/>
      <c r="E69" s="3" t="s">
        <v>59</v>
      </c>
      <c r="F69" s="28">
        <v>69.75</v>
      </c>
      <c r="G69" s="28">
        <v>0</v>
      </c>
      <c r="H69" s="28">
        <f>ROUND(F69*AO69,2)</f>
        <v>0</v>
      </c>
      <c r="I69" s="28">
        <f>ROUND(F69*AP69,2)</f>
        <v>0</v>
      </c>
      <c r="J69" s="28">
        <f>ROUND(F69*G69,2)</f>
        <v>0</v>
      </c>
      <c r="K69" s="29" t="s">
        <v>60</v>
      </c>
      <c r="Z69" s="28">
        <f>ROUND(IF(AQ69="5",BJ69,0),2)</f>
        <v>0</v>
      </c>
      <c r="AB69" s="28">
        <f>ROUND(IF(AQ69="1",BH69,0),2)</f>
        <v>0</v>
      </c>
      <c r="AC69" s="28">
        <f>ROUND(IF(AQ69="1",BI69,0),2)</f>
        <v>0</v>
      </c>
      <c r="AD69" s="28">
        <f>ROUND(IF(AQ69="7",BH69,0),2)</f>
        <v>0</v>
      </c>
      <c r="AE69" s="28">
        <f>ROUND(IF(AQ69="7",BI69,0),2)</f>
        <v>0</v>
      </c>
      <c r="AF69" s="28">
        <f>ROUND(IF(AQ69="2",BH69,0),2)</f>
        <v>0</v>
      </c>
      <c r="AG69" s="28">
        <f>ROUND(IF(AQ69="2",BI69,0),2)</f>
        <v>0</v>
      </c>
      <c r="AH69" s="28">
        <f>ROUND(IF(AQ69="0",BJ69,0),2)</f>
        <v>0</v>
      </c>
      <c r="AI69" s="10" t="s">
        <v>55</v>
      </c>
      <c r="AJ69" s="28">
        <f>IF(AN69=0,J69,0)</f>
        <v>0</v>
      </c>
      <c r="AK69" s="28">
        <f>IF(AN69=12,J69,0)</f>
        <v>0</v>
      </c>
      <c r="AL69" s="28">
        <f>IF(AN69=21,J69,0)</f>
        <v>0</v>
      </c>
      <c r="AN69" s="28">
        <v>21</v>
      </c>
      <c r="AO69" s="28">
        <f>G69*0</f>
        <v>0</v>
      </c>
      <c r="AP69" s="28">
        <f>G69*(1-0)</f>
        <v>0</v>
      </c>
      <c r="AQ69" s="30" t="s">
        <v>56</v>
      </c>
      <c r="AV69" s="28">
        <f>ROUND(AW69+AX69,2)</f>
        <v>0</v>
      </c>
      <c r="AW69" s="28">
        <f>ROUND(F69*AO69,2)</f>
        <v>0</v>
      </c>
      <c r="AX69" s="28">
        <f>ROUND(F69*AP69,2)</f>
        <v>0</v>
      </c>
      <c r="AY69" s="30" t="s">
        <v>156</v>
      </c>
      <c r="AZ69" s="30" t="s">
        <v>62</v>
      </c>
      <c r="BA69" s="10" t="s">
        <v>63</v>
      </c>
      <c r="BC69" s="28">
        <f>AW69+AX69</f>
        <v>0</v>
      </c>
      <c r="BD69" s="28">
        <f>G69/(100-BE69)*100</f>
        <v>0</v>
      </c>
      <c r="BE69" s="28">
        <v>0</v>
      </c>
      <c r="BF69" s="28">
        <f>69</f>
        <v>69</v>
      </c>
      <c r="BH69" s="28">
        <f>F69*AO69</f>
        <v>0</v>
      </c>
      <c r="BI69" s="28">
        <f>F69*AP69</f>
        <v>0</v>
      </c>
      <c r="BJ69" s="28">
        <f>F69*G69</f>
        <v>0</v>
      </c>
      <c r="BK69" s="28"/>
      <c r="BL69" s="28">
        <v>17</v>
      </c>
      <c r="BW69" s="28">
        <v>21</v>
      </c>
      <c r="BX69" s="4" t="s">
        <v>171</v>
      </c>
    </row>
    <row r="70" spans="1:76" ht="14.4" x14ac:dyDescent="0.3">
      <c r="A70" s="31"/>
      <c r="C70" s="32" t="s">
        <v>172</v>
      </c>
      <c r="D70" s="32" t="s">
        <v>173</v>
      </c>
      <c r="F70" s="33">
        <v>22.75</v>
      </c>
      <c r="K70" s="34"/>
    </row>
    <row r="71" spans="1:76" ht="14.4" x14ac:dyDescent="0.3">
      <c r="A71" s="31"/>
      <c r="C71" s="32" t="s">
        <v>174</v>
      </c>
      <c r="D71" s="32" t="s">
        <v>175</v>
      </c>
      <c r="F71" s="33">
        <v>47</v>
      </c>
      <c r="K71" s="34"/>
    </row>
    <row r="72" spans="1:76" ht="14.4" x14ac:dyDescent="0.3">
      <c r="A72" s="31"/>
      <c r="B72" s="35" t="s">
        <v>68</v>
      </c>
      <c r="C72" s="93" t="s">
        <v>176</v>
      </c>
      <c r="D72" s="94"/>
      <c r="E72" s="94"/>
      <c r="F72" s="94"/>
      <c r="G72" s="94"/>
      <c r="H72" s="94"/>
      <c r="I72" s="94"/>
      <c r="J72" s="94"/>
      <c r="K72" s="95"/>
      <c r="BX72" s="36" t="s">
        <v>176</v>
      </c>
    </row>
    <row r="73" spans="1:76" ht="14.4" x14ac:dyDescent="0.3">
      <c r="A73" s="2" t="s">
        <v>116</v>
      </c>
      <c r="B73" s="3" t="s">
        <v>177</v>
      </c>
      <c r="C73" s="75" t="s">
        <v>178</v>
      </c>
      <c r="D73" s="70"/>
      <c r="E73" s="3" t="s">
        <v>59</v>
      </c>
      <c r="F73" s="28">
        <v>204.36</v>
      </c>
      <c r="G73" s="28">
        <v>0</v>
      </c>
      <c r="H73" s="28">
        <f>ROUND(F73*AO73,2)</f>
        <v>0</v>
      </c>
      <c r="I73" s="28">
        <f>ROUND(F73*AP73,2)</f>
        <v>0</v>
      </c>
      <c r="J73" s="28">
        <f>ROUND(F73*G73,2)</f>
        <v>0</v>
      </c>
      <c r="K73" s="29" t="s">
        <v>60</v>
      </c>
      <c r="Z73" s="28">
        <f>ROUND(IF(AQ73="5",BJ73,0),2)</f>
        <v>0</v>
      </c>
      <c r="AB73" s="28">
        <f>ROUND(IF(AQ73="1",BH73,0),2)</f>
        <v>0</v>
      </c>
      <c r="AC73" s="28">
        <f>ROUND(IF(AQ73="1",BI73,0),2)</f>
        <v>0</v>
      </c>
      <c r="AD73" s="28">
        <f>ROUND(IF(AQ73="7",BH73,0),2)</f>
        <v>0</v>
      </c>
      <c r="AE73" s="28">
        <f>ROUND(IF(AQ73="7",BI73,0),2)</f>
        <v>0</v>
      </c>
      <c r="AF73" s="28">
        <f>ROUND(IF(AQ73="2",BH73,0),2)</f>
        <v>0</v>
      </c>
      <c r="AG73" s="28">
        <f>ROUND(IF(AQ73="2",BI73,0),2)</f>
        <v>0</v>
      </c>
      <c r="AH73" s="28">
        <f>ROUND(IF(AQ73="0",BJ73,0),2)</f>
        <v>0</v>
      </c>
      <c r="AI73" s="10" t="s">
        <v>55</v>
      </c>
      <c r="AJ73" s="28">
        <f>IF(AN73=0,J73,0)</f>
        <v>0</v>
      </c>
      <c r="AK73" s="28">
        <f>IF(AN73=12,J73,0)</f>
        <v>0</v>
      </c>
      <c r="AL73" s="28">
        <f>IF(AN73=21,J73,0)</f>
        <v>0</v>
      </c>
      <c r="AN73" s="28">
        <v>21</v>
      </c>
      <c r="AO73" s="28">
        <f>G73*0</f>
        <v>0</v>
      </c>
      <c r="AP73" s="28">
        <f>G73*(1-0)</f>
        <v>0</v>
      </c>
      <c r="AQ73" s="30" t="s">
        <v>56</v>
      </c>
      <c r="AV73" s="28">
        <f>ROUND(AW73+AX73,2)</f>
        <v>0</v>
      </c>
      <c r="AW73" s="28">
        <f>ROUND(F73*AO73,2)</f>
        <v>0</v>
      </c>
      <c r="AX73" s="28">
        <f>ROUND(F73*AP73,2)</f>
        <v>0</v>
      </c>
      <c r="AY73" s="30" t="s">
        <v>156</v>
      </c>
      <c r="AZ73" s="30" t="s">
        <v>62</v>
      </c>
      <c r="BA73" s="10" t="s">
        <v>63</v>
      </c>
      <c r="BC73" s="28">
        <f>AW73+AX73</f>
        <v>0</v>
      </c>
      <c r="BD73" s="28">
        <f>G73/(100-BE73)*100</f>
        <v>0</v>
      </c>
      <c r="BE73" s="28">
        <v>0</v>
      </c>
      <c r="BF73" s="28">
        <f>73</f>
        <v>73</v>
      </c>
      <c r="BH73" s="28">
        <f>F73*AO73</f>
        <v>0</v>
      </c>
      <c r="BI73" s="28">
        <f>F73*AP73</f>
        <v>0</v>
      </c>
      <c r="BJ73" s="28">
        <f>F73*G73</f>
        <v>0</v>
      </c>
      <c r="BK73" s="28"/>
      <c r="BL73" s="28">
        <v>17</v>
      </c>
      <c r="BW73" s="28">
        <v>21</v>
      </c>
      <c r="BX73" s="4" t="s">
        <v>178</v>
      </c>
    </row>
    <row r="74" spans="1:76" ht="13.5" customHeight="1" x14ac:dyDescent="0.3">
      <c r="A74" s="31"/>
      <c r="B74" s="35" t="s">
        <v>105</v>
      </c>
      <c r="C74" s="96" t="s">
        <v>179</v>
      </c>
      <c r="D74" s="97"/>
      <c r="E74" s="97"/>
      <c r="F74" s="97"/>
      <c r="G74" s="97"/>
      <c r="H74" s="97"/>
      <c r="I74" s="97"/>
      <c r="J74" s="97"/>
      <c r="K74" s="98"/>
    </row>
    <row r="75" spans="1:76" ht="14.4" x14ac:dyDescent="0.3">
      <c r="A75" s="31"/>
      <c r="C75" s="32" t="s">
        <v>180</v>
      </c>
      <c r="D75" s="32" t="s">
        <v>181</v>
      </c>
      <c r="F75" s="33">
        <v>91</v>
      </c>
      <c r="K75" s="34"/>
    </row>
    <row r="76" spans="1:76" ht="14.4" x14ac:dyDescent="0.3">
      <c r="A76" s="31"/>
      <c r="C76" s="32" t="s">
        <v>174</v>
      </c>
      <c r="D76" s="32" t="s">
        <v>175</v>
      </c>
      <c r="F76" s="33">
        <v>47</v>
      </c>
      <c r="K76" s="34"/>
    </row>
    <row r="77" spans="1:76" ht="14.4" x14ac:dyDescent="0.3">
      <c r="A77" s="31"/>
      <c r="C77" s="32" t="s">
        <v>182</v>
      </c>
      <c r="D77" s="32" t="s">
        <v>183</v>
      </c>
      <c r="F77" s="33">
        <v>66.36</v>
      </c>
      <c r="K77" s="34"/>
    </row>
    <row r="78" spans="1:76" ht="26.4" x14ac:dyDescent="0.3">
      <c r="A78" s="31"/>
      <c r="B78" s="35" t="s">
        <v>68</v>
      </c>
      <c r="C78" s="93" t="s">
        <v>184</v>
      </c>
      <c r="D78" s="94"/>
      <c r="E78" s="94"/>
      <c r="F78" s="94"/>
      <c r="G78" s="94"/>
      <c r="H78" s="94"/>
      <c r="I78" s="94"/>
      <c r="J78" s="94"/>
      <c r="K78" s="95"/>
      <c r="BX78" s="36" t="s">
        <v>184</v>
      </c>
    </row>
    <row r="79" spans="1:76" ht="14.4" x14ac:dyDescent="0.3">
      <c r="A79" s="2" t="s">
        <v>152</v>
      </c>
      <c r="B79" s="3" t="s">
        <v>163</v>
      </c>
      <c r="C79" s="75" t="s">
        <v>164</v>
      </c>
      <c r="D79" s="70"/>
      <c r="E79" s="3" t="s">
        <v>59</v>
      </c>
      <c r="F79" s="28">
        <v>66.36</v>
      </c>
      <c r="G79" s="28">
        <v>0</v>
      </c>
      <c r="H79" s="28">
        <f>ROUND(F79*AO79,2)</f>
        <v>0</v>
      </c>
      <c r="I79" s="28">
        <f>ROUND(F79*AP79,2)</f>
        <v>0</v>
      </c>
      <c r="J79" s="28">
        <f>ROUND(F79*G79,2)</f>
        <v>0</v>
      </c>
      <c r="K79" s="29" t="s">
        <v>60</v>
      </c>
      <c r="Z79" s="28">
        <f>ROUND(IF(AQ79="5",BJ79,0),2)</f>
        <v>0</v>
      </c>
      <c r="AB79" s="28">
        <f>ROUND(IF(AQ79="1",BH79,0),2)</f>
        <v>0</v>
      </c>
      <c r="AC79" s="28">
        <f>ROUND(IF(AQ79="1",BI79,0),2)</f>
        <v>0</v>
      </c>
      <c r="AD79" s="28">
        <f>ROUND(IF(AQ79="7",BH79,0),2)</f>
        <v>0</v>
      </c>
      <c r="AE79" s="28">
        <f>ROUND(IF(AQ79="7",BI79,0),2)</f>
        <v>0</v>
      </c>
      <c r="AF79" s="28">
        <f>ROUND(IF(AQ79="2",BH79,0),2)</f>
        <v>0</v>
      </c>
      <c r="AG79" s="28">
        <f>ROUND(IF(AQ79="2",BI79,0),2)</f>
        <v>0</v>
      </c>
      <c r="AH79" s="28">
        <f>ROUND(IF(AQ79="0",BJ79,0),2)</f>
        <v>0</v>
      </c>
      <c r="AI79" s="10" t="s">
        <v>55</v>
      </c>
      <c r="AJ79" s="28">
        <f>IF(AN79=0,J79,0)</f>
        <v>0</v>
      </c>
      <c r="AK79" s="28">
        <f>IF(AN79=12,J79,0)</f>
        <v>0</v>
      </c>
      <c r="AL79" s="28">
        <f>IF(AN79=21,J79,0)</f>
        <v>0</v>
      </c>
      <c r="AN79" s="28">
        <v>21</v>
      </c>
      <c r="AO79" s="28">
        <f>G79*0</f>
        <v>0</v>
      </c>
      <c r="AP79" s="28">
        <f>G79*(1-0)</f>
        <v>0</v>
      </c>
      <c r="AQ79" s="30" t="s">
        <v>56</v>
      </c>
      <c r="AV79" s="28">
        <f>ROUND(AW79+AX79,2)</f>
        <v>0</v>
      </c>
      <c r="AW79" s="28">
        <f>ROUND(F79*AO79,2)</f>
        <v>0</v>
      </c>
      <c r="AX79" s="28">
        <f>ROUND(F79*AP79,2)</f>
        <v>0</v>
      </c>
      <c r="AY79" s="30" t="s">
        <v>156</v>
      </c>
      <c r="AZ79" s="30" t="s">
        <v>62</v>
      </c>
      <c r="BA79" s="10" t="s">
        <v>63</v>
      </c>
      <c r="BC79" s="28">
        <f>AW79+AX79</f>
        <v>0</v>
      </c>
      <c r="BD79" s="28">
        <f>G79/(100-BE79)*100</f>
        <v>0</v>
      </c>
      <c r="BE79" s="28">
        <v>0</v>
      </c>
      <c r="BF79" s="28">
        <f>79</f>
        <v>79</v>
      </c>
      <c r="BH79" s="28">
        <f>F79*AO79</f>
        <v>0</v>
      </c>
      <c r="BI79" s="28">
        <f>F79*AP79</f>
        <v>0</v>
      </c>
      <c r="BJ79" s="28">
        <f>F79*G79</f>
        <v>0</v>
      </c>
      <c r="BK79" s="28"/>
      <c r="BL79" s="28">
        <v>17</v>
      </c>
      <c r="BW79" s="28">
        <v>21</v>
      </c>
      <c r="BX79" s="4" t="s">
        <v>164</v>
      </c>
    </row>
    <row r="80" spans="1:76" ht="14.4" x14ac:dyDescent="0.3">
      <c r="A80" s="31"/>
      <c r="C80" s="32" t="s">
        <v>182</v>
      </c>
      <c r="D80" s="32" t="s">
        <v>183</v>
      </c>
      <c r="F80" s="33">
        <v>66.36</v>
      </c>
      <c r="K80" s="34"/>
    </row>
    <row r="81" spans="1:76" ht="26.4" x14ac:dyDescent="0.3">
      <c r="A81" s="31"/>
      <c r="B81" s="35" t="s">
        <v>68</v>
      </c>
      <c r="C81" s="93" t="s">
        <v>169</v>
      </c>
      <c r="D81" s="94"/>
      <c r="E81" s="94"/>
      <c r="F81" s="94"/>
      <c r="G81" s="94"/>
      <c r="H81" s="94"/>
      <c r="I81" s="94"/>
      <c r="J81" s="94"/>
      <c r="K81" s="95"/>
      <c r="BX81" s="36" t="s">
        <v>169</v>
      </c>
    </row>
    <row r="82" spans="1:76" ht="14.4" x14ac:dyDescent="0.3">
      <c r="A82" s="2" t="s">
        <v>185</v>
      </c>
      <c r="B82" s="3" t="s">
        <v>186</v>
      </c>
      <c r="C82" s="75" t="s">
        <v>187</v>
      </c>
      <c r="D82" s="70"/>
      <c r="E82" s="3" t="s">
        <v>188</v>
      </c>
      <c r="F82" s="28">
        <v>56</v>
      </c>
      <c r="G82" s="28">
        <v>0</v>
      </c>
      <c r="H82" s="28">
        <f>ROUND(F82*AO82,2)</f>
        <v>0</v>
      </c>
      <c r="I82" s="28">
        <f>ROUND(F82*AP82,2)</f>
        <v>0</v>
      </c>
      <c r="J82" s="28">
        <f>ROUND(F82*G82,2)</f>
        <v>0</v>
      </c>
      <c r="K82" s="29" t="s">
        <v>60</v>
      </c>
      <c r="Z82" s="28">
        <f>ROUND(IF(AQ82="5",BJ82,0),2)</f>
        <v>0</v>
      </c>
      <c r="AB82" s="28">
        <f>ROUND(IF(AQ82="1",BH82,0),2)</f>
        <v>0</v>
      </c>
      <c r="AC82" s="28">
        <f>ROUND(IF(AQ82="1",BI82,0),2)</f>
        <v>0</v>
      </c>
      <c r="AD82" s="28">
        <f>ROUND(IF(AQ82="7",BH82,0),2)</f>
        <v>0</v>
      </c>
      <c r="AE82" s="28">
        <f>ROUND(IF(AQ82="7",BI82,0),2)</f>
        <v>0</v>
      </c>
      <c r="AF82" s="28">
        <f>ROUND(IF(AQ82="2",BH82,0),2)</f>
        <v>0</v>
      </c>
      <c r="AG82" s="28">
        <f>ROUND(IF(AQ82="2",BI82,0),2)</f>
        <v>0</v>
      </c>
      <c r="AH82" s="28">
        <f>ROUND(IF(AQ82="0",BJ82,0),2)</f>
        <v>0</v>
      </c>
      <c r="AI82" s="10" t="s">
        <v>55</v>
      </c>
      <c r="AJ82" s="28">
        <f>IF(AN82=0,J82,0)</f>
        <v>0</v>
      </c>
      <c r="AK82" s="28">
        <f>IF(AN82=12,J82,0)</f>
        <v>0</v>
      </c>
      <c r="AL82" s="28">
        <f>IF(AN82=21,J82,0)</f>
        <v>0</v>
      </c>
      <c r="AN82" s="28">
        <v>21</v>
      </c>
      <c r="AO82" s="28">
        <f>G82*0.352747253</f>
        <v>0</v>
      </c>
      <c r="AP82" s="28">
        <f>G82*(1-0.352747253)</f>
        <v>0</v>
      </c>
      <c r="AQ82" s="30" t="s">
        <v>56</v>
      </c>
      <c r="AV82" s="28">
        <f>ROUND(AW82+AX82,2)</f>
        <v>0</v>
      </c>
      <c r="AW82" s="28">
        <f>ROUND(F82*AO82,2)</f>
        <v>0</v>
      </c>
      <c r="AX82" s="28">
        <f>ROUND(F82*AP82,2)</f>
        <v>0</v>
      </c>
      <c r="AY82" s="30" t="s">
        <v>156</v>
      </c>
      <c r="AZ82" s="30" t="s">
        <v>62</v>
      </c>
      <c r="BA82" s="10" t="s">
        <v>63</v>
      </c>
      <c r="BC82" s="28">
        <f>AW82+AX82</f>
        <v>0</v>
      </c>
      <c r="BD82" s="28">
        <f>G82/(100-BE82)*100</f>
        <v>0</v>
      </c>
      <c r="BE82" s="28">
        <v>0</v>
      </c>
      <c r="BF82" s="28">
        <f>82</f>
        <v>82</v>
      </c>
      <c r="BH82" s="28">
        <f>F82*AO82</f>
        <v>0</v>
      </c>
      <c r="BI82" s="28">
        <f>F82*AP82</f>
        <v>0</v>
      </c>
      <c r="BJ82" s="28">
        <f>F82*G82</f>
        <v>0</v>
      </c>
      <c r="BK82" s="28"/>
      <c r="BL82" s="28">
        <v>17</v>
      </c>
      <c r="BW82" s="28">
        <v>21</v>
      </c>
      <c r="BX82" s="4" t="s">
        <v>187</v>
      </c>
    </row>
    <row r="83" spans="1:76" ht="13.5" customHeight="1" x14ac:dyDescent="0.3">
      <c r="A83" s="31"/>
      <c r="B83" s="35" t="s">
        <v>105</v>
      </c>
      <c r="C83" s="96" t="s">
        <v>189</v>
      </c>
      <c r="D83" s="97"/>
      <c r="E83" s="97"/>
      <c r="F83" s="97"/>
      <c r="G83" s="97"/>
      <c r="H83" s="97"/>
      <c r="I83" s="97"/>
      <c r="J83" s="97"/>
      <c r="K83" s="98"/>
    </row>
    <row r="84" spans="1:76" ht="14.4" x14ac:dyDescent="0.3">
      <c r="A84" s="31"/>
      <c r="C84" s="32" t="s">
        <v>190</v>
      </c>
      <c r="D84" s="32" t="s">
        <v>51</v>
      </c>
      <c r="F84" s="33">
        <v>56</v>
      </c>
      <c r="K84" s="34"/>
    </row>
    <row r="85" spans="1:76" ht="14.4" x14ac:dyDescent="0.3">
      <c r="A85" s="24" t="s">
        <v>51</v>
      </c>
      <c r="B85" s="25" t="s">
        <v>185</v>
      </c>
      <c r="C85" s="91" t="s">
        <v>191</v>
      </c>
      <c r="D85" s="92"/>
      <c r="E85" s="26" t="s">
        <v>4</v>
      </c>
      <c r="F85" s="26" t="s">
        <v>4</v>
      </c>
      <c r="G85" s="26" t="s">
        <v>4</v>
      </c>
      <c r="H85" s="1">
        <f>SUM(H86:H88)</f>
        <v>0</v>
      </c>
      <c r="I85" s="1">
        <f>SUM(I86:I88)</f>
        <v>0</v>
      </c>
      <c r="J85" s="1">
        <f>SUM(J86:J88)</f>
        <v>0</v>
      </c>
      <c r="K85" s="27" t="s">
        <v>51</v>
      </c>
      <c r="AI85" s="10" t="s">
        <v>55</v>
      </c>
      <c r="AS85" s="1">
        <f>SUM(AJ86:AJ88)</f>
        <v>0</v>
      </c>
      <c r="AT85" s="1">
        <f>SUM(AK86:AK88)</f>
        <v>0</v>
      </c>
      <c r="AU85" s="1">
        <f>SUM(AL86:AL88)</f>
        <v>0</v>
      </c>
    </row>
    <row r="86" spans="1:76" ht="14.4" x14ac:dyDescent="0.3">
      <c r="A86" s="2" t="s">
        <v>192</v>
      </c>
      <c r="B86" s="3" t="s">
        <v>193</v>
      </c>
      <c r="C86" s="75" t="s">
        <v>194</v>
      </c>
      <c r="D86" s="70"/>
      <c r="E86" s="3" t="s">
        <v>103</v>
      </c>
      <c r="F86" s="28">
        <v>90</v>
      </c>
      <c r="G86" s="28">
        <v>0</v>
      </c>
      <c r="H86" s="28">
        <f>ROUND(F86*AO86,2)</f>
        <v>0</v>
      </c>
      <c r="I86" s="28">
        <f>ROUND(F86*AP86,2)</f>
        <v>0</v>
      </c>
      <c r="J86" s="28">
        <f>ROUND(F86*G86,2)</f>
        <v>0</v>
      </c>
      <c r="K86" s="29" t="s">
        <v>60</v>
      </c>
      <c r="Z86" s="28">
        <f>ROUND(IF(AQ86="5",BJ86,0),2)</f>
        <v>0</v>
      </c>
      <c r="AB86" s="28">
        <f>ROUND(IF(AQ86="1",BH86,0),2)</f>
        <v>0</v>
      </c>
      <c r="AC86" s="28">
        <f>ROUND(IF(AQ86="1",BI86,0),2)</f>
        <v>0</v>
      </c>
      <c r="AD86" s="28">
        <f>ROUND(IF(AQ86="7",BH86,0),2)</f>
        <v>0</v>
      </c>
      <c r="AE86" s="28">
        <f>ROUND(IF(AQ86="7",BI86,0),2)</f>
        <v>0</v>
      </c>
      <c r="AF86" s="28">
        <f>ROUND(IF(AQ86="2",BH86,0),2)</f>
        <v>0</v>
      </c>
      <c r="AG86" s="28">
        <f>ROUND(IF(AQ86="2",BI86,0),2)</f>
        <v>0</v>
      </c>
      <c r="AH86" s="28">
        <f>ROUND(IF(AQ86="0",BJ86,0),2)</f>
        <v>0</v>
      </c>
      <c r="AI86" s="10" t="s">
        <v>55</v>
      </c>
      <c r="AJ86" s="28">
        <f>IF(AN86=0,J86,0)</f>
        <v>0</v>
      </c>
      <c r="AK86" s="28">
        <f>IF(AN86=12,J86,0)</f>
        <v>0</v>
      </c>
      <c r="AL86" s="28">
        <f>IF(AN86=21,J86,0)</f>
        <v>0</v>
      </c>
      <c r="AN86" s="28">
        <v>21</v>
      </c>
      <c r="AO86" s="28">
        <f>G86*0.190222366</f>
        <v>0</v>
      </c>
      <c r="AP86" s="28">
        <f>G86*(1-0.190222366)</f>
        <v>0</v>
      </c>
      <c r="AQ86" s="30" t="s">
        <v>56</v>
      </c>
      <c r="AV86" s="28">
        <f>ROUND(AW86+AX86,2)</f>
        <v>0</v>
      </c>
      <c r="AW86" s="28">
        <f>ROUND(F86*AO86,2)</f>
        <v>0</v>
      </c>
      <c r="AX86" s="28">
        <f>ROUND(F86*AP86,2)</f>
        <v>0</v>
      </c>
      <c r="AY86" s="30" t="s">
        <v>195</v>
      </c>
      <c r="AZ86" s="30" t="s">
        <v>62</v>
      </c>
      <c r="BA86" s="10" t="s">
        <v>63</v>
      </c>
      <c r="BC86" s="28">
        <f>AW86+AX86</f>
        <v>0</v>
      </c>
      <c r="BD86" s="28">
        <f>G86/(100-BE86)*100</f>
        <v>0</v>
      </c>
      <c r="BE86" s="28">
        <v>0</v>
      </c>
      <c r="BF86" s="28">
        <f>86</f>
        <v>86</v>
      </c>
      <c r="BH86" s="28">
        <f>F86*AO86</f>
        <v>0</v>
      </c>
      <c r="BI86" s="28">
        <f>F86*AP86</f>
        <v>0</v>
      </c>
      <c r="BJ86" s="28">
        <f>F86*G86</f>
        <v>0</v>
      </c>
      <c r="BK86" s="28"/>
      <c r="BL86" s="28">
        <v>18</v>
      </c>
      <c r="BW86" s="28">
        <v>21</v>
      </c>
      <c r="BX86" s="4" t="s">
        <v>194</v>
      </c>
    </row>
    <row r="87" spans="1:76" ht="14.4" x14ac:dyDescent="0.3">
      <c r="A87" s="31"/>
      <c r="C87" s="32" t="s">
        <v>196</v>
      </c>
      <c r="D87" s="32" t="s">
        <v>197</v>
      </c>
      <c r="F87" s="33">
        <v>90</v>
      </c>
      <c r="K87" s="34"/>
    </row>
    <row r="88" spans="1:76" ht="14.4" x14ac:dyDescent="0.3">
      <c r="A88" s="2" t="s">
        <v>198</v>
      </c>
      <c r="B88" s="3" t="s">
        <v>199</v>
      </c>
      <c r="C88" s="75" t="s">
        <v>200</v>
      </c>
      <c r="D88" s="70"/>
      <c r="E88" s="3" t="s">
        <v>201</v>
      </c>
      <c r="F88" s="28">
        <v>44</v>
      </c>
      <c r="G88" s="28">
        <v>0</v>
      </c>
      <c r="H88" s="28">
        <f>ROUND(F88*AO88,2)</f>
        <v>0</v>
      </c>
      <c r="I88" s="28">
        <f>ROUND(F88*AP88,2)</f>
        <v>0</v>
      </c>
      <c r="J88" s="28">
        <f>ROUND(F88*G88,2)</f>
        <v>0</v>
      </c>
      <c r="K88" s="29" t="s">
        <v>60</v>
      </c>
      <c r="Z88" s="28">
        <f>ROUND(IF(AQ88="5",BJ88,0),2)</f>
        <v>0</v>
      </c>
      <c r="AB88" s="28">
        <f>ROUND(IF(AQ88="1",BH88,0),2)</f>
        <v>0</v>
      </c>
      <c r="AC88" s="28">
        <f>ROUND(IF(AQ88="1",BI88,0),2)</f>
        <v>0</v>
      </c>
      <c r="AD88" s="28">
        <f>ROUND(IF(AQ88="7",BH88,0),2)</f>
        <v>0</v>
      </c>
      <c r="AE88" s="28">
        <f>ROUND(IF(AQ88="7",BI88,0),2)</f>
        <v>0</v>
      </c>
      <c r="AF88" s="28">
        <f>ROUND(IF(AQ88="2",BH88,0),2)</f>
        <v>0</v>
      </c>
      <c r="AG88" s="28">
        <f>ROUND(IF(AQ88="2",BI88,0),2)</f>
        <v>0</v>
      </c>
      <c r="AH88" s="28">
        <f>ROUND(IF(AQ88="0",BJ88,0),2)</f>
        <v>0</v>
      </c>
      <c r="AI88" s="10" t="s">
        <v>55</v>
      </c>
      <c r="AJ88" s="28">
        <f>IF(AN88=0,J88,0)</f>
        <v>0</v>
      </c>
      <c r="AK88" s="28">
        <f>IF(AN88=12,J88,0)</f>
        <v>0</v>
      </c>
      <c r="AL88" s="28">
        <f>IF(AN88=21,J88,0)</f>
        <v>0</v>
      </c>
      <c r="AN88" s="28">
        <v>21</v>
      </c>
      <c r="AO88" s="28">
        <f>G88*1</f>
        <v>0</v>
      </c>
      <c r="AP88" s="28">
        <f>G88*(1-1)</f>
        <v>0</v>
      </c>
      <c r="AQ88" s="30" t="s">
        <v>56</v>
      </c>
      <c r="AV88" s="28">
        <f>ROUND(AW88+AX88,2)</f>
        <v>0</v>
      </c>
      <c r="AW88" s="28">
        <f>ROUND(F88*AO88,2)</f>
        <v>0</v>
      </c>
      <c r="AX88" s="28">
        <f>ROUND(F88*AP88,2)</f>
        <v>0</v>
      </c>
      <c r="AY88" s="30" t="s">
        <v>195</v>
      </c>
      <c r="AZ88" s="30" t="s">
        <v>62</v>
      </c>
      <c r="BA88" s="10" t="s">
        <v>63</v>
      </c>
      <c r="BC88" s="28">
        <f>AW88+AX88</f>
        <v>0</v>
      </c>
      <c r="BD88" s="28">
        <f>G88/(100-BE88)*100</f>
        <v>0</v>
      </c>
      <c r="BE88" s="28">
        <v>0</v>
      </c>
      <c r="BF88" s="28">
        <f>88</f>
        <v>88</v>
      </c>
      <c r="BH88" s="28">
        <f>F88*AO88</f>
        <v>0</v>
      </c>
      <c r="BI88" s="28">
        <f>F88*AP88</f>
        <v>0</v>
      </c>
      <c r="BJ88" s="28">
        <f>F88*G88</f>
        <v>0</v>
      </c>
      <c r="BK88" s="28"/>
      <c r="BL88" s="28">
        <v>18</v>
      </c>
      <c r="BW88" s="28">
        <v>21</v>
      </c>
      <c r="BX88" s="4" t="s">
        <v>200</v>
      </c>
    </row>
    <row r="89" spans="1:76" ht="14.4" x14ac:dyDescent="0.3">
      <c r="A89" s="24" t="s">
        <v>51</v>
      </c>
      <c r="B89" s="25" t="s">
        <v>202</v>
      </c>
      <c r="C89" s="91" t="s">
        <v>203</v>
      </c>
      <c r="D89" s="92"/>
      <c r="E89" s="26" t="s">
        <v>4</v>
      </c>
      <c r="F89" s="26" t="s">
        <v>4</v>
      </c>
      <c r="G89" s="26" t="s">
        <v>4</v>
      </c>
      <c r="H89" s="1">
        <f>SUM(H90:H94)</f>
        <v>0</v>
      </c>
      <c r="I89" s="1">
        <f>SUM(I90:I94)</f>
        <v>0</v>
      </c>
      <c r="J89" s="1">
        <f>SUM(J90:J94)</f>
        <v>0</v>
      </c>
      <c r="K89" s="27" t="s">
        <v>51</v>
      </c>
      <c r="AI89" s="10" t="s">
        <v>55</v>
      </c>
      <c r="AS89" s="1">
        <f>SUM(AJ90:AJ94)</f>
        <v>0</v>
      </c>
      <c r="AT89" s="1">
        <f>SUM(AK90:AK94)</f>
        <v>0</v>
      </c>
      <c r="AU89" s="1">
        <f>SUM(AL90:AL94)</f>
        <v>0</v>
      </c>
    </row>
    <row r="90" spans="1:76" ht="14.4" x14ac:dyDescent="0.3">
      <c r="A90" s="2" t="s">
        <v>202</v>
      </c>
      <c r="B90" s="3" t="s">
        <v>204</v>
      </c>
      <c r="C90" s="75" t="s">
        <v>205</v>
      </c>
      <c r="D90" s="70"/>
      <c r="E90" s="3" t="s">
        <v>59</v>
      </c>
      <c r="F90" s="28">
        <v>7.1</v>
      </c>
      <c r="G90" s="28">
        <v>0</v>
      </c>
      <c r="H90" s="28">
        <f>ROUND(F90*AO90,2)</f>
        <v>0</v>
      </c>
      <c r="I90" s="28">
        <f>ROUND(F90*AP90,2)</f>
        <v>0</v>
      </c>
      <c r="J90" s="28">
        <f>ROUND(F90*G90,2)</f>
        <v>0</v>
      </c>
      <c r="K90" s="29" t="s">
        <v>60</v>
      </c>
      <c r="Z90" s="28">
        <f>ROUND(IF(AQ90="5",BJ90,0),2)</f>
        <v>0</v>
      </c>
      <c r="AB90" s="28">
        <f>ROUND(IF(AQ90="1",BH90,0),2)</f>
        <v>0</v>
      </c>
      <c r="AC90" s="28">
        <f>ROUND(IF(AQ90="1",BI90,0),2)</f>
        <v>0</v>
      </c>
      <c r="AD90" s="28">
        <f>ROUND(IF(AQ90="7",BH90,0),2)</f>
        <v>0</v>
      </c>
      <c r="AE90" s="28">
        <f>ROUND(IF(AQ90="7",BI90,0),2)</f>
        <v>0</v>
      </c>
      <c r="AF90" s="28">
        <f>ROUND(IF(AQ90="2",BH90,0),2)</f>
        <v>0</v>
      </c>
      <c r="AG90" s="28">
        <f>ROUND(IF(AQ90="2",BI90,0),2)</f>
        <v>0</v>
      </c>
      <c r="AH90" s="28">
        <f>ROUND(IF(AQ90="0",BJ90,0),2)</f>
        <v>0</v>
      </c>
      <c r="AI90" s="10" t="s">
        <v>55</v>
      </c>
      <c r="AJ90" s="28">
        <f>IF(AN90=0,J90,0)</f>
        <v>0</v>
      </c>
      <c r="AK90" s="28">
        <f>IF(AN90=12,J90,0)</f>
        <v>0</v>
      </c>
      <c r="AL90" s="28">
        <f>IF(AN90=21,J90,0)</f>
        <v>0</v>
      </c>
      <c r="AN90" s="28">
        <v>21</v>
      </c>
      <c r="AO90" s="28">
        <f>G90*0.676544336</f>
        <v>0</v>
      </c>
      <c r="AP90" s="28">
        <f>G90*(1-0.676544336)</f>
        <v>0</v>
      </c>
      <c r="AQ90" s="30" t="s">
        <v>56</v>
      </c>
      <c r="AV90" s="28">
        <f>ROUND(AW90+AX90,2)</f>
        <v>0</v>
      </c>
      <c r="AW90" s="28">
        <f>ROUND(F90*AO90,2)</f>
        <v>0</v>
      </c>
      <c r="AX90" s="28">
        <f>ROUND(F90*AP90,2)</f>
        <v>0</v>
      </c>
      <c r="AY90" s="30" t="s">
        <v>206</v>
      </c>
      <c r="AZ90" s="30" t="s">
        <v>207</v>
      </c>
      <c r="BA90" s="10" t="s">
        <v>63</v>
      </c>
      <c r="BC90" s="28">
        <f>AW90+AX90</f>
        <v>0</v>
      </c>
      <c r="BD90" s="28">
        <f>G90/(100-BE90)*100</f>
        <v>0</v>
      </c>
      <c r="BE90" s="28">
        <v>0</v>
      </c>
      <c r="BF90" s="28">
        <f>90</f>
        <v>90</v>
      </c>
      <c r="BH90" s="28">
        <f>F90*AO90</f>
        <v>0</v>
      </c>
      <c r="BI90" s="28">
        <f>F90*AP90</f>
        <v>0</v>
      </c>
      <c r="BJ90" s="28">
        <f>F90*G90</f>
        <v>0</v>
      </c>
      <c r="BK90" s="28"/>
      <c r="BL90" s="28">
        <v>21</v>
      </c>
      <c r="BW90" s="28">
        <v>21</v>
      </c>
      <c r="BX90" s="4" t="s">
        <v>205</v>
      </c>
    </row>
    <row r="91" spans="1:76" ht="14.4" x14ac:dyDescent="0.3">
      <c r="A91" s="31"/>
      <c r="C91" s="32" t="s">
        <v>208</v>
      </c>
      <c r="D91" s="32" t="s">
        <v>209</v>
      </c>
      <c r="F91" s="33">
        <v>7.1</v>
      </c>
      <c r="K91" s="34"/>
    </row>
    <row r="92" spans="1:76" ht="14.4" x14ac:dyDescent="0.3">
      <c r="A92" s="2" t="s">
        <v>85</v>
      </c>
      <c r="B92" s="3" t="s">
        <v>210</v>
      </c>
      <c r="C92" s="75" t="s">
        <v>211</v>
      </c>
      <c r="D92" s="70"/>
      <c r="E92" s="3" t="s">
        <v>188</v>
      </c>
      <c r="F92" s="28">
        <v>71</v>
      </c>
      <c r="G92" s="28">
        <v>0</v>
      </c>
      <c r="H92" s="28">
        <f>ROUND(F92*AO92,2)</f>
        <v>0</v>
      </c>
      <c r="I92" s="28">
        <f>ROUND(F92*AP92,2)</f>
        <v>0</v>
      </c>
      <c r="J92" s="28">
        <f>ROUND(F92*G92,2)</f>
        <v>0</v>
      </c>
      <c r="K92" s="29" t="s">
        <v>60</v>
      </c>
      <c r="Z92" s="28">
        <f>ROUND(IF(AQ92="5",BJ92,0),2)</f>
        <v>0</v>
      </c>
      <c r="AB92" s="28">
        <f>ROUND(IF(AQ92="1",BH92,0),2)</f>
        <v>0</v>
      </c>
      <c r="AC92" s="28">
        <f>ROUND(IF(AQ92="1",BI92,0),2)</f>
        <v>0</v>
      </c>
      <c r="AD92" s="28">
        <f>ROUND(IF(AQ92="7",BH92,0),2)</f>
        <v>0</v>
      </c>
      <c r="AE92" s="28">
        <f>ROUND(IF(AQ92="7",BI92,0),2)</f>
        <v>0</v>
      </c>
      <c r="AF92" s="28">
        <f>ROUND(IF(AQ92="2",BH92,0),2)</f>
        <v>0</v>
      </c>
      <c r="AG92" s="28">
        <f>ROUND(IF(AQ92="2",BI92,0),2)</f>
        <v>0</v>
      </c>
      <c r="AH92" s="28">
        <f>ROUND(IF(AQ92="0",BJ92,0),2)</f>
        <v>0</v>
      </c>
      <c r="AI92" s="10" t="s">
        <v>55</v>
      </c>
      <c r="AJ92" s="28">
        <f>IF(AN92=0,J92,0)</f>
        <v>0</v>
      </c>
      <c r="AK92" s="28">
        <f>IF(AN92=12,J92,0)</f>
        <v>0</v>
      </c>
      <c r="AL92" s="28">
        <f>IF(AN92=21,J92,0)</f>
        <v>0</v>
      </c>
      <c r="AN92" s="28">
        <v>21</v>
      </c>
      <c r="AO92" s="28">
        <f>G92*0</f>
        <v>0</v>
      </c>
      <c r="AP92" s="28">
        <f>G92*(1-0)</f>
        <v>0</v>
      </c>
      <c r="AQ92" s="30" t="s">
        <v>56</v>
      </c>
      <c r="AV92" s="28">
        <f>ROUND(AW92+AX92,2)</f>
        <v>0</v>
      </c>
      <c r="AW92" s="28">
        <f>ROUND(F92*AO92,2)</f>
        <v>0</v>
      </c>
      <c r="AX92" s="28">
        <f>ROUND(F92*AP92,2)</f>
        <v>0</v>
      </c>
      <c r="AY92" s="30" t="s">
        <v>206</v>
      </c>
      <c r="AZ92" s="30" t="s">
        <v>207</v>
      </c>
      <c r="BA92" s="10" t="s">
        <v>63</v>
      </c>
      <c r="BC92" s="28">
        <f>AW92+AX92</f>
        <v>0</v>
      </c>
      <c r="BD92" s="28">
        <f>G92/(100-BE92)*100</f>
        <v>0</v>
      </c>
      <c r="BE92" s="28">
        <v>0</v>
      </c>
      <c r="BF92" s="28">
        <f>92</f>
        <v>92</v>
      </c>
      <c r="BH92" s="28">
        <f>F92*AO92</f>
        <v>0</v>
      </c>
      <c r="BI92" s="28">
        <f>F92*AP92</f>
        <v>0</v>
      </c>
      <c r="BJ92" s="28">
        <f>F92*G92</f>
        <v>0</v>
      </c>
      <c r="BK92" s="28"/>
      <c r="BL92" s="28">
        <v>21</v>
      </c>
      <c r="BW92" s="28">
        <v>21</v>
      </c>
      <c r="BX92" s="4" t="s">
        <v>211</v>
      </c>
    </row>
    <row r="93" spans="1:76" ht="14.4" x14ac:dyDescent="0.3">
      <c r="A93" s="31"/>
      <c r="C93" s="32" t="s">
        <v>212</v>
      </c>
      <c r="D93" s="32" t="s">
        <v>51</v>
      </c>
      <c r="F93" s="33">
        <v>71</v>
      </c>
      <c r="K93" s="34"/>
    </row>
    <row r="94" spans="1:76" ht="14.4" x14ac:dyDescent="0.3">
      <c r="A94" s="2" t="s">
        <v>213</v>
      </c>
      <c r="B94" s="3" t="s">
        <v>214</v>
      </c>
      <c r="C94" s="75" t="s">
        <v>215</v>
      </c>
      <c r="D94" s="70"/>
      <c r="E94" s="3" t="s">
        <v>103</v>
      </c>
      <c r="F94" s="28">
        <v>127.8</v>
      </c>
      <c r="G94" s="28">
        <v>0</v>
      </c>
      <c r="H94" s="28">
        <f>ROUND(F94*AO94,2)</f>
        <v>0</v>
      </c>
      <c r="I94" s="28">
        <f>ROUND(F94*AP94,2)</f>
        <v>0</v>
      </c>
      <c r="J94" s="28">
        <f>ROUND(F94*G94,2)</f>
        <v>0</v>
      </c>
      <c r="K94" s="29" t="s">
        <v>60</v>
      </c>
      <c r="Z94" s="28">
        <f>ROUND(IF(AQ94="5",BJ94,0),2)</f>
        <v>0</v>
      </c>
      <c r="AB94" s="28">
        <f>ROUND(IF(AQ94="1",BH94,0),2)</f>
        <v>0</v>
      </c>
      <c r="AC94" s="28">
        <f>ROUND(IF(AQ94="1",BI94,0),2)</f>
        <v>0</v>
      </c>
      <c r="AD94" s="28">
        <f>ROUND(IF(AQ94="7",BH94,0),2)</f>
        <v>0</v>
      </c>
      <c r="AE94" s="28">
        <f>ROUND(IF(AQ94="7",BI94,0),2)</f>
        <v>0</v>
      </c>
      <c r="AF94" s="28">
        <f>ROUND(IF(AQ94="2",BH94,0),2)</f>
        <v>0</v>
      </c>
      <c r="AG94" s="28">
        <f>ROUND(IF(AQ94="2",BI94,0),2)</f>
        <v>0</v>
      </c>
      <c r="AH94" s="28">
        <f>ROUND(IF(AQ94="0",BJ94,0),2)</f>
        <v>0</v>
      </c>
      <c r="AI94" s="10" t="s">
        <v>55</v>
      </c>
      <c r="AJ94" s="28">
        <f>IF(AN94=0,J94,0)</f>
        <v>0</v>
      </c>
      <c r="AK94" s="28">
        <f>IF(AN94=12,J94,0)</f>
        <v>0</v>
      </c>
      <c r="AL94" s="28">
        <f>IF(AN94=21,J94,0)</f>
        <v>0</v>
      </c>
      <c r="AN94" s="28">
        <v>21</v>
      </c>
      <c r="AO94" s="28">
        <f>G94*0.142986121</f>
        <v>0</v>
      </c>
      <c r="AP94" s="28">
        <f>G94*(1-0.142986121)</f>
        <v>0</v>
      </c>
      <c r="AQ94" s="30" t="s">
        <v>56</v>
      </c>
      <c r="AV94" s="28">
        <f>ROUND(AW94+AX94,2)</f>
        <v>0</v>
      </c>
      <c r="AW94" s="28">
        <f>ROUND(F94*AO94,2)</f>
        <v>0</v>
      </c>
      <c r="AX94" s="28">
        <f>ROUND(F94*AP94,2)</f>
        <v>0</v>
      </c>
      <c r="AY94" s="30" t="s">
        <v>206</v>
      </c>
      <c r="AZ94" s="30" t="s">
        <v>207</v>
      </c>
      <c r="BA94" s="10" t="s">
        <v>63</v>
      </c>
      <c r="BC94" s="28">
        <f>AW94+AX94</f>
        <v>0</v>
      </c>
      <c r="BD94" s="28">
        <f>G94/(100-BE94)*100</f>
        <v>0</v>
      </c>
      <c r="BE94" s="28">
        <v>0</v>
      </c>
      <c r="BF94" s="28">
        <f>94</f>
        <v>94</v>
      </c>
      <c r="BH94" s="28">
        <f>F94*AO94</f>
        <v>0</v>
      </c>
      <c r="BI94" s="28">
        <f>F94*AP94</f>
        <v>0</v>
      </c>
      <c r="BJ94" s="28">
        <f>F94*G94</f>
        <v>0</v>
      </c>
      <c r="BK94" s="28"/>
      <c r="BL94" s="28">
        <v>21</v>
      </c>
      <c r="BW94" s="28">
        <v>21</v>
      </c>
      <c r="BX94" s="4" t="s">
        <v>215</v>
      </c>
    </row>
    <row r="95" spans="1:76" ht="14.4" x14ac:dyDescent="0.3">
      <c r="A95" s="31"/>
      <c r="C95" s="32" t="s">
        <v>216</v>
      </c>
      <c r="D95" s="32" t="s">
        <v>51</v>
      </c>
      <c r="F95" s="33">
        <v>127.8</v>
      </c>
      <c r="K95" s="34"/>
    </row>
    <row r="96" spans="1:76" ht="14.4" x14ac:dyDescent="0.3">
      <c r="A96" s="24" t="s">
        <v>51</v>
      </c>
      <c r="B96" s="25" t="s">
        <v>217</v>
      </c>
      <c r="C96" s="91" t="s">
        <v>218</v>
      </c>
      <c r="D96" s="92"/>
      <c r="E96" s="26" t="s">
        <v>4</v>
      </c>
      <c r="F96" s="26" t="s">
        <v>4</v>
      </c>
      <c r="G96" s="26" t="s">
        <v>4</v>
      </c>
      <c r="H96" s="1">
        <f>SUM(H97:H100)</f>
        <v>0</v>
      </c>
      <c r="I96" s="1">
        <f>SUM(I97:I100)</f>
        <v>0</v>
      </c>
      <c r="J96" s="1">
        <f>SUM(J97:J100)</f>
        <v>0</v>
      </c>
      <c r="K96" s="27" t="s">
        <v>51</v>
      </c>
      <c r="AI96" s="10" t="s">
        <v>55</v>
      </c>
      <c r="AS96" s="1">
        <f>SUM(AJ97:AJ100)</f>
        <v>0</v>
      </c>
      <c r="AT96" s="1">
        <f>SUM(AK97:AK100)</f>
        <v>0</v>
      </c>
      <c r="AU96" s="1">
        <f>SUM(AL97:AL100)</f>
        <v>0</v>
      </c>
    </row>
    <row r="97" spans="1:76" ht="14.4" x14ac:dyDescent="0.3">
      <c r="A97" s="2" t="s">
        <v>217</v>
      </c>
      <c r="B97" s="3" t="s">
        <v>219</v>
      </c>
      <c r="C97" s="75" t="s">
        <v>220</v>
      </c>
      <c r="D97" s="70"/>
      <c r="E97" s="3" t="s">
        <v>59</v>
      </c>
      <c r="F97" s="28">
        <v>9.9499999999999993</v>
      </c>
      <c r="G97" s="28">
        <v>0</v>
      </c>
      <c r="H97" s="28">
        <f>ROUND(F97*AO97,2)</f>
        <v>0</v>
      </c>
      <c r="I97" s="28">
        <f>ROUND(F97*AP97,2)</f>
        <v>0</v>
      </c>
      <c r="J97" s="28">
        <f>ROUND(F97*G97,2)</f>
        <v>0</v>
      </c>
      <c r="K97" s="29" t="s">
        <v>60</v>
      </c>
      <c r="Z97" s="28">
        <f>ROUND(IF(AQ97="5",BJ97,0),2)</f>
        <v>0</v>
      </c>
      <c r="AB97" s="28">
        <f>ROUND(IF(AQ97="1",BH97,0),2)</f>
        <v>0</v>
      </c>
      <c r="AC97" s="28">
        <f>ROUND(IF(AQ97="1",BI97,0),2)</f>
        <v>0</v>
      </c>
      <c r="AD97" s="28">
        <f>ROUND(IF(AQ97="7",BH97,0),2)</f>
        <v>0</v>
      </c>
      <c r="AE97" s="28">
        <f>ROUND(IF(AQ97="7",BI97,0),2)</f>
        <v>0</v>
      </c>
      <c r="AF97" s="28">
        <f>ROUND(IF(AQ97="2",BH97,0),2)</f>
        <v>0</v>
      </c>
      <c r="AG97" s="28">
        <f>ROUND(IF(AQ97="2",BI97,0),2)</f>
        <v>0</v>
      </c>
      <c r="AH97" s="28">
        <f>ROUND(IF(AQ97="0",BJ97,0),2)</f>
        <v>0</v>
      </c>
      <c r="AI97" s="10" t="s">
        <v>55</v>
      </c>
      <c r="AJ97" s="28">
        <f>IF(AN97=0,J97,0)</f>
        <v>0</v>
      </c>
      <c r="AK97" s="28">
        <f>IF(AN97=12,J97,0)</f>
        <v>0</v>
      </c>
      <c r="AL97" s="28">
        <f>IF(AN97=21,J97,0)</f>
        <v>0</v>
      </c>
      <c r="AN97" s="28">
        <v>21</v>
      </c>
      <c r="AO97" s="28">
        <f>G97*0</f>
        <v>0</v>
      </c>
      <c r="AP97" s="28">
        <f>G97*(1-0)</f>
        <v>0</v>
      </c>
      <c r="AQ97" s="30" t="s">
        <v>56</v>
      </c>
      <c r="AV97" s="28">
        <f>ROUND(AW97+AX97,2)</f>
        <v>0</v>
      </c>
      <c r="AW97" s="28">
        <f>ROUND(F97*AO97,2)</f>
        <v>0</v>
      </c>
      <c r="AX97" s="28">
        <f>ROUND(F97*AP97,2)</f>
        <v>0</v>
      </c>
      <c r="AY97" s="30" t="s">
        <v>221</v>
      </c>
      <c r="AZ97" s="30" t="s">
        <v>207</v>
      </c>
      <c r="BA97" s="10" t="s">
        <v>63</v>
      </c>
      <c r="BC97" s="28">
        <f>AW97+AX97</f>
        <v>0</v>
      </c>
      <c r="BD97" s="28">
        <f>G97/(100-BE97)*100</f>
        <v>0</v>
      </c>
      <c r="BE97" s="28">
        <v>0</v>
      </c>
      <c r="BF97" s="28">
        <f>97</f>
        <v>97</v>
      </c>
      <c r="BH97" s="28">
        <f>F97*AO97</f>
        <v>0</v>
      </c>
      <c r="BI97" s="28">
        <f>F97*AP97</f>
        <v>0</v>
      </c>
      <c r="BJ97" s="28">
        <f>F97*G97</f>
        <v>0</v>
      </c>
      <c r="BK97" s="28"/>
      <c r="BL97" s="28">
        <v>24</v>
      </c>
      <c r="BW97" s="28">
        <v>21</v>
      </c>
      <c r="BX97" s="4" t="s">
        <v>220</v>
      </c>
    </row>
    <row r="98" spans="1:76" ht="13.5" customHeight="1" x14ac:dyDescent="0.3">
      <c r="A98" s="31"/>
      <c r="B98" s="35" t="s">
        <v>105</v>
      </c>
      <c r="C98" s="96" t="s">
        <v>222</v>
      </c>
      <c r="D98" s="97"/>
      <c r="E98" s="97"/>
      <c r="F98" s="97"/>
      <c r="G98" s="97"/>
      <c r="H98" s="97"/>
      <c r="I98" s="97"/>
      <c r="J98" s="97"/>
      <c r="K98" s="98"/>
    </row>
    <row r="99" spans="1:76" ht="14.4" x14ac:dyDescent="0.3">
      <c r="A99" s="31"/>
      <c r="C99" s="32" t="s">
        <v>223</v>
      </c>
      <c r="D99" s="32" t="s">
        <v>51</v>
      </c>
      <c r="F99" s="33">
        <v>9.9499999999999993</v>
      </c>
      <c r="K99" s="34"/>
    </row>
    <row r="100" spans="1:76" ht="14.4" x14ac:dyDescent="0.3">
      <c r="A100" s="2" t="s">
        <v>224</v>
      </c>
      <c r="B100" s="3" t="s">
        <v>225</v>
      </c>
      <c r="C100" s="75" t="s">
        <v>226</v>
      </c>
      <c r="D100" s="70"/>
      <c r="E100" s="3" t="s">
        <v>201</v>
      </c>
      <c r="F100" s="28">
        <v>25</v>
      </c>
      <c r="G100" s="28">
        <v>0</v>
      </c>
      <c r="H100" s="28">
        <f>ROUND(F100*AO100,2)</f>
        <v>0</v>
      </c>
      <c r="I100" s="28">
        <f>ROUND(F100*AP100,2)</f>
        <v>0</v>
      </c>
      <c r="J100" s="28">
        <f>ROUND(F100*G100,2)</f>
        <v>0</v>
      </c>
      <c r="K100" s="29" t="s">
        <v>60</v>
      </c>
      <c r="Z100" s="28">
        <f>ROUND(IF(AQ100="5",BJ100,0),2)</f>
        <v>0</v>
      </c>
      <c r="AB100" s="28">
        <f>ROUND(IF(AQ100="1",BH100,0),2)</f>
        <v>0</v>
      </c>
      <c r="AC100" s="28">
        <f>ROUND(IF(AQ100="1",BI100,0),2)</f>
        <v>0</v>
      </c>
      <c r="AD100" s="28">
        <f>ROUND(IF(AQ100="7",BH100,0),2)</f>
        <v>0</v>
      </c>
      <c r="AE100" s="28">
        <f>ROUND(IF(AQ100="7",BI100,0),2)</f>
        <v>0</v>
      </c>
      <c r="AF100" s="28">
        <f>ROUND(IF(AQ100="2",BH100,0),2)</f>
        <v>0</v>
      </c>
      <c r="AG100" s="28">
        <f>ROUND(IF(AQ100="2",BI100,0),2)</f>
        <v>0</v>
      </c>
      <c r="AH100" s="28">
        <f>ROUND(IF(AQ100="0",BJ100,0),2)</f>
        <v>0</v>
      </c>
      <c r="AI100" s="10" t="s">
        <v>55</v>
      </c>
      <c r="AJ100" s="28">
        <f>IF(AN100=0,J100,0)</f>
        <v>0</v>
      </c>
      <c r="AK100" s="28">
        <f>IF(AN100=12,J100,0)</f>
        <v>0</v>
      </c>
      <c r="AL100" s="28">
        <f>IF(AN100=21,J100,0)</f>
        <v>0</v>
      </c>
      <c r="AN100" s="28">
        <v>21</v>
      </c>
      <c r="AO100" s="28">
        <f>G100*1</f>
        <v>0</v>
      </c>
      <c r="AP100" s="28">
        <f>G100*(1-1)</f>
        <v>0</v>
      </c>
      <c r="AQ100" s="30" t="s">
        <v>56</v>
      </c>
      <c r="AV100" s="28">
        <f>ROUND(AW100+AX100,2)</f>
        <v>0</v>
      </c>
      <c r="AW100" s="28">
        <f>ROUND(F100*AO100,2)</f>
        <v>0</v>
      </c>
      <c r="AX100" s="28">
        <f>ROUND(F100*AP100,2)</f>
        <v>0</v>
      </c>
      <c r="AY100" s="30" t="s">
        <v>221</v>
      </c>
      <c r="AZ100" s="30" t="s">
        <v>207</v>
      </c>
      <c r="BA100" s="10" t="s">
        <v>63</v>
      </c>
      <c r="BC100" s="28">
        <f>AW100+AX100</f>
        <v>0</v>
      </c>
      <c r="BD100" s="28">
        <f>G100/(100-BE100)*100</f>
        <v>0</v>
      </c>
      <c r="BE100" s="28">
        <v>0</v>
      </c>
      <c r="BF100" s="28">
        <f>100</f>
        <v>100</v>
      </c>
      <c r="BH100" s="28">
        <f>F100*AO100</f>
        <v>0</v>
      </c>
      <c r="BI100" s="28">
        <f>F100*AP100</f>
        <v>0</v>
      </c>
      <c r="BJ100" s="28">
        <f>F100*G100</f>
        <v>0</v>
      </c>
      <c r="BK100" s="28"/>
      <c r="BL100" s="28">
        <v>24</v>
      </c>
      <c r="BW100" s="28">
        <v>21</v>
      </c>
      <c r="BX100" s="4" t="s">
        <v>226</v>
      </c>
    </row>
    <row r="101" spans="1:76" ht="14.4" x14ac:dyDescent="0.3">
      <c r="A101" s="31"/>
      <c r="C101" s="32" t="s">
        <v>227</v>
      </c>
      <c r="D101" s="32" t="s">
        <v>228</v>
      </c>
      <c r="F101" s="33">
        <v>25</v>
      </c>
      <c r="K101" s="34"/>
    </row>
    <row r="102" spans="1:76" ht="14.4" x14ac:dyDescent="0.3">
      <c r="A102" s="24" t="s">
        <v>51</v>
      </c>
      <c r="B102" s="25" t="s">
        <v>229</v>
      </c>
      <c r="C102" s="91" t="s">
        <v>230</v>
      </c>
      <c r="D102" s="92"/>
      <c r="E102" s="26" t="s">
        <v>4</v>
      </c>
      <c r="F102" s="26" t="s">
        <v>4</v>
      </c>
      <c r="G102" s="26" t="s">
        <v>4</v>
      </c>
      <c r="H102" s="1">
        <f>SUM(H103:H103)</f>
        <v>0</v>
      </c>
      <c r="I102" s="1">
        <f>SUM(I103:I103)</f>
        <v>0</v>
      </c>
      <c r="J102" s="1">
        <f>SUM(J103:J103)</f>
        <v>0</v>
      </c>
      <c r="K102" s="27" t="s">
        <v>51</v>
      </c>
      <c r="AI102" s="10" t="s">
        <v>55</v>
      </c>
      <c r="AS102" s="1">
        <f>SUM(AJ103:AJ103)</f>
        <v>0</v>
      </c>
      <c r="AT102" s="1">
        <f>SUM(AK103:AK103)</f>
        <v>0</v>
      </c>
      <c r="AU102" s="1">
        <f>SUM(AL103:AL103)</f>
        <v>0</v>
      </c>
    </row>
    <row r="103" spans="1:76" ht="14.4" x14ac:dyDescent="0.3">
      <c r="A103" s="2" t="s">
        <v>231</v>
      </c>
      <c r="B103" s="3" t="s">
        <v>232</v>
      </c>
      <c r="C103" s="75" t="s">
        <v>233</v>
      </c>
      <c r="D103" s="70"/>
      <c r="E103" s="3" t="s">
        <v>59</v>
      </c>
      <c r="F103" s="28">
        <v>33.78</v>
      </c>
      <c r="G103" s="28">
        <v>0</v>
      </c>
      <c r="H103" s="28">
        <f>ROUND(F103*AO103,2)</f>
        <v>0</v>
      </c>
      <c r="I103" s="28">
        <f>ROUND(F103*AP103,2)</f>
        <v>0</v>
      </c>
      <c r="J103" s="28">
        <f>ROUND(F103*G103,2)</f>
        <v>0</v>
      </c>
      <c r="K103" s="29" t="s">
        <v>60</v>
      </c>
      <c r="Z103" s="28">
        <f>ROUND(IF(AQ103="5",BJ103,0),2)</f>
        <v>0</v>
      </c>
      <c r="AB103" s="28">
        <f>ROUND(IF(AQ103="1",BH103,0),2)</f>
        <v>0</v>
      </c>
      <c r="AC103" s="28">
        <f>ROUND(IF(AQ103="1",BI103,0),2)</f>
        <v>0</v>
      </c>
      <c r="AD103" s="28">
        <f>ROUND(IF(AQ103="7",BH103,0),2)</f>
        <v>0</v>
      </c>
      <c r="AE103" s="28">
        <f>ROUND(IF(AQ103="7",BI103,0),2)</f>
        <v>0</v>
      </c>
      <c r="AF103" s="28">
        <f>ROUND(IF(AQ103="2",BH103,0),2)</f>
        <v>0</v>
      </c>
      <c r="AG103" s="28">
        <f>ROUND(IF(AQ103="2",BI103,0),2)</f>
        <v>0</v>
      </c>
      <c r="AH103" s="28">
        <f>ROUND(IF(AQ103="0",BJ103,0),2)</f>
        <v>0</v>
      </c>
      <c r="AI103" s="10" t="s">
        <v>55</v>
      </c>
      <c r="AJ103" s="28">
        <f>IF(AN103=0,J103,0)</f>
        <v>0</v>
      </c>
      <c r="AK103" s="28">
        <f>IF(AN103=12,J103,0)</f>
        <v>0</v>
      </c>
      <c r="AL103" s="28">
        <f>IF(AN103=21,J103,0)</f>
        <v>0</v>
      </c>
      <c r="AN103" s="28">
        <v>21</v>
      </c>
      <c r="AO103" s="28">
        <f>G103*0.575763788</f>
        <v>0</v>
      </c>
      <c r="AP103" s="28">
        <f>G103*(1-0.575763788)</f>
        <v>0</v>
      </c>
      <c r="AQ103" s="30" t="s">
        <v>56</v>
      </c>
      <c r="AV103" s="28">
        <f>ROUND(AW103+AX103,2)</f>
        <v>0</v>
      </c>
      <c r="AW103" s="28">
        <f>ROUND(F103*AO103,2)</f>
        <v>0</v>
      </c>
      <c r="AX103" s="28">
        <f>ROUND(F103*AP103,2)</f>
        <v>0</v>
      </c>
      <c r="AY103" s="30" t="s">
        <v>234</v>
      </c>
      <c r="AZ103" s="30" t="s">
        <v>207</v>
      </c>
      <c r="BA103" s="10" t="s">
        <v>63</v>
      </c>
      <c r="BC103" s="28">
        <f>AW103+AX103</f>
        <v>0</v>
      </c>
      <c r="BD103" s="28">
        <f>G103/(100-BE103)*100</f>
        <v>0</v>
      </c>
      <c r="BE103" s="28">
        <v>0</v>
      </c>
      <c r="BF103" s="28">
        <f>103</f>
        <v>103</v>
      </c>
      <c r="BH103" s="28">
        <f>F103*AO103</f>
        <v>0</v>
      </c>
      <c r="BI103" s="28">
        <f>F103*AP103</f>
        <v>0</v>
      </c>
      <c r="BJ103" s="28">
        <f>F103*G103</f>
        <v>0</v>
      </c>
      <c r="BK103" s="28"/>
      <c r="BL103" s="28">
        <v>27</v>
      </c>
      <c r="BW103" s="28">
        <v>21</v>
      </c>
      <c r="BX103" s="4" t="s">
        <v>233</v>
      </c>
    </row>
    <row r="104" spans="1:76" ht="14.4" x14ac:dyDescent="0.3">
      <c r="A104" s="31"/>
      <c r="C104" s="32" t="s">
        <v>235</v>
      </c>
      <c r="D104" s="32" t="s">
        <v>236</v>
      </c>
      <c r="F104" s="33">
        <v>17.579999999999998</v>
      </c>
      <c r="K104" s="34"/>
    </row>
    <row r="105" spans="1:76" ht="14.4" x14ac:dyDescent="0.3">
      <c r="A105" s="31"/>
      <c r="C105" s="32" t="s">
        <v>237</v>
      </c>
      <c r="D105" s="32" t="s">
        <v>238</v>
      </c>
      <c r="F105" s="33">
        <v>13.2</v>
      </c>
      <c r="K105" s="34"/>
    </row>
    <row r="106" spans="1:76" ht="14.4" x14ac:dyDescent="0.3">
      <c r="A106" s="31"/>
      <c r="C106" s="32" t="s">
        <v>239</v>
      </c>
      <c r="D106" s="32" t="s">
        <v>92</v>
      </c>
      <c r="F106" s="33">
        <v>3</v>
      </c>
      <c r="K106" s="34"/>
    </row>
    <row r="107" spans="1:76" ht="14.4" x14ac:dyDescent="0.3">
      <c r="A107" s="24" t="s">
        <v>51</v>
      </c>
      <c r="B107" s="25" t="s">
        <v>240</v>
      </c>
      <c r="C107" s="91" t="s">
        <v>241</v>
      </c>
      <c r="D107" s="92"/>
      <c r="E107" s="26" t="s">
        <v>4</v>
      </c>
      <c r="F107" s="26" t="s">
        <v>4</v>
      </c>
      <c r="G107" s="26" t="s">
        <v>4</v>
      </c>
      <c r="H107" s="1">
        <f>SUM(H108:H108)</f>
        <v>0</v>
      </c>
      <c r="I107" s="1">
        <f>SUM(I108:I108)</f>
        <v>0</v>
      </c>
      <c r="J107" s="1">
        <f>SUM(J108:J108)</f>
        <v>0</v>
      </c>
      <c r="K107" s="27" t="s">
        <v>51</v>
      </c>
      <c r="AI107" s="10" t="s">
        <v>55</v>
      </c>
      <c r="AS107" s="1">
        <f>SUM(AJ108:AJ108)</f>
        <v>0</v>
      </c>
      <c r="AT107" s="1">
        <f>SUM(AK108:AK108)</f>
        <v>0</v>
      </c>
      <c r="AU107" s="1">
        <f>SUM(AL108:AL108)</f>
        <v>0</v>
      </c>
    </row>
    <row r="108" spans="1:76" ht="14.4" x14ac:dyDescent="0.3">
      <c r="A108" s="2" t="s">
        <v>229</v>
      </c>
      <c r="B108" s="3" t="s">
        <v>242</v>
      </c>
      <c r="C108" s="75" t="s">
        <v>243</v>
      </c>
      <c r="D108" s="70"/>
      <c r="E108" s="3" t="s">
        <v>188</v>
      </c>
      <c r="F108" s="28">
        <v>3</v>
      </c>
      <c r="G108" s="28">
        <v>0</v>
      </c>
      <c r="H108" s="28">
        <f>ROUND(F108*AO108,2)</f>
        <v>0</v>
      </c>
      <c r="I108" s="28">
        <f>ROUND(F108*AP108,2)</f>
        <v>0</v>
      </c>
      <c r="J108" s="28">
        <f>ROUND(F108*G108,2)</f>
        <v>0</v>
      </c>
      <c r="K108" s="29" t="s">
        <v>60</v>
      </c>
      <c r="Z108" s="28">
        <f>ROUND(IF(AQ108="5",BJ108,0),2)</f>
        <v>0</v>
      </c>
      <c r="AB108" s="28">
        <f>ROUND(IF(AQ108="1",BH108,0),2)</f>
        <v>0</v>
      </c>
      <c r="AC108" s="28">
        <f>ROUND(IF(AQ108="1",BI108,0),2)</f>
        <v>0</v>
      </c>
      <c r="AD108" s="28">
        <f>ROUND(IF(AQ108="7",BH108,0),2)</f>
        <v>0</v>
      </c>
      <c r="AE108" s="28">
        <f>ROUND(IF(AQ108="7",BI108,0),2)</f>
        <v>0</v>
      </c>
      <c r="AF108" s="28">
        <f>ROUND(IF(AQ108="2",BH108,0),2)</f>
        <v>0</v>
      </c>
      <c r="AG108" s="28">
        <f>ROUND(IF(AQ108="2",BI108,0),2)</f>
        <v>0</v>
      </c>
      <c r="AH108" s="28">
        <f>ROUND(IF(AQ108="0",BJ108,0),2)</f>
        <v>0</v>
      </c>
      <c r="AI108" s="10" t="s">
        <v>55</v>
      </c>
      <c r="AJ108" s="28">
        <f>IF(AN108=0,J108,0)</f>
        <v>0</v>
      </c>
      <c r="AK108" s="28">
        <f>IF(AN108=12,J108,0)</f>
        <v>0</v>
      </c>
      <c r="AL108" s="28">
        <f>IF(AN108=21,J108,0)</f>
        <v>0</v>
      </c>
      <c r="AN108" s="28">
        <v>21</v>
      </c>
      <c r="AO108" s="28">
        <f>G108*0</f>
        <v>0</v>
      </c>
      <c r="AP108" s="28">
        <f>G108*(1-0)</f>
        <v>0</v>
      </c>
      <c r="AQ108" s="30" t="s">
        <v>56</v>
      </c>
      <c r="AV108" s="28">
        <f>ROUND(AW108+AX108,2)</f>
        <v>0</v>
      </c>
      <c r="AW108" s="28">
        <f>ROUND(F108*AO108,2)</f>
        <v>0</v>
      </c>
      <c r="AX108" s="28">
        <f>ROUND(F108*AP108,2)</f>
        <v>0</v>
      </c>
      <c r="AY108" s="30" t="s">
        <v>244</v>
      </c>
      <c r="AZ108" s="30" t="s">
        <v>245</v>
      </c>
      <c r="BA108" s="10" t="s">
        <v>63</v>
      </c>
      <c r="BC108" s="28">
        <f>AW108+AX108</f>
        <v>0</v>
      </c>
      <c r="BD108" s="28">
        <f>G108/(100-BE108)*100</f>
        <v>0</v>
      </c>
      <c r="BE108" s="28">
        <v>0</v>
      </c>
      <c r="BF108" s="28">
        <f>108</f>
        <v>108</v>
      </c>
      <c r="BH108" s="28">
        <f>F108*AO108</f>
        <v>0</v>
      </c>
      <c r="BI108" s="28">
        <f>F108*AP108</f>
        <v>0</v>
      </c>
      <c r="BJ108" s="28">
        <f>F108*G108</f>
        <v>0</v>
      </c>
      <c r="BK108" s="28"/>
      <c r="BL108" s="28">
        <v>31</v>
      </c>
      <c r="BW108" s="28">
        <v>21</v>
      </c>
      <c r="BX108" s="4" t="s">
        <v>243</v>
      </c>
    </row>
    <row r="109" spans="1:76" ht="13.5" customHeight="1" x14ac:dyDescent="0.3">
      <c r="A109" s="31"/>
      <c r="B109" s="35" t="s">
        <v>105</v>
      </c>
      <c r="C109" s="96" t="s">
        <v>246</v>
      </c>
      <c r="D109" s="97"/>
      <c r="E109" s="97"/>
      <c r="F109" s="97"/>
      <c r="G109" s="97"/>
      <c r="H109" s="97"/>
      <c r="I109" s="97"/>
      <c r="J109" s="97"/>
      <c r="K109" s="98"/>
    </row>
    <row r="110" spans="1:76" ht="39.6" x14ac:dyDescent="0.3">
      <c r="A110" s="31"/>
      <c r="B110" s="35" t="s">
        <v>68</v>
      </c>
      <c r="C110" s="93" t="s">
        <v>247</v>
      </c>
      <c r="D110" s="94"/>
      <c r="E110" s="94"/>
      <c r="F110" s="94"/>
      <c r="G110" s="94"/>
      <c r="H110" s="94"/>
      <c r="I110" s="94"/>
      <c r="J110" s="94"/>
      <c r="K110" s="95"/>
      <c r="BX110" s="36" t="s">
        <v>247</v>
      </c>
    </row>
    <row r="111" spans="1:76" ht="14.4" x14ac:dyDescent="0.3">
      <c r="A111" s="24" t="s">
        <v>51</v>
      </c>
      <c r="B111" s="25" t="s">
        <v>248</v>
      </c>
      <c r="C111" s="91" t="s">
        <v>249</v>
      </c>
      <c r="D111" s="92"/>
      <c r="E111" s="26" t="s">
        <v>4</v>
      </c>
      <c r="F111" s="26" t="s">
        <v>4</v>
      </c>
      <c r="G111" s="26" t="s">
        <v>4</v>
      </c>
      <c r="H111" s="1">
        <f>SUM(H112:H124)</f>
        <v>0</v>
      </c>
      <c r="I111" s="1">
        <f>SUM(I112:I124)</f>
        <v>0</v>
      </c>
      <c r="J111" s="1">
        <f>SUM(J112:J124)</f>
        <v>0</v>
      </c>
      <c r="K111" s="27" t="s">
        <v>51</v>
      </c>
      <c r="AI111" s="10" t="s">
        <v>55</v>
      </c>
      <c r="AS111" s="1">
        <f>SUM(AJ112:AJ124)</f>
        <v>0</v>
      </c>
      <c r="AT111" s="1">
        <f>SUM(AK112:AK124)</f>
        <v>0</v>
      </c>
      <c r="AU111" s="1">
        <f>SUM(AL112:AL124)</f>
        <v>0</v>
      </c>
    </row>
    <row r="112" spans="1:76" ht="14.4" x14ac:dyDescent="0.3">
      <c r="A112" s="2" t="s">
        <v>250</v>
      </c>
      <c r="B112" s="3" t="s">
        <v>251</v>
      </c>
      <c r="C112" s="75" t="s">
        <v>252</v>
      </c>
      <c r="D112" s="70"/>
      <c r="E112" s="3" t="s">
        <v>59</v>
      </c>
      <c r="F112" s="28">
        <v>96.52</v>
      </c>
      <c r="G112" s="28">
        <v>0</v>
      </c>
      <c r="H112" s="28">
        <f>ROUND(F112*AO112,2)</f>
        <v>0</v>
      </c>
      <c r="I112" s="28">
        <f>ROUND(F112*AP112,2)</f>
        <v>0</v>
      </c>
      <c r="J112" s="28">
        <f>ROUND(F112*G112,2)</f>
        <v>0</v>
      </c>
      <c r="K112" s="29" t="s">
        <v>60</v>
      </c>
      <c r="Z112" s="28">
        <f>ROUND(IF(AQ112="5",BJ112,0),2)</f>
        <v>0</v>
      </c>
      <c r="AB112" s="28">
        <f>ROUND(IF(AQ112="1",BH112,0),2)</f>
        <v>0</v>
      </c>
      <c r="AC112" s="28">
        <f>ROUND(IF(AQ112="1",BI112,0),2)</f>
        <v>0</v>
      </c>
      <c r="AD112" s="28">
        <f>ROUND(IF(AQ112="7",BH112,0),2)</f>
        <v>0</v>
      </c>
      <c r="AE112" s="28">
        <f>ROUND(IF(AQ112="7",BI112,0),2)</f>
        <v>0</v>
      </c>
      <c r="AF112" s="28">
        <f>ROUND(IF(AQ112="2",BH112,0),2)</f>
        <v>0</v>
      </c>
      <c r="AG112" s="28">
        <f>ROUND(IF(AQ112="2",BI112,0),2)</f>
        <v>0</v>
      </c>
      <c r="AH112" s="28">
        <f>ROUND(IF(AQ112="0",BJ112,0),2)</f>
        <v>0</v>
      </c>
      <c r="AI112" s="10" t="s">
        <v>55</v>
      </c>
      <c r="AJ112" s="28">
        <f>IF(AN112=0,J112,0)</f>
        <v>0</v>
      </c>
      <c r="AK112" s="28">
        <f>IF(AN112=12,J112,0)</f>
        <v>0</v>
      </c>
      <c r="AL112" s="28">
        <f>IF(AN112=21,J112,0)</f>
        <v>0</v>
      </c>
      <c r="AN112" s="28">
        <v>21</v>
      </c>
      <c r="AO112" s="28">
        <f>G112*0.950009172</f>
        <v>0</v>
      </c>
      <c r="AP112" s="28">
        <f>G112*(1-0.950009172)</f>
        <v>0</v>
      </c>
      <c r="AQ112" s="30" t="s">
        <v>56</v>
      </c>
      <c r="AV112" s="28">
        <f>ROUND(AW112+AX112,2)</f>
        <v>0</v>
      </c>
      <c r="AW112" s="28">
        <f>ROUND(F112*AO112,2)</f>
        <v>0</v>
      </c>
      <c r="AX112" s="28">
        <f>ROUND(F112*AP112,2)</f>
        <v>0</v>
      </c>
      <c r="AY112" s="30" t="s">
        <v>253</v>
      </c>
      <c r="AZ112" s="30" t="s">
        <v>245</v>
      </c>
      <c r="BA112" s="10" t="s">
        <v>63</v>
      </c>
      <c r="BC112" s="28">
        <f>AW112+AX112</f>
        <v>0</v>
      </c>
      <c r="BD112" s="28">
        <f>G112/(100-BE112)*100</f>
        <v>0</v>
      </c>
      <c r="BE112" s="28">
        <v>0</v>
      </c>
      <c r="BF112" s="28">
        <f>112</f>
        <v>112</v>
      </c>
      <c r="BH112" s="28">
        <f>F112*AO112</f>
        <v>0</v>
      </c>
      <c r="BI112" s="28">
        <f>F112*AP112</f>
        <v>0</v>
      </c>
      <c r="BJ112" s="28">
        <f>F112*G112</f>
        <v>0</v>
      </c>
      <c r="BK112" s="28"/>
      <c r="BL112" s="28">
        <v>32</v>
      </c>
      <c r="BW112" s="28">
        <v>21</v>
      </c>
      <c r="BX112" s="4" t="s">
        <v>252</v>
      </c>
    </row>
    <row r="113" spans="1:76" ht="14.4" x14ac:dyDescent="0.3">
      <c r="A113" s="31"/>
      <c r="C113" s="32" t="s">
        <v>254</v>
      </c>
      <c r="D113" s="32" t="s">
        <v>255</v>
      </c>
      <c r="F113" s="33">
        <v>39.549999999999997</v>
      </c>
      <c r="K113" s="34"/>
    </row>
    <row r="114" spans="1:76" ht="14.4" x14ac:dyDescent="0.3">
      <c r="A114" s="31"/>
      <c r="C114" s="32" t="s">
        <v>256</v>
      </c>
      <c r="D114" s="32" t="s">
        <v>257</v>
      </c>
      <c r="F114" s="33">
        <v>29.7</v>
      </c>
      <c r="K114" s="34"/>
    </row>
    <row r="115" spans="1:76" ht="14.4" x14ac:dyDescent="0.3">
      <c r="A115" s="31"/>
      <c r="C115" s="32" t="s">
        <v>258</v>
      </c>
      <c r="D115" s="32" t="s">
        <v>92</v>
      </c>
      <c r="F115" s="33">
        <v>6.75</v>
      </c>
      <c r="K115" s="34"/>
    </row>
    <row r="116" spans="1:76" ht="14.4" x14ac:dyDescent="0.3">
      <c r="A116" s="31"/>
      <c r="C116" s="32" t="s">
        <v>259</v>
      </c>
      <c r="D116" s="32" t="s">
        <v>260</v>
      </c>
      <c r="F116" s="33">
        <v>20.52</v>
      </c>
      <c r="K116" s="34"/>
    </row>
    <row r="117" spans="1:76" ht="14.4" x14ac:dyDescent="0.3">
      <c r="A117" s="2" t="s">
        <v>261</v>
      </c>
      <c r="B117" s="3" t="s">
        <v>262</v>
      </c>
      <c r="C117" s="75" t="s">
        <v>263</v>
      </c>
      <c r="D117" s="70"/>
      <c r="E117" s="3" t="s">
        <v>103</v>
      </c>
      <c r="F117" s="28">
        <v>337.8</v>
      </c>
      <c r="G117" s="28">
        <v>0</v>
      </c>
      <c r="H117" s="28">
        <f>ROUND(F117*AO117,2)</f>
        <v>0</v>
      </c>
      <c r="I117" s="28">
        <f>ROUND(F117*AP117,2)</f>
        <v>0</v>
      </c>
      <c r="J117" s="28">
        <f>ROUND(F117*G117,2)</f>
        <v>0</v>
      </c>
      <c r="K117" s="29" t="s">
        <v>60</v>
      </c>
      <c r="Z117" s="28">
        <f>ROUND(IF(AQ117="5",BJ117,0),2)</f>
        <v>0</v>
      </c>
      <c r="AB117" s="28">
        <f>ROUND(IF(AQ117="1",BH117,0),2)</f>
        <v>0</v>
      </c>
      <c r="AC117" s="28">
        <f>ROUND(IF(AQ117="1",BI117,0),2)</f>
        <v>0</v>
      </c>
      <c r="AD117" s="28">
        <f>ROUND(IF(AQ117="7",BH117,0),2)</f>
        <v>0</v>
      </c>
      <c r="AE117" s="28">
        <f>ROUND(IF(AQ117="7",BI117,0),2)</f>
        <v>0</v>
      </c>
      <c r="AF117" s="28">
        <f>ROUND(IF(AQ117="2",BH117,0),2)</f>
        <v>0</v>
      </c>
      <c r="AG117" s="28">
        <f>ROUND(IF(AQ117="2",BI117,0),2)</f>
        <v>0</v>
      </c>
      <c r="AH117" s="28">
        <f>ROUND(IF(AQ117="0",BJ117,0),2)</f>
        <v>0</v>
      </c>
      <c r="AI117" s="10" t="s">
        <v>55</v>
      </c>
      <c r="AJ117" s="28">
        <f>IF(AN117=0,J117,0)</f>
        <v>0</v>
      </c>
      <c r="AK117" s="28">
        <f>IF(AN117=12,J117,0)</f>
        <v>0</v>
      </c>
      <c r="AL117" s="28">
        <f>IF(AN117=21,J117,0)</f>
        <v>0</v>
      </c>
      <c r="AN117" s="28">
        <v>21</v>
      </c>
      <c r="AO117" s="28">
        <f>G117*0.374752565</f>
        <v>0</v>
      </c>
      <c r="AP117" s="28">
        <f>G117*(1-0.374752565)</f>
        <v>0</v>
      </c>
      <c r="AQ117" s="30" t="s">
        <v>56</v>
      </c>
      <c r="AV117" s="28">
        <f>ROUND(AW117+AX117,2)</f>
        <v>0</v>
      </c>
      <c r="AW117" s="28">
        <f>ROUND(F117*AO117,2)</f>
        <v>0</v>
      </c>
      <c r="AX117" s="28">
        <f>ROUND(F117*AP117,2)</f>
        <v>0</v>
      </c>
      <c r="AY117" s="30" t="s">
        <v>253</v>
      </c>
      <c r="AZ117" s="30" t="s">
        <v>245</v>
      </c>
      <c r="BA117" s="10" t="s">
        <v>63</v>
      </c>
      <c r="BC117" s="28">
        <f>AW117+AX117</f>
        <v>0</v>
      </c>
      <c r="BD117" s="28">
        <f>G117/(100-BE117)*100</f>
        <v>0</v>
      </c>
      <c r="BE117" s="28">
        <v>0</v>
      </c>
      <c r="BF117" s="28">
        <f>117</f>
        <v>117</v>
      </c>
      <c r="BH117" s="28">
        <f>F117*AO117</f>
        <v>0</v>
      </c>
      <c r="BI117" s="28">
        <f>F117*AP117</f>
        <v>0</v>
      </c>
      <c r="BJ117" s="28">
        <f>F117*G117</f>
        <v>0</v>
      </c>
      <c r="BK117" s="28"/>
      <c r="BL117" s="28">
        <v>32</v>
      </c>
      <c r="BW117" s="28">
        <v>21</v>
      </c>
      <c r="BX117" s="4" t="s">
        <v>263</v>
      </c>
    </row>
    <row r="118" spans="1:76" ht="14.4" x14ac:dyDescent="0.3">
      <c r="A118" s="31"/>
      <c r="C118" s="32" t="s">
        <v>264</v>
      </c>
      <c r="D118" s="32" t="s">
        <v>255</v>
      </c>
      <c r="F118" s="33">
        <v>175.8</v>
      </c>
      <c r="K118" s="34"/>
    </row>
    <row r="119" spans="1:76" ht="14.4" x14ac:dyDescent="0.3">
      <c r="A119" s="31"/>
      <c r="C119" s="32" t="s">
        <v>265</v>
      </c>
      <c r="D119" s="32" t="s">
        <v>257</v>
      </c>
      <c r="F119" s="33">
        <v>132</v>
      </c>
      <c r="K119" s="34"/>
    </row>
    <row r="120" spans="1:76" ht="14.4" x14ac:dyDescent="0.3">
      <c r="A120" s="31"/>
      <c r="C120" s="32" t="s">
        <v>266</v>
      </c>
      <c r="D120" s="32" t="s">
        <v>92</v>
      </c>
      <c r="F120" s="33">
        <v>30</v>
      </c>
      <c r="K120" s="34"/>
    </row>
    <row r="121" spans="1:76" ht="14.4" x14ac:dyDescent="0.3">
      <c r="A121" s="2" t="s">
        <v>267</v>
      </c>
      <c r="B121" s="3" t="s">
        <v>268</v>
      </c>
      <c r="C121" s="75" t="s">
        <v>269</v>
      </c>
      <c r="D121" s="70"/>
      <c r="E121" s="3" t="s">
        <v>103</v>
      </c>
      <c r="F121" s="28">
        <v>337.8</v>
      </c>
      <c r="G121" s="28">
        <v>0</v>
      </c>
      <c r="H121" s="28">
        <f>ROUND(F121*AO121,2)</f>
        <v>0</v>
      </c>
      <c r="I121" s="28">
        <f>ROUND(F121*AP121,2)</f>
        <v>0</v>
      </c>
      <c r="J121" s="28">
        <f>ROUND(F121*G121,2)</f>
        <v>0</v>
      </c>
      <c r="K121" s="29" t="s">
        <v>60</v>
      </c>
      <c r="Z121" s="28">
        <f>ROUND(IF(AQ121="5",BJ121,0),2)</f>
        <v>0</v>
      </c>
      <c r="AB121" s="28">
        <f>ROUND(IF(AQ121="1",BH121,0),2)</f>
        <v>0</v>
      </c>
      <c r="AC121" s="28">
        <f>ROUND(IF(AQ121="1",BI121,0),2)</f>
        <v>0</v>
      </c>
      <c r="AD121" s="28">
        <f>ROUND(IF(AQ121="7",BH121,0),2)</f>
        <v>0</v>
      </c>
      <c r="AE121" s="28">
        <f>ROUND(IF(AQ121="7",BI121,0),2)</f>
        <v>0</v>
      </c>
      <c r="AF121" s="28">
        <f>ROUND(IF(AQ121="2",BH121,0),2)</f>
        <v>0</v>
      </c>
      <c r="AG121" s="28">
        <f>ROUND(IF(AQ121="2",BI121,0),2)</f>
        <v>0</v>
      </c>
      <c r="AH121" s="28">
        <f>ROUND(IF(AQ121="0",BJ121,0),2)</f>
        <v>0</v>
      </c>
      <c r="AI121" s="10" t="s">
        <v>55</v>
      </c>
      <c r="AJ121" s="28">
        <f>IF(AN121=0,J121,0)</f>
        <v>0</v>
      </c>
      <c r="AK121" s="28">
        <f>IF(AN121=12,J121,0)</f>
        <v>0</v>
      </c>
      <c r="AL121" s="28">
        <f>IF(AN121=21,J121,0)</f>
        <v>0</v>
      </c>
      <c r="AN121" s="28">
        <v>21</v>
      </c>
      <c r="AO121" s="28">
        <f>G121*0</f>
        <v>0</v>
      </c>
      <c r="AP121" s="28">
        <f>G121*(1-0)</f>
        <v>0</v>
      </c>
      <c r="AQ121" s="30" t="s">
        <v>56</v>
      </c>
      <c r="AV121" s="28">
        <f>ROUND(AW121+AX121,2)</f>
        <v>0</v>
      </c>
      <c r="AW121" s="28">
        <f>ROUND(F121*AO121,2)</f>
        <v>0</v>
      </c>
      <c r="AX121" s="28">
        <f>ROUND(F121*AP121,2)</f>
        <v>0</v>
      </c>
      <c r="AY121" s="30" t="s">
        <v>253</v>
      </c>
      <c r="AZ121" s="30" t="s">
        <v>245</v>
      </c>
      <c r="BA121" s="10" t="s">
        <v>63</v>
      </c>
      <c r="BC121" s="28">
        <f>AW121+AX121</f>
        <v>0</v>
      </c>
      <c r="BD121" s="28">
        <f>G121/(100-BE121)*100</f>
        <v>0</v>
      </c>
      <c r="BE121" s="28">
        <v>0</v>
      </c>
      <c r="BF121" s="28">
        <f>121</f>
        <v>121</v>
      </c>
      <c r="BH121" s="28">
        <f>F121*AO121</f>
        <v>0</v>
      </c>
      <c r="BI121" s="28">
        <f>F121*AP121</f>
        <v>0</v>
      </c>
      <c r="BJ121" s="28">
        <f>F121*G121</f>
        <v>0</v>
      </c>
      <c r="BK121" s="28"/>
      <c r="BL121" s="28">
        <v>32</v>
      </c>
      <c r="BW121" s="28">
        <v>21</v>
      </c>
      <c r="BX121" s="4" t="s">
        <v>269</v>
      </c>
    </row>
    <row r="122" spans="1:76" ht="14.4" x14ac:dyDescent="0.3">
      <c r="A122" s="2" t="s">
        <v>240</v>
      </c>
      <c r="B122" s="3" t="s">
        <v>270</v>
      </c>
      <c r="C122" s="75" t="s">
        <v>271</v>
      </c>
      <c r="D122" s="70"/>
      <c r="E122" s="3" t="s">
        <v>201</v>
      </c>
      <c r="F122" s="28">
        <v>9.6</v>
      </c>
      <c r="G122" s="28">
        <v>0</v>
      </c>
      <c r="H122" s="28">
        <f>ROUND(F122*AO122,2)</f>
        <v>0</v>
      </c>
      <c r="I122" s="28">
        <f>ROUND(F122*AP122,2)</f>
        <v>0</v>
      </c>
      <c r="J122" s="28">
        <f>ROUND(F122*G122,2)</f>
        <v>0</v>
      </c>
      <c r="K122" s="29" t="s">
        <v>60</v>
      </c>
      <c r="Z122" s="28">
        <f>ROUND(IF(AQ122="5",BJ122,0),2)</f>
        <v>0</v>
      </c>
      <c r="AB122" s="28">
        <f>ROUND(IF(AQ122="1",BH122,0),2)</f>
        <v>0</v>
      </c>
      <c r="AC122" s="28">
        <f>ROUND(IF(AQ122="1",BI122,0),2)</f>
        <v>0</v>
      </c>
      <c r="AD122" s="28">
        <f>ROUND(IF(AQ122="7",BH122,0),2)</f>
        <v>0</v>
      </c>
      <c r="AE122" s="28">
        <f>ROUND(IF(AQ122="7",BI122,0),2)</f>
        <v>0</v>
      </c>
      <c r="AF122" s="28">
        <f>ROUND(IF(AQ122="2",BH122,0),2)</f>
        <v>0</v>
      </c>
      <c r="AG122" s="28">
        <f>ROUND(IF(AQ122="2",BI122,0),2)</f>
        <v>0</v>
      </c>
      <c r="AH122" s="28">
        <f>ROUND(IF(AQ122="0",BJ122,0),2)</f>
        <v>0</v>
      </c>
      <c r="AI122" s="10" t="s">
        <v>55</v>
      </c>
      <c r="AJ122" s="28">
        <f>IF(AN122=0,J122,0)</f>
        <v>0</v>
      </c>
      <c r="AK122" s="28">
        <f>IF(AN122=12,J122,0)</f>
        <v>0</v>
      </c>
      <c r="AL122" s="28">
        <f>IF(AN122=21,J122,0)</f>
        <v>0</v>
      </c>
      <c r="AN122" s="28">
        <v>21</v>
      </c>
      <c r="AO122" s="28">
        <f>G122*0.551966004</f>
        <v>0</v>
      </c>
      <c r="AP122" s="28">
        <f>G122*(1-0.551966004)</f>
        <v>0</v>
      </c>
      <c r="AQ122" s="30" t="s">
        <v>56</v>
      </c>
      <c r="AV122" s="28">
        <f>ROUND(AW122+AX122,2)</f>
        <v>0</v>
      </c>
      <c r="AW122" s="28">
        <f>ROUND(F122*AO122,2)</f>
        <v>0</v>
      </c>
      <c r="AX122" s="28">
        <f>ROUND(F122*AP122,2)</f>
        <v>0</v>
      </c>
      <c r="AY122" s="30" t="s">
        <v>253</v>
      </c>
      <c r="AZ122" s="30" t="s">
        <v>245</v>
      </c>
      <c r="BA122" s="10" t="s">
        <v>63</v>
      </c>
      <c r="BC122" s="28">
        <f>AW122+AX122</f>
        <v>0</v>
      </c>
      <c r="BD122" s="28">
        <f>G122/(100-BE122)*100</f>
        <v>0</v>
      </c>
      <c r="BE122" s="28">
        <v>0</v>
      </c>
      <c r="BF122" s="28">
        <f>122</f>
        <v>122</v>
      </c>
      <c r="BH122" s="28">
        <f>F122*AO122</f>
        <v>0</v>
      </c>
      <c r="BI122" s="28">
        <f>F122*AP122</f>
        <v>0</v>
      </c>
      <c r="BJ122" s="28">
        <f>F122*G122</f>
        <v>0</v>
      </c>
      <c r="BK122" s="28"/>
      <c r="BL122" s="28">
        <v>32</v>
      </c>
      <c r="BW122" s="28">
        <v>21</v>
      </c>
      <c r="BX122" s="4" t="s">
        <v>271</v>
      </c>
    </row>
    <row r="123" spans="1:76" ht="14.4" x14ac:dyDescent="0.3">
      <c r="A123" s="31"/>
      <c r="C123" s="32" t="s">
        <v>272</v>
      </c>
      <c r="D123" s="32" t="s">
        <v>273</v>
      </c>
      <c r="F123" s="33">
        <v>9.6</v>
      </c>
      <c r="K123" s="34"/>
    </row>
    <row r="124" spans="1:76" ht="14.4" x14ac:dyDescent="0.3">
      <c r="A124" s="2" t="s">
        <v>248</v>
      </c>
      <c r="B124" s="3" t="s">
        <v>274</v>
      </c>
      <c r="C124" s="75" t="s">
        <v>275</v>
      </c>
      <c r="D124" s="70"/>
      <c r="E124" s="3" t="s">
        <v>59</v>
      </c>
      <c r="F124" s="28">
        <v>11</v>
      </c>
      <c r="G124" s="28">
        <v>0</v>
      </c>
      <c r="H124" s="28">
        <f>ROUND(F124*AO124,2)</f>
        <v>0</v>
      </c>
      <c r="I124" s="28">
        <f>ROUND(F124*AP124,2)</f>
        <v>0</v>
      </c>
      <c r="J124" s="28">
        <f>ROUND(F124*G124,2)</f>
        <v>0</v>
      </c>
      <c r="K124" s="29" t="s">
        <v>60</v>
      </c>
      <c r="Z124" s="28">
        <f>ROUND(IF(AQ124="5",BJ124,0),2)</f>
        <v>0</v>
      </c>
      <c r="AB124" s="28">
        <f>ROUND(IF(AQ124="1",BH124,0),2)</f>
        <v>0</v>
      </c>
      <c r="AC124" s="28">
        <f>ROUND(IF(AQ124="1",BI124,0),2)</f>
        <v>0</v>
      </c>
      <c r="AD124" s="28">
        <f>ROUND(IF(AQ124="7",BH124,0),2)</f>
        <v>0</v>
      </c>
      <c r="AE124" s="28">
        <f>ROUND(IF(AQ124="7",BI124,0),2)</f>
        <v>0</v>
      </c>
      <c r="AF124" s="28">
        <f>ROUND(IF(AQ124="2",BH124,0),2)</f>
        <v>0</v>
      </c>
      <c r="AG124" s="28">
        <f>ROUND(IF(AQ124="2",BI124,0),2)</f>
        <v>0</v>
      </c>
      <c r="AH124" s="28">
        <f>ROUND(IF(AQ124="0",BJ124,0),2)</f>
        <v>0</v>
      </c>
      <c r="AI124" s="10" t="s">
        <v>55</v>
      </c>
      <c r="AJ124" s="28">
        <f>IF(AN124=0,J124,0)</f>
        <v>0</v>
      </c>
      <c r="AK124" s="28">
        <f>IF(AN124=12,J124,0)</f>
        <v>0</v>
      </c>
      <c r="AL124" s="28">
        <f>IF(AN124=21,J124,0)</f>
        <v>0</v>
      </c>
      <c r="AN124" s="28">
        <v>21</v>
      </c>
      <c r="AO124" s="28">
        <f>G124*0.505799148</f>
        <v>0</v>
      </c>
      <c r="AP124" s="28">
        <f>G124*(1-0.505799148)</f>
        <v>0</v>
      </c>
      <c r="AQ124" s="30" t="s">
        <v>56</v>
      </c>
      <c r="AV124" s="28">
        <f>ROUND(AW124+AX124,2)</f>
        <v>0</v>
      </c>
      <c r="AW124" s="28">
        <f>ROUND(F124*AO124,2)</f>
        <v>0</v>
      </c>
      <c r="AX124" s="28">
        <f>ROUND(F124*AP124,2)</f>
        <v>0</v>
      </c>
      <c r="AY124" s="30" t="s">
        <v>253</v>
      </c>
      <c r="AZ124" s="30" t="s">
        <v>245</v>
      </c>
      <c r="BA124" s="10" t="s">
        <v>63</v>
      </c>
      <c r="BC124" s="28">
        <f>AW124+AX124</f>
        <v>0</v>
      </c>
      <c r="BD124" s="28">
        <f>G124/(100-BE124)*100</f>
        <v>0</v>
      </c>
      <c r="BE124" s="28">
        <v>0</v>
      </c>
      <c r="BF124" s="28">
        <f>124</f>
        <v>124</v>
      </c>
      <c r="BH124" s="28">
        <f>F124*AO124</f>
        <v>0</v>
      </c>
      <c r="BI124" s="28">
        <f>F124*AP124</f>
        <v>0</v>
      </c>
      <c r="BJ124" s="28">
        <f>F124*G124</f>
        <v>0</v>
      </c>
      <c r="BK124" s="28"/>
      <c r="BL124" s="28">
        <v>32</v>
      </c>
      <c r="BW124" s="28">
        <v>21</v>
      </c>
      <c r="BX124" s="4" t="s">
        <v>275</v>
      </c>
    </row>
    <row r="125" spans="1:76" ht="13.5" customHeight="1" x14ac:dyDescent="0.3">
      <c r="A125" s="31"/>
      <c r="B125" s="35" t="s">
        <v>105</v>
      </c>
      <c r="C125" s="96" t="s">
        <v>276</v>
      </c>
      <c r="D125" s="97"/>
      <c r="E125" s="97"/>
      <c r="F125" s="97"/>
      <c r="G125" s="97"/>
      <c r="H125" s="97"/>
      <c r="I125" s="97"/>
      <c r="J125" s="97"/>
      <c r="K125" s="98"/>
    </row>
    <row r="126" spans="1:76" ht="14.4" x14ac:dyDescent="0.3">
      <c r="A126" s="31"/>
      <c r="C126" s="32" t="s">
        <v>277</v>
      </c>
      <c r="D126" s="32" t="s">
        <v>278</v>
      </c>
      <c r="F126" s="33">
        <v>11</v>
      </c>
      <c r="K126" s="34"/>
    </row>
    <row r="127" spans="1:76" ht="14.4" x14ac:dyDescent="0.3">
      <c r="A127" s="24" t="s">
        <v>51</v>
      </c>
      <c r="B127" s="25" t="s">
        <v>279</v>
      </c>
      <c r="C127" s="91" t="s">
        <v>280</v>
      </c>
      <c r="D127" s="92"/>
      <c r="E127" s="26" t="s">
        <v>4</v>
      </c>
      <c r="F127" s="26" t="s">
        <v>4</v>
      </c>
      <c r="G127" s="26" t="s">
        <v>4</v>
      </c>
      <c r="H127" s="1">
        <f>SUM(H128:H139)</f>
        <v>0</v>
      </c>
      <c r="I127" s="1">
        <f>SUM(I128:I139)</f>
        <v>0</v>
      </c>
      <c r="J127" s="1">
        <f>SUM(J128:J139)</f>
        <v>0</v>
      </c>
      <c r="K127" s="27" t="s">
        <v>51</v>
      </c>
      <c r="AI127" s="10" t="s">
        <v>55</v>
      </c>
      <c r="AS127" s="1">
        <f>SUM(AJ128:AJ139)</f>
        <v>0</v>
      </c>
      <c r="AT127" s="1">
        <f>SUM(AK128:AK139)</f>
        <v>0</v>
      </c>
      <c r="AU127" s="1">
        <f>SUM(AL128:AL139)</f>
        <v>0</v>
      </c>
    </row>
    <row r="128" spans="1:76" ht="14.4" x14ac:dyDescent="0.3">
      <c r="A128" s="2" t="s">
        <v>281</v>
      </c>
      <c r="B128" s="3" t="s">
        <v>282</v>
      </c>
      <c r="C128" s="75" t="s">
        <v>283</v>
      </c>
      <c r="D128" s="70"/>
      <c r="E128" s="3" t="s">
        <v>59</v>
      </c>
      <c r="F128" s="28">
        <v>9.6300000000000008</v>
      </c>
      <c r="G128" s="28">
        <v>0</v>
      </c>
      <c r="H128" s="28">
        <f>ROUND(F128*AO128,2)</f>
        <v>0</v>
      </c>
      <c r="I128" s="28">
        <f>ROUND(F128*AP128,2)</f>
        <v>0</v>
      </c>
      <c r="J128" s="28">
        <f>ROUND(F128*G128,2)</f>
        <v>0</v>
      </c>
      <c r="K128" s="29" t="s">
        <v>60</v>
      </c>
      <c r="Z128" s="28">
        <f>ROUND(IF(AQ128="5",BJ128,0),2)</f>
        <v>0</v>
      </c>
      <c r="AB128" s="28">
        <f>ROUND(IF(AQ128="1",BH128,0),2)</f>
        <v>0</v>
      </c>
      <c r="AC128" s="28">
        <f>ROUND(IF(AQ128="1",BI128,0),2)</f>
        <v>0</v>
      </c>
      <c r="AD128" s="28">
        <f>ROUND(IF(AQ128="7",BH128,0),2)</f>
        <v>0</v>
      </c>
      <c r="AE128" s="28">
        <f>ROUND(IF(AQ128="7",BI128,0),2)</f>
        <v>0</v>
      </c>
      <c r="AF128" s="28">
        <f>ROUND(IF(AQ128="2",BH128,0),2)</f>
        <v>0</v>
      </c>
      <c r="AG128" s="28">
        <f>ROUND(IF(AQ128="2",BI128,0),2)</f>
        <v>0</v>
      </c>
      <c r="AH128" s="28">
        <f>ROUND(IF(AQ128="0",BJ128,0),2)</f>
        <v>0</v>
      </c>
      <c r="AI128" s="10" t="s">
        <v>55</v>
      </c>
      <c r="AJ128" s="28">
        <f>IF(AN128=0,J128,0)</f>
        <v>0</v>
      </c>
      <c r="AK128" s="28">
        <f>IF(AN128=12,J128,0)</f>
        <v>0</v>
      </c>
      <c r="AL128" s="28">
        <f>IF(AN128=21,J128,0)</f>
        <v>0</v>
      </c>
      <c r="AN128" s="28">
        <v>21</v>
      </c>
      <c r="AO128" s="28">
        <f>G128*0.499491349</f>
        <v>0</v>
      </c>
      <c r="AP128" s="28">
        <f>G128*(1-0.499491349)</f>
        <v>0</v>
      </c>
      <c r="AQ128" s="30" t="s">
        <v>56</v>
      </c>
      <c r="AV128" s="28">
        <f>ROUND(AW128+AX128,2)</f>
        <v>0</v>
      </c>
      <c r="AW128" s="28">
        <f>ROUND(F128*AO128,2)</f>
        <v>0</v>
      </c>
      <c r="AX128" s="28">
        <f>ROUND(F128*AP128,2)</f>
        <v>0</v>
      </c>
      <c r="AY128" s="30" t="s">
        <v>284</v>
      </c>
      <c r="AZ128" s="30" t="s">
        <v>285</v>
      </c>
      <c r="BA128" s="10" t="s">
        <v>63</v>
      </c>
      <c r="BC128" s="28">
        <f>AW128+AX128</f>
        <v>0</v>
      </c>
      <c r="BD128" s="28">
        <f>G128/(100-BE128)*100</f>
        <v>0</v>
      </c>
      <c r="BE128" s="28">
        <v>0</v>
      </c>
      <c r="BF128" s="28">
        <f>128</f>
        <v>128</v>
      </c>
      <c r="BH128" s="28">
        <f>F128*AO128</f>
        <v>0</v>
      </c>
      <c r="BI128" s="28">
        <f>F128*AP128</f>
        <v>0</v>
      </c>
      <c r="BJ128" s="28">
        <f>F128*G128</f>
        <v>0</v>
      </c>
      <c r="BK128" s="28"/>
      <c r="BL128" s="28">
        <v>45</v>
      </c>
      <c r="BW128" s="28">
        <v>21</v>
      </c>
      <c r="BX128" s="4" t="s">
        <v>283</v>
      </c>
    </row>
    <row r="129" spans="1:76" ht="13.5" customHeight="1" x14ac:dyDescent="0.3">
      <c r="A129" s="31"/>
      <c r="B129" s="35" t="s">
        <v>105</v>
      </c>
      <c r="C129" s="96" t="s">
        <v>286</v>
      </c>
      <c r="D129" s="97"/>
      <c r="E129" s="97"/>
      <c r="F129" s="97"/>
      <c r="G129" s="97"/>
      <c r="H129" s="97"/>
      <c r="I129" s="97"/>
      <c r="J129" s="97"/>
      <c r="K129" s="98"/>
    </row>
    <row r="130" spans="1:76" ht="14.4" x14ac:dyDescent="0.3">
      <c r="A130" s="31"/>
      <c r="C130" s="32" t="s">
        <v>287</v>
      </c>
      <c r="D130" s="32" t="s">
        <v>108</v>
      </c>
      <c r="F130" s="33">
        <v>7.74</v>
      </c>
      <c r="K130" s="34"/>
    </row>
    <row r="131" spans="1:76" ht="14.4" x14ac:dyDescent="0.3">
      <c r="A131" s="31"/>
      <c r="C131" s="32" t="s">
        <v>288</v>
      </c>
      <c r="D131" s="32" t="s">
        <v>110</v>
      </c>
      <c r="F131" s="33">
        <v>1.89</v>
      </c>
      <c r="K131" s="34"/>
    </row>
    <row r="132" spans="1:76" ht="39.6" x14ac:dyDescent="0.3">
      <c r="A132" s="31"/>
      <c r="B132" s="35" t="s">
        <v>68</v>
      </c>
      <c r="C132" s="93" t="s">
        <v>289</v>
      </c>
      <c r="D132" s="94"/>
      <c r="E132" s="94"/>
      <c r="F132" s="94"/>
      <c r="G132" s="94"/>
      <c r="H132" s="94"/>
      <c r="I132" s="94"/>
      <c r="J132" s="94"/>
      <c r="K132" s="95"/>
      <c r="BX132" s="36" t="s">
        <v>289</v>
      </c>
    </row>
    <row r="133" spans="1:76" ht="14.4" x14ac:dyDescent="0.3">
      <c r="A133" s="2" t="s">
        <v>290</v>
      </c>
      <c r="B133" s="3" t="s">
        <v>291</v>
      </c>
      <c r="C133" s="75" t="s">
        <v>292</v>
      </c>
      <c r="D133" s="70"/>
      <c r="E133" s="3" t="s">
        <v>293</v>
      </c>
      <c r="F133" s="28">
        <v>3</v>
      </c>
      <c r="G133" s="28">
        <v>0</v>
      </c>
      <c r="H133" s="28">
        <f>ROUND(F133*AO133,2)</f>
        <v>0</v>
      </c>
      <c r="I133" s="28">
        <f>ROUND(F133*AP133,2)</f>
        <v>0</v>
      </c>
      <c r="J133" s="28">
        <f>ROUND(F133*G133,2)</f>
        <v>0</v>
      </c>
      <c r="K133" s="29" t="s">
        <v>60</v>
      </c>
      <c r="Z133" s="28">
        <f>ROUND(IF(AQ133="5",BJ133,0),2)</f>
        <v>0</v>
      </c>
      <c r="AB133" s="28">
        <f>ROUND(IF(AQ133="1",BH133,0),2)</f>
        <v>0</v>
      </c>
      <c r="AC133" s="28">
        <f>ROUND(IF(AQ133="1",BI133,0),2)</f>
        <v>0</v>
      </c>
      <c r="AD133" s="28">
        <f>ROUND(IF(AQ133="7",BH133,0),2)</f>
        <v>0</v>
      </c>
      <c r="AE133" s="28">
        <f>ROUND(IF(AQ133="7",BI133,0),2)</f>
        <v>0</v>
      </c>
      <c r="AF133" s="28">
        <f>ROUND(IF(AQ133="2",BH133,0),2)</f>
        <v>0</v>
      </c>
      <c r="AG133" s="28">
        <f>ROUND(IF(AQ133="2",BI133,0),2)</f>
        <v>0</v>
      </c>
      <c r="AH133" s="28">
        <f>ROUND(IF(AQ133="0",BJ133,0),2)</f>
        <v>0</v>
      </c>
      <c r="AI133" s="10" t="s">
        <v>55</v>
      </c>
      <c r="AJ133" s="28">
        <f>IF(AN133=0,J133,0)</f>
        <v>0</v>
      </c>
      <c r="AK133" s="28">
        <f>IF(AN133=12,J133,0)</f>
        <v>0</v>
      </c>
      <c r="AL133" s="28">
        <f>IF(AN133=21,J133,0)</f>
        <v>0</v>
      </c>
      <c r="AN133" s="28">
        <v>21</v>
      </c>
      <c r="AO133" s="28">
        <f>G133*0.280506706</f>
        <v>0</v>
      </c>
      <c r="AP133" s="28">
        <f>G133*(1-0.280506706)</f>
        <v>0</v>
      </c>
      <c r="AQ133" s="30" t="s">
        <v>56</v>
      </c>
      <c r="AV133" s="28">
        <f>ROUND(AW133+AX133,2)</f>
        <v>0</v>
      </c>
      <c r="AW133" s="28">
        <f>ROUND(F133*AO133,2)</f>
        <v>0</v>
      </c>
      <c r="AX133" s="28">
        <f>ROUND(F133*AP133,2)</f>
        <v>0</v>
      </c>
      <c r="AY133" s="30" t="s">
        <v>284</v>
      </c>
      <c r="AZ133" s="30" t="s">
        <v>285</v>
      </c>
      <c r="BA133" s="10" t="s">
        <v>63</v>
      </c>
      <c r="BC133" s="28">
        <f>AW133+AX133</f>
        <v>0</v>
      </c>
      <c r="BD133" s="28">
        <f>G133/(100-BE133)*100</f>
        <v>0</v>
      </c>
      <c r="BE133" s="28">
        <v>0</v>
      </c>
      <c r="BF133" s="28">
        <f>133</f>
        <v>133</v>
      </c>
      <c r="BH133" s="28">
        <f>F133*AO133</f>
        <v>0</v>
      </c>
      <c r="BI133" s="28">
        <f>F133*AP133</f>
        <v>0</v>
      </c>
      <c r="BJ133" s="28">
        <f>F133*G133</f>
        <v>0</v>
      </c>
      <c r="BK133" s="28"/>
      <c r="BL133" s="28">
        <v>45</v>
      </c>
      <c r="BW133" s="28">
        <v>21</v>
      </c>
      <c r="BX133" s="4" t="s">
        <v>292</v>
      </c>
    </row>
    <row r="134" spans="1:76" ht="26.4" x14ac:dyDescent="0.3">
      <c r="A134" s="31"/>
      <c r="B134" s="35" t="s">
        <v>68</v>
      </c>
      <c r="C134" s="93" t="s">
        <v>294</v>
      </c>
      <c r="D134" s="94"/>
      <c r="E134" s="94"/>
      <c r="F134" s="94"/>
      <c r="G134" s="94"/>
      <c r="H134" s="94"/>
      <c r="I134" s="94"/>
      <c r="J134" s="94"/>
      <c r="K134" s="95"/>
      <c r="BX134" s="36" t="s">
        <v>294</v>
      </c>
    </row>
    <row r="135" spans="1:76" ht="14.4" x14ac:dyDescent="0.3">
      <c r="A135" s="2" t="s">
        <v>295</v>
      </c>
      <c r="B135" s="3" t="s">
        <v>296</v>
      </c>
      <c r="C135" s="75" t="s">
        <v>297</v>
      </c>
      <c r="D135" s="70"/>
      <c r="E135" s="3" t="s">
        <v>293</v>
      </c>
      <c r="F135" s="28">
        <v>1</v>
      </c>
      <c r="G135" s="28">
        <v>0</v>
      </c>
      <c r="H135" s="28">
        <f>ROUND(F135*AO135,2)</f>
        <v>0</v>
      </c>
      <c r="I135" s="28">
        <f>ROUND(F135*AP135,2)</f>
        <v>0</v>
      </c>
      <c r="J135" s="28">
        <f>ROUND(F135*G135,2)</f>
        <v>0</v>
      </c>
      <c r="K135" s="29" t="s">
        <v>60</v>
      </c>
      <c r="Z135" s="28">
        <f>ROUND(IF(AQ135="5",BJ135,0),2)</f>
        <v>0</v>
      </c>
      <c r="AB135" s="28">
        <f>ROUND(IF(AQ135="1",BH135,0),2)</f>
        <v>0</v>
      </c>
      <c r="AC135" s="28">
        <f>ROUND(IF(AQ135="1",BI135,0),2)</f>
        <v>0</v>
      </c>
      <c r="AD135" s="28">
        <f>ROUND(IF(AQ135="7",BH135,0),2)</f>
        <v>0</v>
      </c>
      <c r="AE135" s="28">
        <f>ROUND(IF(AQ135="7",BI135,0),2)</f>
        <v>0</v>
      </c>
      <c r="AF135" s="28">
        <f>ROUND(IF(AQ135="2",BH135,0),2)</f>
        <v>0</v>
      </c>
      <c r="AG135" s="28">
        <f>ROUND(IF(AQ135="2",BI135,0),2)</f>
        <v>0</v>
      </c>
      <c r="AH135" s="28">
        <f>ROUND(IF(AQ135="0",BJ135,0),2)</f>
        <v>0</v>
      </c>
      <c r="AI135" s="10" t="s">
        <v>55</v>
      </c>
      <c r="AJ135" s="28">
        <f>IF(AN135=0,J135,0)</f>
        <v>0</v>
      </c>
      <c r="AK135" s="28">
        <f>IF(AN135=12,J135,0)</f>
        <v>0</v>
      </c>
      <c r="AL135" s="28">
        <f>IF(AN135=21,J135,0)</f>
        <v>0</v>
      </c>
      <c r="AN135" s="28">
        <v>21</v>
      </c>
      <c r="AO135" s="28">
        <f>G135*1</f>
        <v>0</v>
      </c>
      <c r="AP135" s="28">
        <f>G135*(1-1)</f>
        <v>0</v>
      </c>
      <c r="AQ135" s="30" t="s">
        <v>56</v>
      </c>
      <c r="AV135" s="28">
        <f>ROUND(AW135+AX135,2)</f>
        <v>0</v>
      </c>
      <c r="AW135" s="28">
        <f>ROUND(F135*AO135,2)</f>
        <v>0</v>
      </c>
      <c r="AX135" s="28">
        <f>ROUND(F135*AP135,2)</f>
        <v>0</v>
      </c>
      <c r="AY135" s="30" t="s">
        <v>284</v>
      </c>
      <c r="AZ135" s="30" t="s">
        <v>285</v>
      </c>
      <c r="BA135" s="10" t="s">
        <v>63</v>
      </c>
      <c r="BC135" s="28">
        <f>AW135+AX135</f>
        <v>0</v>
      </c>
      <c r="BD135" s="28">
        <f>G135/(100-BE135)*100</f>
        <v>0</v>
      </c>
      <c r="BE135" s="28">
        <v>0</v>
      </c>
      <c r="BF135" s="28">
        <f>135</f>
        <v>135</v>
      </c>
      <c r="BH135" s="28">
        <f>F135*AO135</f>
        <v>0</v>
      </c>
      <c r="BI135" s="28">
        <f>F135*AP135</f>
        <v>0</v>
      </c>
      <c r="BJ135" s="28">
        <f>F135*G135</f>
        <v>0</v>
      </c>
      <c r="BK135" s="28"/>
      <c r="BL135" s="28">
        <v>45</v>
      </c>
      <c r="BW135" s="28">
        <v>21</v>
      </c>
      <c r="BX135" s="4" t="s">
        <v>297</v>
      </c>
    </row>
    <row r="136" spans="1:76" ht="26.4" x14ac:dyDescent="0.3">
      <c r="A136" s="31"/>
      <c r="B136" s="35" t="s">
        <v>68</v>
      </c>
      <c r="C136" s="93" t="s">
        <v>298</v>
      </c>
      <c r="D136" s="94"/>
      <c r="E136" s="94"/>
      <c r="F136" s="94"/>
      <c r="G136" s="94"/>
      <c r="H136" s="94"/>
      <c r="I136" s="94"/>
      <c r="J136" s="94"/>
      <c r="K136" s="95"/>
      <c r="BX136" s="36" t="s">
        <v>298</v>
      </c>
    </row>
    <row r="137" spans="1:76" ht="14.4" x14ac:dyDescent="0.3">
      <c r="A137" s="2" t="s">
        <v>299</v>
      </c>
      <c r="B137" s="3" t="s">
        <v>300</v>
      </c>
      <c r="C137" s="75" t="s">
        <v>301</v>
      </c>
      <c r="D137" s="70"/>
      <c r="E137" s="3" t="s">
        <v>293</v>
      </c>
      <c r="F137" s="28">
        <v>1</v>
      </c>
      <c r="G137" s="28">
        <v>0</v>
      </c>
      <c r="H137" s="28">
        <f>ROUND(F137*AO137,2)</f>
        <v>0</v>
      </c>
      <c r="I137" s="28">
        <f>ROUND(F137*AP137,2)</f>
        <v>0</v>
      </c>
      <c r="J137" s="28">
        <f>ROUND(F137*G137,2)</f>
        <v>0</v>
      </c>
      <c r="K137" s="29" t="s">
        <v>60</v>
      </c>
      <c r="Z137" s="28">
        <f>ROUND(IF(AQ137="5",BJ137,0),2)</f>
        <v>0</v>
      </c>
      <c r="AB137" s="28">
        <f>ROUND(IF(AQ137="1",BH137,0),2)</f>
        <v>0</v>
      </c>
      <c r="AC137" s="28">
        <f>ROUND(IF(AQ137="1",BI137,0),2)</f>
        <v>0</v>
      </c>
      <c r="AD137" s="28">
        <f>ROUND(IF(AQ137="7",BH137,0),2)</f>
        <v>0</v>
      </c>
      <c r="AE137" s="28">
        <f>ROUND(IF(AQ137="7",BI137,0),2)</f>
        <v>0</v>
      </c>
      <c r="AF137" s="28">
        <f>ROUND(IF(AQ137="2",BH137,0),2)</f>
        <v>0</v>
      </c>
      <c r="AG137" s="28">
        <f>ROUND(IF(AQ137="2",BI137,0),2)</f>
        <v>0</v>
      </c>
      <c r="AH137" s="28">
        <f>ROUND(IF(AQ137="0",BJ137,0),2)</f>
        <v>0</v>
      </c>
      <c r="AI137" s="10" t="s">
        <v>55</v>
      </c>
      <c r="AJ137" s="28">
        <f>IF(AN137=0,J137,0)</f>
        <v>0</v>
      </c>
      <c r="AK137" s="28">
        <f>IF(AN137=12,J137,0)</f>
        <v>0</v>
      </c>
      <c r="AL137" s="28">
        <f>IF(AN137=21,J137,0)</f>
        <v>0</v>
      </c>
      <c r="AN137" s="28">
        <v>21</v>
      </c>
      <c r="AO137" s="28">
        <f>G137*1</f>
        <v>0</v>
      </c>
      <c r="AP137" s="28">
        <f>G137*(1-1)</f>
        <v>0</v>
      </c>
      <c r="AQ137" s="30" t="s">
        <v>56</v>
      </c>
      <c r="AV137" s="28">
        <f>ROUND(AW137+AX137,2)</f>
        <v>0</v>
      </c>
      <c r="AW137" s="28">
        <f>ROUND(F137*AO137,2)</f>
        <v>0</v>
      </c>
      <c r="AX137" s="28">
        <f>ROUND(F137*AP137,2)</f>
        <v>0</v>
      </c>
      <c r="AY137" s="30" t="s">
        <v>284</v>
      </c>
      <c r="AZ137" s="30" t="s">
        <v>285</v>
      </c>
      <c r="BA137" s="10" t="s">
        <v>63</v>
      </c>
      <c r="BC137" s="28">
        <f>AW137+AX137</f>
        <v>0</v>
      </c>
      <c r="BD137" s="28">
        <f>G137/(100-BE137)*100</f>
        <v>0</v>
      </c>
      <c r="BE137" s="28">
        <v>0</v>
      </c>
      <c r="BF137" s="28">
        <f>137</f>
        <v>137</v>
      </c>
      <c r="BH137" s="28">
        <f>F137*AO137</f>
        <v>0</v>
      </c>
      <c r="BI137" s="28">
        <f>F137*AP137</f>
        <v>0</v>
      </c>
      <c r="BJ137" s="28">
        <f>F137*G137</f>
        <v>0</v>
      </c>
      <c r="BK137" s="28"/>
      <c r="BL137" s="28">
        <v>45</v>
      </c>
      <c r="BW137" s="28">
        <v>21</v>
      </c>
      <c r="BX137" s="4" t="s">
        <v>301</v>
      </c>
    </row>
    <row r="138" spans="1:76" ht="26.4" x14ac:dyDescent="0.3">
      <c r="A138" s="31"/>
      <c r="B138" s="35" t="s">
        <v>68</v>
      </c>
      <c r="C138" s="93" t="s">
        <v>298</v>
      </c>
      <c r="D138" s="94"/>
      <c r="E138" s="94"/>
      <c r="F138" s="94"/>
      <c r="G138" s="94"/>
      <c r="H138" s="94"/>
      <c r="I138" s="94"/>
      <c r="J138" s="94"/>
      <c r="K138" s="95"/>
      <c r="BX138" s="36" t="s">
        <v>298</v>
      </c>
    </row>
    <row r="139" spans="1:76" ht="14.4" x14ac:dyDescent="0.3">
      <c r="A139" s="2" t="s">
        <v>302</v>
      </c>
      <c r="B139" s="3" t="s">
        <v>303</v>
      </c>
      <c r="C139" s="75" t="s">
        <v>304</v>
      </c>
      <c r="D139" s="70"/>
      <c r="E139" s="3" t="s">
        <v>293</v>
      </c>
      <c r="F139" s="28">
        <v>1</v>
      </c>
      <c r="G139" s="28">
        <v>0</v>
      </c>
      <c r="H139" s="28">
        <f>ROUND(F139*AO139,2)</f>
        <v>0</v>
      </c>
      <c r="I139" s="28">
        <f>ROUND(F139*AP139,2)</f>
        <v>0</v>
      </c>
      <c r="J139" s="28">
        <f>ROUND(F139*G139,2)</f>
        <v>0</v>
      </c>
      <c r="K139" s="29" t="s">
        <v>60</v>
      </c>
      <c r="Z139" s="28">
        <f>ROUND(IF(AQ139="5",BJ139,0),2)</f>
        <v>0</v>
      </c>
      <c r="AB139" s="28">
        <f>ROUND(IF(AQ139="1",BH139,0),2)</f>
        <v>0</v>
      </c>
      <c r="AC139" s="28">
        <f>ROUND(IF(AQ139="1",BI139,0),2)</f>
        <v>0</v>
      </c>
      <c r="AD139" s="28">
        <f>ROUND(IF(AQ139="7",BH139,0),2)</f>
        <v>0</v>
      </c>
      <c r="AE139" s="28">
        <f>ROUND(IF(AQ139="7",BI139,0),2)</f>
        <v>0</v>
      </c>
      <c r="AF139" s="28">
        <f>ROUND(IF(AQ139="2",BH139,0),2)</f>
        <v>0</v>
      </c>
      <c r="AG139" s="28">
        <f>ROUND(IF(AQ139="2",BI139,0),2)</f>
        <v>0</v>
      </c>
      <c r="AH139" s="28">
        <f>ROUND(IF(AQ139="0",BJ139,0),2)</f>
        <v>0</v>
      </c>
      <c r="AI139" s="10" t="s">
        <v>55</v>
      </c>
      <c r="AJ139" s="28">
        <f>IF(AN139=0,J139,0)</f>
        <v>0</v>
      </c>
      <c r="AK139" s="28">
        <f>IF(AN139=12,J139,0)</f>
        <v>0</v>
      </c>
      <c r="AL139" s="28">
        <f>IF(AN139=21,J139,0)</f>
        <v>0</v>
      </c>
      <c r="AN139" s="28">
        <v>21</v>
      </c>
      <c r="AO139" s="28">
        <f>G139*1</f>
        <v>0</v>
      </c>
      <c r="AP139" s="28">
        <f>G139*(1-1)</f>
        <v>0</v>
      </c>
      <c r="AQ139" s="30" t="s">
        <v>56</v>
      </c>
      <c r="AV139" s="28">
        <f>ROUND(AW139+AX139,2)</f>
        <v>0</v>
      </c>
      <c r="AW139" s="28">
        <f>ROUND(F139*AO139,2)</f>
        <v>0</v>
      </c>
      <c r="AX139" s="28">
        <f>ROUND(F139*AP139,2)</f>
        <v>0</v>
      </c>
      <c r="AY139" s="30" t="s">
        <v>284</v>
      </c>
      <c r="AZ139" s="30" t="s">
        <v>285</v>
      </c>
      <c r="BA139" s="10" t="s">
        <v>63</v>
      </c>
      <c r="BC139" s="28">
        <f>AW139+AX139</f>
        <v>0</v>
      </c>
      <c r="BD139" s="28">
        <f>G139/(100-BE139)*100</f>
        <v>0</v>
      </c>
      <c r="BE139" s="28">
        <v>0</v>
      </c>
      <c r="BF139" s="28">
        <f>139</f>
        <v>139</v>
      </c>
      <c r="BH139" s="28">
        <f>F139*AO139</f>
        <v>0</v>
      </c>
      <c r="BI139" s="28">
        <f>F139*AP139</f>
        <v>0</v>
      </c>
      <c r="BJ139" s="28">
        <f>F139*G139</f>
        <v>0</v>
      </c>
      <c r="BK139" s="28"/>
      <c r="BL139" s="28">
        <v>45</v>
      </c>
      <c r="BW139" s="28">
        <v>21</v>
      </c>
      <c r="BX139" s="4" t="s">
        <v>304</v>
      </c>
    </row>
    <row r="140" spans="1:76" ht="26.4" x14ac:dyDescent="0.3">
      <c r="A140" s="31"/>
      <c r="B140" s="35" t="s">
        <v>68</v>
      </c>
      <c r="C140" s="93" t="s">
        <v>298</v>
      </c>
      <c r="D140" s="94"/>
      <c r="E140" s="94"/>
      <c r="F140" s="94"/>
      <c r="G140" s="94"/>
      <c r="H140" s="94"/>
      <c r="I140" s="94"/>
      <c r="J140" s="94"/>
      <c r="K140" s="95"/>
      <c r="BX140" s="36" t="s">
        <v>298</v>
      </c>
    </row>
    <row r="141" spans="1:76" ht="14.4" x14ac:dyDescent="0.3">
      <c r="A141" s="24" t="s">
        <v>51</v>
      </c>
      <c r="B141" s="25" t="s">
        <v>305</v>
      </c>
      <c r="C141" s="91" t="s">
        <v>306</v>
      </c>
      <c r="D141" s="92"/>
      <c r="E141" s="26" t="s">
        <v>4</v>
      </c>
      <c r="F141" s="26" t="s">
        <v>4</v>
      </c>
      <c r="G141" s="26" t="s">
        <v>4</v>
      </c>
      <c r="H141" s="1">
        <f>SUM(H142:H149)</f>
        <v>0</v>
      </c>
      <c r="I141" s="1">
        <f>SUM(I142:I149)</f>
        <v>0</v>
      </c>
      <c r="J141" s="1">
        <f>SUM(J142:J149)</f>
        <v>0</v>
      </c>
      <c r="K141" s="27" t="s">
        <v>51</v>
      </c>
      <c r="AI141" s="10" t="s">
        <v>55</v>
      </c>
      <c r="AS141" s="1">
        <f>SUM(AJ142:AJ149)</f>
        <v>0</v>
      </c>
      <c r="AT141" s="1">
        <f>SUM(AK142:AK149)</f>
        <v>0</v>
      </c>
      <c r="AU141" s="1">
        <f>SUM(AL142:AL149)</f>
        <v>0</v>
      </c>
    </row>
    <row r="142" spans="1:76" ht="14.4" x14ac:dyDescent="0.3">
      <c r="A142" s="2" t="s">
        <v>307</v>
      </c>
      <c r="B142" s="3" t="s">
        <v>308</v>
      </c>
      <c r="C142" s="75" t="s">
        <v>309</v>
      </c>
      <c r="D142" s="70"/>
      <c r="E142" s="3" t="s">
        <v>293</v>
      </c>
      <c r="F142" s="28">
        <v>1</v>
      </c>
      <c r="G142" s="28">
        <v>0</v>
      </c>
      <c r="H142" s="28">
        <f>ROUND(F142*AO142,2)</f>
        <v>0</v>
      </c>
      <c r="I142" s="28">
        <f>ROUND(F142*AP142,2)</f>
        <v>0</v>
      </c>
      <c r="J142" s="28">
        <f>ROUND(F142*G142,2)</f>
        <v>0</v>
      </c>
      <c r="K142" s="29" t="s">
        <v>60</v>
      </c>
      <c r="Z142" s="28">
        <f>ROUND(IF(AQ142="5",BJ142,0),2)</f>
        <v>0</v>
      </c>
      <c r="AB142" s="28">
        <f>ROUND(IF(AQ142="1",BH142,0),2)</f>
        <v>0</v>
      </c>
      <c r="AC142" s="28">
        <f>ROUND(IF(AQ142="1",BI142,0),2)</f>
        <v>0</v>
      </c>
      <c r="AD142" s="28">
        <f>ROUND(IF(AQ142="7",BH142,0),2)</f>
        <v>0</v>
      </c>
      <c r="AE142" s="28">
        <f>ROUND(IF(AQ142="7",BI142,0),2)</f>
        <v>0</v>
      </c>
      <c r="AF142" s="28">
        <f>ROUND(IF(AQ142="2",BH142,0),2)</f>
        <v>0</v>
      </c>
      <c r="AG142" s="28">
        <f>ROUND(IF(AQ142="2",BI142,0),2)</f>
        <v>0</v>
      </c>
      <c r="AH142" s="28">
        <f>ROUND(IF(AQ142="0",BJ142,0),2)</f>
        <v>0</v>
      </c>
      <c r="AI142" s="10" t="s">
        <v>55</v>
      </c>
      <c r="AJ142" s="28">
        <f>IF(AN142=0,J142,0)</f>
        <v>0</v>
      </c>
      <c r="AK142" s="28">
        <f>IF(AN142=12,J142,0)</f>
        <v>0</v>
      </c>
      <c r="AL142" s="28">
        <f>IF(AN142=21,J142,0)</f>
        <v>0</v>
      </c>
      <c r="AN142" s="28">
        <v>21</v>
      </c>
      <c r="AO142" s="28">
        <f>G142*0.96040856</f>
        <v>0</v>
      </c>
      <c r="AP142" s="28">
        <f>G142*(1-0.96040856)</f>
        <v>0</v>
      </c>
      <c r="AQ142" s="30" t="s">
        <v>56</v>
      </c>
      <c r="AV142" s="28">
        <f>ROUND(AW142+AX142,2)</f>
        <v>0</v>
      </c>
      <c r="AW142" s="28">
        <f>ROUND(F142*AO142,2)</f>
        <v>0</v>
      </c>
      <c r="AX142" s="28">
        <f>ROUND(F142*AP142,2)</f>
        <v>0</v>
      </c>
      <c r="AY142" s="30" t="s">
        <v>310</v>
      </c>
      <c r="AZ142" s="30" t="s">
        <v>311</v>
      </c>
      <c r="BA142" s="10" t="s">
        <v>63</v>
      </c>
      <c r="BC142" s="28">
        <f>AW142+AX142</f>
        <v>0</v>
      </c>
      <c r="BD142" s="28">
        <f>G142/(100-BE142)*100</f>
        <v>0</v>
      </c>
      <c r="BE142" s="28">
        <v>0</v>
      </c>
      <c r="BF142" s="28">
        <f>142</f>
        <v>142</v>
      </c>
      <c r="BH142" s="28">
        <f>F142*AO142</f>
        <v>0</v>
      </c>
      <c r="BI142" s="28">
        <f>F142*AP142</f>
        <v>0</v>
      </c>
      <c r="BJ142" s="28">
        <f>F142*G142</f>
        <v>0</v>
      </c>
      <c r="BK142" s="28"/>
      <c r="BL142" s="28">
        <v>59</v>
      </c>
      <c r="BW142" s="28">
        <v>21</v>
      </c>
      <c r="BX142" s="4" t="s">
        <v>309</v>
      </c>
    </row>
    <row r="143" spans="1:76" ht="13.5" customHeight="1" x14ac:dyDescent="0.3">
      <c r="A143" s="31"/>
      <c r="B143" s="35" t="s">
        <v>105</v>
      </c>
      <c r="C143" s="96" t="s">
        <v>312</v>
      </c>
      <c r="D143" s="97"/>
      <c r="E143" s="97"/>
      <c r="F143" s="97"/>
      <c r="G143" s="97"/>
      <c r="H143" s="97"/>
      <c r="I143" s="97"/>
      <c r="J143" s="97"/>
      <c r="K143" s="98"/>
    </row>
    <row r="144" spans="1:76" ht="39.6" x14ac:dyDescent="0.3">
      <c r="A144" s="31"/>
      <c r="B144" s="35" t="s">
        <v>68</v>
      </c>
      <c r="C144" s="93" t="s">
        <v>313</v>
      </c>
      <c r="D144" s="94"/>
      <c r="E144" s="94"/>
      <c r="F144" s="94"/>
      <c r="G144" s="94"/>
      <c r="H144" s="94"/>
      <c r="I144" s="94"/>
      <c r="J144" s="94"/>
      <c r="K144" s="95"/>
      <c r="BX144" s="36" t="s">
        <v>313</v>
      </c>
    </row>
    <row r="145" spans="1:76" ht="14.4" x14ac:dyDescent="0.3">
      <c r="A145" s="2" t="s">
        <v>314</v>
      </c>
      <c r="B145" s="3" t="s">
        <v>315</v>
      </c>
      <c r="C145" s="75" t="s">
        <v>316</v>
      </c>
      <c r="D145" s="70"/>
      <c r="E145" s="3" t="s">
        <v>293</v>
      </c>
      <c r="F145" s="28">
        <v>9</v>
      </c>
      <c r="G145" s="28">
        <v>0</v>
      </c>
      <c r="H145" s="28">
        <f>ROUND(F145*AO145,2)</f>
        <v>0</v>
      </c>
      <c r="I145" s="28">
        <f>ROUND(F145*AP145,2)</f>
        <v>0</v>
      </c>
      <c r="J145" s="28">
        <f>ROUND(F145*G145,2)</f>
        <v>0</v>
      </c>
      <c r="K145" s="29" t="s">
        <v>60</v>
      </c>
      <c r="Z145" s="28">
        <f>ROUND(IF(AQ145="5",BJ145,0),2)</f>
        <v>0</v>
      </c>
      <c r="AB145" s="28">
        <f>ROUND(IF(AQ145="1",BH145,0),2)</f>
        <v>0</v>
      </c>
      <c r="AC145" s="28">
        <f>ROUND(IF(AQ145="1",BI145,0),2)</f>
        <v>0</v>
      </c>
      <c r="AD145" s="28">
        <f>ROUND(IF(AQ145="7",BH145,0),2)</f>
        <v>0</v>
      </c>
      <c r="AE145" s="28">
        <f>ROUND(IF(AQ145="7",BI145,0),2)</f>
        <v>0</v>
      </c>
      <c r="AF145" s="28">
        <f>ROUND(IF(AQ145="2",BH145,0),2)</f>
        <v>0</v>
      </c>
      <c r="AG145" s="28">
        <f>ROUND(IF(AQ145="2",BI145,0),2)</f>
        <v>0</v>
      </c>
      <c r="AH145" s="28">
        <f>ROUND(IF(AQ145="0",BJ145,0),2)</f>
        <v>0</v>
      </c>
      <c r="AI145" s="10" t="s">
        <v>55</v>
      </c>
      <c r="AJ145" s="28">
        <f>IF(AN145=0,J145,0)</f>
        <v>0</v>
      </c>
      <c r="AK145" s="28">
        <f>IF(AN145=12,J145,0)</f>
        <v>0</v>
      </c>
      <c r="AL145" s="28">
        <f>IF(AN145=21,J145,0)</f>
        <v>0</v>
      </c>
      <c r="AN145" s="28">
        <v>21</v>
      </c>
      <c r="AO145" s="28">
        <f>G145*0.938690909</f>
        <v>0</v>
      </c>
      <c r="AP145" s="28">
        <f>G145*(1-0.938690909)</f>
        <v>0</v>
      </c>
      <c r="AQ145" s="30" t="s">
        <v>56</v>
      </c>
      <c r="AV145" s="28">
        <f>ROUND(AW145+AX145,2)</f>
        <v>0</v>
      </c>
      <c r="AW145" s="28">
        <f>ROUND(F145*AO145,2)</f>
        <v>0</v>
      </c>
      <c r="AX145" s="28">
        <f>ROUND(F145*AP145,2)</f>
        <v>0</v>
      </c>
      <c r="AY145" s="30" t="s">
        <v>310</v>
      </c>
      <c r="AZ145" s="30" t="s">
        <v>311</v>
      </c>
      <c r="BA145" s="10" t="s">
        <v>63</v>
      </c>
      <c r="BC145" s="28">
        <f>AW145+AX145</f>
        <v>0</v>
      </c>
      <c r="BD145" s="28">
        <f>G145/(100-BE145)*100</f>
        <v>0</v>
      </c>
      <c r="BE145" s="28">
        <v>0</v>
      </c>
      <c r="BF145" s="28">
        <f>145</f>
        <v>145</v>
      </c>
      <c r="BH145" s="28">
        <f>F145*AO145</f>
        <v>0</v>
      </c>
      <c r="BI145" s="28">
        <f>F145*AP145</f>
        <v>0</v>
      </c>
      <c r="BJ145" s="28">
        <f>F145*G145</f>
        <v>0</v>
      </c>
      <c r="BK145" s="28"/>
      <c r="BL145" s="28">
        <v>59</v>
      </c>
      <c r="BW145" s="28">
        <v>21</v>
      </c>
      <c r="BX145" s="4" t="s">
        <v>316</v>
      </c>
    </row>
    <row r="146" spans="1:76" ht="52.8" x14ac:dyDescent="0.3">
      <c r="A146" s="31"/>
      <c r="B146" s="35" t="s">
        <v>68</v>
      </c>
      <c r="C146" s="93" t="s">
        <v>317</v>
      </c>
      <c r="D146" s="94"/>
      <c r="E146" s="94"/>
      <c r="F146" s="94"/>
      <c r="G146" s="94"/>
      <c r="H146" s="94"/>
      <c r="I146" s="94"/>
      <c r="J146" s="94"/>
      <c r="K146" s="95"/>
      <c r="BX146" s="36" t="s">
        <v>317</v>
      </c>
    </row>
    <row r="147" spans="1:76" ht="14.4" x14ac:dyDescent="0.3">
      <c r="A147" s="2" t="s">
        <v>318</v>
      </c>
      <c r="B147" s="3" t="s">
        <v>319</v>
      </c>
      <c r="C147" s="75" t="s">
        <v>320</v>
      </c>
      <c r="D147" s="70"/>
      <c r="E147" s="3" t="s">
        <v>293</v>
      </c>
      <c r="F147" s="28">
        <v>1</v>
      </c>
      <c r="G147" s="28">
        <v>0</v>
      </c>
      <c r="H147" s="28">
        <f>ROUND(F147*AO147,2)</f>
        <v>0</v>
      </c>
      <c r="I147" s="28">
        <f>ROUND(F147*AP147,2)</f>
        <v>0</v>
      </c>
      <c r="J147" s="28">
        <f>ROUND(F147*G147,2)</f>
        <v>0</v>
      </c>
      <c r="K147" s="29" t="s">
        <v>60</v>
      </c>
      <c r="Z147" s="28">
        <f>ROUND(IF(AQ147="5",BJ147,0),2)</f>
        <v>0</v>
      </c>
      <c r="AB147" s="28">
        <f>ROUND(IF(AQ147="1",BH147,0),2)</f>
        <v>0</v>
      </c>
      <c r="AC147" s="28">
        <f>ROUND(IF(AQ147="1",BI147,0),2)</f>
        <v>0</v>
      </c>
      <c r="AD147" s="28">
        <f>ROUND(IF(AQ147="7",BH147,0),2)</f>
        <v>0</v>
      </c>
      <c r="AE147" s="28">
        <f>ROUND(IF(AQ147="7",BI147,0),2)</f>
        <v>0</v>
      </c>
      <c r="AF147" s="28">
        <f>ROUND(IF(AQ147="2",BH147,0),2)</f>
        <v>0</v>
      </c>
      <c r="AG147" s="28">
        <f>ROUND(IF(AQ147="2",BI147,0),2)</f>
        <v>0</v>
      </c>
      <c r="AH147" s="28">
        <f>ROUND(IF(AQ147="0",BJ147,0),2)</f>
        <v>0</v>
      </c>
      <c r="AI147" s="10" t="s">
        <v>55</v>
      </c>
      <c r="AJ147" s="28">
        <f>IF(AN147=0,J147,0)</f>
        <v>0</v>
      </c>
      <c r="AK147" s="28">
        <f>IF(AN147=12,J147,0)</f>
        <v>0</v>
      </c>
      <c r="AL147" s="28">
        <f>IF(AN147=21,J147,0)</f>
        <v>0</v>
      </c>
      <c r="AN147" s="28">
        <v>21</v>
      </c>
      <c r="AO147" s="28">
        <f>G147*0.957059961</f>
        <v>0</v>
      </c>
      <c r="AP147" s="28">
        <f>G147*(1-0.957059961)</f>
        <v>0</v>
      </c>
      <c r="AQ147" s="30" t="s">
        <v>56</v>
      </c>
      <c r="AV147" s="28">
        <f>ROUND(AW147+AX147,2)</f>
        <v>0</v>
      </c>
      <c r="AW147" s="28">
        <f>ROUND(F147*AO147,2)</f>
        <v>0</v>
      </c>
      <c r="AX147" s="28">
        <f>ROUND(F147*AP147,2)</f>
        <v>0</v>
      </c>
      <c r="AY147" s="30" t="s">
        <v>310</v>
      </c>
      <c r="AZ147" s="30" t="s">
        <v>311</v>
      </c>
      <c r="BA147" s="10" t="s">
        <v>63</v>
      </c>
      <c r="BC147" s="28">
        <f>AW147+AX147</f>
        <v>0</v>
      </c>
      <c r="BD147" s="28">
        <f>G147/(100-BE147)*100</f>
        <v>0</v>
      </c>
      <c r="BE147" s="28">
        <v>0</v>
      </c>
      <c r="BF147" s="28">
        <f>147</f>
        <v>147</v>
      </c>
      <c r="BH147" s="28">
        <f>F147*AO147</f>
        <v>0</v>
      </c>
      <c r="BI147" s="28">
        <f>F147*AP147</f>
        <v>0</v>
      </c>
      <c r="BJ147" s="28">
        <f>F147*G147</f>
        <v>0</v>
      </c>
      <c r="BK147" s="28"/>
      <c r="BL147" s="28">
        <v>59</v>
      </c>
      <c r="BW147" s="28">
        <v>21</v>
      </c>
      <c r="BX147" s="4" t="s">
        <v>320</v>
      </c>
    </row>
    <row r="148" spans="1:76" ht="14.4" x14ac:dyDescent="0.3">
      <c r="A148" s="31"/>
      <c r="B148" s="35" t="s">
        <v>68</v>
      </c>
      <c r="C148" s="93" t="s">
        <v>321</v>
      </c>
      <c r="D148" s="94"/>
      <c r="E148" s="94"/>
      <c r="F148" s="94"/>
      <c r="G148" s="94"/>
      <c r="H148" s="94"/>
      <c r="I148" s="94"/>
      <c r="J148" s="94"/>
      <c r="K148" s="95"/>
      <c r="BX148" s="36" t="s">
        <v>321</v>
      </c>
    </row>
    <row r="149" spans="1:76" ht="14.4" x14ac:dyDescent="0.3">
      <c r="A149" s="2" t="s">
        <v>322</v>
      </c>
      <c r="B149" s="3" t="s">
        <v>323</v>
      </c>
      <c r="C149" s="75" t="s">
        <v>324</v>
      </c>
      <c r="D149" s="70"/>
      <c r="E149" s="3" t="s">
        <v>293</v>
      </c>
      <c r="F149" s="28">
        <v>1</v>
      </c>
      <c r="G149" s="28">
        <v>0</v>
      </c>
      <c r="H149" s="28">
        <f>ROUND(F149*AO149,2)</f>
        <v>0</v>
      </c>
      <c r="I149" s="28">
        <f>ROUND(F149*AP149,2)</f>
        <v>0</v>
      </c>
      <c r="J149" s="28">
        <f>ROUND(F149*G149,2)</f>
        <v>0</v>
      </c>
      <c r="K149" s="29" t="s">
        <v>60</v>
      </c>
      <c r="Z149" s="28">
        <f>ROUND(IF(AQ149="5",BJ149,0),2)</f>
        <v>0</v>
      </c>
      <c r="AB149" s="28">
        <f>ROUND(IF(AQ149="1",BH149,0),2)</f>
        <v>0</v>
      </c>
      <c r="AC149" s="28">
        <f>ROUND(IF(AQ149="1",BI149,0),2)</f>
        <v>0</v>
      </c>
      <c r="AD149" s="28">
        <f>ROUND(IF(AQ149="7",BH149,0),2)</f>
        <v>0</v>
      </c>
      <c r="AE149" s="28">
        <f>ROUND(IF(AQ149="7",BI149,0),2)</f>
        <v>0</v>
      </c>
      <c r="AF149" s="28">
        <f>ROUND(IF(AQ149="2",BH149,0),2)</f>
        <v>0</v>
      </c>
      <c r="AG149" s="28">
        <f>ROUND(IF(AQ149="2",BI149,0),2)</f>
        <v>0</v>
      </c>
      <c r="AH149" s="28">
        <f>ROUND(IF(AQ149="0",BJ149,0),2)</f>
        <v>0</v>
      </c>
      <c r="AI149" s="10" t="s">
        <v>55</v>
      </c>
      <c r="AJ149" s="28">
        <f>IF(AN149=0,J149,0)</f>
        <v>0</v>
      </c>
      <c r="AK149" s="28">
        <f>IF(AN149=12,J149,0)</f>
        <v>0</v>
      </c>
      <c r="AL149" s="28">
        <f>IF(AN149=21,J149,0)</f>
        <v>0</v>
      </c>
      <c r="AN149" s="28">
        <v>21</v>
      </c>
      <c r="AO149" s="28">
        <f>G149*0.980662021</f>
        <v>0</v>
      </c>
      <c r="AP149" s="28">
        <f>G149*(1-0.980662021)</f>
        <v>0</v>
      </c>
      <c r="AQ149" s="30" t="s">
        <v>56</v>
      </c>
      <c r="AV149" s="28">
        <f>ROUND(AW149+AX149,2)</f>
        <v>0</v>
      </c>
      <c r="AW149" s="28">
        <f>ROUND(F149*AO149,2)</f>
        <v>0</v>
      </c>
      <c r="AX149" s="28">
        <f>ROUND(F149*AP149,2)</f>
        <v>0</v>
      </c>
      <c r="AY149" s="30" t="s">
        <v>310</v>
      </c>
      <c r="AZ149" s="30" t="s">
        <v>311</v>
      </c>
      <c r="BA149" s="10" t="s">
        <v>63</v>
      </c>
      <c r="BC149" s="28">
        <f>AW149+AX149</f>
        <v>0</v>
      </c>
      <c r="BD149" s="28">
        <f>G149/(100-BE149)*100</f>
        <v>0</v>
      </c>
      <c r="BE149" s="28">
        <v>0</v>
      </c>
      <c r="BF149" s="28">
        <f>149</f>
        <v>149</v>
      </c>
      <c r="BH149" s="28">
        <f>F149*AO149</f>
        <v>0</v>
      </c>
      <c r="BI149" s="28">
        <f>F149*AP149</f>
        <v>0</v>
      </c>
      <c r="BJ149" s="28">
        <f>F149*G149</f>
        <v>0</v>
      </c>
      <c r="BK149" s="28"/>
      <c r="BL149" s="28">
        <v>59</v>
      </c>
      <c r="BW149" s="28">
        <v>21</v>
      </c>
      <c r="BX149" s="4" t="s">
        <v>324</v>
      </c>
    </row>
    <row r="150" spans="1:76" ht="14.4" x14ac:dyDescent="0.3">
      <c r="A150" s="31"/>
      <c r="B150" s="35" t="s">
        <v>68</v>
      </c>
      <c r="C150" s="93" t="s">
        <v>325</v>
      </c>
      <c r="D150" s="94"/>
      <c r="E150" s="94"/>
      <c r="F150" s="94"/>
      <c r="G150" s="94"/>
      <c r="H150" s="94"/>
      <c r="I150" s="94"/>
      <c r="J150" s="94"/>
      <c r="K150" s="95"/>
      <c r="BX150" s="36" t="s">
        <v>325</v>
      </c>
    </row>
    <row r="151" spans="1:76" ht="14.4" x14ac:dyDescent="0.3">
      <c r="A151" s="24" t="s">
        <v>51</v>
      </c>
      <c r="B151" s="25" t="s">
        <v>326</v>
      </c>
      <c r="C151" s="91" t="s">
        <v>327</v>
      </c>
      <c r="D151" s="92"/>
      <c r="E151" s="26" t="s">
        <v>4</v>
      </c>
      <c r="F151" s="26" t="s">
        <v>4</v>
      </c>
      <c r="G151" s="26" t="s">
        <v>4</v>
      </c>
      <c r="H151" s="1">
        <f>SUM(H152:H163)</f>
        <v>0</v>
      </c>
      <c r="I151" s="1">
        <f>SUM(I152:I163)</f>
        <v>0</v>
      </c>
      <c r="J151" s="1">
        <f>SUM(J152:J163)</f>
        <v>0</v>
      </c>
      <c r="K151" s="27" t="s">
        <v>51</v>
      </c>
      <c r="AI151" s="10" t="s">
        <v>55</v>
      </c>
      <c r="AS151" s="1">
        <f>SUM(AJ152:AJ163)</f>
        <v>0</v>
      </c>
      <c r="AT151" s="1">
        <f>SUM(AK152:AK163)</f>
        <v>0</v>
      </c>
      <c r="AU151" s="1">
        <f>SUM(AL152:AL163)</f>
        <v>0</v>
      </c>
    </row>
    <row r="152" spans="1:76" ht="14.4" x14ac:dyDescent="0.3">
      <c r="A152" s="2" t="s">
        <v>328</v>
      </c>
      <c r="B152" s="3" t="s">
        <v>329</v>
      </c>
      <c r="C152" s="75" t="s">
        <v>330</v>
      </c>
      <c r="D152" s="70"/>
      <c r="E152" s="3" t="s">
        <v>59</v>
      </c>
      <c r="F152" s="28">
        <v>1.08</v>
      </c>
      <c r="G152" s="28">
        <v>0</v>
      </c>
      <c r="H152" s="28">
        <f>ROUND(F152*AO152,2)</f>
        <v>0</v>
      </c>
      <c r="I152" s="28">
        <f>ROUND(F152*AP152,2)</f>
        <v>0</v>
      </c>
      <c r="J152" s="28">
        <f>ROUND(F152*G152,2)</f>
        <v>0</v>
      </c>
      <c r="K152" s="29" t="s">
        <v>60</v>
      </c>
      <c r="Z152" s="28">
        <f>ROUND(IF(AQ152="5",BJ152,0),2)</f>
        <v>0</v>
      </c>
      <c r="AB152" s="28">
        <f>ROUND(IF(AQ152="1",BH152,0),2)</f>
        <v>0</v>
      </c>
      <c r="AC152" s="28">
        <f>ROUND(IF(AQ152="1",BI152,0),2)</f>
        <v>0</v>
      </c>
      <c r="AD152" s="28">
        <f>ROUND(IF(AQ152="7",BH152,0),2)</f>
        <v>0</v>
      </c>
      <c r="AE152" s="28">
        <f>ROUND(IF(AQ152="7",BI152,0),2)</f>
        <v>0</v>
      </c>
      <c r="AF152" s="28">
        <f>ROUND(IF(AQ152="2",BH152,0),2)</f>
        <v>0</v>
      </c>
      <c r="AG152" s="28">
        <f>ROUND(IF(AQ152="2",BI152,0),2)</f>
        <v>0</v>
      </c>
      <c r="AH152" s="28">
        <f>ROUND(IF(AQ152="0",BJ152,0),2)</f>
        <v>0</v>
      </c>
      <c r="AI152" s="10" t="s">
        <v>55</v>
      </c>
      <c r="AJ152" s="28">
        <f>IF(AN152=0,J152,0)</f>
        <v>0</v>
      </c>
      <c r="AK152" s="28">
        <f>IF(AN152=12,J152,0)</f>
        <v>0</v>
      </c>
      <c r="AL152" s="28">
        <f>IF(AN152=21,J152,0)</f>
        <v>0</v>
      </c>
      <c r="AN152" s="28">
        <v>21</v>
      </c>
      <c r="AO152" s="28">
        <f>G152*0.719789813</f>
        <v>0</v>
      </c>
      <c r="AP152" s="28">
        <f>G152*(1-0.719789813)</f>
        <v>0</v>
      </c>
      <c r="AQ152" s="30" t="s">
        <v>56</v>
      </c>
      <c r="AV152" s="28">
        <f>ROUND(AW152+AX152,2)</f>
        <v>0</v>
      </c>
      <c r="AW152" s="28">
        <f>ROUND(F152*AO152,2)</f>
        <v>0</v>
      </c>
      <c r="AX152" s="28">
        <f>ROUND(F152*AP152,2)</f>
        <v>0</v>
      </c>
      <c r="AY152" s="30" t="s">
        <v>331</v>
      </c>
      <c r="AZ152" s="30" t="s">
        <v>332</v>
      </c>
      <c r="BA152" s="10" t="s">
        <v>63</v>
      </c>
      <c r="BC152" s="28">
        <f>AW152+AX152</f>
        <v>0</v>
      </c>
      <c r="BD152" s="28">
        <f>G152/(100-BE152)*100</f>
        <v>0</v>
      </c>
      <c r="BE152" s="28">
        <v>0</v>
      </c>
      <c r="BF152" s="28">
        <f>152</f>
        <v>152</v>
      </c>
      <c r="BH152" s="28">
        <f>F152*AO152</f>
        <v>0</v>
      </c>
      <c r="BI152" s="28">
        <f>F152*AP152</f>
        <v>0</v>
      </c>
      <c r="BJ152" s="28">
        <f>F152*G152</f>
        <v>0</v>
      </c>
      <c r="BK152" s="28"/>
      <c r="BL152" s="28">
        <v>63</v>
      </c>
      <c r="BW152" s="28">
        <v>21</v>
      </c>
      <c r="BX152" s="4" t="s">
        <v>330</v>
      </c>
    </row>
    <row r="153" spans="1:76" ht="14.4" x14ac:dyDescent="0.3">
      <c r="A153" s="31"/>
      <c r="C153" s="32" t="s">
        <v>333</v>
      </c>
      <c r="D153" s="32" t="s">
        <v>334</v>
      </c>
      <c r="F153" s="33">
        <v>1.08</v>
      </c>
      <c r="K153" s="34"/>
    </row>
    <row r="154" spans="1:76" ht="79.2" x14ac:dyDescent="0.3">
      <c r="A154" s="31"/>
      <c r="B154" s="35" t="s">
        <v>68</v>
      </c>
      <c r="C154" s="93" t="s">
        <v>335</v>
      </c>
      <c r="D154" s="94"/>
      <c r="E154" s="94"/>
      <c r="F154" s="94"/>
      <c r="G154" s="94"/>
      <c r="H154" s="94"/>
      <c r="I154" s="94"/>
      <c r="J154" s="94"/>
      <c r="K154" s="95"/>
      <c r="BX154" s="36" t="s">
        <v>335</v>
      </c>
    </row>
    <row r="155" spans="1:76" ht="14.4" x14ac:dyDescent="0.3">
      <c r="A155" s="2" t="s">
        <v>336</v>
      </c>
      <c r="B155" s="3" t="s">
        <v>337</v>
      </c>
      <c r="C155" s="75" t="s">
        <v>338</v>
      </c>
      <c r="D155" s="70"/>
      <c r="E155" s="3" t="s">
        <v>59</v>
      </c>
      <c r="F155" s="28">
        <v>1.08</v>
      </c>
      <c r="G155" s="28">
        <v>0</v>
      </c>
      <c r="H155" s="28">
        <f>ROUND(F155*AO155,2)</f>
        <v>0</v>
      </c>
      <c r="I155" s="28">
        <f>ROUND(F155*AP155,2)</f>
        <v>0</v>
      </c>
      <c r="J155" s="28">
        <f>ROUND(F155*G155,2)</f>
        <v>0</v>
      </c>
      <c r="K155" s="29" t="s">
        <v>60</v>
      </c>
      <c r="Z155" s="28">
        <f>ROUND(IF(AQ155="5",BJ155,0),2)</f>
        <v>0</v>
      </c>
      <c r="AB155" s="28">
        <f>ROUND(IF(AQ155="1",BH155,0),2)</f>
        <v>0</v>
      </c>
      <c r="AC155" s="28">
        <f>ROUND(IF(AQ155="1",BI155,0),2)</f>
        <v>0</v>
      </c>
      <c r="AD155" s="28">
        <f>ROUND(IF(AQ155="7",BH155,0),2)</f>
        <v>0</v>
      </c>
      <c r="AE155" s="28">
        <f>ROUND(IF(AQ155="7",BI155,0),2)</f>
        <v>0</v>
      </c>
      <c r="AF155" s="28">
        <f>ROUND(IF(AQ155="2",BH155,0),2)</f>
        <v>0</v>
      </c>
      <c r="AG155" s="28">
        <f>ROUND(IF(AQ155="2",BI155,0),2)</f>
        <v>0</v>
      </c>
      <c r="AH155" s="28">
        <f>ROUND(IF(AQ155="0",BJ155,0),2)</f>
        <v>0</v>
      </c>
      <c r="AI155" s="10" t="s">
        <v>55</v>
      </c>
      <c r="AJ155" s="28">
        <f>IF(AN155=0,J155,0)</f>
        <v>0</v>
      </c>
      <c r="AK155" s="28">
        <f>IF(AN155=12,J155,0)</f>
        <v>0</v>
      </c>
      <c r="AL155" s="28">
        <f>IF(AN155=21,J155,0)</f>
        <v>0</v>
      </c>
      <c r="AN155" s="28">
        <v>21</v>
      </c>
      <c r="AO155" s="28">
        <f>G155*0.771545053</f>
        <v>0</v>
      </c>
      <c r="AP155" s="28">
        <f>G155*(1-0.771545053)</f>
        <v>0</v>
      </c>
      <c r="AQ155" s="30" t="s">
        <v>56</v>
      </c>
      <c r="AV155" s="28">
        <f>ROUND(AW155+AX155,2)</f>
        <v>0</v>
      </c>
      <c r="AW155" s="28">
        <f>ROUND(F155*AO155,2)</f>
        <v>0</v>
      </c>
      <c r="AX155" s="28">
        <f>ROUND(F155*AP155,2)</f>
        <v>0</v>
      </c>
      <c r="AY155" s="30" t="s">
        <v>331</v>
      </c>
      <c r="AZ155" s="30" t="s">
        <v>332</v>
      </c>
      <c r="BA155" s="10" t="s">
        <v>63</v>
      </c>
      <c r="BC155" s="28">
        <f>AW155+AX155</f>
        <v>0</v>
      </c>
      <c r="BD155" s="28">
        <f>G155/(100-BE155)*100</f>
        <v>0</v>
      </c>
      <c r="BE155" s="28">
        <v>0</v>
      </c>
      <c r="BF155" s="28">
        <f>155</f>
        <v>155</v>
      </c>
      <c r="BH155" s="28">
        <f>F155*AO155</f>
        <v>0</v>
      </c>
      <c r="BI155" s="28">
        <f>F155*AP155</f>
        <v>0</v>
      </c>
      <c r="BJ155" s="28">
        <f>F155*G155</f>
        <v>0</v>
      </c>
      <c r="BK155" s="28"/>
      <c r="BL155" s="28">
        <v>63</v>
      </c>
      <c r="BW155" s="28">
        <v>21</v>
      </c>
      <c r="BX155" s="4" t="s">
        <v>338</v>
      </c>
    </row>
    <row r="156" spans="1:76" ht="79.2" x14ac:dyDescent="0.3">
      <c r="A156" s="31"/>
      <c r="B156" s="35" t="s">
        <v>68</v>
      </c>
      <c r="C156" s="93" t="s">
        <v>335</v>
      </c>
      <c r="D156" s="94"/>
      <c r="E156" s="94"/>
      <c r="F156" s="94"/>
      <c r="G156" s="94"/>
      <c r="H156" s="94"/>
      <c r="I156" s="94"/>
      <c r="J156" s="94"/>
      <c r="K156" s="95"/>
      <c r="BX156" s="36" t="s">
        <v>335</v>
      </c>
    </row>
    <row r="157" spans="1:76" ht="14.4" x14ac:dyDescent="0.3">
      <c r="A157" s="2" t="s">
        <v>339</v>
      </c>
      <c r="B157" s="3" t="s">
        <v>340</v>
      </c>
      <c r="C157" s="75" t="s">
        <v>341</v>
      </c>
      <c r="D157" s="70"/>
      <c r="E157" s="3" t="s">
        <v>59</v>
      </c>
      <c r="F157" s="28">
        <v>1.08</v>
      </c>
      <c r="G157" s="28">
        <v>0</v>
      </c>
      <c r="H157" s="28">
        <f>ROUND(F157*AO157,2)</f>
        <v>0</v>
      </c>
      <c r="I157" s="28">
        <f>ROUND(F157*AP157,2)</f>
        <v>0</v>
      </c>
      <c r="J157" s="28">
        <f>ROUND(F157*G157,2)</f>
        <v>0</v>
      </c>
      <c r="K157" s="29" t="s">
        <v>60</v>
      </c>
      <c r="Z157" s="28">
        <f>ROUND(IF(AQ157="5",BJ157,0),2)</f>
        <v>0</v>
      </c>
      <c r="AB157" s="28">
        <f>ROUND(IF(AQ157="1",BH157,0),2)</f>
        <v>0</v>
      </c>
      <c r="AC157" s="28">
        <f>ROUND(IF(AQ157="1",BI157,0),2)</f>
        <v>0</v>
      </c>
      <c r="AD157" s="28">
        <f>ROUND(IF(AQ157="7",BH157,0),2)</f>
        <v>0</v>
      </c>
      <c r="AE157" s="28">
        <f>ROUND(IF(AQ157="7",BI157,0),2)</f>
        <v>0</v>
      </c>
      <c r="AF157" s="28">
        <f>ROUND(IF(AQ157="2",BH157,0),2)</f>
        <v>0</v>
      </c>
      <c r="AG157" s="28">
        <f>ROUND(IF(AQ157="2",BI157,0),2)</f>
        <v>0</v>
      </c>
      <c r="AH157" s="28">
        <f>ROUND(IF(AQ157="0",BJ157,0),2)</f>
        <v>0</v>
      </c>
      <c r="AI157" s="10" t="s">
        <v>55</v>
      </c>
      <c r="AJ157" s="28">
        <f>IF(AN157=0,J157,0)</f>
        <v>0</v>
      </c>
      <c r="AK157" s="28">
        <f>IF(AN157=12,J157,0)</f>
        <v>0</v>
      </c>
      <c r="AL157" s="28">
        <f>IF(AN157=21,J157,0)</f>
        <v>0</v>
      </c>
      <c r="AN157" s="28">
        <v>21</v>
      </c>
      <c r="AO157" s="28">
        <f>G157*0</f>
        <v>0</v>
      </c>
      <c r="AP157" s="28">
        <f>G157*(1-0)</f>
        <v>0</v>
      </c>
      <c r="AQ157" s="30" t="s">
        <v>56</v>
      </c>
      <c r="AV157" s="28">
        <f>ROUND(AW157+AX157,2)</f>
        <v>0</v>
      </c>
      <c r="AW157" s="28">
        <f>ROUND(F157*AO157,2)</f>
        <v>0</v>
      </c>
      <c r="AX157" s="28">
        <f>ROUND(F157*AP157,2)</f>
        <v>0</v>
      </c>
      <c r="AY157" s="30" t="s">
        <v>331</v>
      </c>
      <c r="AZ157" s="30" t="s">
        <v>332</v>
      </c>
      <c r="BA157" s="10" t="s">
        <v>63</v>
      </c>
      <c r="BC157" s="28">
        <f>AW157+AX157</f>
        <v>0</v>
      </c>
      <c r="BD157" s="28">
        <f>G157/(100-BE157)*100</f>
        <v>0</v>
      </c>
      <c r="BE157" s="28">
        <v>0</v>
      </c>
      <c r="BF157" s="28">
        <f>157</f>
        <v>157</v>
      </c>
      <c r="BH157" s="28">
        <f>F157*AO157</f>
        <v>0</v>
      </c>
      <c r="BI157" s="28">
        <f>F157*AP157</f>
        <v>0</v>
      </c>
      <c r="BJ157" s="28">
        <f>F157*G157</f>
        <v>0</v>
      </c>
      <c r="BK157" s="28"/>
      <c r="BL157" s="28">
        <v>63</v>
      </c>
      <c r="BW157" s="28">
        <v>21</v>
      </c>
      <c r="BX157" s="4" t="s">
        <v>341</v>
      </c>
    </row>
    <row r="158" spans="1:76" ht="52.8" x14ac:dyDescent="0.3">
      <c r="A158" s="31"/>
      <c r="B158" s="35" t="s">
        <v>68</v>
      </c>
      <c r="C158" s="93" t="s">
        <v>342</v>
      </c>
      <c r="D158" s="94"/>
      <c r="E158" s="94"/>
      <c r="F158" s="94"/>
      <c r="G158" s="94"/>
      <c r="H158" s="94"/>
      <c r="I158" s="94"/>
      <c r="J158" s="94"/>
      <c r="K158" s="95"/>
      <c r="BX158" s="36" t="s">
        <v>342</v>
      </c>
    </row>
    <row r="159" spans="1:76" ht="14.4" x14ac:dyDescent="0.3">
      <c r="A159" s="2" t="s">
        <v>279</v>
      </c>
      <c r="B159" s="3" t="s">
        <v>343</v>
      </c>
      <c r="C159" s="75" t="s">
        <v>344</v>
      </c>
      <c r="D159" s="70"/>
      <c r="E159" s="3" t="s">
        <v>201</v>
      </c>
      <c r="F159" s="28">
        <v>0.3</v>
      </c>
      <c r="G159" s="28">
        <v>0</v>
      </c>
      <c r="H159" s="28">
        <f>ROUND(F159*AO159,2)</f>
        <v>0</v>
      </c>
      <c r="I159" s="28">
        <f>ROUND(F159*AP159,2)</f>
        <v>0</v>
      </c>
      <c r="J159" s="28">
        <f>ROUND(F159*G159,2)</f>
        <v>0</v>
      </c>
      <c r="K159" s="29" t="s">
        <v>60</v>
      </c>
      <c r="Z159" s="28">
        <f>ROUND(IF(AQ159="5",BJ159,0),2)</f>
        <v>0</v>
      </c>
      <c r="AB159" s="28">
        <f>ROUND(IF(AQ159="1",BH159,0),2)</f>
        <v>0</v>
      </c>
      <c r="AC159" s="28">
        <f>ROUND(IF(AQ159="1",BI159,0),2)</f>
        <v>0</v>
      </c>
      <c r="AD159" s="28">
        <f>ROUND(IF(AQ159="7",BH159,0),2)</f>
        <v>0</v>
      </c>
      <c r="AE159" s="28">
        <f>ROUND(IF(AQ159="7",BI159,0),2)</f>
        <v>0</v>
      </c>
      <c r="AF159" s="28">
        <f>ROUND(IF(AQ159="2",BH159,0),2)</f>
        <v>0</v>
      </c>
      <c r="AG159" s="28">
        <f>ROUND(IF(AQ159="2",BI159,0),2)</f>
        <v>0</v>
      </c>
      <c r="AH159" s="28">
        <f>ROUND(IF(AQ159="0",BJ159,0),2)</f>
        <v>0</v>
      </c>
      <c r="AI159" s="10" t="s">
        <v>55</v>
      </c>
      <c r="AJ159" s="28">
        <f>IF(AN159=0,J159,0)</f>
        <v>0</v>
      </c>
      <c r="AK159" s="28">
        <f>IF(AN159=12,J159,0)</f>
        <v>0</v>
      </c>
      <c r="AL159" s="28">
        <f>IF(AN159=21,J159,0)</f>
        <v>0</v>
      </c>
      <c r="AN159" s="28">
        <v>21</v>
      </c>
      <c r="AO159" s="28">
        <f>G159*0.784418425</f>
        <v>0</v>
      </c>
      <c r="AP159" s="28">
        <f>G159*(1-0.784418425)</f>
        <v>0</v>
      </c>
      <c r="AQ159" s="30" t="s">
        <v>56</v>
      </c>
      <c r="AV159" s="28">
        <f>ROUND(AW159+AX159,2)</f>
        <v>0</v>
      </c>
      <c r="AW159" s="28">
        <f>ROUND(F159*AO159,2)</f>
        <v>0</v>
      </c>
      <c r="AX159" s="28">
        <f>ROUND(F159*AP159,2)</f>
        <v>0</v>
      </c>
      <c r="AY159" s="30" t="s">
        <v>331</v>
      </c>
      <c r="AZ159" s="30" t="s">
        <v>332</v>
      </c>
      <c r="BA159" s="10" t="s">
        <v>63</v>
      </c>
      <c r="BC159" s="28">
        <f>AW159+AX159</f>
        <v>0</v>
      </c>
      <c r="BD159" s="28">
        <f>G159/(100-BE159)*100</f>
        <v>0</v>
      </c>
      <c r="BE159" s="28">
        <v>0</v>
      </c>
      <c r="BF159" s="28">
        <f>159</f>
        <v>159</v>
      </c>
      <c r="BH159" s="28">
        <f>F159*AO159</f>
        <v>0</v>
      </c>
      <c r="BI159" s="28">
        <f>F159*AP159</f>
        <v>0</v>
      </c>
      <c r="BJ159" s="28">
        <f>F159*G159</f>
        <v>0</v>
      </c>
      <c r="BK159" s="28"/>
      <c r="BL159" s="28">
        <v>63</v>
      </c>
      <c r="BW159" s="28">
        <v>21</v>
      </c>
      <c r="BX159" s="4" t="s">
        <v>344</v>
      </c>
    </row>
    <row r="160" spans="1:76" ht="14.4" x14ac:dyDescent="0.3">
      <c r="A160" s="2" t="s">
        <v>345</v>
      </c>
      <c r="B160" s="3" t="s">
        <v>346</v>
      </c>
      <c r="C160" s="75" t="s">
        <v>347</v>
      </c>
      <c r="D160" s="70"/>
      <c r="E160" s="3" t="s">
        <v>59</v>
      </c>
      <c r="F160" s="28">
        <v>93</v>
      </c>
      <c r="G160" s="28">
        <v>0</v>
      </c>
      <c r="H160" s="28">
        <f>ROUND(F160*AO160,2)</f>
        <v>0</v>
      </c>
      <c r="I160" s="28">
        <f>ROUND(F160*AP160,2)</f>
        <v>0</v>
      </c>
      <c r="J160" s="28">
        <f>ROUND(F160*G160,2)</f>
        <v>0</v>
      </c>
      <c r="K160" s="29" t="s">
        <v>60</v>
      </c>
      <c r="Z160" s="28">
        <f>ROUND(IF(AQ160="5",BJ160,0),2)</f>
        <v>0</v>
      </c>
      <c r="AB160" s="28">
        <f>ROUND(IF(AQ160="1",BH160,0),2)</f>
        <v>0</v>
      </c>
      <c r="AC160" s="28">
        <f>ROUND(IF(AQ160="1",BI160,0),2)</f>
        <v>0</v>
      </c>
      <c r="AD160" s="28">
        <f>ROUND(IF(AQ160="7",BH160,0),2)</f>
        <v>0</v>
      </c>
      <c r="AE160" s="28">
        <f>ROUND(IF(AQ160="7",BI160,0),2)</f>
        <v>0</v>
      </c>
      <c r="AF160" s="28">
        <f>ROUND(IF(AQ160="2",BH160,0),2)</f>
        <v>0</v>
      </c>
      <c r="AG160" s="28">
        <f>ROUND(IF(AQ160="2",BI160,0),2)</f>
        <v>0</v>
      </c>
      <c r="AH160" s="28">
        <f>ROUND(IF(AQ160="0",BJ160,0),2)</f>
        <v>0</v>
      </c>
      <c r="AI160" s="10" t="s">
        <v>55</v>
      </c>
      <c r="AJ160" s="28">
        <f>IF(AN160=0,J160,0)</f>
        <v>0</v>
      </c>
      <c r="AK160" s="28">
        <f>IF(AN160=12,J160,0)</f>
        <v>0</v>
      </c>
      <c r="AL160" s="28">
        <f>IF(AN160=21,J160,0)</f>
        <v>0</v>
      </c>
      <c r="AN160" s="28">
        <v>21</v>
      </c>
      <c r="AO160" s="28">
        <f>G160*0.436941103</f>
        <v>0</v>
      </c>
      <c r="AP160" s="28">
        <f>G160*(1-0.436941103)</f>
        <v>0</v>
      </c>
      <c r="AQ160" s="30" t="s">
        <v>56</v>
      </c>
      <c r="AV160" s="28">
        <f>ROUND(AW160+AX160,2)</f>
        <v>0</v>
      </c>
      <c r="AW160" s="28">
        <f>ROUND(F160*AO160,2)</f>
        <v>0</v>
      </c>
      <c r="AX160" s="28">
        <f>ROUND(F160*AP160,2)</f>
        <v>0</v>
      </c>
      <c r="AY160" s="30" t="s">
        <v>331</v>
      </c>
      <c r="AZ160" s="30" t="s">
        <v>332</v>
      </c>
      <c r="BA160" s="10" t="s">
        <v>63</v>
      </c>
      <c r="BC160" s="28">
        <f>AW160+AX160</f>
        <v>0</v>
      </c>
      <c r="BD160" s="28">
        <f>G160/(100-BE160)*100</f>
        <v>0</v>
      </c>
      <c r="BE160" s="28">
        <v>0</v>
      </c>
      <c r="BF160" s="28">
        <f>160</f>
        <v>160</v>
      </c>
      <c r="BH160" s="28">
        <f>F160*AO160</f>
        <v>0</v>
      </c>
      <c r="BI160" s="28">
        <f>F160*AP160</f>
        <v>0</v>
      </c>
      <c r="BJ160" s="28">
        <f>F160*G160</f>
        <v>0</v>
      </c>
      <c r="BK160" s="28"/>
      <c r="BL160" s="28">
        <v>63</v>
      </c>
      <c r="BW160" s="28">
        <v>21</v>
      </c>
      <c r="BX160" s="4" t="s">
        <v>347</v>
      </c>
    </row>
    <row r="161" spans="1:76" ht="14.4" x14ac:dyDescent="0.3">
      <c r="A161" s="31"/>
      <c r="C161" s="32" t="s">
        <v>348</v>
      </c>
      <c r="D161" s="32" t="s">
        <v>349</v>
      </c>
      <c r="F161" s="33">
        <v>93</v>
      </c>
      <c r="K161" s="34"/>
    </row>
    <row r="162" spans="1:76" ht="26.4" x14ac:dyDescent="0.3">
      <c r="A162" s="31"/>
      <c r="B162" s="35" t="s">
        <v>68</v>
      </c>
      <c r="C162" s="93" t="s">
        <v>350</v>
      </c>
      <c r="D162" s="94"/>
      <c r="E162" s="94"/>
      <c r="F162" s="94"/>
      <c r="G162" s="94"/>
      <c r="H162" s="94"/>
      <c r="I162" s="94"/>
      <c r="J162" s="94"/>
      <c r="K162" s="95"/>
      <c r="BX162" s="36" t="s">
        <v>350</v>
      </c>
    </row>
    <row r="163" spans="1:76" ht="14.4" x14ac:dyDescent="0.3">
      <c r="A163" s="2" t="s">
        <v>351</v>
      </c>
      <c r="B163" s="3" t="s">
        <v>352</v>
      </c>
      <c r="C163" s="75" t="s">
        <v>353</v>
      </c>
      <c r="D163" s="70"/>
      <c r="E163" s="3" t="s">
        <v>59</v>
      </c>
      <c r="F163" s="28">
        <v>43.58</v>
      </c>
      <c r="G163" s="28">
        <v>0</v>
      </c>
      <c r="H163" s="28">
        <f>ROUND(F163*AO163,2)</f>
        <v>0</v>
      </c>
      <c r="I163" s="28">
        <f>ROUND(F163*AP163,2)</f>
        <v>0</v>
      </c>
      <c r="J163" s="28">
        <f>ROUND(F163*G163,2)</f>
        <v>0</v>
      </c>
      <c r="K163" s="29" t="s">
        <v>60</v>
      </c>
      <c r="Z163" s="28">
        <f>ROUND(IF(AQ163="5",BJ163,0),2)</f>
        <v>0</v>
      </c>
      <c r="AB163" s="28">
        <f>ROUND(IF(AQ163="1",BH163,0),2)</f>
        <v>0</v>
      </c>
      <c r="AC163" s="28">
        <f>ROUND(IF(AQ163="1",BI163,0),2)</f>
        <v>0</v>
      </c>
      <c r="AD163" s="28">
        <f>ROUND(IF(AQ163="7",BH163,0),2)</f>
        <v>0</v>
      </c>
      <c r="AE163" s="28">
        <f>ROUND(IF(AQ163="7",BI163,0),2)</f>
        <v>0</v>
      </c>
      <c r="AF163" s="28">
        <f>ROUND(IF(AQ163="2",BH163,0),2)</f>
        <v>0</v>
      </c>
      <c r="AG163" s="28">
        <f>ROUND(IF(AQ163="2",BI163,0),2)</f>
        <v>0</v>
      </c>
      <c r="AH163" s="28">
        <f>ROUND(IF(AQ163="0",BJ163,0),2)</f>
        <v>0</v>
      </c>
      <c r="AI163" s="10" t="s">
        <v>55</v>
      </c>
      <c r="AJ163" s="28">
        <f>IF(AN163=0,J163,0)</f>
        <v>0</v>
      </c>
      <c r="AK163" s="28">
        <f>IF(AN163=12,J163,0)</f>
        <v>0</v>
      </c>
      <c r="AL163" s="28">
        <f>IF(AN163=21,J163,0)</f>
        <v>0</v>
      </c>
      <c r="AN163" s="28">
        <v>21</v>
      </c>
      <c r="AO163" s="28">
        <f>G163*0.88957434</f>
        <v>0</v>
      </c>
      <c r="AP163" s="28">
        <f>G163*(1-0.88957434)</f>
        <v>0</v>
      </c>
      <c r="AQ163" s="30" t="s">
        <v>56</v>
      </c>
      <c r="AV163" s="28">
        <f>ROUND(AW163+AX163,2)</f>
        <v>0</v>
      </c>
      <c r="AW163" s="28">
        <f>ROUND(F163*AO163,2)</f>
        <v>0</v>
      </c>
      <c r="AX163" s="28">
        <f>ROUND(F163*AP163,2)</f>
        <v>0</v>
      </c>
      <c r="AY163" s="30" t="s">
        <v>331</v>
      </c>
      <c r="AZ163" s="30" t="s">
        <v>332</v>
      </c>
      <c r="BA163" s="10" t="s">
        <v>63</v>
      </c>
      <c r="BC163" s="28">
        <f>AW163+AX163</f>
        <v>0</v>
      </c>
      <c r="BD163" s="28">
        <f>G163/(100-BE163)*100</f>
        <v>0</v>
      </c>
      <c r="BE163" s="28">
        <v>0</v>
      </c>
      <c r="BF163" s="28">
        <f>163</f>
        <v>163</v>
      </c>
      <c r="BH163" s="28">
        <f>F163*AO163</f>
        <v>0</v>
      </c>
      <c r="BI163" s="28">
        <f>F163*AP163</f>
        <v>0</v>
      </c>
      <c r="BJ163" s="28">
        <f>F163*G163</f>
        <v>0</v>
      </c>
      <c r="BK163" s="28"/>
      <c r="BL163" s="28">
        <v>63</v>
      </c>
      <c r="BW163" s="28">
        <v>21</v>
      </c>
      <c r="BX163" s="4" t="s">
        <v>353</v>
      </c>
    </row>
    <row r="164" spans="1:76" ht="13.5" customHeight="1" x14ac:dyDescent="0.3">
      <c r="A164" s="31"/>
      <c r="B164" s="35" t="s">
        <v>105</v>
      </c>
      <c r="C164" s="96" t="s">
        <v>354</v>
      </c>
      <c r="D164" s="97"/>
      <c r="E164" s="97"/>
      <c r="F164" s="97"/>
      <c r="G164" s="97"/>
      <c r="H164" s="97"/>
      <c r="I164" s="97"/>
      <c r="J164" s="97"/>
      <c r="K164" s="98"/>
    </row>
    <row r="165" spans="1:76" ht="14.4" x14ac:dyDescent="0.3">
      <c r="A165" s="31"/>
      <c r="C165" s="32" t="s">
        <v>355</v>
      </c>
      <c r="D165" s="32" t="s">
        <v>356</v>
      </c>
      <c r="F165" s="33">
        <v>24.6</v>
      </c>
      <c r="K165" s="34"/>
    </row>
    <row r="166" spans="1:76" ht="14.4" x14ac:dyDescent="0.3">
      <c r="A166" s="31"/>
      <c r="C166" s="32" t="s">
        <v>357</v>
      </c>
      <c r="D166" s="32" t="s">
        <v>358</v>
      </c>
      <c r="F166" s="33">
        <v>16.38</v>
      </c>
      <c r="K166" s="34"/>
    </row>
    <row r="167" spans="1:76" ht="14.4" x14ac:dyDescent="0.3">
      <c r="A167" s="31"/>
      <c r="C167" s="32" t="s">
        <v>359</v>
      </c>
      <c r="D167" s="32" t="s">
        <v>360</v>
      </c>
      <c r="F167" s="33">
        <v>2.6</v>
      </c>
      <c r="K167" s="34"/>
    </row>
    <row r="168" spans="1:76" ht="13.5" customHeight="1" x14ac:dyDescent="0.3">
      <c r="A168" s="31"/>
      <c r="B168" s="37" t="s">
        <v>70</v>
      </c>
      <c r="C168" s="96" t="s">
        <v>361</v>
      </c>
      <c r="D168" s="97"/>
      <c r="E168" s="97"/>
      <c r="F168" s="97"/>
      <c r="G168" s="97"/>
      <c r="H168" s="97"/>
      <c r="I168" s="97"/>
      <c r="J168" s="97"/>
      <c r="K168" s="98"/>
    </row>
    <row r="169" spans="1:76" ht="14.4" x14ac:dyDescent="0.3">
      <c r="A169" s="24" t="s">
        <v>51</v>
      </c>
      <c r="B169" s="25" t="s">
        <v>362</v>
      </c>
      <c r="C169" s="91" t="s">
        <v>363</v>
      </c>
      <c r="D169" s="92"/>
      <c r="E169" s="26" t="s">
        <v>4</v>
      </c>
      <c r="F169" s="26" t="s">
        <v>4</v>
      </c>
      <c r="G169" s="26" t="s">
        <v>4</v>
      </c>
      <c r="H169" s="1">
        <f>SUM(H170:H203)</f>
        <v>0</v>
      </c>
      <c r="I169" s="1">
        <f>SUM(I170:I203)</f>
        <v>0</v>
      </c>
      <c r="J169" s="1">
        <f>SUM(J170:J203)</f>
        <v>0</v>
      </c>
      <c r="K169" s="27" t="s">
        <v>51</v>
      </c>
      <c r="AI169" s="10" t="s">
        <v>55</v>
      </c>
      <c r="AS169" s="1">
        <f>SUM(AJ170:AJ203)</f>
        <v>0</v>
      </c>
      <c r="AT169" s="1">
        <f>SUM(AK170:AK203)</f>
        <v>0</v>
      </c>
      <c r="AU169" s="1">
        <f>SUM(AL170:AL203)</f>
        <v>0</v>
      </c>
    </row>
    <row r="170" spans="1:76" ht="14.4" x14ac:dyDescent="0.3">
      <c r="A170" s="2" t="s">
        <v>364</v>
      </c>
      <c r="B170" s="3" t="s">
        <v>365</v>
      </c>
      <c r="C170" s="75" t="s">
        <v>366</v>
      </c>
      <c r="D170" s="70"/>
      <c r="E170" s="3" t="s">
        <v>103</v>
      </c>
      <c r="F170" s="28">
        <v>116</v>
      </c>
      <c r="G170" s="28">
        <v>0</v>
      </c>
      <c r="H170" s="28">
        <f>ROUND(F170*AO170,2)</f>
        <v>0</v>
      </c>
      <c r="I170" s="28">
        <f>ROUND(F170*AP170,2)</f>
        <v>0</v>
      </c>
      <c r="J170" s="28">
        <f>ROUND(F170*G170,2)</f>
        <v>0</v>
      </c>
      <c r="K170" s="29" t="s">
        <v>60</v>
      </c>
      <c r="Z170" s="28">
        <f>ROUND(IF(AQ170="5",BJ170,0),2)</f>
        <v>0</v>
      </c>
      <c r="AB170" s="28">
        <f>ROUND(IF(AQ170="1",BH170,0),2)</f>
        <v>0</v>
      </c>
      <c r="AC170" s="28">
        <f>ROUND(IF(AQ170="1",BI170,0),2)</f>
        <v>0</v>
      </c>
      <c r="AD170" s="28">
        <f>ROUND(IF(AQ170="7",BH170,0),2)</f>
        <v>0</v>
      </c>
      <c r="AE170" s="28">
        <f>ROUND(IF(AQ170="7",BI170,0),2)</f>
        <v>0</v>
      </c>
      <c r="AF170" s="28">
        <f>ROUND(IF(AQ170="2",BH170,0),2)</f>
        <v>0</v>
      </c>
      <c r="AG170" s="28">
        <f>ROUND(IF(AQ170="2",BI170,0),2)</f>
        <v>0</v>
      </c>
      <c r="AH170" s="28">
        <f>ROUND(IF(AQ170="0",BJ170,0),2)</f>
        <v>0</v>
      </c>
      <c r="AI170" s="10" t="s">
        <v>55</v>
      </c>
      <c r="AJ170" s="28">
        <f>IF(AN170=0,J170,0)</f>
        <v>0</v>
      </c>
      <c r="AK170" s="28">
        <f>IF(AN170=12,J170,0)</f>
        <v>0</v>
      </c>
      <c r="AL170" s="28">
        <f>IF(AN170=21,J170,0)</f>
        <v>0</v>
      </c>
      <c r="AN170" s="28">
        <v>21</v>
      </c>
      <c r="AO170" s="28">
        <f>G170*0.018576059</f>
        <v>0</v>
      </c>
      <c r="AP170" s="28">
        <f>G170*(1-0.018576059)</f>
        <v>0</v>
      </c>
      <c r="AQ170" s="30" t="s">
        <v>118</v>
      </c>
      <c r="AV170" s="28">
        <f>ROUND(AW170+AX170,2)</f>
        <v>0</v>
      </c>
      <c r="AW170" s="28">
        <f>ROUND(F170*AO170,2)</f>
        <v>0</v>
      </c>
      <c r="AX170" s="28">
        <f>ROUND(F170*AP170,2)</f>
        <v>0</v>
      </c>
      <c r="AY170" s="30" t="s">
        <v>367</v>
      </c>
      <c r="AZ170" s="30" t="s">
        <v>368</v>
      </c>
      <c r="BA170" s="10" t="s">
        <v>63</v>
      </c>
      <c r="BC170" s="28">
        <f>AW170+AX170</f>
        <v>0</v>
      </c>
      <c r="BD170" s="28">
        <f>G170/(100-BE170)*100</f>
        <v>0</v>
      </c>
      <c r="BE170" s="28">
        <v>0</v>
      </c>
      <c r="BF170" s="28">
        <f>170</f>
        <v>170</v>
      </c>
      <c r="BH170" s="28">
        <f>F170*AO170</f>
        <v>0</v>
      </c>
      <c r="BI170" s="28">
        <f>F170*AP170</f>
        <v>0</v>
      </c>
      <c r="BJ170" s="28">
        <f>F170*G170</f>
        <v>0</v>
      </c>
      <c r="BK170" s="28"/>
      <c r="BL170" s="28">
        <v>711</v>
      </c>
      <c r="BW170" s="28">
        <v>21</v>
      </c>
      <c r="BX170" s="4" t="s">
        <v>366</v>
      </c>
    </row>
    <row r="171" spans="1:76" ht="14.4" x14ac:dyDescent="0.3">
      <c r="A171" s="31"/>
      <c r="C171" s="32" t="s">
        <v>369</v>
      </c>
      <c r="D171" s="32" t="s">
        <v>370</v>
      </c>
      <c r="F171" s="33">
        <v>28.5</v>
      </c>
      <c r="K171" s="34"/>
    </row>
    <row r="172" spans="1:76" ht="14.4" x14ac:dyDescent="0.3">
      <c r="A172" s="31"/>
      <c r="C172" s="32" t="s">
        <v>371</v>
      </c>
      <c r="D172" s="32" t="s">
        <v>372</v>
      </c>
      <c r="F172" s="33">
        <v>67.5</v>
      </c>
      <c r="K172" s="34"/>
    </row>
    <row r="173" spans="1:76" ht="14.4" x14ac:dyDescent="0.3">
      <c r="A173" s="31"/>
      <c r="C173" s="32" t="s">
        <v>373</v>
      </c>
      <c r="D173" s="32" t="s">
        <v>374</v>
      </c>
      <c r="F173" s="33">
        <v>20</v>
      </c>
      <c r="K173" s="34"/>
    </row>
    <row r="174" spans="1:76" ht="26.4" x14ac:dyDescent="0.3">
      <c r="A174" s="31"/>
      <c r="B174" s="35" t="s">
        <v>68</v>
      </c>
      <c r="C174" s="93" t="s">
        <v>375</v>
      </c>
      <c r="D174" s="94"/>
      <c r="E174" s="94"/>
      <c r="F174" s="94"/>
      <c r="G174" s="94"/>
      <c r="H174" s="94"/>
      <c r="I174" s="94"/>
      <c r="J174" s="94"/>
      <c r="K174" s="95"/>
      <c r="BX174" s="36" t="s">
        <v>375</v>
      </c>
    </row>
    <row r="175" spans="1:76" ht="14.4" x14ac:dyDescent="0.3">
      <c r="A175" s="2" t="s">
        <v>376</v>
      </c>
      <c r="B175" s="3" t="s">
        <v>377</v>
      </c>
      <c r="C175" s="75" t="s">
        <v>378</v>
      </c>
      <c r="D175" s="70"/>
      <c r="E175" s="3" t="s">
        <v>103</v>
      </c>
      <c r="F175" s="28">
        <v>319</v>
      </c>
      <c r="G175" s="28">
        <v>0</v>
      </c>
      <c r="H175" s="28">
        <f>ROUND(F175*AO175,2)</f>
        <v>0</v>
      </c>
      <c r="I175" s="28">
        <f>ROUND(F175*AP175,2)</f>
        <v>0</v>
      </c>
      <c r="J175" s="28">
        <f>ROUND(F175*G175,2)</f>
        <v>0</v>
      </c>
      <c r="K175" s="29" t="s">
        <v>60</v>
      </c>
      <c r="Z175" s="28">
        <f>ROUND(IF(AQ175="5",BJ175,0),2)</f>
        <v>0</v>
      </c>
      <c r="AB175" s="28">
        <f>ROUND(IF(AQ175="1",BH175,0),2)</f>
        <v>0</v>
      </c>
      <c r="AC175" s="28">
        <f>ROUND(IF(AQ175="1",BI175,0),2)</f>
        <v>0</v>
      </c>
      <c r="AD175" s="28">
        <f>ROUND(IF(AQ175="7",BH175,0),2)</f>
        <v>0</v>
      </c>
      <c r="AE175" s="28">
        <f>ROUND(IF(AQ175="7",BI175,0),2)</f>
        <v>0</v>
      </c>
      <c r="AF175" s="28">
        <f>ROUND(IF(AQ175="2",BH175,0),2)</f>
        <v>0</v>
      </c>
      <c r="AG175" s="28">
        <f>ROUND(IF(AQ175="2",BI175,0),2)</f>
        <v>0</v>
      </c>
      <c r="AH175" s="28">
        <f>ROUND(IF(AQ175="0",BJ175,0),2)</f>
        <v>0</v>
      </c>
      <c r="AI175" s="10" t="s">
        <v>55</v>
      </c>
      <c r="AJ175" s="28">
        <f>IF(AN175=0,J175,0)</f>
        <v>0</v>
      </c>
      <c r="AK175" s="28">
        <f>IF(AN175=12,J175,0)</f>
        <v>0</v>
      </c>
      <c r="AL175" s="28">
        <f>IF(AN175=21,J175,0)</f>
        <v>0</v>
      </c>
      <c r="AN175" s="28">
        <v>21</v>
      </c>
      <c r="AO175" s="28">
        <f>G175*0</f>
        <v>0</v>
      </c>
      <c r="AP175" s="28">
        <f>G175*(1-0)</f>
        <v>0</v>
      </c>
      <c r="AQ175" s="30" t="s">
        <v>118</v>
      </c>
      <c r="AV175" s="28">
        <f>ROUND(AW175+AX175,2)</f>
        <v>0</v>
      </c>
      <c r="AW175" s="28">
        <f>ROUND(F175*AO175,2)</f>
        <v>0</v>
      </c>
      <c r="AX175" s="28">
        <f>ROUND(F175*AP175,2)</f>
        <v>0</v>
      </c>
      <c r="AY175" s="30" t="s">
        <v>367</v>
      </c>
      <c r="AZ175" s="30" t="s">
        <v>368</v>
      </c>
      <c r="BA175" s="10" t="s">
        <v>63</v>
      </c>
      <c r="BC175" s="28">
        <f>AW175+AX175</f>
        <v>0</v>
      </c>
      <c r="BD175" s="28">
        <f>G175/(100-BE175)*100</f>
        <v>0</v>
      </c>
      <c r="BE175" s="28">
        <v>0</v>
      </c>
      <c r="BF175" s="28">
        <f>175</f>
        <v>175</v>
      </c>
      <c r="BH175" s="28">
        <f>F175*AO175</f>
        <v>0</v>
      </c>
      <c r="BI175" s="28">
        <f>F175*AP175</f>
        <v>0</v>
      </c>
      <c r="BJ175" s="28">
        <f>F175*G175</f>
        <v>0</v>
      </c>
      <c r="BK175" s="28"/>
      <c r="BL175" s="28">
        <v>711</v>
      </c>
      <c r="BW175" s="28">
        <v>21</v>
      </c>
      <c r="BX175" s="4" t="s">
        <v>378</v>
      </c>
    </row>
    <row r="176" spans="1:76" ht="14.4" x14ac:dyDescent="0.3">
      <c r="A176" s="31"/>
      <c r="C176" s="32" t="s">
        <v>379</v>
      </c>
      <c r="D176" s="32" t="s">
        <v>380</v>
      </c>
      <c r="F176" s="33">
        <v>314</v>
      </c>
      <c r="K176" s="34"/>
    </row>
    <row r="177" spans="1:76" ht="14.4" x14ac:dyDescent="0.3">
      <c r="A177" s="31"/>
      <c r="C177" s="32" t="s">
        <v>100</v>
      </c>
      <c r="D177" s="32" t="s">
        <v>381</v>
      </c>
      <c r="F177" s="33">
        <v>5</v>
      </c>
      <c r="K177" s="34"/>
    </row>
    <row r="178" spans="1:76" ht="26.4" x14ac:dyDescent="0.3">
      <c r="A178" s="31"/>
      <c r="B178" s="35" t="s">
        <v>68</v>
      </c>
      <c r="C178" s="93" t="s">
        <v>375</v>
      </c>
      <c r="D178" s="94"/>
      <c r="E178" s="94"/>
      <c r="F178" s="94"/>
      <c r="G178" s="94"/>
      <c r="H178" s="94"/>
      <c r="I178" s="94"/>
      <c r="J178" s="94"/>
      <c r="K178" s="95"/>
      <c r="BX178" s="36" t="s">
        <v>375</v>
      </c>
    </row>
    <row r="179" spans="1:76" ht="14.4" x14ac:dyDescent="0.3">
      <c r="A179" s="2" t="s">
        <v>382</v>
      </c>
      <c r="B179" s="3" t="s">
        <v>383</v>
      </c>
      <c r="C179" s="75" t="s">
        <v>384</v>
      </c>
      <c r="D179" s="70"/>
      <c r="E179" s="3" t="s">
        <v>103</v>
      </c>
      <c r="F179" s="28">
        <v>139.69999999999999</v>
      </c>
      <c r="G179" s="28">
        <v>0</v>
      </c>
      <c r="H179" s="28">
        <f>ROUND(F179*AO179,2)</f>
        <v>0</v>
      </c>
      <c r="I179" s="28">
        <f>ROUND(F179*AP179,2)</f>
        <v>0</v>
      </c>
      <c r="J179" s="28">
        <f>ROUND(F179*G179,2)</f>
        <v>0</v>
      </c>
      <c r="K179" s="29" t="s">
        <v>60</v>
      </c>
      <c r="Z179" s="28">
        <f>ROUND(IF(AQ179="5",BJ179,0),2)</f>
        <v>0</v>
      </c>
      <c r="AB179" s="28">
        <f>ROUND(IF(AQ179="1",BH179,0),2)</f>
        <v>0</v>
      </c>
      <c r="AC179" s="28">
        <f>ROUND(IF(AQ179="1",BI179,0),2)</f>
        <v>0</v>
      </c>
      <c r="AD179" s="28">
        <f>ROUND(IF(AQ179="7",BH179,0),2)</f>
        <v>0</v>
      </c>
      <c r="AE179" s="28">
        <f>ROUND(IF(AQ179="7",BI179,0),2)</f>
        <v>0</v>
      </c>
      <c r="AF179" s="28">
        <f>ROUND(IF(AQ179="2",BH179,0),2)</f>
        <v>0</v>
      </c>
      <c r="AG179" s="28">
        <f>ROUND(IF(AQ179="2",BI179,0),2)</f>
        <v>0</v>
      </c>
      <c r="AH179" s="28">
        <f>ROUND(IF(AQ179="0",BJ179,0),2)</f>
        <v>0</v>
      </c>
      <c r="AI179" s="10" t="s">
        <v>55</v>
      </c>
      <c r="AJ179" s="28">
        <f>IF(AN179=0,J179,0)</f>
        <v>0</v>
      </c>
      <c r="AK179" s="28">
        <f>IF(AN179=12,J179,0)</f>
        <v>0</v>
      </c>
      <c r="AL179" s="28">
        <f>IF(AN179=21,J179,0)</f>
        <v>0</v>
      </c>
      <c r="AN179" s="28">
        <v>21</v>
      </c>
      <c r="AO179" s="28">
        <f>G179*1</f>
        <v>0</v>
      </c>
      <c r="AP179" s="28">
        <f>G179*(1-1)</f>
        <v>0</v>
      </c>
      <c r="AQ179" s="30" t="s">
        <v>118</v>
      </c>
      <c r="AV179" s="28">
        <f>ROUND(AW179+AX179,2)</f>
        <v>0</v>
      </c>
      <c r="AW179" s="28">
        <f>ROUND(F179*AO179,2)</f>
        <v>0</v>
      </c>
      <c r="AX179" s="28">
        <f>ROUND(F179*AP179,2)</f>
        <v>0</v>
      </c>
      <c r="AY179" s="30" t="s">
        <v>367</v>
      </c>
      <c r="AZ179" s="30" t="s">
        <v>368</v>
      </c>
      <c r="BA179" s="10" t="s">
        <v>63</v>
      </c>
      <c r="BC179" s="28">
        <f>AW179+AX179</f>
        <v>0</v>
      </c>
      <c r="BD179" s="28">
        <f>G179/(100-BE179)*100</f>
        <v>0</v>
      </c>
      <c r="BE179" s="28">
        <v>0</v>
      </c>
      <c r="BF179" s="28">
        <f>179</f>
        <v>179</v>
      </c>
      <c r="BH179" s="28">
        <f>F179*AO179</f>
        <v>0</v>
      </c>
      <c r="BI179" s="28">
        <f>F179*AP179</f>
        <v>0</v>
      </c>
      <c r="BJ179" s="28">
        <f>F179*G179</f>
        <v>0</v>
      </c>
      <c r="BK179" s="28"/>
      <c r="BL179" s="28">
        <v>711</v>
      </c>
      <c r="BW179" s="28">
        <v>21</v>
      </c>
      <c r="BX179" s="4" t="s">
        <v>384</v>
      </c>
    </row>
    <row r="180" spans="1:76" ht="14.4" x14ac:dyDescent="0.3">
      <c r="A180" s="31"/>
      <c r="C180" s="32" t="s">
        <v>385</v>
      </c>
      <c r="D180" s="32" t="s">
        <v>386</v>
      </c>
      <c r="F180" s="33">
        <v>127</v>
      </c>
      <c r="K180" s="34"/>
    </row>
    <row r="181" spans="1:76" ht="14.4" x14ac:dyDescent="0.3">
      <c r="A181" s="31"/>
      <c r="C181" s="32" t="s">
        <v>387</v>
      </c>
      <c r="D181" s="32" t="s">
        <v>51</v>
      </c>
      <c r="F181" s="33">
        <v>12.7</v>
      </c>
      <c r="K181" s="34"/>
    </row>
    <row r="182" spans="1:76" ht="79.2" x14ac:dyDescent="0.3">
      <c r="A182" s="31"/>
      <c r="B182" s="35" t="s">
        <v>68</v>
      </c>
      <c r="C182" s="93" t="s">
        <v>388</v>
      </c>
      <c r="D182" s="94"/>
      <c r="E182" s="94"/>
      <c r="F182" s="94"/>
      <c r="G182" s="94"/>
      <c r="H182" s="94"/>
      <c r="I182" s="94"/>
      <c r="J182" s="94"/>
      <c r="K182" s="95"/>
      <c r="BX182" s="36" t="s">
        <v>388</v>
      </c>
    </row>
    <row r="183" spans="1:76" ht="14.4" x14ac:dyDescent="0.3">
      <c r="A183" s="2" t="s">
        <v>389</v>
      </c>
      <c r="B183" s="3" t="s">
        <v>390</v>
      </c>
      <c r="C183" s="75" t="s">
        <v>391</v>
      </c>
      <c r="D183" s="70"/>
      <c r="E183" s="3" t="s">
        <v>103</v>
      </c>
      <c r="F183" s="28">
        <v>398.2</v>
      </c>
      <c r="G183" s="28">
        <v>0</v>
      </c>
      <c r="H183" s="28">
        <f>ROUND(F183*AO183,2)</f>
        <v>0</v>
      </c>
      <c r="I183" s="28">
        <f>ROUND(F183*AP183,2)</f>
        <v>0</v>
      </c>
      <c r="J183" s="28">
        <f>ROUND(F183*G183,2)</f>
        <v>0</v>
      </c>
      <c r="K183" s="29" t="s">
        <v>60</v>
      </c>
      <c r="Z183" s="28">
        <f>ROUND(IF(AQ183="5",BJ183,0),2)</f>
        <v>0</v>
      </c>
      <c r="AB183" s="28">
        <f>ROUND(IF(AQ183="1",BH183,0),2)</f>
        <v>0</v>
      </c>
      <c r="AC183" s="28">
        <f>ROUND(IF(AQ183="1",BI183,0),2)</f>
        <v>0</v>
      </c>
      <c r="AD183" s="28">
        <f>ROUND(IF(AQ183="7",BH183,0),2)</f>
        <v>0</v>
      </c>
      <c r="AE183" s="28">
        <f>ROUND(IF(AQ183="7",BI183,0),2)</f>
        <v>0</v>
      </c>
      <c r="AF183" s="28">
        <f>ROUND(IF(AQ183="2",BH183,0),2)</f>
        <v>0</v>
      </c>
      <c r="AG183" s="28">
        <f>ROUND(IF(AQ183="2",BI183,0),2)</f>
        <v>0</v>
      </c>
      <c r="AH183" s="28">
        <f>ROUND(IF(AQ183="0",BJ183,0),2)</f>
        <v>0</v>
      </c>
      <c r="AI183" s="10" t="s">
        <v>55</v>
      </c>
      <c r="AJ183" s="28">
        <f>IF(AN183=0,J183,0)</f>
        <v>0</v>
      </c>
      <c r="AK183" s="28">
        <f>IF(AN183=12,J183,0)</f>
        <v>0</v>
      </c>
      <c r="AL183" s="28">
        <f>IF(AN183=21,J183,0)</f>
        <v>0</v>
      </c>
      <c r="AN183" s="28">
        <v>21</v>
      </c>
      <c r="AO183" s="28">
        <f>G183*1</f>
        <v>0</v>
      </c>
      <c r="AP183" s="28">
        <f>G183*(1-1)</f>
        <v>0</v>
      </c>
      <c r="AQ183" s="30" t="s">
        <v>118</v>
      </c>
      <c r="AV183" s="28">
        <f>ROUND(AW183+AX183,2)</f>
        <v>0</v>
      </c>
      <c r="AW183" s="28">
        <f>ROUND(F183*AO183,2)</f>
        <v>0</v>
      </c>
      <c r="AX183" s="28">
        <f>ROUND(F183*AP183,2)</f>
        <v>0</v>
      </c>
      <c r="AY183" s="30" t="s">
        <v>367</v>
      </c>
      <c r="AZ183" s="30" t="s">
        <v>368</v>
      </c>
      <c r="BA183" s="10" t="s">
        <v>63</v>
      </c>
      <c r="BC183" s="28">
        <f>AW183+AX183</f>
        <v>0</v>
      </c>
      <c r="BD183" s="28">
        <f>G183/(100-BE183)*100</f>
        <v>0</v>
      </c>
      <c r="BE183" s="28">
        <v>0</v>
      </c>
      <c r="BF183" s="28">
        <f>183</f>
        <v>183</v>
      </c>
      <c r="BH183" s="28">
        <f>F183*AO183</f>
        <v>0</v>
      </c>
      <c r="BI183" s="28">
        <f>F183*AP183</f>
        <v>0</v>
      </c>
      <c r="BJ183" s="28">
        <f>F183*G183</f>
        <v>0</v>
      </c>
      <c r="BK183" s="28"/>
      <c r="BL183" s="28">
        <v>711</v>
      </c>
      <c r="BW183" s="28">
        <v>21</v>
      </c>
      <c r="BX183" s="4" t="s">
        <v>391</v>
      </c>
    </row>
    <row r="184" spans="1:76" ht="14.4" x14ac:dyDescent="0.3">
      <c r="A184" s="31"/>
      <c r="C184" s="32" t="s">
        <v>392</v>
      </c>
      <c r="D184" s="32" t="s">
        <v>393</v>
      </c>
      <c r="F184" s="33">
        <v>192</v>
      </c>
      <c r="K184" s="34"/>
    </row>
    <row r="185" spans="1:76" ht="14.4" x14ac:dyDescent="0.3">
      <c r="A185" s="31"/>
      <c r="C185" s="32" t="s">
        <v>394</v>
      </c>
      <c r="D185" s="32" t="s">
        <v>395</v>
      </c>
      <c r="F185" s="33">
        <v>170</v>
      </c>
      <c r="K185" s="34"/>
    </row>
    <row r="186" spans="1:76" ht="14.4" x14ac:dyDescent="0.3">
      <c r="A186" s="31"/>
      <c r="C186" s="32" t="s">
        <v>396</v>
      </c>
      <c r="D186" s="32" t="s">
        <v>51</v>
      </c>
      <c r="F186" s="33">
        <v>36.200000000000003</v>
      </c>
      <c r="K186" s="34"/>
    </row>
    <row r="187" spans="1:76" ht="39.6" x14ac:dyDescent="0.3">
      <c r="A187" s="31"/>
      <c r="B187" s="35" t="s">
        <v>68</v>
      </c>
      <c r="C187" s="93" t="s">
        <v>397</v>
      </c>
      <c r="D187" s="94"/>
      <c r="E187" s="94"/>
      <c r="F187" s="94"/>
      <c r="G187" s="94"/>
      <c r="H187" s="94"/>
      <c r="I187" s="94"/>
      <c r="J187" s="94"/>
      <c r="K187" s="95"/>
      <c r="BX187" s="36" t="s">
        <v>397</v>
      </c>
    </row>
    <row r="188" spans="1:76" ht="14.4" x14ac:dyDescent="0.3">
      <c r="A188" s="2" t="s">
        <v>398</v>
      </c>
      <c r="B188" s="3" t="s">
        <v>399</v>
      </c>
      <c r="C188" s="75" t="s">
        <v>400</v>
      </c>
      <c r="D188" s="70"/>
      <c r="E188" s="3" t="s">
        <v>103</v>
      </c>
      <c r="F188" s="28">
        <v>28.5</v>
      </c>
      <c r="G188" s="28">
        <v>0</v>
      </c>
      <c r="H188" s="28">
        <f>ROUND(F188*AO188,2)</f>
        <v>0</v>
      </c>
      <c r="I188" s="28">
        <f>ROUND(F188*AP188,2)</f>
        <v>0</v>
      </c>
      <c r="J188" s="28">
        <f>ROUND(F188*G188,2)</f>
        <v>0</v>
      </c>
      <c r="K188" s="29" t="s">
        <v>60</v>
      </c>
      <c r="Z188" s="28">
        <f>ROUND(IF(AQ188="5",BJ188,0),2)</f>
        <v>0</v>
      </c>
      <c r="AB188" s="28">
        <f>ROUND(IF(AQ188="1",BH188,0),2)</f>
        <v>0</v>
      </c>
      <c r="AC188" s="28">
        <f>ROUND(IF(AQ188="1",BI188,0),2)</f>
        <v>0</v>
      </c>
      <c r="AD188" s="28">
        <f>ROUND(IF(AQ188="7",BH188,0),2)</f>
        <v>0</v>
      </c>
      <c r="AE188" s="28">
        <f>ROUND(IF(AQ188="7",BI188,0),2)</f>
        <v>0</v>
      </c>
      <c r="AF188" s="28">
        <f>ROUND(IF(AQ188="2",BH188,0),2)</f>
        <v>0</v>
      </c>
      <c r="AG188" s="28">
        <f>ROUND(IF(AQ188="2",BI188,0),2)</f>
        <v>0</v>
      </c>
      <c r="AH188" s="28">
        <f>ROUND(IF(AQ188="0",BJ188,0),2)</f>
        <v>0</v>
      </c>
      <c r="AI188" s="10" t="s">
        <v>55</v>
      </c>
      <c r="AJ188" s="28">
        <f>IF(AN188=0,J188,0)</f>
        <v>0</v>
      </c>
      <c r="AK188" s="28">
        <f>IF(AN188=12,J188,0)</f>
        <v>0</v>
      </c>
      <c r="AL188" s="28">
        <f>IF(AN188=21,J188,0)</f>
        <v>0</v>
      </c>
      <c r="AN188" s="28">
        <v>21</v>
      </c>
      <c r="AO188" s="28">
        <f>G188*0.094383593</f>
        <v>0</v>
      </c>
      <c r="AP188" s="28">
        <f>G188*(1-0.094383593)</f>
        <v>0</v>
      </c>
      <c r="AQ188" s="30" t="s">
        <v>118</v>
      </c>
      <c r="AV188" s="28">
        <f>ROUND(AW188+AX188,2)</f>
        <v>0</v>
      </c>
      <c r="AW188" s="28">
        <f>ROUND(F188*AO188,2)</f>
        <v>0</v>
      </c>
      <c r="AX188" s="28">
        <f>ROUND(F188*AP188,2)</f>
        <v>0</v>
      </c>
      <c r="AY188" s="30" t="s">
        <v>367</v>
      </c>
      <c r="AZ188" s="30" t="s">
        <v>368</v>
      </c>
      <c r="BA188" s="10" t="s">
        <v>63</v>
      </c>
      <c r="BC188" s="28">
        <f>AW188+AX188</f>
        <v>0</v>
      </c>
      <c r="BD188" s="28">
        <f>G188/(100-BE188)*100</f>
        <v>0</v>
      </c>
      <c r="BE188" s="28">
        <v>0</v>
      </c>
      <c r="BF188" s="28">
        <f>188</f>
        <v>188</v>
      </c>
      <c r="BH188" s="28">
        <f>F188*AO188</f>
        <v>0</v>
      </c>
      <c r="BI188" s="28">
        <f>F188*AP188</f>
        <v>0</v>
      </c>
      <c r="BJ188" s="28">
        <f>F188*G188</f>
        <v>0</v>
      </c>
      <c r="BK188" s="28"/>
      <c r="BL188" s="28">
        <v>711</v>
      </c>
      <c r="BW188" s="28">
        <v>21</v>
      </c>
      <c r="BX188" s="4" t="s">
        <v>400</v>
      </c>
    </row>
    <row r="189" spans="1:76" ht="14.4" x14ac:dyDescent="0.3">
      <c r="A189" s="31"/>
      <c r="C189" s="32" t="s">
        <v>369</v>
      </c>
      <c r="D189" s="32" t="s">
        <v>370</v>
      </c>
      <c r="F189" s="33">
        <v>28.5</v>
      </c>
      <c r="K189" s="34"/>
    </row>
    <row r="190" spans="1:76" ht="14.4" x14ac:dyDescent="0.3">
      <c r="A190" s="31"/>
      <c r="B190" s="35" t="s">
        <v>68</v>
      </c>
      <c r="C190" s="93" t="s">
        <v>401</v>
      </c>
      <c r="D190" s="94"/>
      <c r="E190" s="94"/>
      <c r="F190" s="94"/>
      <c r="G190" s="94"/>
      <c r="H190" s="94"/>
      <c r="I190" s="94"/>
      <c r="J190" s="94"/>
      <c r="K190" s="95"/>
      <c r="BX190" s="36" t="s">
        <v>401</v>
      </c>
    </row>
    <row r="191" spans="1:76" ht="14.4" x14ac:dyDescent="0.3">
      <c r="A191" s="2" t="s">
        <v>402</v>
      </c>
      <c r="B191" s="3" t="s">
        <v>403</v>
      </c>
      <c r="C191" s="75" t="s">
        <v>404</v>
      </c>
      <c r="D191" s="70"/>
      <c r="E191" s="3" t="s">
        <v>103</v>
      </c>
      <c r="F191" s="28">
        <v>185</v>
      </c>
      <c r="G191" s="28">
        <v>0</v>
      </c>
      <c r="H191" s="28">
        <f>ROUND(F191*AO191,2)</f>
        <v>0</v>
      </c>
      <c r="I191" s="28">
        <f>ROUND(F191*AP191,2)</f>
        <v>0</v>
      </c>
      <c r="J191" s="28">
        <f>ROUND(F191*G191,2)</f>
        <v>0</v>
      </c>
      <c r="K191" s="29" t="s">
        <v>60</v>
      </c>
      <c r="Z191" s="28">
        <f>ROUND(IF(AQ191="5",BJ191,0),2)</f>
        <v>0</v>
      </c>
      <c r="AB191" s="28">
        <f>ROUND(IF(AQ191="1",BH191,0),2)</f>
        <v>0</v>
      </c>
      <c r="AC191" s="28">
        <f>ROUND(IF(AQ191="1",BI191,0),2)</f>
        <v>0</v>
      </c>
      <c r="AD191" s="28">
        <f>ROUND(IF(AQ191="7",BH191,0),2)</f>
        <v>0</v>
      </c>
      <c r="AE191" s="28">
        <f>ROUND(IF(AQ191="7",BI191,0),2)</f>
        <v>0</v>
      </c>
      <c r="AF191" s="28">
        <f>ROUND(IF(AQ191="2",BH191,0),2)</f>
        <v>0</v>
      </c>
      <c r="AG191" s="28">
        <f>ROUND(IF(AQ191="2",BI191,0),2)</f>
        <v>0</v>
      </c>
      <c r="AH191" s="28">
        <f>ROUND(IF(AQ191="0",BJ191,0),2)</f>
        <v>0</v>
      </c>
      <c r="AI191" s="10" t="s">
        <v>55</v>
      </c>
      <c r="AJ191" s="28">
        <f>IF(AN191=0,J191,0)</f>
        <v>0</v>
      </c>
      <c r="AK191" s="28">
        <f>IF(AN191=12,J191,0)</f>
        <v>0</v>
      </c>
      <c r="AL191" s="28">
        <f>IF(AN191=21,J191,0)</f>
        <v>0</v>
      </c>
      <c r="AN191" s="28">
        <v>21</v>
      </c>
      <c r="AO191" s="28">
        <f>G191*0</f>
        <v>0</v>
      </c>
      <c r="AP191" s="28">
        <f>G191*(1-0)</f>
        <v>0</v>
      </c>
      <c r="AQ191" s="30" t="s">
        <v>118</v>
      </c>
      <c r="AV191" s="28">
        <f>ROUND(AW191+AX191,2)</f>
        <v>0</v>
      </c>
      <c r="AW191" s="28">
        <f>ROUND(F191*AO191,2)</f>
        <v>0</v>
      </c>
      <c r="AX191" s="28">
        <f>ROUND(F191*AP191,2)</f>
        <v>0</v>
      </c>
      <c r="AY191" s="30" t="s">
        <v>367</v>
      </c>
      <c r="AZ191" s="30" t="s">
        <v>368</v>
      </c>
      <c r="BA191" s="10" t="s">
        <v>63</v>
      </c>
      <c r="BC191" s="28">
        <f>AW191+AX191</f>
        <v>0</v>
      </c>
      <c r="BD191" s="28">
        <f>G191/(100-BE191)*100</f>
        <v>0</v>
      </c>
      <c r="BE191" s="28">
        <v>0</v>
      </c>
      <c r="BF191" s="28">
        <f>191</f>
        <v>191</v>
      </c>
      <c r="BH191" s="28">
        <f>F191*AO191</f>
        <v>0</v>
      </c>
      <c r="BI191" s="28">
        <f>F191*AP191</f>
        <v>0</v>
      </c>
      <c r="BJ191" s="28">
        <f>F191*G191</f>
        <v>0</v>
      </c>
      <c r="BK191" s="28"/>
      <c r="BL191" s="28">
        <v>711</v>
      </c>
      <c r="BW191" s="28">
        <v>21</v>
      </c>
      <c r="BX191" s="4" t="s">
        <v>404</v>
      </c>
    </row>
    <row r="192" spans="1:76" ht="14.4" x14ac:dyDescent="0.3">
      <c r="A192" s="31"/>
      <c r="C192" s="32" t="s">
        <v>405</v>
      </c>
      <c r="D192" s="32" t="s">
        <v>406</v>
      </c>
      <c r="F192" s="33">
        <v>185</v>
      </c>
      <c r="K192" s="34"/>
    </row>
    <row r="193" spans="1:76" ht="14.4" x14ac:dyDescent="0.3">
      <c r="A193" s="31"/>
      <c r="B193" s="35" t="s">
        <v>68</v>
      </c>
      <c r="C193" s="93" t="s">
        <v>401</v>
      </c>
      <c r="D193" s="94"/>
      <c r="E193" s="94"/>
      <c r="F193" s="94"/>
      <c r="G193" s="94"/>
      <c r="H193" s="94"/>
      <c r="I193" s="94"/>
      <c r="J193" s="94"/>
      <c r="K193" s="95"/>
      <c r="BX193" s="36" t="s">
        <v>401</v>
      </c>
    </row>
    <row r="194" spans="1:76" ht="14.4" x14ac:dyDescent="0.3">
      <c r="A194" s="2" t="s">
        <v>407</v>
      </c>
      <c r="B194" s="3" t="s">
        <v>408</v>
      </c>
      <c r="C194" s="75" t="s">
        <v>409</v>
      </c>
      <c r="D194" s="70"/>
      <c r="E194" s="3" t="s">
        <v>103</v>
      </c>
      <c r="F194" s="28">
        <v>116</v>
      </c>
      <c r="G194" s="28">
        <v>0</v>
      </c>
      <c r="H194" s="28">
        <f>ROUND(F194*AO194,2)</f>
        <v>0</v>
      </c>
      <c r="I194" s="28">
        <f>ROUND(F194*AP194,2)</f>
        <v>0</v>
      </c>
      <c r="J194" s="28">
        <f>ROUND(F194*G194,2)</f>
        <v>0</v>
      </c>
      <c r="K194" s="29" t="s">
        <v>60</v>
      </c>
      <c r="Z194" s="28">
        <f>ROUND(IF(AQ194="5",BJ194,0),2)</f>
        <v>0</v>
      </c>
      <c r="AB194" s="28">
        <f>ROUND(IF(AQ194="1",BH194,0),2)</f>
        <v>0</v>
      </c>
      <c r="AC194" s="28">
        <f>ROUND(IF(AQ194="1",BI194,0),2)</f>
        <v>0</v>
      </c>
      <c r="AD194" s="28">
        <f>ROUND(IF(AQ194="7",BH194,0),2)</f>
        <v>0</v>
      </c>
      <c r="AE194" s="28">
        <f>ROUND(IF(AQ194="7",BI194,0),2)</f>
        <v>0</v>
      </c>
      <c r="AF194" s="28">
        <f>ROUND(IF(AQ194="2",BH194,0),2)</f>
        <v>0</v>
      </c>
      <c r="AG194" s="28">
        <f>ROUND(IF(AQ194="2",BI194,0),2)</f>
        <v>0</v>
      </c>
      <c r="AH194" s="28">
        <f>ROUND(IF(AQ194="0",BJ194,0),2)</f>
        <v>0</v>
      </c>
      <c r="AI194" s="10" t="s">
        <v>55</v>
      </c>
      <c r="AJ194" s="28">
        <f>IF(AN194=0,J194,0)</f>
        <v>0</v>
      </c>
      <c r="AK194" s="28">
        <f>IF(AN194=12,J194,0)</f>
        <v>0</v>
      </c>
      <c r="AL194" s="28">
        <f>IF(AN194=21,J194,0)</f>
        <v>0</v>
      </c>
      <c r="AN194" s="28">
        <v>21</v>
      </c>
      <c r="AO194" s="28">
        <f>G194*0.05</f>
        <v>0</v>
      </c>
      <c r="AP194" s="28">
        <f>G194*(1-0.05)</f>
        <v>0</v>
      </c>
      <c r="AQ194" s="30" t="s">
        <v>118</v>
      </c>
      <c r="AV194" s="28">
        <f>ROUND(AW194+AX194,2)</f>
        <v>0</v>
      </c>
      <c r="AW194" s="28">
        <f>ROUND(F194*AO194,2)</f>
        <v>0</v>
      </c>
      <c r="AX194" s="28">
        <f>ROUND(F194*AP194,2)</f>
        <v>0</v>
      </c>
      <c r="AY194" s="30" t="s">
        <v>367</v>
      </c>
      <c r="AZ194" s="30" t="s">
        <v>368</v>
      </c>
      <c r="BA194" s="10" t="s">
        <v>63</v>
      </c>
      <c r="BC194" s="28">
        <f>AW194+AX194</f>
        <v>0</v>
      </c>
      <c r="BD194" s="28">
        <f>G194/(100-BE194)*100</f>
        <v>0</v>
      </c>
      <c r="BE194" s="28">
        <v>0</v>
      </c>
      <c r="BF194" s="28">
        <f>194</f>
        <v>194</v>
      </c>
      <c r="BH194" s="28">
        <f>F194*AO194</f>
        <v>0</v>
      </c>
      <c r="BI194" s="28">
        <f>F194*AP194</f>
        <v>0</v>
      </c>
      <c r="BJ194" s="28">
        <f>F194*G194</f>
        <v>0</v>
      </c>
      <c r="BK194" s="28"/>
      <c r="BL194" s="28">
        <v>711</v>
      </c>
      <c r="BW194" s="28">
        <v>21</v>
      </c>
      <c r="BX194" s="4" t="s">
        <v>409</v>
      </c>
    </row>
    <row r="195" spans="1:76" ht="14.4" x14ac:dyDescent="0.3">
      <c r="A195" s="31"/>
      <c r="C195" s="32" t="s">
        <v>369</v>
      </c>
      <c r="D195" s="32" t="s">
        <v>370</v>
      </c>
      <c r="F195" s="33">
        <v>28.5</v>
      </c>
      <c r="K195" s="34"/>
    </row>
    <row r="196" spans="1:76" ht="14.4" x14ac:dyDescent="0.3">
      <c r="A196" s="31"/>
      <c r="C196" s="32" t="s">
        <v>371</v>
      </c>
      <c r="D196" s="32" t="s">
        <v>372</v>
      </c>
      <c r="F196" s="33">
        <v>67.5</v>
      </c>
      <c r="K196" s="34"/>
    </row>
    <row r="197" spans="1:76" ht="14.4" x14ac:dyDescent="0.3">
      <c r="A197" s="31"/>
      <c r="C197" s="32" t="s">
        <v>373</v>
      </c>
      <c r="D197" s="32" t="s">
        <v>410</v>
      </c>
      <c r="F197" s="33">
        <v>20</v>
      </c>
      <c r="K197" s="34"/>
    </row>
    <row r="198" spans="1:76" ht="14.4" x14ac:dyDescent="0.3">
      <c r="A198" s="31"/>
      <c r="B198" s="35" t="s">
        <v>68</v>
      </c>
      <c r="C198" s="93" t="s">
        <v>401</v>
      </c>
      <c r="D198" s="94"/>
      <c r="E198" s="94"/>
      <c r="F198" s="94"/>
      <c r="G198" s="94"/>
      <c r="H198" s="94"/>
      <c r="I198" s="94"/>
      <c r="J198" s="94"/>
      <c r="K198" s="95"/>
      <c r="BX198" s="36" t="s">
        <v>401</v>
      </c>
    </row>
    <row r="199" spans="1:76" ht="14.4" x14ac:dyDescent="0.3">
      <c r="A199" s="2" t="s">
        <v>411</v>
      </c>
      <c r="B199" s="3" t="s">
        <v>412</v>
      </c>
      <c r="C199" s="75" t="s">
        <v>413</v>
      </c>
      <c r="D199" s="70"/>
      <c r="E199" s="3" t="s">
        <v>103</v>
      </c>
      <c r="F199" s="28">
        <v>319</v>
      </c>
      <c r="G199" s="28">
        <v>0</v>
      </c>
      <c r="H199" s="28">
        <f>ROUND(F199*AO199,2)</f>
        <v>0</v>
      </c>
      <c r="I199" s="28">
        <f>ROUND(F199*AP199,2)</f>
        <v>0</v>
      </c>
      <c r="J199" s="28">
        <f>ROUND(F199*G199,2)</f>
        <v>0</v>
      </c>
      <c r="K199" s="29" t="s">
        <v>60</v>
      </c>
      <c r="Z199" s="28">
        <f>ROUND(IF(AQ199="5",BJ199,0),2)</f>
        <v>0</v>
      </c>
      <c r="AB199" s="28">
        <f>ROUND(IF(AQ199="1",BH199,0),2)</f>
        <v>0</v>
      </c>
      <c r="AC199" s="28">
        <f>ROUND(IF(AQ199="1",BI199,0),2)</f>
        <v>0</v>
      </c>
      <c r="AD199" s="28">
        <f>ROUND(IF(AQ199="7",BH199,0),2)</f>
        <v>0</v>
      </c>
      <c r="AE199" s="28">
        <f>ROUND(IF(AQ199="7",BI199,0),2)</f>
        <v>0</v>
      </c>
      <c r="AF199" s="28">
        <f>ROUND(IF(AQ199="2",BH199,0),2)</f>
        <v>0</v>
      </c>
      <c r="AG199" s="28">
        <f>ROUND(IF(AQ199="2",BI199,0),2)</f>
        <v>0</v>
      </c>
      <c r="AH199" s="28">
        <f>ROUND(IF(AQ199="0",BJ199,0),2)</f>
        <v>0</v>
      </c>
      <c r="AI199" s="10" t="s">
        <v>55</v>
      </c>
      <c r="AJ199" s="28">
        <f>IF(AN199=0,J199,0)</f>
        <v>0</v>
      </c>
      <c r="AK199" s="28">
        <f>IF(AN199=12,J199,0)</f>
        <v>0</v>
      </c>
      <c r="AL199" s="28">
        <f>IF(AN199=21,J199,0)</f>
        <v>0</v>
      </c>
      <c r="AN199" s="28">
        <v>21</v>
      </c>
      <c r="AO199" s="28">
        <f>G199*0</f>
        <v>0</v>
      </c>
      <c r="AP199" s="28">
        <f>G199*(1-0)</f>
        <v>0</v>
      </c>
      <c r="AQ199" s="30" t="s">
        <v>118</v>
      </c>
      <c r="AV199" s="28">
        <f>ROUND(AW199+AX199,2)</f>
        <v>0</v>
      </c>
      <c r="AW199" s="28">
        <f>ROUND(F199*AO199,2)</f>
        <v>0</v>
      </c>
      <c r="AX199" s="28">
        <f>ROUND(F199*AP199,2)</f>
        <v>0</v>
      </c>
      <c r="AY199" s="30" t="s">
        <v>367</v>
      </c>
      <c r="AZ199" s="30" t="s">
        <v>368</v>
      </c>
      <c r="BA199" s="10" t="s">
        <v>63</v>
      </c>
      <c r="BC199" s="28">
        <f>AW199+AX199</f>
        <v>0</v>
      </c>
      <c r="BD199" s="28">
        <f>G199/(100-BE199)*100</f>
        <v>0</v>
      </c>
      <c r="BE199" s="28">
        <v>0</v>
      </c>
      <c r="BF199" s="28">
        <f>199</f>
        <v>199</v>
      </c>
      <c r="BH199" s="28">
        <f>F199*AO199</f>
        <v>0</v>
      </c>
      <c r="BI199" s="28">
        <f>F199*AP199</f>
        <v>0</v>
      </c>
      <c r="BJ199" s="28">
        <f>F199*G199</f>
        <v>0</v>
      </c>
      <c r="BK199" s="28"/>
      <c r="BL199" s="28">
        <v>711</v>
      </c>
      <c r="BW199" s="28">
        <v>21</v>
      </c>
      <c r="BX199" s="4" t="s">
        <v>413</v>
      </c>
    </row>
    <row r="200" spans="1:76" ht="14.4" x14ac:dyDescent="0.3">
      <c r="A200" s="31"/>
      <c r="C200" s="32" t="s">
        <v>379</v>
      </c>
      <c r="D200" s="32" t="s">
        <v>380</v>
      </c>
      <c r="F200" s="33">
        <v>314</v>
      </c>
      <c r="K200" s="34"/>
    </row>
    <row r="201" spans="1:76" ht="14.4" x14ac:dyDescent="0.3">
      <c r="A201" s="31"/>
      <c r="C201" s="32" t="s">
        <v>100</v>
      </c>
      <c r="D201" s="32" t="s">
        <v>381</v>
      </c>
      <c r="F201" s="33">
        <v>5</v>
      </c>
      <c r="K201" s="34"/>
    </row>
    <row r="202" spans="1:76" ht="14.4" x14ac:dyDescent="0.3">
      <c r="A202" s="31"/>
      <c r="B202" s="35" t="s">
        <v>68</v>
      </c>
      <c r="C202" s="93" t="s">
        <v>401</v>
      </c>
      <c r="D202" s="94"/>
      <c r="E202" s="94"/>
      <c r="F202" s="94"/>
      <c r="G202" s="94"/>
      <c r="H202" s="94"/>
      <c r="I202" s="94"/>
      <c r="J202" s="94"/>
      <c r="K202" s="95"/>
      <c r="BX202" s="36" t="s">
        <v>401</v>
      </c>
    </row>
    <row r="203" spans="1:76" ht="14.4" x14ac:dyDescent="0.3">
      <c r="A203" s="2" t="s">
        <v>414</v>
      </c>
      <c r="B203" s="3" t="s">
        <v>415</v>
      </c>
      <c r="C203" s="75" t="s">
        <v>416</v>
      </c>
      <c r="D203" s="70"/>
      <c r="E203" s="3" t="s">
        <v>103</v>
      </c>
      <c r="F203" s="28">
        <v>893.4</v>
      </c>
      <c r="G203" s="28">
        <v>0</v>
      </c>
      <c r="H203" s="28">
        <f>ROUND(F203*AO203,2)</f>
        <v>0</v>
      </c>
      <c r="I203" s="28">
        <f>ROUND(F203*AP203,2)</f>
        <v>0</v>
      </c>
      <c r="J203" s="28">
        <f>ROUND(F203*G203,2)</f>
        <v>0</v>
      </c>
      <c r="K203" s="29" t="s">
        <v>60</v>
      </c>
      <c r="Z203" s="28">
        <f>ROUND(IF(AQ203="5",BJ203,0),2)</f>
        <v>0</v>
      </c>
      <c r="AB203" s="28">
        <f>ROUND(IF(AQ203="1",BH203,0),2)</f>
        <v>0</v>
      </c>
      <c r="AC203" s="28">
        <f>ROUND(IF(AQ203="1",BI203,0),2)</f>
        <v>0</v>
      </c>
      <c r="AD203" s="28">
        <f>ROUND(IF(AQ203="7",BH203,0),2)</f>
        <v>0</v>
      </c>
      <c r="AE203" s="28">
        <f>ROUND(IF(AQ203="7",BI203,0),2)</f>
        <v>0</v>
      </c>
      <c r="AF203" s="28">
        <f>ROUND(IF(AQ203="2",BH203,0),2)</f>
        <v>0</v>
      </c>
      <c r="AG203" s="28">
        <f>ROUND(IF(AQ203="2",BI203,0),2)</f>
        <v>0</v>
      </c>
      <c r="AH203" s="28">
        <f>ROUND(IF(AQ203="0",BJ203,0),2)</f>
        <v>0</v>
      </c>
      <c r="AI203" s="10" t="s">
        <v>55</v>
      </c>
      <c r="AJ203" s="28">
        <f>IF(AN203=0,J203,0)</f>
        <v>0</v>
      </c>
      <c r="AK203" s="28">
        <f>IF(AN203=12,J203,0)</f>
        <v>0</v>
      </c>
      <c r="AL203" s="28">
        <f>IF(AN203=21,J203,0)</f>
        <v>0</v>
      </c>
      <c r="AN203" s="28">
        <v>21</v>
      </c>
      <c r="AO203" s="28">
        <f>G203*1</f>
        <v>0</v>
      </c>
      <c r="AP203" s="28">
        <f>G203*(1-1)</f>
        <v>0</v>
      </c>
      <c r="AQ203" s="30" t="s">
        <v>118</v>
      </c>
      <c r="AV203" s="28">
        <f>ROUND(AW203+AX203,2)</f>
        <v>0</v>
      </c>
      <c r="AW203" s="28">
        <f>ROUND(F203*AO203,2)</f>
        <v>0</v>
      </c>
      <c r="AX203" s="28">
        <f>ROUND(F203*AP203,2)</f>
        <v>0</v>
      </c>
      <c r="AY203" s="30" t="s">
        <v>367</v>
      </c>
      <c r="AZ203" s="30" t="s">
        <v>368</v>
      </c>
      <c r="BA203" s="10" t="s">
        <v>63</v>
      </c>
      <c r="BC203" s="28">
        <f>AW203+AX203</f>
        <v>0</v>
      </c>
      <c r="BD203" s="28">
        <f>G203/(100-BE203)*100</f>
        <v>0</v>
      </c>
      <c r="BE203" s="28">
        <v>0</v>
      </c>
      <c r="BF203" s="28">
        <f>203</f>
        <v>203</v>
      </c>
      <c r="BH203" s="28">
        <f>F203*AO203</f>
        <v>0</v>
      </c>
      <c r="BI203" s="28">
        <f>F203*AP203</f>
        <v>0</v>
      </c>
      <c r="BJ203" s="28">
        <f>F203*G203</f>
        <v>0</v>
      </c>
      <c r="BK203" s="28"/>
      <c r="BL203" s="28">
        <v>711</v>
      </c>
      <c r="BW203" s="28">
        <v>21</v>
      </c>
      <c r="BX203" s="4" t="s">
        <v>416</v>
      </c>
    </row>
    <row r="204" spans="1:76" ht="14.4" x14ac:dyDescent="0.3">
      <c r="A204" s="31"/>
      <c r="C204" s="32" t="s">
        <v>417</v>
      </c>
      <c r="D204" s="32" t="s">
        <v>51</v>
      </c>
      <c r="F204" s="33">
        <v>744.5</v>
      </c>
      <c r="K204" s="34"/>
    </row>
    <row r="205" spans="1:76" ht="14.4" x14ac:dyDescent="0.3">
      <c r="A205" s="31"/>
      <c r="C205" s="32" t="s">
        <v>418</v>
      </c>
      <c r="D205" s="32" t="s">
        <v>51</v>
      </c>
      <c r="F205" s="33">
        <v>148.9</v>
      </c>
      <c r="K205" s="34"/>
    </row>
    <row r="206" spans="1:76" ht="211.2" x14ac:dyDescent="0.3">
      <c r="A206" s="31"/>
      <c r="B206" s="35" t="s">
        <v>68</v>
      </c>
      <c r="C206" s="93" t="s">
        <v>419</v>
      </c>
      <c r="D206" s="94"/>
      <c r="E206" s="94"/>
      <c r="F206" s="94"/>
      <c r="G206" s="94"/>
      <c r="H206" s="94"/>
      <c r="I206" s="94"/>
      <c r="J206" s="94"/>
      <c r="K206" s="95"/>
      <c r="BX206" s="36" t="s">
        <v>419</v>
      </c>
    </row>
    <row r="207" spans="1:76" ht="14.4" x14ac:dyDescent="0.3">
      <c r="A207" s="24" t="s">
        <v>51</v>
      </c>
      <c r="B207" s="25" t="s">
        <v>420</v>
      </c>
      <c r="C207" s="91" t="s">
        <v>421</v>
      </c>
      <c r="D207" s="92"/>
      <c r="E207" s="26" t="s">
        <v>4</v>
      </c>
      <c r="F207" s="26" t="s">
        <v>4</v>
      </c>
      <c r="G207" s="26" t="s">
        <v>4</v>
      </c>
      <c r="H207" s="1">
        <f>SUM(H208:H209)</f>
        <v>0</v>
      </c>
      <c r="I207" s="1">
        <f>SUM(I208:I209)</f>
        <v>0</v>
      </c>
      <c r="J207" s="1">
        <f>SUM(J208:J209)</f>
        <v>0</v>
      </c>
      <c r="K207" s="27" t="s">
        <v>51</v>
      </c>
      <c r="AI207" s="10" t="s">
        <v>55</v>
      </c>
      <c r="AS207" s="1">
        <f>SUM(AJ208:AJ209)</f>
        <v>0</v>
      </c>
      <c r="AT207" s="1">
        <f>SUM(AK208:AK209)</f>
        <v>0</v>
      </c>
      <c r="AU207" s="1">
        <f>SUM(AL208:AL209)</f>
        <v>0</v>
      </c>
    </row>
    <row r="208" spans="1:76" ht="14.4" x14ac:dyDescent="0.3">
      <c r="A208" s="2" t="s">
        <v>422</v>
      </c>
      <c r="B208" s="3" t="s">
        <v>423</v>
      </c>
      <c r="C208" s="75" t="s">
        <v>424</v>
      </c>
      <c r="D208" s="70"/>
      <c r="E208" s="3" t="s">
        <v>425</v>
      </c>
      <c r="F208" s="28">
        <v>2</v>
      </c>
      <c r="G208" s="28">
        <v>0</v>
      </c>
      <c r="H208" s="28">
        <f>ROUND(F208*AO208,2)</f>
        <v>0</v>
      </c>
      <c r="I208" s="28">
        <f>ROUND(F208*AP208,2)</f>
        <v>0</v>
      </c>
      <c r="J208" s="28">
        <f>ROUND(F208*G208,2)</f>
        <v>0</v>
      </c>
      <c r="K208" s="29" t="s">
        <v>426</v>
      </c>
      <c r="Z208" s="28">
        <f>ROUND(IF(AQ208="5",BJ208,0),2)</f>
        <v>0</v>
      </c>
      <c r="AB208" s="28">
        <f>ROUND(IF(AQ208="1",BH208,0),2)</f>
        <v>0</v>
      </c>
      <c r="AC208" s="28">
        <f>ROUND(IF(AQ208="1",BI208,0),2)</f>
        <v>0</v>
      </c>
      <c r="AD208" s="28">
        <f>ROUND(IF(AQ208="7",BH208,0),2)</f>
        <v>0</v>
      </c>
      <c r="AE208" s="28">
        <f>ROUND(IF(AQ208="7",BI208,0),2)</f>
        <v>0</v>
      </c>
      <c r="AF208" s="28">
        <f>ROUND(IF(AQ208="2",BH208,0),2)</f>
        <v>0</v>
      </c>
      <c r="AG208" s="28">
        <f>ROUND(IF(AQ208="2",BI208,0),2)</f>
        <v>0</v>
      </c>
      <c r="AH208" s="28">
        <f>ROUND(IF(AQ208="0",BJ208,0),2)</f>
        <v>0</v>
      </c>
      <c r="AI208" s="10" t="s">
        <v>55</v>
      </c>
      <c r="AJ208" s="28">
        <f>IF(AN208=0,J208,0)</f>
        <v>0</v>
      </c>
      <c r="AK208" s="28">
        <f>IF(AN208=12,J208,0)</f>
        <v>0</v>
      </c>
      <c r="AL208" s="28">
        <f>IF(AN208=21,J208,0)</f>
        <v>0</v>
      </c>
      <c r="AN208" s="28">
        <v>21</v>
      </c>
      <c r="AO208" s="28">
        <f>G208*0</f>
        <v>0</v>
      </c>
      <c r="AP208" s="28">
        <f>G208*(1-0)</f>
        <v>0</v>
      </c>
      <c r="AQ208" s="30" t="s">
        <v>118</v>
      </c>
      <c r="AV208" s="28">
        <f>ROUND(AW208+AX208,2)</f>
        <v>0</v>
      </c>
      <c r="AW208" s="28">
        <f>ROUND(F208*AO208,2)</f>
        <v>0</v>
      </c>
      <c r="AX208" s="28">
        <f>ROUND(F208*AP208,2)</f>
        <v>0</v>
      </c>
      <c r="AY208" s="30" t="s">
        <v>427</v>
      </c>
      <c r="AZ208" s="30" t="s">
        <v>428</v>
      </c>
      <c r="BA208" s="10" t="s">
        <v>63</v>
      </c>
      <c r="BC208" s="28">
        <f>AW208+AX208</f>
        <v>0</v>
      </c>
      <c r="BD208" s="28">
        <f>G208/(100-BE208)*100</f>
        <v>0</v>
      </c>
      <c r="BE208" s="28">
        <v>0</v>
      </c>
      <c r="BF208" s="28">
        <f>208</f>
        <v>208</v>
      </c>
      <c r="BH208" s="28">
        <f>F208*AO208</f>
        <v>0</v>
      </c>
      <c r="BI208" s="28">
        <f>F208*AP208</f>
        <v>0</v>
      </c>
      <c r="BJ208" s="28">
        <f>F208*G208</f>
        <v>0</v>
      </c>
      <c r="BK208" s="28"/>
      <c r="BL208" s="28">
        <v>722</v>
      </c>
      <c r="BW208" s="28">
        <v>21</v>
      </c>
      <c r="BX208" s="4" t="s">
        <v>424</v>
      </c>
    </row>
    <row r="209" spans="1:76" ht="14.4" x14ac:dyDescent="0.3">
      <c r="A209" s="2" t="s">
        <v>429</v>
      </c>
      <c r="B209" s="3" t="s">
        <v>430</v>
      </c>
      <c r="C209" s="75" t="s">
        <v>431</v>
      </c>
      <c r="D209" s="70"/>
      <c r="E209" s="3" t="s">
        <v>293</v>
      </c>
      <c r="F209" s="28">
        <v>1</v>
      </c>
      <c r="G209" s="28">
        <v>0</v>
      </c>
      <c r="H209" s="28">
        <f>ROUND(F209*AO209,2)</f>
        <v>0</v>
      </c>
      <c r="I209" s="28">
        <f>ROUND(F209*AP209,2)</f>
        <v>0</v>
      </c>
      <c r="J209" s="28">
        <f>ROUND(F209*G209,2)</f>
        <v>0</v>
      </c>
      <c r="K209" s="29" t="s">
        <v>60</v>
      </c>
      <c r="Z209" s="28">
        <f>ROUND(IF(AQ209="5",BJ209,0),2)</f>
        <v>0</v>
      </c>
      <c r="AB209" s="28">
        <f>ROUND(IF(AQ209="1",BH209,0),2)</f>
        <v>0</v>
      </c>
      <c r="AC209" s="28">
        <f>ROUND(IF(AQ209="1",BI209,0),2)</f>
        <v>0</v>
      </c>
      <c r="AD209" s="28">
        <f>ROUND(IF(AQ209="7",BH209,0),2)</f>
        <v>0</v>
      </c>
      <c r="AE209" s="28">
        <f>ROUND(IF(AQ209="7",BI209,0),2)</f>
        <v>0</v>
      </c>
      <c r="AF209" s="28">
        <f>ROUND(IF(AQ209="2",BH209,0),2)</f>
        <v>0</v>
      </c>
      <c r="AG209" s="28">
        <f>ROUND(IF(AQ209="2",BI209,0),2)</f>
        <v>0</v>
      </c>
      <c r="AH209" s="28">
        <f>ROUND(IF(AQ209="0",BJ209,0),2)</f>
        <v>0</v>
      </c>
      <c r="AI209" s="10" t="s">
        <v>55</v>
      </c>
      <c r="AJ209" s="28">
        <f>IF(AN209=0,J209,0)</f>
        <v>0</v>
      </c>
      <c r="AK209" s="28">
        <f>IF(AN209=12,J209,0)</f>
        <v>0</v>
      </c>
      <c r="AL209" s="28">
        <f>IF(AN209=21,J209,0)</f>
        <v>0</v>
      </c>
      <c r="AN209" s="28">
        <v>21</v>
      </c>
      <c r="AO209" s="28">
        <f>G209*0</f>
        <v>0</v>
      </c>
      <c r="AP209" s="28">
        <f>G209*(1-0)</f>
        <v>0</v>
      </c>
      <c r="AQ209" s="30" t="s">
        <v>118</v>
      </c>
      <c r="AV209" s="28">
        <f>ROUND(AW209+AX209,2)</f>
        <v>0</v>
      </c>
      <c r="AW209" s="28">
        <f>ROUND(F209*AO209,2)</f>
        <v>0</v>
      </c>
      <c r="AX209" s="28">
        <f>ROUND(F209*AP209,2)</f>
        <v>0</v>
      </c>
      <c r="AY209" s="30" t="s">
        <v>427</v>
      </c>
      <c r="AZ209" s="30" t="s">
        <v>428</v>
      </c>
      <c r="BA209" s="10" t="s">
        <v>63</v>
      </c>
      <c r="BC209" s="28">
        <f>AW209+AX209</f>
        <v>0</v>
      </c>
      <c r="BD209" s="28">
        <f>G209/(100-BE209)*100</f>
        <v>0</v>
      </c>
      <c r="BE209" s="28">
        <v>0</v>
      </c>
      <c r="BF209" s="28">
        <f>209</f>
        <v>209</v>
      </c>
      <c r="BH209" s="28">
        <f>F209*AO209</f>
        <v>0</v>
      </c>
      <c r="BI209" s="28">
        <f>F209*AP209</f>
        <v>0</v>
      </c>
      <c r="BJ209" s="28">
        <f>F209*G209</f>
        <v>0</v>
      </c>
      <c r="BK209" s="28"/>
      <c r="BL209" s="28">
        <v>722</v>
      </c>
      <c r="BW209" s="28">
        <v>21</v>
      </c>
      <c r="BX209" s="4" t="s">
        <v>431</v>
      </c>
    </row>
    <row r="210" spans="1:76" ht="14.4" x14ac:dyDescent="0.3">
      <c r="A210" s="31"/>
      <c r="B210" s="35" t="s">
        <v>68</v>
      </c>
      <c r="C210" s="93" t="s">
        <v>432</v>
      </c>
      <c r="D210" s="94"/>
      <c r="E210" s="94"/>
      <c r="F210" s="94"/>
      <c r="G210" s="94"/>
      <c r="H210" s="94"/>
      <c r="I210" s="94"/>
      <c r="J210" s="94"/>
      <c r="K210" s="95"/>
      <c r="BX210" s="36" t="s">
        <v>432</v>
      </c>
    </row>
    <row r="211" spans="1:76" ht="14.4" x14ac:dyDescent="0.3">
      <c r="A211" s="24" t="s">
        <v>51</v>
      </c>
      <c r="B211" s="25" t="s">
        <v>433</v>
      </c>
      <c r="C211" s="91" t="s">
        <v>434</v>
      </c>
      <c r="D211" s="92"/>
      <c r="E211" s="26" t="s">
        <v>4</v>
      </c>
      <c r="F211" s="26" t="s">
        <v>4</v>
      </c>
      <c r="G211" s="26" t="s">
        <v>4</v>
      </c>
      <c r="H211" s="1">
        <f>SUM(H212:H216)</f>
        <v>0</v>
      </c>
      <c r="I211" s="1">
        <f>SUM(I212:I216)</f>
        <v>0</v>
      </c>
      <c r="J211" s="1">
        <f>SUM(J212:J216)</f>
        <v>0</v>
      </c>
      <c r="K211" s="27" t="s">
        <v>51</v>
      </c>
      <c r="AI211" s="10" t="s">
        <v>55</v>
      </c>
      <c r="AS211" s="1">
        <f>SUM(AJ212:AJ216)</f>
        <v>0</v>
      </c>
      <c r="AT211" s="1">
        <f>SUM(AK212:AK216)</f>
        <v>0</v>
      </c>
      <c r="AU211" s="1">
        <f>SUM(AL212:AL216)</f>
        <v>0</v>
      </c>
    </row>
    <row r="212" spans="1:76" ht="14.4" x14ac:dyDescent="0.3">
      <c r="A212" s="2" t="s">
        <v>305</v>
      </c>
      <c r="B212" s="3" t="s">
        <v>435</v>
      </c>
      <c r="C212" s="75" t="s">
        <v>436</v>
      </c>
      <c r="D212" s="70"/>
      <c r="E212" s="3" t="s">
        <v>293</v>
      </c>
      <c r="F212" s="28">
        <v>3</v>
      </c>
      <c r="G212" s="28">
        <v>0</v>
      </c>
      <c r="H212" s="28">
        <f>ROUND(F212*AO212,2)</f>
        <v>0</v>
      </c>
      <c r="I212" s="28">
        <f>ROUND(F212*AP212,2)</f>
        <v>0</v>
      </c>
      <c r="J212" s="28">
        <f>ROUND(F212*G212,2)</f>
        <v>0</v>
      </c>
      <c r="K212" s="29" t="s">
        <v>60</v>
      </c>
      <c r="Z212" s="28">
        <f>ROUND(IF(AQ212="5",BJ212,0),2)</f>
        <v>0</v>
      </c>
      <c r="AB212" s="28">
        <f>ROUND(IF(AQ212="1",BH212,0),2)</f>
        <v>0</v>
      </c>
      <c r="AC212" s="28">
        <f>ROUND(IF(AQ212="1",BI212,0),2)</f>
        <v>0</v>
      </c>
      <c r="AD212" s="28">
        <f>ROUND(IF(AQ212="7",BH212,0),2)</f>
        <v>0</v>
      </c>
      <c r="AE212" s="28">
        <f>ROUND(IF(AQ212="7",BI212,0),2)</f>
        <v>0</v>
      </c>
      <c r="AF212" s="28">
        <f>ROUND(IF(AQ212="2",BH212,0),2)</f>
        <v>0</v>
      </c>
      <c r="AG212" s="28">
        <f>ROUND(IF(AQ212="2",BI212,0),2)</f>
        <v>0</v>
      </c>
      <c r="AH212" s="28">
        <f>ROUND(IF(AQ212="0",BJ212,0),2)</f>
        <v>0</v>
      </c>
      <c r="AI212" s="10" t="s">
        <v>55</v>
      </c>
      <c r="AJ212" s="28">
        <f>IF(AN212=0,J212,0)</f>
        <v>0</v>
      </c>
      <c r="AK212" s="28">
        <f>IF(AN212=12,J212,0)</f>
        <v>0</v>
      </c>
      <c r="AL212" s="28">
        <f>IF(AN212=21,J212,0)</f>
        <v>0</v>
      </c>
      <c r="AN212" s="28">
        <v>21</v>
      </c>
      <c r="AO212" s="28">
        <f>G212*0.147835991</f>
        <v>0</v>
      </c>
      <c r="AP212" s="28">
        <f>G212*(1-0.147835991)</f>
        <v>0</v>
      </c>
      <c r="AQ212" s="30" t="s">
        <v>118</v>
      </c>
      <c r="AV212" s="28">
        <f>ROUND(AW212+AX212,2)</f>
        <v>0</v>
      </c>
      <c r="AW212" s="28">
        <f>ROUND(F212*AO212,2)</f>
        <v>0</v>
      </c>
      <c r="AX212" s="28">
        <f>ROUND(F212*AP212,2)</f>
        <v>0</v>
      </c>
      <c r="AY212" s="30" t="s">
        <v>437</v>
      </c>
      <c r="AZ212" s="30" t="s">
        <v>438</v>
      </c>
      <c r="BA212" s="10" t="s">
        <v>63</v>
      </c>
      <c r="BC212" s="28">
        <f>AW212+AX212</f>
        <v>0</v>
      </c>
      <c r="BD212" s="28">
        <f>G212/(100-BE212)*100</f>
        <v>0</v>
      </c>
      <c r="BE212" s="28">
        <v>0</v>
      </c>
      <c r="BF212" s="28">
        <f>212</f>
        <v>212</v>
      </c>
      <c r="BH212" s="28">
        <f>F212*AO212</f>
        <v>0</v>
      </c>
      <c r="BI212" s="28">
        <f>F212*AP212</f>
        <v>0</v>
      </c>
      <c r="BJ212" s="28">
        <f>F212*G212</f>
        <v>0</v>
      </c>
      <c r="BK212" s="28"/>
      <c r="BL212" s="28">
        <v>764</v>
      </c>
      <c r="BW212" s="28">
        <v>21</v>
      </c>
      <c r="BX212" s="4" t="s">
        <v>436</v>
      </c>
    </row>
    <row r="213" spans="1:76" ht="14.4" x14ac:dyDescent="0.3">
      <c r="A213" s="31"/>
      <c r="C213" s="32" t="s">
        <v>56</v>
      </c>
      <c r="D213" s="32" t="s">
        <v>439</v>
      </c>
      <c r="F213" s="33">
        <v>1</v>
      </c>
      <c r="K213" s="34"/>
    </row>
    <row r="214" spans="1:76" ht="14.4" x14ac:dyDescent="0.3">
      <c r="A214" s="31"/>
      <c r="C214" s="32" t="s">
        <v>74</v>
      </c>
      <c r="D214" s="32" t="s">
        <v>440</v>
      </c>
      <c r="F214" s="33">
        <v>2</v>
      </c>
      <c r="K214" s="34"/>
    </row>
    <row r="215" spans="1:76" ht="26.4" x14ac:dyDescent="0.3">
      <c r="A215" s="31"/>
      <c r="B215" s="35" t="s">
        <v>68</v>
      </c>
      <c r="C215" s="93" t="s">
        <v>441</v>
      </c>
      <c r="D215" s="94"/>
      <c r="E215" s="94"/>
      <c r="F215" s="94"/>
      <c r="G215" s="94"/>
      <c r="H215" s="94"/>
      <c r="I215" s="94"/>
      <c r="J215" s="94"/>
      <c r="K215" s="95"/>
      <c r="BX215" s="36" t="s">
        <v>441</v>
      </c>
    </row>
    <row r="216" spans="1:76" ht="14.4" x14ac:dyDescent="0.3">
      <c r="A216" s="2" t="s">
        <v>442</v>
      </c>
      <c r="B216" s="3" t="s">
        <v>443</v>
      </c>
      <c r="C216" s="75" t="s">
        <v>444</v>
      </c>
      <c r="D216" s="70"/>
      <c r="E216" s="3" t="s">
        <v>293</v>
      </c>
      <c r="F216" s="28">
        <v>3</v>
      </c>
      <c r="G216" s="28">
        <v>0</v>
      </c>
      <c r="H216" s="28">
        <f>ROUND(F216*AO216,2)</f>
        <v>0</v>
      </c>
      <c r="I216" s="28">
        <f>ROUND(F216*AP216,2)</f>
        <v>0</v>
      </c>
      <c r="J216" s="28">
        <f>ROUND(F216*G216,2)</f>
        <v>0</v>
      </c>
      <c r="K216" s="29" t="s">
        <v>60</v>
      </c>
      <c r="Z216" s="28">
        <f>ROUND(IF(AQ216="5",BJ216,0),2)</f>
        <v>0</v>
      </c>
      <c r="AB216" s="28">
        <f>ROUND(IF(AQ216="1",BH216,0),2)</f>
        <v>0</v>
      </c>
      <c r="AC216" s="28">
        <f>ROUND(IF(AQ216="1",BI216,0),2)</f>
        <v>0</v>
      </c>
      <c r="AD216" s="28">
        <f>ROUND(IF(AQ216="7",BH216,0),2)</f>
        <v>0</v>
      </c>
      <c r="AE216" s="28">
        <f>ROUND(IF(AQ216="7",BI216,0),2)</f>
        <v>0</v>
      </c>
      <c r="AF216" s="28">
        <f>ROUND(IF(AQ216="2",BH216,0),2)</f>
        <v>0</v>
      </c>
      <c r="AG216" s="28">
        <f>ROUND(IF(AQ216="2",BI216,0),2)</f>
        <v>0</v>
      </c>
      <c r="AH216" s="28">
        <f>ROUND(IF(AQ216="0",BJ216,0),2)</f>
        <v>0</v>
      </c>
      <c r="AI216" s="10" t="s">
        <v>55</v>
      </c>
      <c r="AJ216" s="28">
        <f>IF(AN216=0,J216,0)</f>
        <v>0</v>
      </c>
      <c r="AK216" s="28">
        <f>IF(AN216=12,J216,0)</f>
        <v>0</v>
      </c>
      <c r="AL216" s="28">
        <f>IF(AN216=21,J216,0)</f>
        <v>0</v>
      </c>
      <c r="AN216" s="28">
        <v>21</v>
      </c>
      <c r="AO216" s="28">
        <f>G216*1</f>
        <v>0</v>
      </c>
      <c r="AP216" s="28">
        <f>G216*(1-1)</f>
        <v>0</v>
      </c>
      <c r="AQ216" s="30" t="s">
        <v>118</v>
      </c>
      <c r="AV216" s="28">
        <f>ROUND(AW216+AX216,2)</f>
        <v>0</v>
      </c>
      <c r="AW216" s="28">
        <f>ROUND(F216*AO216,2)</f>
        <v>0</v>
      </c>
      <c r="AX216" s="28">
        <f>ROUND(F216*AP216,2)</f>
        <v>0</v>
      </c>
      <c r="AY216" s="30" t="s">
        <v>437</v>
      </c>
      <c r="AZ216" s="30" t="s">
        <v>438</v>
      </c>
      <c r="BA216" s="10" t="s">
        <v>63</v>
      </c>
      <c r="BC216" s="28">
        <f>AW216+AX216</f>
        <v>0</v>
      </c>
      <c r="BD216" s="28">
        <f>G216/(100-BE216)*100</f>
        <v>0</v>
      </c>
      <c r="BE216" s="28">
        <v>0</v>
      </c>
      <c r="BF216" s="28">
        <f>216</f>
        <v>216</v>
      </c>
      <c r="BH216" s="28">
        <f>F216*AO216</f>
        <v>0</v>
      </c>
      <c r="BI216" s="28">
        <f>F216*AP216</f>
        <v>0</v>
      </c>
      <c r="BJ216" s="28">
        <f>F216*G216</f>
        <v>0</v>
      </c>
      <c r="BK216" s="28"/>
      <c r="BL216" s="28">
        <v>764</v>
      </c>
      <c r="BW216" s="28">
        <v>21</v>
      </c>
      <c r="BX216" s="4" t="s">
        <v>444</v>
      </c>
    </row>
    <row r="217" spans="1:76" ht="26.4" x14ac:dyDescent="0.3">
      <c r="A217" s="31"/>
      <c r="B217" s="35" t="s">
        <v>68</v>
      </c>
      <c r="C217" s="93" t="s">
        <v>445</v>
      </c>
      <c r="D217" s="94"/>
      <c r="E217" s="94"/>
      <c r="F217" s="94"/>
      <c r="G217" s="94"/>
      <c r="H217" s="94"/>
      <c r="I217" s="94"/>
      <c r="J217" s="94"/>
      <c r="K217" s="95"/>
      <c r="BX217" s="36" t="s">
        <v>445</v>
      </c>
    </row>
    <row r="218" spans="1:76" ht="14.4" x14ac:dyDescent="0.3">
      <c r="A218" s="24" t="s">
        <v>51</v>
      </c>
      <c r="B218" s="25" t="s">
        <v>446</v>
      </c>
      <c r="C218" s="91" t="s">
        <v>447</v>
      </c>
      <c r="D218" s="92"/>
      <c r="E218" s="26" t="s">
        <v>4</v>
      </c>
      <c r="F218" s="26" t="s">
        <v>4</v>
      </c>
      <c r="G218" s="26" t="s">
        <v>4</v>
      </c>
      <c r="H218" s="1">
        <f>SUM(H219:H220)</f>
        <v>0</v>
      </c>
      <c r="I218" s="1">
        <f>SUM(I219:I220)</f>
        <v>0</v>
      </c>
      <c r="J218" s="1">
        <f>SUM(J219:J220)</f>
        <v>0</v>
      </c>
      <c r="K218" s="27" t="s">
        <v>51</v>
      </c>
      <c r="AI218" s="10" t="s">
        <v>55</v>
      </c>
      <c r="AS218" s="1">
        <f>SUM(AJ219:AJ220)</f>
        <v>0</v>
      </c>
      <c r="AT218" s="1">
        <f>SUM(AK219:AK220)</f>
        <v>0</v>
      </c>
      <c r="AU218" s="1">
        <f>SUM(AL219:AL220)</f>
        <v>0</v>
      </c>
    </row>
    <row r="219" spans="1:76" ht="14.4" x14ac:dyDescent="0.3">
      <c r="A219" s="2" t="s">
        <v>448</v>
      </c>
      <c r="B219" s="3" t="s">
        <v>449</v>
      </c>
      <c r="C219" s="75" t="s">
        <v>450</v>
      </c>
      <c r="D219" s="70"/>
      <c r="E219" s="3" t="s">
        <v>293</v>
      </c>
      <c r="F219" s="28">
        <v>1</v>
      </c>
      <c r="G219" s="28">
        <v>0</v>
      </c>
      <c r="H219" s="28">
        <f>ROUND(F219*AO219,2)</f>
        <v>0</v>
      </c>
      <c r="I219" s="28">
        <f>ROUND(F219*AP219,2)</f>
        <v>0</v>
      </c>
      <c r="J219" s="28">
        <f>ROUND(F219*G219,2)</f>
        <v>0</v>
      </c>
      <c r="K219" s="29" t="s">
        <v>60</v>
      </c>
      <c r="Z219" s="28">
        <f>ROUND(IF(AQ219="5",BJ219,0),2)</f>
        <v>0</v>
      </c>
      <c r="AB219" s="28">
        <f>ROUND(IF(AQ219="1",BH219,0),2)</f>
        <v>0</v>
      </c>
      <c r="AC219" s="28">
        <f>ROUND(IF(AQ219="1",BI219,0),2)</f>
        <v>0</v>
      </c>
      <c r="AD219" s="28">
        <f>ROUND(IF(AQ219="7",BH219,0),2)</f>
        <v>0</v>
      </c>
      <c r="AE219" s="28">
        <f>ROUND(IF(AQ219="7",BI219,0),2)</f>
        <v>0</v>
      </c>
      <c r="AF219" s="28">
        <f>ROUND(IF(AQ219="2",BH219,0),2)</f>
        <v>0</v>
      </c>
      <c r="AG219" s="28">
        <f>ROUND(IF(AQ219="2",BI219,0),2)</f>
        <v>0</v>
      </c>
      <c r="AH219" s="28">
        <f>ROUND(IF(AQ219="0",BJ219,0),2)</f>
        <v>0</v>
      </c>
      <c r="AI219" s="10" t="s">
        <v>55</v>
      </c>
      <c r="AJ219" s="28">
        <f>IF(AN219=0,J219,0)</f>
        <v>0</v>
      </c>
      <c r="AK219" s="28">
        <f>IF(AN219=12,J219,0)</f>
        <v>0</v>
      </c>
      <c r="AL219" s="28">
        <f>IF(AN219=21,J219,0)</f>
        <v>0</v>
      </c>
      <c r="AN219" s="28">
        <v>21</v>
      </c>
      <c r="AO219" s="28">
        <f>G219*0.8</f>
        <v>0</v>
      </c>
      <c r="AP219" s="28">
        <f>G219*(1-0.8)</f>
        <v>0</v>
      </c>
      <c r="AQ219" s="30" t="s">
        <v>118</v>
      </c>
      <c r="AV219" s="28">
        <f>ROUND(AW219+AX219,2)</f>
        <v>0</v>
      </c>
      <c r="AW219" s="28">
        <f>ROUND(F219*AO219,2)</f>
        <v>0</v>
      </c>
      <c r="AX219" s="28">
        <f>ROUND(F219*AP219,2)</f>
        <v>0</v>
      </c>
      <c r="AY219" s="30" t="s">
        <v>451</v>
      </c>
      <c r="AZ219" s="30" t="s">
        <v>438</v>
      </c>
      <c r="BA219" s="10" t="s">
        <v>63</v>
      </c>
      <c r="BC219" s="28">
        <f>AW219+AX219</f>
        <v>0</v>
      </c>
      <c r="BD219" s="28">
        <f>G219/(100-BE219)*100</f>
        <v>0</v>
      </c>
      <c r="BE219" s="28">
        <v>0</v>
      </c>
      <c r="BF219" s="28">
        <f>219</f>
        <v>219</v>
      </c>
      <c r="BH219" s="28">
        <f>F219*AO219</f>
        <v>0</v>
      </c>
      <c r="BI219" s="28">
        <f>F219*AP219</f>
        <v>0</v>
      </c>
      <c r="BJ219" s="28">
        <f>F219*G219</f>
        <v>0</v>
      </c>
      <c r="BK219" s="28"/>
      <c r="BL219" s="28">
        <v>767</v>
      </c>
      <c r="BW219" s="28">
        <v>21</v>
      </c>
      <c r="BX219" s="4" t="s">
        <v>450</v>
      </c>
    </row>
    <row r="220" spans="1:76" ht="14.4" x14ac:dyDescent="0.3">
      <c r="A220" s="2" t="s">
        <v>452</v>
      </c>
      <c r="B220" s="3" t="s">
        <v>453</v>
      </c>
      <c r="C220" s="75" t="s">
        <v>454</v>
      </c>
      <c r="D220" s="70"/>
      <c r="E220" s="3" t="s">
        <v>188</v>
      </c>
      <c r="F220" s="28">
        <v>71</v>
      </c>
      <c r="G220" s="28">
        <v>0</v>
      </c>
      <c r="H220" s="28">
        <f>ROUND(F220*AO220,2)</f>
        <v>0</v>
      </c>
      <c r="I220" s="28">
        <f>ROUND(F220*AP220,2)</f>
        <v>0</v>
      </c>
      <c r="J220" s="28">
        <f>ROUND(F220*G220,2)</f>
        <v>0</v>
      </c>
      <c r="K220" s="29" t="s">
        <v>60</v>
      </c>
      <c r="Z220" s="28">
        <f>ROUND(IF(AQ220="5",BJ220,0),2)</f>
        <v>0</v>
      </c>
      <c r="AB220" s="28">
        <f>ROUND(IF(AQ220="1",BH220,0),2)</f>
        <v>0</v>
      </c>
      <c r="AC220" s="28">
        <f>ROUND(IF(AQ220="1",BI220,0),2)</f>
        <v>0</v>
      </c>
      <c r="AD220" s="28">
        <f>ROUND(IF(AQ220="7",BH220,0),2)</f>
        <v>0</v>
      </c>
      <c r="AE220" s="28">
        <f>ROUND(IF(AQ220="7",BI220,0),2)</f>
        <v>0</v>
      </c>
      <c r="AF220" s="28">
        <f>ROUND(IF(AQ220="2",BH220,0),2)</f>
        <v>0</v>
      </c>
      <c r="AG220" s="28">
        <f>ROUND(IF(AQ220="2",BI220,0),2)</f>
        <v>0</v>
      </c>
      <c r="AH220" s="28">
        <f>ROUND(IF(AQ220="0",BJ220,0),2)</f>
        <v>0</v>
      </c>
      <c r="AI220" s="10" t="s">
        <v>55</v>
      </c>
      <c r="AJ220" s="28">
        <f>IF(AN220=0,J220,0)</f>
        <v>0</v>
      </c>
      <c r="AK220" s="28">
        <f>IF(AN220=12,J220,0)</f>
        <v>0</v>
      </c>
      <c r="AL220" s="28">
        <f>IF(AN220=21,J220,0)</f>
        <v>0</v>
      </c>
      <c r="AN220" s="28">
        <v>21</v>
      </c>
      <c r="AO220" s="28">
        <f>G220*1</f>
        <v>0</v>
      </c>
      <c r="AP220" s="28">
        <f>G220*(1-1)</f>
        <v>0</v>
      </c>
      <c r="AQ220" s="30" t="s">
        <v>118</v>
      </c>
      <c r="AV220" s="28">
        <f>ROUND(AW220+AX220,2)</f>
        <v>0</v>
      </c>
      <c r="AW220" s="28">
        <f>ROUND(F220*AO220,2)</f>
        <v>0</v>
      </c>
      <c r="AX220" s="28">
        <f>ROUND(F220*AP220,2)</f>
        <v>0</v>
      </c>
      <c r="AY220" s="30" t="s">
        <v>451</v>
      </c>
      <c r="AZ220" s="30" t="s">
        <v>438</v>
      </c>
      <c r="BA220" s="10" t="s">
        <v>63</v>
      </c>
      <c r="BC220" s="28">
        <f>AW220+AX220</f>
        <v>0</v>
      </c>
      <c r="BD220" s="28">
        <f>G220/(100-BE220)*100</f>
        <v>0</v>
      </c>
      <c r="BE220" s="28">
        <v>0</v>
      </c>
      <c r="BF220" s="28">
        <f>220</f>
        <v>220</v>
      </c>
      <c r="BH220" s="28">
        <f>F220*AO220</f>
        <v>0</v>
      </c>
      <c r="BI220" s="28">
        <f>F220*AP220</f>
        <v>0</v>
      </c>
      <c r="BJ220" s="28">
        <f>F220*G220</f>
        <v>0</v>
      </c>
      <c r="BK220" s="28"/>
      <c r="BL220" s="28">
        <v>767</v>
      </c>
      <c r="BW220" s="28">
        <v>21</v>
      </c>
      <c r="BX220" s="4" t="s">
        <v>454</v>
      </c>
    </row>
    <row r="221" spans="1:76" ht="14.4" x14ac:dyDescent="0.3">
      <c r="A221" s="31"/>
      <c r="C221" s="32" t="s">
        <v>455</v>
      </c>
      <c r="D221" s="32" t="s">
        <v>51</v>
      </c>
      <c r="F221" s="33">
        <v>71</v>
      </c>
      <c r="K221" s="34"/>
    </row>
    <row r="222" spans="1:76" ht="14.4" x14ac:dyDescent="0.3">
      <c r="A222" s="24" t="s">
        <v>51</v>
      </c>
      <c r="B222" s="25" t="s">
        <v>127</v>
      </c>
      <c r="C222" s="91" t="s">
        <v>456</v>
      </c>
      <c r="D222" s="92"/>
      <c r="E222" s="26" t="s">
        <v>4</v>
      </c>
      <c r="F222" s="26" t="s">
        <v>4</v>
      </c>
      <c r="G222" s="26" t="s">
        <v>4</v>
      </c>
      <c r="H222" s="1">
        <f>SUM(H223:H229)</f>
        <v>0</v>
      </c>
      <c r="I222" s="1">
        <f>SUM(I223:I229)</f>
        <v>0</v>
      </c>
      <c r="J222" s="1">
        <f>SUM(J223:J229)</f>
        <v>0</v>
      </c>
      <c r="K222" s="27" t="s">
        <v>51</v>
      </c>
      <c r="AI222" s="10" t="s">
        <v>55</v>
      </c>
      <c r="AS222" s="1">
        <f>SUM(AJ223:AJ229)</f>
        <v>0</v>
      </c>
      <c r="AT222" s="1">
        <f>SUM(AK223:AK229)</f>
        <v>0</v>
      </c>
      <c r="AU222" s="1">
        <f>SUM(AL223:AL229)</f>
        <v>0</v>
      </c>
    </row>
    <row r="223" spans="1:76" ht="14.4" x14ac:dyDescent="0.3">
      <c r="A223" s="2" t="s">
        <v>326</v>
      </c>
      <c r="B223" s="3" t="s">
        <v>457</v>
      </c>
      <c r="C223" s="75" t="s">
        <v>458</v>
      </c>
      <c r="D223" s="70"/>
      <c r="E223" s="3" t="s">
        <v>459</v>
      </c>
      <c r="F223" s="28">
        <v>2</v>
      </c>
      <c r="G223" s="28">
        <v>0</v>
      </c>
      <c r="H223" s="28">
        <f>ROUND(F223*AO223,2)</f>
        <v>0</v>
      </c>
      <c r="I223" s="28">
        <f>ROUND(F223*AP223,2)</f>
        <v>0</v>
      </c>
      <c r="J223" s="28">
        <f>ROUND(F223*G223,2)</f>
        <v>0</v>
      </c>
      <c r="K223" s="29" t="s">
        <v>60</v>
      </c>
      <c r="Z223" s="28">
        <f>ROUND(IF(AQ223="5",BJ223,0),2)</f>
        <v>0</v>
      </c>
      <c r="AB223" s="28">
        <f>ROUND(IF(AQ223="1",BH223,0),2)</f>
        <v>0</v>
      </c>
      <c r="AC223" s="28">
        <f>ROUND(IF(AQ223="1",BI223,0),2)</f>
        <v>0</v>
      </c>
      <c r="AD223" s="28">
        <f>ROUND(IF(AQ223="7",BH223,0),2)</f>
        <v>0</v>
      </c>
      <c r="AE223" s="28">
        <f>ROUND(IF(AQ223="7",BI223,0),2)</f>
        <v>0</v>
      </c>
      <c r="AF223" s="28">
        <f>ROUND(IF(AQ223="2",BH223,0),2)</f>
        <v>0</v>
      </c>
      <c r="AG223" s="28">
        <f>ROUND(IF(AQ223="2",BI223,0),2)</f>
        <v>0</v>
      </c>
      <c r="AH223" s="28">
        <f>ROUND(IF(AQ223="0",BJ223,0),2)</f>
        <v>0</v>
      </c>
      <c r="AI223" s="10" t="s">
        <v>55</v>
      </c>
      <c r="AJ223" s="28">
        <f>IF(AN223=0,J223,0)</f>
        <v>0</v>
      </c>
      <c r="AK223" s="28">
        <f>IF(AN223=12,J223,0)</f>
        <v>0</v>
      </c>
      <c r="AL223" s="28">
        <f>IF(AN223=21,J223,0)</f>
        <v>0</v>
      </c>
      <c r="AN223" s="28">
        <v>21</v>
      </c>
      <c r="AO223" s="28">
        <f>G223*0.943396226</f>
        <v>0</v>
      </c>
      <c r="AP223" s="28">
        <f>G223*(1-0.943396226)</f>
        <v>0</v>
      </c>
      <c r="AQ223" s="30" t="s">
        <v>56</v>
      </c>
      <c r="AV223" s="28">
        <f>ROUND(AW223+AX223,2)</f>
        <v>0</v>
      </c>
      <c r="AW223" s="28">
        <f>ROUND(F223*AO223,2)</f>
        <v>0</v>
      </c>
      <c r="AX223" s="28">
        <f>ROUND(F223*AP223,2)</f>
        <v>0</v>
      </c>
      <c r="AY223" s="30" t="s">
        <v>460</v>
      </c>
      <c r="AZ223" s="30" t="s">
        <v>461</v>
      </c>
      <c r="BA223" s="10" t="s">
        <v>63</v>
      </c>
      <c r="BC223" s="28">
        <f>AW223+AX223</f>
        <v>0</v>
      </c>
      <c r="BD223" s="28">
        <f>G223/(100-BE223)*100</f>
        <v>0</v>
      </c>
      <c r="BE223" s="28">
        <v>0</v>
      </c>
      <c r="BF223" s="28">
        <f>223</f>
        <v>223</v>
      </c>
      <c r="BH223" s="28">
        <f>F223*AO223</f>
        <v>0</v>
      </c>
      <c r="BI223" s="28">
        <f>F223*AP223</f>
        <v>0</v>
      </c>
      <c r="BJ223" s="28">
        <f>F223*G223</f>
        <v>0</v>
      </c>
      <c r="BK223" s="28"/>
      <c r="BL223" s="28">
        <v>8</v>
      </c>
      <c r="BW223" s="28">
        <v>21</v>
      </c>
      <c r="BX223" s="4" t="s">
        <v>458</v>
      </c>
    </row>
    <row r="224" spans="1:76" ht="14.4" x14ac:dyDescent="0.3">
      <c r="A224" s="2" t="s">
        <v>462</v>
      </c>
      <c r="B224" s="3" t="s">
        <v>463</v>
      </c>
      <c r="C224" s="75" t="s">
        <v>464</v>
      </c>
      <c r="D224" s="70"/>
      <c r="E224" s="3" t="s">
        <v>188</v>
      </c>
      <c r="F224" s="28">
        <v>40</v>
      </c>
      <c r="G224" s="28">
        <v>0</v>
      </c>
      <c r="H224" s="28">
        <f>ROUND(F224*AO224,2)</f>
        <v>0</v>
      </c>
      <c r="I224" s="28">
        <f>ROUND(F224*AP224,2)</f>
        <v>0</v>
      </c>
      <c r="J224" s="28">
        <f>ROUND(F224*G224,2)</f>
        <v>0</v>
      </c>
      <c r="K224" s="29" t="s">
        <v>60</v>
      </c>
      <c r="Z224" s="28">
        <f>ROUND(IF(AQ224="5",BJ224,0),2)</f>
        <v>0</v>
      </c>
      <c r="AB224" s="28">
        <f>ROUND(IF(AQ224="1",BH224,0),2)</f>
        <v>0</v>
      </c>
      <c r="AC224" s="28">
        <f>ROUND(IF(AQ224="1",BI224,0),2)</f>
        <v>0</v>
      </c>
      <c r="AD224" s="28">
        <f>ROUND(IF(AQ224="7",BH224,0),2)</f>
        <v>0</v>
      </c>
      <c r="AE224" s="28">
        <f>ROUND(IF(AQ224="7",BI224,0),2)</f>
        <v>0</v>
      </c>
      <c r="AF224" s="28">
        <f>ROUND(IF(AQ224="2",BH224,0),2)</f>
        <v>0</v>
      </c>
      <c r="AG224" s="28">
        <f>ROUND(IF(AQ224="2",BI224,0),2)</f>
        <v>0</v>
      </c>
      <c r="AH224" s="28">
        <f>ROUND(IF(AQ224="0",BJ224,0),2)</f>
        <v>0</v>
      </c>
      <c r="AI224" s="10" t="s">
        <v>55</v>
      </c>
      <c r="AJ224" s="28">
        <f>IF(AN224=0,J224,0)</f>
        <v>0</v>
      </c>
      <c r="AK224" s="28">
        <f>IF(AN224=12,J224,0)</f>
        <v>0</v>
      </c>
      <c r="AL224" s="28">
        <f>IF(AN224=21,J224,0)</f>
        <v>0</v>
      </c>
      <c r="AN224" s="28">
        <v>21</v>
      </c>
      <c r="AO224" s="28">
        <f>G224*0.020979021</f>
        <v>0</v>
      </c>
      <c r="AP224" s="28">
        <f>G224*(1-0.020979021)</f>
        <v>0</v>
      </c>
      <c r="AQ224" s="30" t="s">
        <v>56</v>
      </c>
      <c r="AV224" s="28">
        <f>ROUND(AW224+AX224,2)</f>
        <v>0</v>
      </c>
      <c r="AW224" s="28">
        <f>ROUND(F224*AO224,2)</f>
        <v>0</v>
      </c>
      <c r="AX224" s="28">
        <f>ROUND(F224*AP224,2)</f>
        <v>0</v>
      </c>
      <c r="AY224" s="30" t="s">
        <v>460</v>
      </c>
      <c r="AZ224" s="30" t="s">
        <v>461</v>
      </c>
      <c r="BA224" s="10" t="s">
        <v>63</v>
      </c>
      <c r="BC224" s="28">
        <f>AW224+AX224</f>
        <v>0</v>
      </c>
      <c r="BD224" s="28">
        <f>G224/(100-BE224)*100</f>
        <v>0</v>
      </c>
      <c r="BE224" s="28">
        <v>0</v>
      </c>
      <c r="BF224" s="28">
        <f>224</f>
        <v>224</v>
      </c>
      <c r="BH224" s="28">
        <f>F224*AO224</f>
        <v>0</v>
      </c>
      <c r="BI224" s="28">
        <f>F224*AP224</f>
        <v>0</v>
      </c>
      <c r="BJ224" s="28">
        <f>F224*G224</f>
        <v>0</v>
      </c>
      <c r="BK224" s="28"/>
      <c r="BL224" s="28">
        <v>8</v>
      </c>
      <c r="BW224" s="28">
        <v>21</v>
      </c>
      <c r="BX224" s="4" t="s">
        <v>464</v>
      </c>
    </row>
    <row r="225" spans="1:76" ht="14.4" x14ac:dyDescent="0.3">
      <c r="A225" s="2" t="s">
        <v>465</v>
      </c>
      <c r="B225" s="3" t="s">
        <v>466</v>
      </c>
      <c r="C225" s="75" t="s">
        <v>467</v>
      </c>
      <c r="D225" s="70"/>
      <c r="E225" s="3" t="s">
        <v>293</v>
      </c>
      <c r="F225" s="28">
        <v>2</v>
      </c>
      <c r="G225" s="28">
        <v>0</v>
      </c>
      <c r="H225" s="28">
        <f>ROUND(F225*AO225,2)</f>
        <v>0</v>
      </c>
      <c r="I225" s="28">
        <f>ROUND(F225*AP225,2)</f>
        <v>0</v>
      </c>
      <c r="J225" s="28">
        <f>ROUND(F225*G225,2)</f>
        <v>0</v>
      </c>
      <c r="K225" s="29" t="s">
        <v>60</v>
      </c>
      <c r="Z225" s="28">
        <f>ROUND(IF(AQ225="5",BJ225,0),2)</f>
        <v>0</v>
      </c>
      <c r="AB225" s="28">
        <f>ROUND(IF(AQ225="1",BH225,0),2)</f>
        <v>0</v>
      </c>
      <c r="AC225" s="28">
        <f>ROUND(IF(AQ225="1",BI225,0),2)</f>
        <v>0</v>
      </c>
      <c r="AD225" s="28">
        <f>ROUND(IF(AQ225="7",BH225,0),2)</f>
        <v>0</v>
      </c>
      <c r="AE225" s="28">
        <f>ROUND(IF(AQ225="7",BI225,0),2)</f>
        <v>0</v>
      </c>
      <c r="AF225" s="28">
        <f>ROUND(IF(AQ225="2",BH225,0),2)</f>
        <v>0</v>
      </c>
      <c r="AG225" s="28">
        <f>ROUND(IF(AQ225="2",BI225,0),2)</f>
        <v>0</v>
      </c>
      <c r="AH225" s="28">
        <f>ROUND(IF(AQ225="0",BJ225,0),2)</f>
        <v>0</v>
      </c>
      <c r="AI225" s="10" t="s">
        <v>55</v>
      </c>
      <c r="AJ225" s="28">
        <f>IF(AN225=0,J225,0)</f>
        <v>0</v>
      </c>
      <c r="AK225" s="28">
        <f>IF(AN225=12,J225,0)</f>
        <v>0</v>
      </c>
      <c r="AL225" s="28">
        <f>IF(AN225=21,J225,0)</f>
        <v>0</v>
      </c>
      <c r="AN225" s="28">
        <v>21</v>
      </c>
      <c r="AO225" s="28">
        <f>G225*0.979322932</f>
        <v>0</v>
      </c>
      <c r="AP225" s="28">
        <f>G225*(1-0.979322932)</f>
        <v>0</v>
      </c>
      <c r="AQ225" s="30" t="s">
        <v>56</v>
      </c>
      <c r="AV225" s="28">
        <f>ROUND(AW225+AX225,2)</f>
        <v>0</v>
      </c>
      <c r="AW225" s="28">
        <f>ROUND(F225*AO225,2)</f>
        <v>0</v>
      </c>
      <c r="AX225" s="28">
        <f>ROUND(F225*AP225,2)</f>
        <v>0</v>
      </c>
      <c r="AY225" s="30" t="s">
        <v>460</v>
      </c>
      <c r="AZ225" s="30" t="s">
        <v>461</v>
      </c>
      <c r="BA225" s="10" t="s">
        <v>63</v>
      </c>
      <c r="BC225" s="28">
        <f>AW225+AX225</f>
        <v>0</v>
      </c>
      <c r="BD225" s="28">
        <f>G225/(100-BE225)*100</f>
        <v>0</v>
      </c>
      <c r="BE225" s="28">
        <v>0</v>
      </c>
      <c r="BF225" s="28">
        <f>225</f>
        <v>225</v>
      </c>
      <c r="BH225" s="28">
        <f>F225*AO225</f>
        <v>0</v>
      </c>
      <c r="BI225" s="28">
        <f>F225*AP225</f>
        <v>0</v>
      </c>
      <c r="BJ225" s="28">
        <f>F225*G225</f>
        <v>0</v>
      </c>
      <c r="BK225" s="28"/>
      <c r="BL225" s="28">
        <v>8</v>
      </c>
      <c r="BW225" s="28">
        <v>21</v>
      </c>
      <c r="BX225" s="4" t="s">
        <v>467</v>
      </c>
    </row>
    <row r="226" spans="1:76" ht="14.4" x14ac:dyDescent="0.3">
      <c r="A226" s="31"/>
      <c r="C226" s="32" t="s">
        <v>56</v>
      </c>
      <c r="D226" s="32" t="s">
        <v>468</v>
      </c>
      <c r="F226" s="33">
        <v>1</v>
      </c>
      <c r="K226" s="34"/>
    </row>
    <row r="227" spans="1:76" ht="14.4" x14ac:dyDescent="0.3">
      <c r="A227" s="31"/>
      <c r="C227" s="32" t="s">
        <v>56</v>
      </c>
      <c r="D227" s="32" t="s">
        <v>469</v>
      </c>
      <c r="F227" s="33">
        <v>1</v>
      </c>
      <c r="K227" s="34"/>
    </row>
    <row r="228" spans="1:76" ht="14.4" x14ac:dyDescent="0.3">
      <c r="A228" s="2" t="s">
        <v>470</v>
      </c>
      <c r="B228" s="3" t="s">
        <v>471</v>
      </c>
      <c r="C228" s="75" t="s">
        <v>472</v>
      </c>
      <c r="D228" s="70"/>
      <c r="E228" s="3" t="s">
        <v>188</v>
      </c>
      <c r="F228" s="28">
        <v>40</v>
      </c>
      <c r="G228" s="28">
        <v>0</v>
      </c>
      <c r="H228" s="28">
        <f>ROUND(F228*AO228,2)</f>
        <v>0</v>
      </c>
      <c r="I228" s="28">
        <f>ROUND(F228*AP228,2)</f>
        <v>0</v>
      </c>
      <c r="J228" s="28">
        <f>ROUND(F228*G228,2)</f>
        <v>0</v>
      </c>
      <c r="K228" s="29" t="s">
        <v>60</v>
      </c>
      <c r="Z228" s="28">
        <f>ROUND(IF(AQ228="5",BJ228,0),2)</f>
        <v>0</v>
      </c>
      <c r="AB228" s="28">
        <f>ROUND(IF(AQ228="1",BH228,0),2)</f>
        <v>0</v>
      </c>
      <c r="AC228" s="28">
        <f>ROUND(IF(AQ228="1",BI228,0),2)</f>
        <v>0</v>
      </c>
      <c r="AD228" s="28">
        <f>ROUND(IF(AQ228="7",BH228,0),2)</f>
        <v>0</v>
      </c>
      <c r="AE228" s="28">
        <f>ROUND(IF(AQ228="7",BI228,0),2)</f>
        <v>0</v>
      </c>
      <c r="AF228" s="28">
        <f>ROUND(IF(AQ228="2",BH228,0),2)</f>
        <v>0</v>
      </c>
      <c r="AG228" s="28">
        <f>ROUND(IF(AQ228="2",BI228,0),2)</f>
        <v>0</v>
      </c>
      <c r="AH228" s="28">
        <f>ROUND(IF(AQ228="0",BJ228,0),2)</f>
        <v>0</v>
      </c>
      <c r="AI228" s="10" t="s">
        <v>55</v>
      </c>
      <c r="AJ228" s="28">
        <f>IF(AN228=0,J228,0)</f>
        <v>0</v>
      </c>
      <c r="AK228" s="28">
        <f>IF(AN228=12,J228,0)</f>
        <v>0</v>
      </c>
      <c r="AL228" s="28">
        <f>IF(AN228=21,J228,0)</f>
        <v>0</v>
      </c>
      <c r="AN228" s="28">
        <v>21</v>
      </c>
      <c r="AO228" s="28">
        <f>G228*1</f>
        <v>0</v>
      </c>
      <c r="AP228" s="28">
        <f>G228*(1-1)</f>
        <v>0</v>
      </c>
      <c r="AQ228" s="30" t="s">
        <v>56</v>
      </c>
      <c r="AV228" s="28">
        <f>ROUND(AW228+AX228,2)</f>
        <v>0</v>
      </c>
      <c r="AW228" s="28">
        <f>ROUND(F228*AO228,2)</f>
        <v>0</v>
      </c>
      <c r="AX228" s="28">
        <f>ROUND(F228*AP228,2)</f>
        <v>0</v>
      </c>
      <c r="AY228" s="30" t="s">
        <v>460</v>
      </c>
      <c r="AZ228" s="30" t="s">
        <v>461</v>
      </c>
      <c r="BA228" s="10" t="s">
        <v>63</v>
      </c>
      <c r="BC228" s="28">
        <f>AW228+AX228</f>
        <v>0</v>
      </c>
      <c r="BD228" s="28">
        <f>G228/(100-BE228)*100</f>
        <v>0</v>
      </c>
      <c r="BE228" s="28">
        <v>0</v>
      </c>
      <c r="BF228" s="28">
        <f>228</f>
        <v>228</v>
      </c>
      <c r="BH228" s="28">
        <f>F228*AO228</f>
        <v>0</v>
      </c>
      <c r="BI228" s="28">
        <f>F228*AP228</f>
        <v>0</v>
      </c>
      <c r="BJ228" s="28">
        <f>F228*G228</f>
        <v>0</v>
      </c>
      <c r="BK228" s="28"/>
      <c r="BL228" s="28">
        <v>8</v>
      </c>
      <c r="BW228" s="28">
        <v>21</v>
      </c>
      <c r="BX228" s="4" t="s">
        <v>472</v>
      </c>
    </row>
    <row r="229" spans="1:76" ht="14.4" x14ac:dyDescent="0.3">
      <c r="A229" s="2" t="s">
        <v>473</v>
      </c>
      <c r="B229" s="3" t="s">
        <v>474</v>
      </c>
      <c r="C229" s="75" t="s">
        <v>475</v>
      </c>
      <c r="D229" s="70"/>
      <c r="E229" s="3" t="s">
        <v>188</v>
      </c>
      <c r="F229" s="28">
        <v>73.13</v>
      </c>
      <c r="G229" s="28">
        <v>0</v>
      </c>
      <c r="H229" s="28">
        <f>ROUND(F229*AO229,2)</f>
        <v>0</v>
      </c>
      <c r="I229" s="28">
        <f>ROUND(F229*AP229,2)</f>
        <v>0</v>
      </c>
      <c r="J229" s="28">
        <f>ROUND(F229*G229,2)</f>
        <v>0</v>
      </c>
      <c r="K229" s="29" t="s">
        <v>60</v>
      </c>
      <c r="Z229" s="28">
        <f>ROUND(IF(AQ229="5",BJ229,0),2)</f>
        <v>0</v>
      </c>
      <c r="AB229" s="28">
        <f>ROUND(IF(AQ229="1",BH229,0),2)</f>
        <v>0</v>
      </c>
      <c r="AC229" s="28">
        <f>ROUND(IF(AQ229="1",BI229,0),2)</f>
        <v>0</v>
      </c>
      <c r="AD229" s="28">
        <f>ROUND(IF(AQ229="7",BH229,0),2)</f>
        <v>0</v>
      </c>
      <c r="AE229" s="28">
        <f>ROUND(IF(AQ229="7",BI229,0),2)</f>
        <v>0</v>
      </c>
      <c r="AF229" s="28">
        <f>ROUND(IF(AQ229="2",BH229,0),2)</f>
        <v>0</v>
      </c>
      <c r="AG229" s="28">
        <f>ROUND(IF(AQ229="2",BI229,0),2)</f>
        <v>0</v>
      </c>
      <c r="AH229" s="28">
        <f>ROUND(IF(AQ229="0",BJ229,0),2)</f>
        <v>0</v>
      </c>
      <c r="AI229" s="10" t="s">
        <v>55</v>
      </c>
      <c r="AJ229" s="28">
        <f>IF(AN229=0,J229,0)</f>
        <v>0</v>
      </c>
      <c r="AK229" s="28">
        <f>IF(AN229=12,J229,0)</f>
        <v>0</v>
      </c>
      <c r="AL229" s="28">
        <f>IF(AN229=21,J229,0)</f>
        <v>0</v>
      </c>
      <c r="AN229" s="28">
        <v>21</v>
      </c>
      <c r="AO229" s="28">
        <f>G229*1.000000773</f>
        <v>0</v>
      </c>
      <c r="AP229" s="28">
        <f>G229*(1-1.000000773)</f>
        <v>0</v>
      </c>
      <c r="AQ229" s="30" t="s">
        <v>56</v>
      </c>
      <c r="AV229" s="28">
        <f>ROUND(AW229+AX229,2)</f>
        <v>0</v>
      </c>
      <c r="AW229" s="28">
        <f>ROUND(F229*AO229,2)</f>
        <v>0</v>
      </c>
      <c r="AX229" s="28">
        <f>ROUND(F229*AP229,2)</f>
        <v>0</v>
      </c>
      <c r="AY229" s="30" t="s">
        <v>460</v>
      </c>
      <c r="AZ229" s="30" t="s">
        <v>461</v>
      </c>
      <c r="BA229" s="10" t="s">
        <v>63</v>
      </c>
      <c r="BC229" s="28">
        <f>AW229+AX229</f>
        <v>0</v>
      </c>
      <c r="BD229" s="28">
        <f>G229/(100-BE229)*100</f>
        <v>0</v>
      </c>
      <c r="BE229" s="28">
        <v>0</v>
      </c>
      <c r="BF229" s="28">
        <f>229</f>
        <v>229</v>
      </c>
      <c r="BH229" s="28">
        <f>F229*AO229</f>
        <v>0</v>
      </c>
      <c r="BI229" s="28">
        <f>F229*AP229</f>
        <v>0</v>
      </c>
      <c r="BJ229" s="28">
        <f>F229*G229</f>
        <v>0</v>
      </c>
      <c r="BK229" s="28"/>
      <c r="BL229" s="28">
        <v>8</v>
      </c>
      <c r="BW229" s="28">
        <v>21</v>
      </c>
      <c r="BX229" s="4" t="s">
        <v>475</v>
      </c>
    </row>
    <row r="230" spans="1:76" ht="14.4" x14ac:dyDescent="0.3">
      <c r="A230" s="31"/>
      <c r="C230" s="32" t="s">
        <v>476</v>
      </c>
      <c r="D230" s="32" t="s">
        <v>51</v>
      </c>
      <c r="F230" s="33">
        <v>73.13</v>
      </c>
      <c r="K230" s="34"/>
    </row>
    <row r="231" spans="1:76" ht="14.4" x14ac:dyDescent="0.3">
      <c r="A231" s="24" t="s">
        <v>51</v>
      </c>
      <c r="B231" s="25" t="s">
        <v>477</v>
      </c>
      <c r="C231" s="91" t="s">
        <v>478</v>
      </c>
      <c r="D231" s="92"/>
      <c r="E231" s="26" t="s">
        <v>4</v>
      </c>
      <c r="F231" s="26" t="s">
        <v>4</v>
      </c>
      <c r="G231" s="26" t="s">
        <v>4</v>
      </c>
      <c r="H231" s="1">
        <f>SUM(H232:H232)</f>
        <v>0</v>
      </c>
      <c r="I231" s="1">
        <f>SUM(I232:I232)</f>
        <v>0</v>
      </c>
      <c r="J231" s="1">
        <f>SUM(J232:J232)</f>
        <v>0</v>
      </c>
      <c r="K231" s="27" t="s">
        <v>51</v>
      </c>
      <c r="AI231" s="10" t="s">
        <v>55</v>
      </c>
      <c r="AS231" s="1">
        <f>SUM(AJ232:AJ232)</f>
        <v>0</v>
      </c>
      <c r="AT231" s="1">
        <f>SUM(AK232:AK232)</f>
        <v>0</v>
      </c>
      <c r="AU231" s="1">
        <f>SUM(AL232:AL232)</f>
        <v>0</v>
      </c>
    </row>
    <row r="232" spans="1:76" ht="14.4" x14ac:dyDescent="0.3">
      <c r="A232" s="2" t="s">
        <v>479</v>
      </c>
      <c r="B232" s="3" t="s">
        <v>480</v>
      </c>
      <c r="C232" s="75" t="s">
        <v>481</v>
      </c>
      <c r="D232" s="70"/>
      <c r="E232" s="3" t="s">
        <v>293</v>
      </c>
      <c r="F232" s="28">
        <v>1</v>
      </c>
      <c r="G232" s="28">
        <v>0</v>
      </c>
      <c r="H232" s="28">
        <f>ROUND(F232*AO232,2)</f>
        <v>0</v>
      </c>
      <c r="I232" s="28">
        <f>ROUND(F232*AP232,2)</f>
        <v>0</v>
      </c>
      <c r="J232" s="28">
        <f>ROUND(F232*G232,2)</f>
        <v>0</v>
      </c>
      <c r="K232" s="29" t="s">
        <v>60</v>
      </c>
      <c r="Z232" s="28">
        <f>ROUND(IF(AQ232="5",BJ232,0),2)</f>
        <v>0</v>
      </c>
      <c r="AB232" s="28">
        <f>ROUND(IF(AQ232="1",BH232,0),2)</f>
        <v>0</v>
      </c>
      <c r="AC232" s="28">
        <f>ROUND(IF(AQ232="1",BI232,0),2)</f>
        <v>0</v>
      </c>
      <c r="AD232" s="28">
        <f>ROUND(IF(AQ232="7",BH232,0),2)</f>
        <v>0</v>
      </c>
      <c r="AE232" s="28">
        <f>ROUND(IF(AQ232="7",BI232,0),2)</f>
        <v>0</v>
      </c>
      <c r="AF232" s="28">
        <f>ROUND(IF(AQ232="2",BH232,0),2)</f>
        <v>0</v>
      </c>
      <c r="AG232" s="28">
        <f>ROUND(IF(AQ232="2",BI232,0),2)</f>
        <v>0</v>
      </c>
      <c r="AH232" s="28">
        <f>ROUND(IF(AQ232="0",BJ232,0),2)</f>
        <v>0</v>
      </c>
      <c r="AI232" s="10" t="s">
        <v>55</v>
      </c>
      <c r="AJ232" s="28">
        <f>IF(AN232=0,J232,0)</f>
        <v>0</v>
      </c>
      <c r="AK232" s="28">
        <f>IF(AN232=12,J232,0)</f>
        <v>0</v>
      </c>
      <c r="AL232" s="28">
        <f>IF(AN232=21,J232,0)</f>
        <v>0</v>
      </c>
      <c r="AN232" s="28">
        <v>21</v>
      </c>
      <c r="AO232" s="28">
        <f>G232*0.475345485</f>
        <v>0</v>
      </c>
      <c r="AP232" s="28">
        <f>G232*(1-0.475345485)</f>
        <v>0</v>
      </c>
      <c r="AQ232" s="30" t="s">
        <v>56</v>
      </c>
      <c r="AV232" s="28">
        <f>ROUND(AW232+AX232,2)</f>
        <v>0</v>
      </c>
      <c r="AW232" s="28">
        <f>ROUND(F232*AO232,2)</f>
        <v>0</v>
      </c>
      <c r="AX232" s="28">
        <f>ROUND(F232*AP232,2)</f>
        <v>0</v>
      </c>
      <c r="AY232" s="30" t="s">
        <v>482</v>
      </c>
      <c r="AZ232" s="30" t="s">
        <v>461</v>
      </c>
      <c r="BA232" s="10" t="s">
        <v>63</v>
      </c>
      <c r="BC232" s="28">
        <f>AW232+AX232</f>
        <v>0</v>
      </c>
      <c r="BD232" s="28">
        <f>G232/(100-BE232)*100</f>
        <v>0</v>
      </c>
      <c r="BE232" s="28">
        <v>0</v>
      </c>
      <c r="BF232" s="28">
        <f>232</f>
        <v>232</v>
      </c>
      <c r="BH232" s="28">
        <f>F232*AO232</f>
        <v>0</v>
      </c>
      <c r="BI232" s="28">
        <f>F232*AP232</f>
        <v>0</v>
      </c>
      <c r="BJ232" s="28">
        <f>F232*G232</f>
        <v>0</v>
      </c>
      <c r="BK232" s="28"/>
      <c r="BL232" s="28">
        <v>84</v>
      </c>
      <c r="BW232" s="28">
        <v>21</v>
      </c>
      <c r="BX232" s="4" t="s">
        <v>481</v>
      </c>
    </row>
    <row r="233" spans="1:76" ht="13.5" customHeight="1" x14ac:dyDescent="0.3">
      <c r="A233" s="31"/>
      <c r="B233" s="35" t="s">
        <v>105</v>
      </c>
      <c r="C233" s="96" t="s">
        <v>483</v>
      </c>
      <c r="D233" s="97"/>
      <c r="E233" s="97"/>
      <c r="F233" s="97"/>
      <c r="G233" s="97"/>
      <c r="H233" s="97"/>
      <c r="I233" s="97"/>
      <c r="J233" s="97"/>
      <c r="K233" s="98"/>
    </row>
    <row r="234" spans="1:76" ht="118.8" x14ac:dyDescent="0.3">
      <c r="A234" s="31"/>
      <c r="B234" s="35" t="s">
        <v>68</v>
      </c>
      <c r="C234" s="93" t="s">
        <v>484</v>
      </c>
      <c r="D234" s="94"/>
      <c r="E234" s="94"/>
      <c r="F234" s="94"/>
      <c r="G234" s="94"/>
      <c r="H234" s="94"/>
      <c r="I234" s="94"/>
      <c r="J234" s="94"/>
      <c r="K234" s="95"/>
      <c r="BX234" s="36" t="s">
        <v>484</v>
      </c>
    </row>
    <row r="235" spans="1:76" ht="14.4" x14ac:dyDescent="0.3">
      <c r="A235" s="24" t="s">
        <v>51</v>
      </c>
      <c r="B235" s="25" t="s">
        <v>485</v>
      </c>
      <c r="C235" s="91" t="s">
        <v>486</v>
      </c>
      <c r="D235" s="92"/>
      <c r="E235" s="26" t="s">
        <v>4</v>
      </c>
      <c r="F235" s="26" t="s">
        <v>4</v>
      </c>
      <c r="G235" s="26" t="s">
        <v>4</v>
      </c>
      <c r="H235" s="1">
        <f>SUM(H236:H258)</f>
        <v>0</v>
      </c>
      <c r="I235" s="1">
        <f>SUM(I236:I258)</f>
        <v>0</v>
      </c>
      <c r="J235" s="1">
        <f>SUM(J236:J258)</f>
        <v>0</v>
      </c>
      <c r="K235" s="27" t="s">
        <v>51</v>
      </c>
      <c r="AI235" s="10" t="s">
        <v>55</v>
      </c>
      <c r="AS235" s="1">
        <f>SUM(AJ236:AJ258)</f>
        <v>0</v>
      </c>
      <c r="AT235" s="1">
        <f>SUM(AK236:AK258)</f>
        <v>0</v>
      </c>
      <c r="AU235" s="1">
        <f>SUM(AL236:AL258)</f>
        <v>0</v>
      </c>
    </row>
    <row r="236" spans="1:76" ht="14.4" x14ac:dyDescent="0.3">
      <c r="A236" s="2" t="s">
        <v>487</v>
      </c>
      <c r="B236" s="3" t="s">
        <v>488</v>
      </c>
      <c r="C236" s="75" t="s">
        <v>489</v>
      </c>
      <c r="D236" s="70"/>
      <c r="E236" s="3" t="s">
        <v>188</v>
      </c>
      <c r="F236" s="28">
        <v>60</v>
      </c>
      <c r="G236" s="28">
        <v>0</v>
      </c>
      <c r="H236" s="28">
        <f>ROUND(F236*AO236,2)</f>
        <v>0</v>
      </c>
      <c r="I236" s="28">
        <f>ROUND(F236*AP236,2)</f>
        <v>0</v>
      </c>
      <c r="J236" s="28">
        <f>ROUND(F236*G236,2)</f>
        <v>0</v>
      </c>
      <c r="K236" s="29" t="s">
        <v>60</v>
      </c>
      <c r="Z236" s="28">
        <f>ROUND(IF(AQ236="5",BJ236,0),2)</f>
        <v>0</v>
      </c>
      <c r="AB236" s="28">
        <f>ROUND(IF(AQ236="1",BH236,0),2)</f>
        <v>0</v>
      </c>
      <c r="AC236" s="28">
        <f>ROUND(IF(AQ236="1",BI236,0),2)</f>
        <v>0</v>
      </c>
      <c r="AD236" s="28">
        <f>ROUND(IF(AQ236="7",BH236,0),2)</f>
        <v>0</v>
      </c>
      <c r="AE236" s="28">
        <f>ROUND(IF(AQ236="7",BI236,0),2)</f>
        <v>0</v>
      </c>
      <c r="AF236" s="28">
        <f>ROUND(IF(AQ236="2",BH236,0),2)</f>
        <v>0</v>
      </c>
      <c r="AG236" s="28">
        <f>ROUND(IF(AQ236="2",BI236,0),2)</f>
        <v>0</v>
      </c>
      <c r="AH236" s="28">
        <f>ROUND(IF(AQ236="0",BJ236,0),2)</f>
        <v>0</v>
      </c>
      <c r="AI236" s="10" t="s">
        <v>55</v>
      </c>
      <c r="AJ236" s="28">
        <f>IF(AN236=0,J236,0)</f>
        <v>0</v>
      </c>
      <c r="AK236" s="28">
        <f>IF(AN236=12,J236,0)</f>
        <v>0</v>
      </c>
      <c r="AL236" s="28">
        <f>IF(AN236=21,J236,0)</f>
        <v>0</v>
      </c>
      <c r="AN236" s="28">
        <v>21</v>
      </c>
      <c r="AO236" s="28">
        <f>G236*0</f>
        <v>0</v>
      </c>
      <c r="AP236" s="28">
        <f>G236*(1-0)</f>
        <v>0</v>
      </c>
      <c r="AQ236" s="30" t="s">
        <v>56</v>
      </c>
      <c r="AV236" s="28">
        <f>ROUND(AW236+AX236,2)</f>
        <v>0</v>
      </c>
      <c r="AW236" s="28">
        <f>ROUND(F236*AO236,2)</f>
        <v>0</v>
      </c>
      <c r="AX236" s="28">
        <f>ROUND(F236*AP236,2)</f>
        <v>0</v>
      </c>
      <c r="AY236" s="30" t="s">
        <v>490</v>
      </c>
      <c r="AZ236" s="30" t="s">
        <v>461</v>
      </c>
      <c r="BA236" s="10" t="s">
        <v>63</v>
      </c>
      <c r="BC236" s="28">
        <f>AW236+AX236</f>
        <v>0</v>
      </c>
      <c r="BD236" s="28">
        <f>G236/(100-BE236)*100</f>
        <v>0</v>
      </c>
      <c r="BE236" s="28">
        <v>0</v>
      </c>
      <c r="BF236" s="28">
        <f>236</f>
        <v>236</v>
      </c>
      <c r="BH236" s="28">
        <f>F236*AO236</f>
        <v>0</v>
      </c>
      <c r="BI236" s="28">
        <f>F236*AP236</f>
        <v>0</v>
      </c>
      <c r="BJ236" s="28">
        <f>F236*G236</f>
        <v>0</v>
      </c>
      <c r="BK236" s="28"/>
      <c r="BL236" s="28">
        <v>87</v>
      </c>
      <c r="BW236" s="28">
        <v>21</v>
      </c>
      <c r="BX236" s="4" t="s">
        <v>489</v>
      </c>
    </row>
    <row r="237" spans="1:76" ht="14.4" x14ac:dyDescent="0.3">
      <c r="A237" s="31"/>
      <c r="C237" s="32" t="s">
        <v>295</v>
      </c>
      <c r="D237" s="32" t="s">
        <v>491</v>
      </c>
      <c r="F237" s="33">
        <v>35</v>
      </c>
      <c r="K237" s="34"/>
    </row>
    <row r="238" spans="1:76" ht="14.4" x14ac:dyDescent="0.3">
      <c r="A238" s="31"/>
      <c r="C238" s="32" t="s">
        <v>98</v>
      </c>
      <c r="D238" s="32" t="s">
        <v>492</v>
      </c>
      <c r="F238" s="33">
        <v>15</v>
      </c>
      <c r="K238" s="34"/>
    </row>
    <row r="239" spans="1:76" ht="14.4" x14ac:dyDescent="0.3">
      <c r="A239" s="31"/>
      <c r="C239" s="32" t="s">
        <v>135</v>
      </c>
      <c r="D239" s="32" t="s">
        <v>493</v>
      </c>
      <c r="F239" s="33">
        <v>10</v>
      </c>
      <c r="K239" s="34"/>
    </row>
    <row r="240" spans="1:76" ht="66" x14ac:dyDescent="0.3">
      <c r="A240" s="31"/>
      <c r="B240" s="35" t="s">
        <v>68</v>
      </c>
      <c r="C240" s="93" t="s">
        <v>494</v>
      </c>
      <c r="D240" s="94"/>
      <c r="E240" s="94"/>
      <c r="F240" s="94"/>
      <c r="G240" s="94"/>
      <c r="H240" s="94"/>
      <c r="I240" s="94"/>
      <c r="J240" s="94"/>
      <c r="K240" s="95"/>
      <c r="BX240" s="36" t="s">
        <v>494</v>
      </c>
    </row>
    <row r="241" spans="1:76" ht="14.4" x14ac:dyDescent="0.3">
      <c r="A241" s="2" t="s">
        <v>495</v>
      </c>
      <c r="B241" s="3" t="s">
        <v>496</v>
      </c>
      <c r="C241" s="75" t="s">
        <v>497</v>
      </c>
      <c r="D241" s="70"/>
      <c r="E241" s="3" t="s">
        <v>293</v>
      </c>
      <c r="F241" s="28">
        <v>7</v>
      </c>
      <c r="G241" s="28">
        <v>0</v>
      </c>
      <c r="H241" s="28">
        <f>ROUND(F241*AO241,2)</f>
        <v>0</v>
      </c>
      <c r="I241" s="28">
        <f>ROUND(F241*AP241,2)</f>
        <v>0</v>
      </c>
      <c r="J241" s="28">
        <f>ROUND(F241*G241,2)</f>
        <v>0</v>
      </c>
      <c r="K241" s="29" t="s">
        <v>60</v>
      </c>
      <c r="Z241" s="28">
        <f>ROUND(IF(AQ241="5",BJ241,0),2)</f>
        <v>0</v>
      </c>
      <c r="AB241" s="28">
        <f>ROUND(IF(AQ241="1",BH241,0),2)</f>
        <v>0</v>
      </c>
      <c r="AC241" s="28">
        <f>ROUND(IF(AQ241="1",BI241,0),2)</f>
        <v>0</v>
      </c>
      <c r="AD241" s="28">
        <f>ROUND(IF(AQ241="7",BH241,0),2)</f>
        <v>0</v>
      </c>
      <c r="AE241" s="28">
        <f>ROUND(IF(AQ241="7",BI241,0),2)</f>
        <v>0</v>
      </c>
      <c r="AF241" s="28">
        <f>ROUND(IF(AQ241="2",BH241,0),2)</f>
        <v>0</v>
      </c>
      <c r="AG241" s="28">
        <f>ROUND(IF(AQ241="2",BI241,0),2)</f>
        <v>0</v>
      </c>
      <c r="AH241" s="28">
        <f>ROUND(IF(AQ241="0",BJ241,0),2)</f>
        <v>0</v>
      </c>
      <c r="AI241" s="10" t="s">
        <v>55</v>
      </c>
      <c r="AJ241" s="28">
        <f>IF(AN241=0,J241,0)</f>
        <v>0</v>
      </c>
      <c r="AK241" s="28">
        <f>IF(AN241=12,J241,0)</f>
        <v>0</v>
      </c>
      <c r="AL241" s="28">
        <f>IF(AN241=21,J241,0)</f>
        <v>0</v>
      </c>
      <c r="AN241" s="28">
        <v>21</v>
      </c>
      <c r="AO241" s="28">
        <f>G241*1</f>
        <v>0</v>
      </c>
      <c r="AP241" s="28">
        <f>G241*(1-1)</f>
        <v>0</v>
      </c>
      <c r="AQ241" s="30" t="s">
        <v>56</v>
      </c>
      <c r="AV241" s="28">
        <f>ROUND(AW241+AX241,2)</f>
        <v>0</v>
      </c>
      <c r="AW241" s="28">
        <f>ROUND(F241*AO241,2)</f>
        <v>0</v>
      </c>
      <c r="AX241" s="28">
        <f>ROUND(F241*AP241,2)</f>
        <v>0</v>
      </c>
      <c r="AY241" s="30" t="s">
        <v>490</v>
      </c>
      <c r="AZ241" s="30" t="s">
        <v>461</v>
      </c>
      <c r="BA241" s="10" t="s">
        <v>63</v>
      </c>
      <c r="BC241" s="28">
        <f>AW241+AX241</f>
        <v>0</v>
      </c>
      <c r="BD241" s="28">
        <f>G241/(100-BE241)*100</f>
        <v>0</v>
      </c>
      <c r="BE241" s="28">
        <v>0</v>
      </c>
      <c r="BF241" s="28">
        <f>241</f>
        <v>241</v>
      </c>
      <c r="BH241" s="28">
        <f>F241*AO241</f>
        <v>0</v>
      </c>
      <c r="BI241" s="28">
        <f>F241*AP241</f>
        <v>0</v>
      </c>
      <c r="BJ241" s="28">
        <f>F241*G241</f>
        <v>0</v>
      </c>
      <c r="BK241" s="28"/>
      <c r="BL241" s="28">
        <v>87</v>
      </c>
      <c r="BW241" s="28">
        <v>21</v>
      </c>
      <c r="BX241" s="4" t="s">
        <v>497</v>
      </c>
    </row>
    <row r="242" spans="1:76" ht="118.8" x14ac:dyDescent="0.3">
      <c r="A242" s="31"/>
      <c r="B242" s="35" t="s">
        <v>68</v>
      </c>
      <c r="C242" s="93" t="s">
        <v>498</v>
      </c>
      <c r="D242" s="94"/>
      <c r="E242" s="94"/>
      <c r="F242" s="94"/>
      <c r="G242" s="94"/>
      <c r="H242" s="94"/>
      <c r="I242" s="94"/>
      <c r="J242" s="94"/>
      <c r="K242" s="95"/>
      <c r="BX242" s="36" t="s">
        <v>498</v>
      </c>
    </row>
    <row r="243" spans="1:76" ht="14.4" x14ac:dyDescent="0.3">
      <c r="A243" s="2" t="s">
        <v>499</v>
      </c>
      <c r="B243" s="3" t="s">
        <v>500</v>
      </c>
      <c r="C243" s="75" t="s">
        <v>501</v>
      </c>
      <c r="D243" s="70"/>
      <c r="E243" s="3" t="s">
        <v>293</v>
      </c>
      <c r="F243" s="28">
        <v>1</v>
      </c>
      <c r="G243" s="28">
        <v>0</v>
      </c>
      <c r="H243" s="28">
        <f>ROUND(F243*AO243,2)</f>
        <v>0</v>
      </c>
      <c r="I243" s="28">
        <f>ROUND(F243*AP243,2)</f>
        <v>0</v>
      </c>
      <c r="J243" s="28">
        <f>ROUND(F243*G243,2)</f>
        <v>0</v>
      </c>
      <c r="K243" s="29" t="s">
        <v>60</v>
      </c>
      <c r="Z243" s="28">
        <f>ROUND(IF(AQ243="5",BJ243,0),2)</f>
        <v>0</v>
      </c>
      <c r="AB243" s="28">
        <f>ROUND(IF(AQ243="1",BH243,0),2)</f>
        <v>0</v>
      </c>
      <c r="AC243" s="28">
        <f>ROUND(IF(AQ243="1",BI243,0),2)</f>
        <v>0</v>
      </c>
      <c r="AD243" s="28">
        <f>ROUND(IF(AQ243="7",BH243,0),2)</f>
        <v>0</v>
      </c>
      <c r="AE243" s="28">
        <f>ROUND(IF(AQ243="7",BI243,0),2)</f>
        <v>0</v>
      </c>
      <c r="AF243" s="28">
        <f>ROUND(IF(AQ243="2",BH243,0),2)</f>
        <v>0</v>
      </c>
      <c r="AG243" s="28">
        <f>ROUND(IF(AQ243="2",BI243,0),2)</f>
        <v>0</v>
      </c>
      <c r="AH243" s="28">
        <f>ROUND(IF(AQ243="0",BJ243,0),2)</f>
        <v>0</v>
      </c>
      <c r="AI243" s="10" t="s">
        <v>55</v>
      </c>
      <c r="AJ243" s="28">
        <f>IF(AN243=0,J243,0)</f>
        <v>0</v>
      </c>
      <c r="AK243" s="28">
        <f>IF(AN243=12,J243,0)</f>
        <v>0</v>
      </c>
      <c r="AL243" s="28">
        <f>IF(AN243=21,J243,0)</f>
        <v>0</v>
      </c>
      <c r="AN243" s="28">
        <v>21</v>
      </c>
      <c r="AO243" s="28">
        <f>G243*1</f>
        <v>0</v>
      </c>
      <c r="AP243" s="28">
        <f>G243*(1-1)</f>
        <v>0</v>
      </c>
      <c r="AQ243" s="30" t="s">
        <v>56</v>
      </c>
      <c r="AV243" s="28">
        <f>ROUND(AW243+AX243,2)</f>
        <v>0</v>
      </c>
      <c r="AW243" s="28">
        <f>ROUND(F243*AO243,2)</f>
        <v>0</v>
      </c>
      <c r="AX243" s="28">
        <f>ROUND(F243*AP243,2)</f>
        <v>0</v>
      </c>
      <c r="AY243" s="30" t="s">
        <v>490</v>
      </c>
      <c r="AZ243" s="30" t="s">
        <v>461</v>
      </c>
      <c r="BA243" s="10" t="s">
        <v>63</v>
      </c>
      <c r="BC243" s="28">
        <f>AW243+AX243</f>
        <v>0</v>
      </c>
      <c r="BD243" s="28">
        <f>G243/(100-BE243)*100</f>
        <v>0</v>
      </c>
      <c r="BE243" s="28">
        <v>0</v>
      </c>
      <c r="BF243" s="28">
        <f>243</f>
        <v>243</v>
      </c>
      <c r="BH243" s="28">
        <f>F243*AO243</f>
        <v>0</v>
      </c>
      <c r="BI243" s="28">
        <f>F243*AP243</f>
        <v>0</v>
      </c>
      <c r="BJ243" s="28">
        <f>F243*G243</f>
        <v>0</v>
      </c>
      <c r="BK243" s="28"/>
      <c r="BL243" s="28">
        <v>87</v>
      </c>
      <c r="BW243" s="28">
        <v>21</v>
      </c>
      <c r="BX243" s="4" t="s">
        <v>501</v>
      </c>
    </row>
    <row r="244" spans="1:76" ht="118.8" x14ac:dyDescent="0.3">
      <c r="A244" s="31"/>
      <c r="B244" s="35" t="s">
        <v>68</v>
      </c>
      <c r="C244" s="93" t="s">
        <v>502</v>
      </c>
      <c r="D244" s="94"/>
      <c r="E244" s="94"/>
      <c r="F244" s="94"/>
      <c r="G244" s="94"/>
      <c r="H244" s="94"/>
      <c r="I244" s="94"/>
      <c r="J244" s="94"/>
      <c r="K244" s="95"/>
      <c r="BX244" s="36" t="s">
        <v>502</v>
      </c>
    </row>
    <row r="245" spans="1:76" ht="14.4" x14ac:dyDescent="0.3">
      <c r="A245" s="2" t="s">
        <v>503</v>
      </c>
      <c r="B245" s="3" t="s">
        <v>504</v>
      </c>
      <c r="C245" s="75" t="s">
        <v>505</v>
      </c>
      <c r="D245" s="70"/>
      <c r="E245" s="3" t="s">
        <v>293</v>
      </c>
      <c r="F245" s="28">
        <v>2</v>
      </c>
      <c r="G245" s="28">
        <v>0</v>
      </c>
      <c r="H245" s="28">
        <f>ROUND(F245*AO245,2)</f>
        <v>0</v>
      </c>
      <c r="I245" s="28">
        <f>ROUND(F245*AP245,2)</f>
        <v>0</v>
      </c>
      <c r="J245" s="28">
        <f>ROUND(F245*G245,2)</f>
        <v>0</v>
      </c>
      <c r="K245" s="29" t="s">
        <v>60</v>
      </c>
      <c r="Z245" s="28">
        <f>ROUND(IF(AQ245="5",BJ245,0),2)</f>
        <v>0</v>
      </c>
      <c r="AB245" s="28">
        <f>ROUND(IF(AQ245="1",BH245,0),2)</f>
        <v>0</v>
      </c>
      <c r="AC245" s="28">
        <f>ROUND(IF(AQ245="1",BI245,0),2)</f>
        <v>0</v>
      </c>
      <c r="AD245" s="28">
        <f>ROUND(IF(AQ245="7",BH245,0),2)</f>
        <v>0</v>
      </c>
      <c r="AE245" s="28">
        <f>ROUND(IF(AQ245="7",BI245,0),2)</f>
        <v>0</v>
      </c>
      <c r="AF245" s="28">
        <f>ROUND(IF(AQ245="2",BH245,0),2)</f>
        <v>0</v>
      </c>
      <c r="AG245" s="28">
        <f>ROUND(IF(AQ245="2",BI245,0),2)</f>
        <v>0</v>
      </c>
      <c r="AH245" s="28">
        <f>ROUND(IF(AQ245="0",BJ245,0),2)</f>
        <v>0</v>
      </c>
      <c r="AI245" s="10" t="s">
        <v>55</v>
      </c>
      <c r="AJ245" s="28">
        <f>IF(AN245=0,J245,0)</f>
        <v>0</v>
      </c>
      <c r="AK245" s="28">
        <f>IF(AN245=12,J245,0)</f>
        <v>0</v>
      </c>
      <c r="AL245" s="28">
        <f>IF(AN245=21,J245,0)</f>
        <v>0</v>
      </c>
      <c r="AN245" s="28">
        <v>21</v>
      </c>
      <c r="AO245" s="28">
        <f>G245*1</f>
        <v>0</v>
      </c>
      <c r="AP245" s="28">
        <f>G245*(1-1)</f>
        <v>0</v>
      </c>
      <c r="AQ245" s="30" t="s">
        <v>56</v>
      </c>
      <c r="AV245" s="28">
        <f>ROUND(AW245+AX245,2)</f>
        <v>0</v>
      </c>
      <c r="AW245" s="28">
        <f>ROUND(F245*AO245,2)</f>
        <v>0</v>
      </c>
      <c r="AX245" s="28">
        <f>ROUND(F245*AP245,2)</f>
        <v>0</v>
      </c>
      <c r="AY245" s="30" t="s">
        <v>490</v>
      </c>
      <c r="AZ245" s="30" t="s">
        <v>461</v>
      </c>
      <c r="BA245" s="10" t="s">
        <v>63</v>
      </c>
      <c r="BC245" s="28">
        <f>AW245+AX245</f>
        <v>0</v>
      </c>
      <c r="BD245" s="28">
        <f>G245/(100-BE245)*100</f>
        <v>0</v>
      </c>
      <c r="BE245" s="28">
        <v>0</v>
      </c>
      <c r="BF245" s="28">
        <f>245</f>
        <v>245</v>
      </c>
      <c r="BH245" s="28">
        <f>F245*AO245</f>
        <v>0</v>
      </c>
      <c r="BI245" s="28">
        <f>F245*AP245</f>
        <v>0</v>
      </c>
      <c r="BJ245" s="28">
        <f>F245*G245</f>
        <v>0</v>
      </c>
      <c r="BK245" s="28"/>
      <c r="BL245" s="28">
        <v>87</v>
      </c>
      <c r="BW245" s="28">
        <v>21</v>
      </c>
      <c r="BX245" s="4" t="s">
        <v>505</v>
      </c>
    </row>
    <row r="246" spans="1:76" ht="118.8" x14ac:dyDescent="0.3">
      <c r="A246" s="31"/>
      <c r="B246" s="35" t="s">
        <v>68</v>
      </c>
      <c r="C246" s="93" t="s">
        <v>506</v>
      </c>
      <c r="D246" s="94"/>
      <c r="E246" s="94"/>
      <c r="F246" s="94"/>
      <c r="G246" s="94"/>
      <c r="H246" s="94"/>
      <c r="I246" s="94"/>
      <c r="J246" s="94"/>
      <c r="K246" s="95"/>
      <c r="BX246" s="36" t="s">
        <v>506</v>
      </c>
    </row>
    <row r="247" spans="1:76" ht="14.4" x14ac:dyDescent="0.3">
      <c r="A247" s="2" t="s">
        <v>507</v>
      </c>
      <c r="B247" s="3" t="s">
        <v>508</v>
      </c>
      <c r="C247" s="75" t="s">
        <v>509</v>
      </c>
      <c r="D247" s="70"/>
      <c r="E247" s="3" t="s">
        <v>293</v>
      </c>
      <c r="F247" s="28">
        <v>1</v>
      </c>
      <c r="G247" s="28">
        <v>0</v>
      </c>
      <c r="H247" s="28">
        <f>ROUND(F247*AO247,2)</f>
        <v>0</v>
      </c>
      <c r="I247" s="28">
        <f>ROUND(F247*AP247,2)</f>
        <v>0</v>
      </c>
      <c r="J247" s="28">
        <f>ROUND(F247*G247,2)</f>
        <v>0</v>
      </c>
      <c r="K247" s="29" t="s">
        <v>60</v>
      </c>
      <c r="Z247" s="28">
        <f>ROUND(IF(AQ247="5",BJ247,0),2)</f>
        <v>0</v>
      </c>
      <c r="AB247" s="28">
        <f>ROUND(IF(AQ247="1",BH247,0),2)</f>
        <v>0</v>
      </c>
      <c r="AC247" s="28">
        <f>ROUND(IF(AQ247="1",BI247,0),2)</f>
        <v>0</v>
      </c>
      <c r="AD247" s="28">
        <f>ROUND(IF(AQ247="7",BH247,0),2)</f>
        <v>0</v>
      </c>
      <c r="AE247" s="28">
        <f>ROUND(IF(AQ247="7",BI247,0),2)</f>
        <v>0</v>
      </c>
      <c r="AF247" s="28">
        <f>ROUND(IF(AQ247="2",BH247,0),2)</f>
        <v>0</v>
      </c>
      <c r="AG247" s="28">
        <f>ROUND(IF(AQ247="2",BI247,0),2)</f>
        <v>0</v>
      </c>
      <c r="AH247" s="28">
        <f>ROUND(IF(AQ247="0",BJ247,0),2)</f>
        <v>0</v>
      </c>
      <c r="AI247" s="10" t="s">
        <v>55</v>
      </c>
      <c r="AJ247" s="28">
        <f>IF(AN247=0,J247,0)</f>
        <v>0</v>
      </c>
      <c r="AK247" s="28">
        <f>IF(AN247=12,J247,0)</f>
        <v>0</v>
      </c>
      <c r="AL247" s="28">
        <f>IF(AN247=21,J247,0)</f>
        <v>0</v>
      </c>
      <c r="AN247" s="28">
        <v>21</v>
      </c>
      <c r="AO247" s="28">
        <f>G247*1</f>
        <v>0</v>
      </c>
      <c r="AP247" s="28">
        <f>G247*(1-1)</f>
        <v>0</v>
      </c>
      <c r="AQ247" s="30" t="s">
        <v>56</v>
      </c>
      <c r="AV247" s="28">
        <f>ROUND(AW247+AX247,2)</f>
        <v>0</v>
      </c>
      <c r="AW247" s="28">
        <f>ROUND(F247*AO247,2)</f>
        <v>0</v>
      </c>
      <c r="AX247" s="28">
        <f>ROUND(F247*AP247,2)</f>
        <v>0</v>
      </c>
      <c r="AY247" s="30" t="s">
        <v>490</v>
      </c>
      <c r="AZ247" s="30" t="s">
        <v>461</v>
      </c>
      <c r="BA247" s="10" t="s">
        <v>63</v>
      </c>
      <c r="BC247" s="28">
        <f>AW247+AX247</f>
        <v>0</v>
      </c>
      <c r="BD247" s="28">
        <f>G247/(100-BE247)*100</f>
        <v>0</v>
      </c>
      <c r="BE247" s="28">
        <v>0</v>
      </c>
      <c r="BF247" s="28">
        <f>247</f>
        <v>247</v>
      </c>
      <c r="BH247" s="28">
        <f>F247*AO247</f>
        <v>0</v>
      </c>
      <c r="BI247" s="28">
        <f>F247*AP247</f>
        <v>0</v>
      </c>
      <c r="BJ247" s="28">
        <f>F247*G247</f>
        <v>0</v>
      </c>
      <c r="BK247" s="28"/>
      <c r="BL247" s="28">
        <v>87</v>
      </c>
      <c r="BW247" s="28">
        <v>21</v>
      </c>
      <c r="BX247" s="4" t="s">
        <v>509</v>
      </c>
    </row>
    <row r="248" spans="1:76" ht="118.8" x14ac:dyDescent="0.3">
      <c r="A248" s="31"/>
      <c r="B248" s="35" t="s">
        <v>68</v>
      </c>
      <c r="C248" s="93" t="s">
        <v>510</v>
      </c>
      <c r="D248" s="94"/>
      <c r="E248" s="94"/>
      <c r="F248" s="94"/>
      <c r="G248" s="94"/>
      <c r="H248" s="94"/>
      <c r="I248" s="94"/>
      <c r="J248" s="94"/>
      <c r="K248" s="95"/>
      <c r="BX248" s="36" t="s">
        <v>510</v>
      </c>
    </row>
    <row r="249" spans="1:76" ht="14.4" x14ac:dyDescent="0.3">
      <c r="A249" s="2" t="s">
        <v>511</v>
      </c>
      <c r="B249" s="3" t="s">
        <v>512</v>
      </c>
      <c r="C249" s="75" t="s">
        <v>513</v>
      </c>
      <c r="D249" s="70"/>
      <c r="E249" s="3" t="s">
        <v>293</v>
      </c>
      <c r="F249" s="28">
        <v>6</v>
      </c>
      <c r="G249" s="28">
        <v>0</v>
      </c>
      <c r="H249" s="28">
        <f>ROUND(F249*AO249,2)</f>
        <v>0</v>
      </c>
      <c r="I249" s="28">
        <f>ROUND(F249*AP249,2)</f>
        <v>0</v>
      </c>
      <c r="J249" s="28">
        <f>ROUND(F249*G249,2)</f>
        <v>0</v>
      </c>
      <c r="K249" s="29" t="s">
        <v>60</v>
      </c>
      <c r="Z249" s="28">
        <f>ROUND(IF(AQ249="5",BJ249,0),2)</f>
        <v>0</v>
      </c>
      <c r="AB249" s="28">
        <f>ROUND(IF(AQ249="1",BH249,0),2)</f>
        <v>0</v>
      </c>
      <c r="AC249" s="28">
        <f>ROUND(IF(AQ249="1",BI249,0),2)</f>
        <v>0</v>
      </c>
      <c r="AD249" s="28">
        <f>ROUND(IF(AQ249="7",BH249,0),2)</f>
        <v>0</v>
      </c>
      <c r="AE249" s="28">
        <f>ROUND(IF(AQ249="7",BI249,0),2)</f>
        <v>0</v>
      </c>
      <c r="AF249" s="28">
        <f>ROUND(IF(AQ249="2",BH249,0),2)</f>
        <v>0</v>
      </c>
      <c r="AG249" s="28">
        <f>ROUND(IF(AQ249="2",BI249,0),2)</f>
        <v>0</v>
      </c>
      <c r="AH249" s="28">
        <f>ROUND(IF(AQ249="0",BJ249,0),2)</f>
        <v>0</v>
      </c>
      <c r="AI249" s="10" t="s">
        <v>55</v>
      </c>
      <c r="AJ249" s="28">
        <f>IF(AN249=0,J249,0)</f>
        <v>0</v>
      </c>
      <c r="AK249" s="28">
        <f>IF(AN249=12,J249,0)</f>
        <v>0</v>
      </c>
      <c r="AL249" s="28">
        <f>IF(AN249=21,J249,0)</f>
        <v>0</v>
      </c>
      <c r="AN249" s="28">
        <v>21</v>
      </c>
      <c r="AO249" s="28">
        <f>G249*0.009624413</f>
        <v>0</v>
      </c>
      <c r="AP249" s="28">
        <f>G249*(1-0.009624413)</f>
        <v>0</v>
      </c>
      <c r="AQ249" s="30" t="s">
        <v>56</v>
      </c>
      <c r="AV249" s="28">
        <f>ROUND(AW249+AX249,2)</f>
        <v>0</v>
      </c>
      <c r="AW249" s="28">
        <f>ROUND(F249*AO249,2)</f>
        <v>0</v>
      </c>
      <c r="AX249" s="28">
        <f>ROUND(F249*AP249,2)</f>
        <v>0</v>
      </c>
      <c r="AY249" s="30" t="s">
        <v>490</v>
      </c>
      <c r="AZ249" s="30" t="s">
        <v>461</v>
      </c>
      <c r="BA249" s="10" t="s">
        <v>63</v>
      </c>
      <c r="BC249" s="28">
        <f>AW249+AX249</f>
        <v>0</v>
      </c>
      <c r="BD249" s="28">
        <f>G249/(100-BE249)*100</f>
        <v>0</v>
      </c>
      <c r="BE249" s="28">
        <v>0</v>
      </c>
      <c r="BF249" s="28">
        <f>249</f>
        <v>249</v>
      </c>
      <c r="BH249" s="28">
        <f>F249*AO249</f>
        <v>0</v>
      </c>
      <c r="BI249" s="28">
        <f>F249*AP249</f>
        <v>0</v>
      </c>
      <c r="BJ249" s="28">
        <f>F249*G249</f>
        <v>0</v>
      </c>
      <c r="BK249" s="28"/>
      <c r="BL249" s="28">
        <v>87</v>
      </c>
      <c r="BW249" s="28">
        <v>21</v>
      </c>
      <c r="BX249" s="4" t="s">
        <v>513</v>
      </c>
    </row>
    <row r="250" spans="1:76" ht="66" x14ac:dyDescent="0.3">
      <c r="A250" s="31"/>
      <c r="B250" s="35" t="s">
        <v>68</v>
      </c>
      <c r="C250" s="93" t="s">
        <v>514</v>
      </c>
      <c r="D250" s="94"/>
      <c r="E250" s="94"/>
      <c r="F250" s="94"/>
      <c r="G250" s="94"/>
      <c r="H250" s="94"/>
      <c r="I250" s="94"/>
      <c r="J250" s="94"/>
      <c r="K250" s="95"/>
      <c r="BX250" s="36" t="s">
        <v>514</v>
      </c>
    </row>
    <row r="251" spans="1:76" ht="14.4" x14ac:dyDescent="0.3">
      <c r="A251" s="2" t="s">
        <v>132</v>
      </c>
      <c r="B251" s="3" t="s">
        <v>515</v>
      </c>
      <c r="C251" s="75" t="s">
        <v>516</v>
      </c>
      <c r="D251" s="70"/>
      <c r="E251" s="3" t="s">
        <v>293</v>
      </c>
      <c r="F251" s="28">
        <v>3</v>
      </c>
      <c r="G251" s="28">
        <v>0</v>
      </c>
      <c r="H251" s="28">
        <f>ROUND(F251*AO251,2)</f>
        <v>0</v>
      </c>
      <c r="I251" s="28">
        <f>ROUND(F251*AP251,2)</f>
        <v>0</v>
      </c>
      <c r="J251" s="28">
        <f>ROUND(F251*G251,2)</f>
        <v>0</v>
      </c>
      <c r="K251" s="29" t="s">
        <v>60</v>
      </c>
      <c r="Z251" s="28">
        <f>ROUND(IF(AQ251="5",BJ251,0),2)</f>
        <v>0</v>
      </c>
      <c r="AB251" s="28">
        <f>ROUND(IF(AQ251="1",BH251,0),2)</f>
        <v>0</v>
      </c>
      <c r="AC251" s="28">
        <f>ROUND(IF(AQ251="1",BI251,0),2)</f>
        <v>0</v>
      </c>
      <c r="AD251" s="28">
        <f>ROUND(IF(AQ251="7",BH251,0),2)</f>
        <v>0</v>
      </c>
      <c r="AE251" s="28">
        <f>ROUND(IF(AQ251="7",BI251,0),2)</f>
        <v>0</v>
      </c>
      <c r="AF251" s="28">
        <f>ROUND(IF(AQ251="2",BH251,0),2)</f>
        <v>0</v>
      </c>
      <c r="AG251" s="28">
        <f>ROUND(IF(AQ251="2",BI251,0),2)</f>
        <v>0</v>
      </c>
      <c r="AH251" s="28">
        <f>ROUND(IF(AQ251="0",BJ251,0),2)</f>
        <v>0</v>
      </c>
      <c r="AI251" s="10" t="s">
        <v>55</v>
      </c>
      <c r="AJ251" s="28">
        <f>IF(AN251=0,J251,0)</f>
        <v>0</v>
      </c>
      <c r="AK251" s="28">
        <f>IF(AN251=12,J251,0)</f>
        <v>0</v>
      </c>
      <c r="AL251" s="28">
        <f>IF(AN251=21,J251,0)</f>
        <v>0</v>
      </c>
      <c r="AN251" s="28">
        <v>21</v>
      </c>
      <c r="AO251" s="28">
        <f>G251*1</f>
        <v>0</v>
      </c>
      <c r="AP251" s="28">
        <f>G251*(1-1)</f>
        <v>0</v>
      </c>
      <c r="AQ251" s="30" t="s">
        <v>56</v>
      </c>
      <c r="AV251" s="28">
        <f>ROUND(AW251+AX251,2)</f>
        <v>0</v>
      </c>
      <c r="AW251" s="28">
        <f>ROUND(F251*AO251,2)</f>
        <v>0</v>
      </c>
      <c r="AX251" s="28">
        <f>ROUND(F251*AP251,2)</f>
        <v>0</v>
      </c>
      <c r="AY251" s="30" t="s">
        <v>490</v>
      </c>
      <c r="AZ251" s="30" t="s">
        <v>461</v>
      </c>
      <c r="BA251" s="10" t="s">
        <v>63</v>
      </c>
      <c r="BC251" s="28">
        <f>AW251+AX251</f>
        <v>0</v>
      </c>
      <c r="BD251" s="28">
        <f>G251/(100-BE251)*100</f>
        <v>0</v>
      </c>
      <c r="BE251" s="28">
        <v>0</v>
      </c>
      <c r="BF251" s="28">
        <f>251</f>
        <v>251</v>
      </c>
      <c r="BH251" s="28">
        <f>F251*AO251</f>
        <v>0</v>
      </c>
      <c r="BI251" s="28">
        <f>F251*AP251</f>
        <v>0</v>
      </c>
      <c r="BJ251" s="28">
        <f>F251*G251</f>
        <v>0</v>
      </c>
      <c r="BK251" s="28"/>
      <c r="BL251" s="28">
        <v>87</v>
      </c>
      <c r="BW251" s="28">
        <v>21</v>
      </c>
      <c r="BX251" s="4" t="s">
        <v>516</v>
      </c>
    </row>
    <row r="252" spans="1:76" ht="14.4" x14ac:dyDescent="0.3">
      <c r="A252" s="2" t="s">
        <v>517</v>
      </c>
      <c r="B252" s="3" t="s">
        <v>518</v>
      </c>
      <c r="C252" s="75" t="s">
        <v>519</v>
      </c>
      <c r="D252" s="70"/>
      <c r="E252" s="3" t="s">
        <v>293</v>
      </c>
      <c r="F252" s="28">
        <v>3</v>
      </c>
      <c r="G252" s="28">
        <v>0</v>
      </c>
      <c r="H252" s="28">
        <f>ROUND(F252*AO252,2)</f>
        <v>0</v>
      </c>
      <c r="I252" s="28">
        <f>ROUND(F252*AP252,2)</f>
        <v>0</v>
      </c>
      <c r="J252" s="28">
        <f>ROUND(F252*G252,2)</f>
        <v>0</v>
      </c>
      <c r="K252" s="29" t="s">
        <v>60</v>
      </c>
      <c r="Z252" s="28">
        <f>ROUND(IF(AQ252="5",BJ252,0),2)</f>
        <v>0</v>
      </c>
      <c r="AB252" s="28">
        <f>ROUND(IF(AQ252="1",BH252,0),2)</f>
        <v>0</v>
      </c>
      <c r="AC252" s="28">
        <f>ROUND(IF(AQ252="1",BI252,0),2)</f>
        <v>0</v>
      </c>
      <c r="AD252" s="28">
        <f>ROUND(IF(AQ252="7",BH252,0),2)</f>
        <v>0</v>
      </c>
      <c r="AE252" s="28">
        <f>ROUND(IF(AQ252="7",BI252,0),2)</f>
        <v>0</v>
      </c>
      <c r="AF252" s="28">
        <f>ROUND(IF(AQ252="2",BH252,0),2)</f>
        <v>0</v>
      </c>
      <c r="AG252" s="28">
        <f>ROUND(IF(AQ252="2",BI252,0),2)</f>
        <v>0</v>
      </c>
      <c r="AH252" s="28">
        <f>ROUND(IF(AQ252="0",BJ252,0),2)</f>
        <v>0</v>
      </c>
      <c r="AI252" s="10" t="s">
        <v>55</v>
      </c>
      <c r="AJ252" s="28">
        <f>IF(AN252=0,J252,0)</f>
        <v>0</v>
      </c>
      <c r="AK252" s="28">
        <f>IF(AN252=12,J252,0)</f>
        <v>0</v>
      </c>
      <c r="AL252" s="28">
        <f>IF(AN252=21,J252,0)</f>
        <v>0</v>
      </c>
      <c r="AN252" s="28">
        <v>21</v>
      </c>
      <c r="AO252" s="28">
        <f>G252*1</f>
        <v>0</v>
      </c>
      <c r="AP252" s="28">
        <f>G252*(1-1)</f>
        <v>0</v>
      </c>
      <c r="AQ252" s="30" t="s">
        <v>56</v>
      </c>
      <c r="AV252" s="28">
        <f>ROUND(AW252+AX252,2)</f>
        <v>0</v>
      </c>
      <c r="AW252" s="28">
        <f>ROUND(F252*AO252,2)</f>
        <v>0</v>
      </c>
      <c r="AX252" s="28">
        <f>ROUND(F252*AP252,2)</f>
        <v>0</v>
      </c>
      <c r="AY252" s="30" t="s">
        <v>490</v>
      </c>
      <c r="AZ252" s="30" t="s">
        <v>461</v>
      </c>
      <c r="BA252" s="10" t="s">
        <v>63</v>
      </c>
      <c r="BC252" s="28">
        <f>AW252+AX252</f>
        <v>0</v>
      </c>
      <c r="BD252" s="28">
        <f>G252/(100-BE252)*100</f>
        <v>0</v>
      </c>
      <c r="BE252" s="28">
        <v>0</v>
      </c>
      <c r="BF252" s="28">
        <f>252</f>
        <v>252</v>
      </c>
      <c r="BH252" s="28">
        <f>F252*AO252</f>
        <v>0</v>
      </c>
      <c r="BI252" s="28">
        <f>F252*AP252</f>
        <v>0</v>
      </c>
      <c r="BJ252" s="28">
        <f>F252*G252</f>
        <v>0</v>
      </c>
      <c r="BK252" s="28"/>
      <c r="BL252" s="28">
        <v>87</v>
      </c>
      <c r="BW252" s="28">
        <v>21</v>
      </c>
      <c r="BX252" s="4" t="s">
        <v>519</v>
      </c>
    </row>
    <row r="253" spans="1:76" ht="14.4" x14ac:dyDescent="0.3">
      <c r="A253" s="2" t="s">
        <v>520</v>
      </c>
      <c r="B253" s="3" t="s">
        <v>521</v>
      </c>
      <c r="C253" s="75" t="s">
        <v>522</v>
      </c>
      <c r="D253" s="70"/>
      <c r="E253" s="3" t="s">
        <v>188</v>
      </c>
      <c r="F253" s="28">
        <v>13</v>
      </c>
      <c r="G253" s="28">
        <v>0</v>
      </c>
      <c r="H253" s="28">
        <f>ROUND(F253*AO253,2)</f>
        <v>0</v>
      </c>
      <c r="I253" s="28">
        <f>ROUND(F253*AP253,2)</f>
        <v>0</v>
      </c>
      <c r="J253" s="28">
        <f>ROUND(F253*G253,2)</f>
        <v>0</v>
      </c>
      <c r="K253" s="29" t="s">
        <v>60</v>
      </c>
      <c r="Z253" s="28">
        <f>ROUND(IF(AQ253="5",BJ253,0),2)</f>
        <v>0</v>
      </c>
      <c r="AB253" s="28">
        <f>ROUND(IF(AQ253="1",BH253,0),2)</f>
        <v>0</v>
      </c>
      <c r="AC253" s="28">
        <f>ROUND(IF(AQ253="1",BI253,0),2)</f>
        <v>0</v>
      </c>
      <c r="AD253" s="28">
        <f>ROUND(IF(AQ253="7",BH253,0),2)</f>
        <v>0</v>
      </c>
      <c r="AE253" s="28">
        <f>ROUND(IF(AQ253="7",BI253,0),2)</f>
        <v>0</v>
      </c>
      <c r="AF253" s="28">
        <f>ROUND(IF(AQ253="2",BH253,0),2)</f>
        <v>0</v>
      </c>
      <c r="AG253" s="28">
        <f>ROUND(IF(AQ253="2",BI253,0),2)</f>
        <v>0</v>
      </c>
      <c r="AH253" s="28">
        <f>ROUND(IF(AQ253="0",BJ253,0),2)</f>
        <v>0</v>
      </c>
      <c r="AI253" s="10" t="s">
        <v>55</v>
      </c>
      <c r="AJ253" s="28">
        <f>IF(AN253=0,J253,0)</f>
        <v>0</v>
      </c>
      <c r="AK253" s="28">
        <f>IF(AN253=12,J253,0)</f>
        <v>0</v>
      </c>
      <c r="AL253" s="28">
        <f>IF(AN253=21,J253,0)</f>
        <v>0</v>
      </c>
      <c r="AN253" s="28">
        <v>21</v>
      </c>
      <c r="AO253" s="28">
        <f>G253*0</f>
        <v>0</v>
      </c>
      <c r="AP253" s="28">
        <f>G253*(1-0)</f>
        <v>0</v>
      </c>
      <c r="AQ253" s="30" t="s">
        <v>56</v>
      </c>
      <c r="AV253" s="28">
        <f>ROUND(AW253+AX253,2)</f>
        <v>0</v>
      </c>
      <c r="AW253" s="28">
        <f>ROUND(F253*AO253,2)</f>
        <v>0</v>
      </c>
      <c r="AX253" s="28">
        <f>ROUND(F253*AP253,2)</f>
        <v>0</v>
      </c>
      <c r="AY253" s="30" t="s">
        <v>490</v>
      </c>
      <c r="AZ253" s="30" t="s">
        <v>461</v>
      </c>
      <c r="BA253" s="10" t="s">
        <v>63</v>
      </c>
      <c r="BC253" s="28">
        <f>AW253+AX253</f>
        <v>0</v>
      </c>
      <c r="BD253" s="28">
        <f>G253/(100-BE253)*100</f>
        <v>0</v>
      </c>
      <c r="BE253" s="28">
        <v>0</v>
      </c>
      <c r="BF253" s="28">
        <f>253</f>
        <v>253</v>
      </c>
      <c r="BH253" s="28">
        <f>F253*AO253</f>
        <v>0</v>
      </c>
      <c r="BI253" s="28">
        <f>F253*AP253</f>
        <v>0</v>
      </c>
      <c r="BJ253" s="28">
        <f>F253*G253</f>
        <v>0</v>
      </c>
      <c r="BK253" s="28"/>
      <c r="BL253" s="28">
        <v>87</v>
      </c>
      <c r="BW253" s="28">
        <v>21</v>
      </c>
      <c r="BX253" s="4" t="s">
        <v>522</v>
      </c>
    </row>
    <row r="254" spans="1:76" ht="14.4" x14ac:dyDescent="0.3">
      <c r="A254" s="31"/>
      <c r="C254" s="32" t="s">
        <v>53</v>
      </c>
      <c r="D254" s="32" t="s">
        <v>523</v>
      </c>
      <c r="F254" s="33">
        <v>13</v>
      </c>
      <c r="K254" s="34"/>
    </row>
    <row r="255" spans="1:76" ht="66" x14ac:dyDescent="0.3">
      <c r="A255" s="31"/>
      <c r="B255" s="35" t="s">
        <v>68</v>
      </c>
      <c r="C255" s="93" t="s">
        <v>494</v>
      </c>
      <c r="D255" s="94"/>
      <c r="E255" s="94"/>
      <c r="F255" s="94"/>
      <c r="G255" s="94"/>
      <c r="H255" s="94"/>
      <c r="I255" s="94"/>
      <c r="J255" s="94"/>
      <c r="K255" s="95"/>
      <c r="BX255" s="36" t="s">
        <v>494</v>
      </c>
    </row>
    <row r="256" spans="1:76" ht="14.4" x14ac:dyDescent="0.3">
      <c r="A256" s="2" t="s">
        <v>524</v>
      </c>
      <c r="B256" s="3" t="s">
        <v>525</v>
      </c>
      <c r="C256" s="75" t="s">
        <v>526</v>
      </c>
      <c r="D256" s="70"/>
      <c r="E256" s="3" t="s">
        <v>293</v>
      </c>
      <c r="F256" s="28">
        <v>1</v>
      </c>
      <c r="G256" s="28">
        <v>0</v>
      </c>
      <c r="H256" s="28">
        <f>ROUND(F256*AO256,2)</f>
        <v>0</v>
      </c>
      <c r="I256" s="28">
        <f>ROUND(F256*AP256,2)</f>
        <v>0</v>
      </c>
      <c r="J256" s="28">
        <f>ROUND(F256*G256,2)</f>
        <v>0</v>
      </c>
      <c r="K256" s="29" t="s">
        <v>60</v>
      </c>
      <c r="Z256" s="28">
        <f>ROUND(IF(AQ256="5",BJ256,0),2)</f>
        <v>0</v>
      </c>
      <c r="AB256" s="28">
        <f>ROUND(IF(AQ256="1",BH256,0),2)</f>
        <v>0</v>
      </c>
      <c r="AC256" s="28">
        <f>ROUND(IF(AQ256="1",BI256,0),2)</f>
        <v>0</v>
      </c>
      <c r="AD256" s="28">
        <f>ROUND(IF(AQ256="7",BH256,0),2)</f>
        <v>0</v>
      </c>
      <c r="AE256" s="28">
        <f>ROUND(IF(AQ256="7",BI256,0),2)</f>
        <v>0</v>
      </c>
      <c r="AF256" s="28">
        <f>ROUND(IF(AQ256="2",BH256,0),2)</f>
        <v>0</v>
      </c>
      <c r="AG256" s="28">
        <f>ROUND(IF(AQ256="2",BI256,0),2)</f>
        <v>0</v>
      </c>
      <c r="AH256" s="28">
        <f>ROUND(IF(AQ256="0",BJ256,0),2)</f>
        <v>0</v>
      </c>
      <c r="AI256" s="10" t="s">
        <v>55</v>
      </c>
      <c r="AJ256" s="28">
        <f>IF(AN256=0,J256,0)</f>
        <v>0</v>
      </c>
      <c r="AK256" s="28">
        <f>IF(AN256=12,J256,0)</f>
        <v>0</v>
      </c>
      <c r="AL256" s="28">
        <f>IF(AN256=21,J256,0)</f>
        <v>0</v>
      </c>
      <c r="AN256" s="28">
        <v>21</v>
      </c>
      <c r="AO256" s="28">
        <f>G256*1</f>
        <v>0</v>
      </c>
      <c r="AP256" s="28">
        <f>G256*(1-1)</f>
        <v>0</v>
      </c>
      <c r="AQ256" s="30" t="s">
        <v>56</v>
      </c>
      <c r="AV256" s="28">
        <f>ROUND(AW256+AX256,2)</f>
        <v>0</v>
      </c>
      <c r="AW256" s="28">
        <f>ROUND(F256*AO256,2)</f>
        <v>0</v>
      </c>
      <c r="AX256" s="28">
        <f>ROUND(F256*AP256,2)</f>
        <v>0</v>
      </c>
      <c r="AY256" s="30" t="s">
        <v>490</v>
      </c>
      <c r="AZ256" s="30" t="s">
        <v>461</v>
      </c>
      <c r="BA256" s="10" t="s">
        <v>63</v>
      </c>
      <c r="BC256" s="28">
        <f>AW256+AX256</f>
        <v>0</v>
      </c>
      <c r="BD256" s="28">
        <f>G256/(100-BE256)*100</f>
        <v>0</v>
      </c>
      <c r="BE256" s="28">
        <v>0</v>
      </c>
      <c r="BF256" s="28">
        <f>256</f>
        <v>256</v>
      </c>
      <c r="BH256" s="28">
        <f>F256*AO256</f>
        <v>0</v>
      </c>
      <c r="BI256" s="28">
        <f>F256*AP256</f>
        <v>0</v>
      </c>
      <c r="BJ256" s="28">
        <f>F256*G256</f>
        <v>0</v>
      </c>
      <c r="BK256" s="28"/>
      <c r="BL256" s="28">
        <v>87</v>
      </c>
      <c r="BW256" s="28">
        <v>21</v>
      </c>
      <c r="BX256" s="4" t="s">
        <v>526</v>
      </c>
    </row>
    <row r="257" spans="1:76" ht="118.8" x14ac:dyDescent="0.3">
      <c r="A257" s="31"/>
      <c r="B257" s="35" t="s">
        <v>68</v>
      </c>
      <c r="C257" s="93" t="s">
        <v>527</v>
      </c>
      <c r="D257" s="94"/>
      <c r="E257" s="94"/>
      <c r="F257" s="94"/>
      <c r="G257" s="94"/>
      <c r="H257" s="94"/>
      <c r="I257" s="94"/>
      <c r="J257" s="94"/>
      <c r="K257" s="95"/>
      <c r="BX257" s="36" t="s">
        <v>527</v>
      </c>
    </row>
    <row r="258" spans="1:76" ht="14.4" x14ac:dyDescent="0.3">
      <c r="A258" s="2" t="s">
        <v>528</v>
      </c>
      <c r="B258" s="3" t="s">
        <v>529</v>
      </c>
      <c r="C258" s="75" t="s">
        <v>530</v>
      </c>
      <c r="D258" s="70"/>
      <c r="E258" s="3" t="s">
        <v>293</v>
      </c>
      <c r="F258" s="28">
        <v>2</v>
      </c>
      <c r="G258" s="28">
        <v>0</v>
      </c>
      <c r="H258" s="28">
        <f>ROUND(F258*AO258,2)</f>
        <v>0</v>
      </c>
      <c r="I258" s="28">
        <f>ROUND(F258*AP258,2)</f>
        <v>0</v>
      </c>
      <c r="J258" s="28">
        <f>ROUND(F258*G258,2)</f>
        <v>0</v>
      </c>
      <c r="K258" s="29" t="s">
        <v>60</v>
      </c>
      <c r="Z258" s="28">
        <f>ROUND(IF(AQ258="5",BJ258,0),2)</f>
        <v>0</v>
      </c>
      <c r="AB258" s="28">
        <f>ROUND(IF(AQ258="1",BH258,0),2)</f>
        <v>0</v>
      </c>
      <c r="AC258" s="28">
        <f>ROUND(IF(AQ258="1",BI258,0),2)</f>
        <v>0</v>
      </c>
      <c r="AD258" s="28">
        <f>ROUND(IF(AQ258="7",BH258,0),2)</f>
        <v>0</v>
      </c>
      <c r="AE258" s="28">
        <f>ROUND(IF(AQ258="7",BI258,0),2)</f>
        <v>0</v>
      </c>
      <c r="AF258" s="28">
        <f>ROUND(IF(AQ258="2",BH258,0),2)</f>
        <v>0</v>
      </c>
      <c r="AG258" s="28">
        <f>ROUND(IF(AQ258="2",BI258,0),2)</f>
        <v>0</v>
      </c>
      <c r="AH258" s="28">
        <f>ROUND(IF(AQ258="0",BJ258,0),2)</f>
        <v>0</v>
      </c>
      <c r="AI258" s="10" t="s">
        <v>55</v>
      </c>
      <c r="AJ258" s="28">
        <f>IF(AN258=0,J258,0)</f>
        <v>0</v>
      </c>
      <c r="AK258" s="28">
        <f>IF(AN258=12,J258,0)</f>
        <v>0</v>
      </c>
      <c r="AL258" s="28">
        <f>IF(AN258=21,J258,0)</f>
        <v>0</v>
      </c>
      <c r="AN258" s="28">
        <v>21</v>
      </c>
      <c r="AO258" s="28">
        <f>G258*1</f>
        <v>0</v>
      </c>
      <c r="AP258" s="28">
        <f>G258*(1-1)</f>
        <v>0</v>
      </c>
      <c r="AQ258" s="30" t="s">
        <v>56</v>
      </c>
      <c r="AV258" s="28">
        <f>ROUND(AW258+AX258,2)</f>
        <v>0</v>
      </c>
      <c r="AW258" s="28">
        <f>ROUND(F258*AO258,2)</f>
        <v>0</v>
      </c>
      <c r="AX258" s="28">
        <f>ROUND(F258*AP258,2)</f>
        <v>0</v>
      </c>
      <c r="AY258" s="30" t="s">
        <v>490</v>
      </c>
      <c r="AZ258" s="30" t="s">
        <v>461</v>
      </c>
      <c r="BA258" s="10" t="s">
        <v>63</v>
      </c>
      <c r="BC258" s="28">
        <f>AW258+AX258</f>
        <v>0</v>
      </c>
      <c r="BD258" s="28">
        <f>G258/(100-BE258)*100</f>
        <v>0</v>
      </c>
      <c r="BE258" s="28">
        <v>0</v>
      </c>
      <c r="BF258" s="28">
        <f>258</f>
        <v>258</v>
      </c>
      <c r="BH258" s="28">
        <f>F258*AO258</f>
        <v>0</v>
      </c>
      <c r="BI258" s="28">
        <f>F258*AP258</f>
        <v>0</v>
      </c>
      <c r="BJ258" s="28">
        <f>F258*G258</f>
        <v>0</v>
      </c>
      <c r="BK258" s="28"/>
      <c r="BL258" s="28">
        <v>87</v>
      </c>
      <c r="BW258" s="28">
        <v>21</v>
      </c>
      <c r="BX258" s="4" t="s">
        <v>530</v>
      </c>
    </row>
    <row r="259" spans="1:76" ht="118.8" x14ac:dyDescent="0.3">
      <c r="A259" s="31"/>
      <c r="B259" s="35" t="s">
        <v>68</v>
      </c>
      <c r="C259" s="93" t="s">
        <v>531</v>
      </c>
      <c r="D259" s="94"/>
      <c r="E259" s="94"/>
      <c r="F259" s="94"/>
      <c r="G259" s="94"/>
      <c r="H259" s="94"/>
      <c r="I259" s="94"/>
      <c r="J259" s="94"/>
      <c r="K259" s="95"/>
      <c r="BX259" s="36" t="s">
        <v>531</v>
      </c>
    </row>
    <row r="260" spans="1:76" ht="14.4" x14ac:dyDescent="0.3">
      <c r="A260" s="24" t="s">
        <v>51</v>
      </c>
      <c r="B260" s="25" t="s">
        <v>532</v>
      </c>
      <c r="C260" s="91" t="s">
        <v>533</v>
      </c>
      <c r="D260" s="92"/>
      <c r="E260" s="26" t="s">
        <v>4</v>
      </c>
      <c r="F260" s="26" t="s">
        <v>4</v>
      </c>
      <c r="G260" s="26" t="s">
        <v>4</v>
      </c>
      <c r="H260" s="1">
        <f>SUM(H261:H298)</f>
        <v>0</v>
      </c>
      <c r="I260" s="1">
        <f>SUM(I261:I298)</f>
        <v>0</v>
      </c>
      <c r="J260" s="1">
        <f>SUM(J261:J298)</f>
        <v>0</v>
      </c>
      <c r="K260" s="27" t="s">
        <v>51</v>
      </c>
      <c r="AI260" s="10" t="s">
        <v>55</v>
      </c>
      <c r="AS260" s="1">
        <f>SUM(AJ261:AJ298)</f>
        <v>0</v>
      </c>
      <c r="AT260" s="1">
        <f>SUM(AK261:AK298)</f>
        <v>0</v>
      </c>
      <c r="AU260" s="1">
        <f>SUM(AL261:AL298)</f>
        <v>0</v>
      </c>
    </row>
    <row r="261" spans="1:76" ht="14.4" x14ac:dyDescent="0.3">
      <c r="A261" s="2" t="s">
        <v>534</v>
      </c>
      <c r="B261" s="3" t="s">
        <v>535</v>
      </c>
      <c r="C261" s="75" t="s">
        <v>536</v>
      </c>
      <c r="D261" s="70"/>
      <c r="E261" s="3" t="s">
        <v>293</v>
      </c>
      <c r="F261" s="28">
        <v>2</v>
      </c>
      <c r="G261" s="28">
        <v>0</v>
      </c>
      <c r="H261" s="28">
        <f>ROUND(F261*AO261,2)</f>
        <v>0</v>
      </c>
      <c r="I261" s="28">
        <f>ROUND(F261*AP261,2)</f>
        <v>0</v>
      </c>
      <c r="J261" s="28">
        <f>ROUND(F261*G261,2)</f>
        <v>0</v>
      </c>
      <c r="K261" s="29" t="s">
        <v>60</v>
      </c>
      <c r="Z261" s="28">
        <f>ROUND(IF(AQ261="5",BJ261,0),2)</f>
        <v>0</v>
      </c>
      <c r="AB261" s="28">
        <f>ROUND(IF(AQ261="1",BH261,0),2)</f>
        <v>0</v>
      </c>
      <c r="AC261" s="28">
        <f>ROUND(IF(AQ261="1",BI261,0),2)</f>
        <v>0</v>
      </c>
      <c r="AD261" s="28">
        <f>ROUND(IF(AQ261="7",BH261,0),2)</f>
        <v>0</v>
      </c>
      <c r="AE261" s="28">
        <f>ROUND(IF(AQ261="7",BI261,0),2)</f>
        <v>0</v>
      </c>
      <c r="AF261" s="28">
        <f>ROUND(IF(AQ261="2",BH261,0),2)</f>
        <v>0</v>
      </c>
      <c r="AG261" s="28">
        <f>ROUND(IF(AQ261="2",BI261,0),2)</f>
        <v>0</v>
      </c>
      <c r="AH261" s="28">
        <f>ROUND(IF(AQ261="0",BJ261,0),2)</f>
        <v>0</v>
      </c>
      <c r="AI261" s="10" t="s">
        <v>55</v>
      </c>
      <c r="AJ261" s="28">
        <f>IF(AN261=0,J261,0)</f>
        <v>0</v>
      </c>
      <c r="AK261" s="28">
        <f>IF(AN261=12,J261,0)</f>
        <v>0</v>
      </c>
      <c r="AL261" s="28">
        <f>IF(AN261=21,J261,0)</f>
        <v>0</v>
      </c>
      <c r="AN261" s="28">
        <v>21</v>
      </c>
      <c r="AO261" s="28">
        <f>G261*0.252352332</f>
        <v>0</v>
      </c>
      <c r="AP261" s="28">
        <f>G261*(1-0.252352332)</f>
        <v>0</v>
      </c>
      <c r="AQ261" s="30" t="s">
        <v>56</v>
      </c>
      <c r="AV261" s="28">
        <f>ROUND(AW261+AX261,2)</f>
        <v>0</v>
      </c>
      <c r="AW261" s="28">
        <f>ROUND(F261*AO261,2)</f>
        <v>0</v>
      </c>
      <c r="AX261" s="28">
        <f>ROUND(F261*AP261,2)</f>
        <v>0</v>
      </c>
      <c r="AY261" s="30" t="s">
        <v>537</v>
      </c>
      <c r="AZ261" s="30" t="s">
        <v>461</v>
      </c>
      <c r="BA261" s="10" t="s">
        <v>63</v>
      </c>
      <c r="BC261" s="28">
        <f>AW261+AX261</f>
        <v>0</v>
      </c>
      <c r="BD261" s="28">
        <f>G261/(100-BE261)*100</f>
        <v>0</v>
      </c>
      <c r="BE261" s="28">
        <v>0</v>
      </c>
      <c r="BF261" s="28">
        <f>261</f>
        <v>261</v>
      </c>
      <c r="BH261" s="28">
        <f>F261*AO261</f>
        <v>0</v>
      </c>
      <c r="BI261" s="28">
        <f>F261*AP261</f>
        <v>0</v>
      </c>
      <c r="BJ261" s="28">
        <f>F261*G261</f>
        <v>0</v>
      </c>
      <c r="BK261" s="28"/>
      <c r="BL261" s="28">
        <v>89</v>
      </c>
      <c r="BW261" s="28">
        <v>21</v>
      </c>
      <c r="BX261" s="4" t="s">
        <v>536</v>
      </c>
    </row>
    <row r="262" spans="1:76" ht="158.4" x14ac:dyDescent="0.3">
      <c r="A262" s="31"/>
      <c r="B262" s="35" t="s">
        <v>68</v>
      </c>
      <c r="C262" s="93" t="s">
        <v>538</v>
      </c>
      <c r="D262" s="94"/>
      <c r="E262" s="94"/>
      <c r="F262" s="94"/>
      <c r="G262" s="94"/>
      <c r="H262" s="94"/>
      <c r="I262" s="94"/>
      <c r="J262" s="94"/>
      <c r="K262" s="95"/>
      <c r="BX262" s="36" t="s">
        <v>538</v>
      </c>
    </row>
    <row r="263" spans="1:76" ht="14.4" x14ac:dyDescent="0.3">
      <c r="A263" s="2" t="s">
        <v>539</v>
      </c>
      <c r="B263" s="3" t="s">
        <v>540</v>
      </c>
      <c r="C263" s="75" t="s">
        <v>541</v>
      </c>
      <c r="D263" s="70"/>
      <c r="E263" s="3" t="s">
        <v>293</v>
      </c>
      <c r="F263" s="28">
        <v>2</v>
      </c>
      <c r="G263" s="28">
        <v>0</v>
      </c>
      <c r="H263" s="28">
        <f>ROUND(F263*AO263,2)</f>
        <v>0</v>
      </c>
      <c r="I263" s="28">
        <f>ROUND(F263*AP263,2)</f>
        <v>0</v>
      </c>
      <c r="J263" s="28">
        <f>ROUND(F263*G263,2)</f>
        <v>0</v>
      </c>
      <c r="K263" s="29" t="s">
        <v>60</v>
      </c>
      <c r="Z263" s="28">
        <f>ROUND(IF(AQ263="5",BJ263,0),2)</f>
        <v>0</v>
      </c>
      <c r="AB263" s="28">
        <f>ROUND(IF(AQ263="1",BH263,0),2)</f>
        <v>0</v>
      </c>
      <c r="AC263" s="28">
        <f>ROUND(IF(AQ263="1",BI263,0),2)</f>
        <v>0</v>
      </c>
      <c r="AD263" s="28">
        <f>ROUND(IF(AQ263="7",BH263,0),2)</f>
        <v>0</v>
      </c>
      <c r="AE263" s="28">
        <f>ROUND(IF(AQ263="7",BI263,0),2)</f>
        <v>0</v>
      </c>
      <c r="AF263" s="28">
        <f>ROUND(IF(AQ263="2",BH263,0),2)</f>
        <v>0</v>
      </c>
      <c r="AG263" s="28">
        <f>ROUND(IF(AQ263="2",BI263,0),2)</f>
        <v>0</v>
      </c>
      <c r="AH263" s="28">
        <f>ROUND(IF(AQ263="0",BJ263,0),2)</f>
        <v>0</v>
      </c>
      <c r="AI263" s="10" t="s">
        <v>55</v>
      </c>
      <c r="AJ263" s="28">
        <f>IF(AN263=0,J263,0)</f>
        <v>0</v>
      </c>
      <c r="AK263" s="28">
        <f>IF(AN263=12,J263,0)</f>
        <v>0</v>
      </c>
      <c r="AL263" s="28">
        <f>IF(AN263=21,J263,0)</f>
        <v>0</v>
      </c>
      <c r="AN263" s="28">
        <v>21</v>
      </c>
      <c r="AO263" s="28">
        <f>G263*1</f>
        <v>0</v>
      </c>
      <c r="AP263" s="28">
        <f>G263*(1-1)</f>
        <v>0</v>
      </c>
      <c r="AQ263" s="30" t="s">
        <v>56</v>
      </c>
      <c r="AV263" s="28">
        <f>ROUND(AW263+AX263,2)</f>
        <v>0</v>
      </c>
      <c r="AW263" s="28">
        <f>ROUND(F263*AO263,2)</f>
        <v>0</v>
      </c>
      <c r="AX263" s="28">
        <f>ROUND(F263*AP263,2)</f>
        <v>0</v>
      </c>
      <c r="AY263" s="30" t="s">
        <v>537</v>
      </c>
      <c r="AZ263" s="30" t="s">
        <v>461</v>
      </c>
      <c r="BA263" s="10" t="s">
        <v>63</v>
      </c>
      <c r="BC263" s="28">
        <f>AW263+AX263</f>
        <v>0</v>
      </c>
      <c r="BD263" s="28">
        <f>G263/(100-BE263)*100</f>
        <v>0</v>
      </c>
      <c r="BE263" s="28">
        <v>0</v>
      </c>
      <c r="BF263" s="28">
        <f>263</f>
        <v>263</v>
      </c>
      <c r="BH263" s="28">
        <f>F263*AO263</f>
        <v>0</v>
      </c>
      <c r="BI263" s="28">
        <f>F263*AP263</f>
        <v>0</v>
      </c>
      <c r="BJ263" s="28">
        <f>F263*G263</f>
        <v>0</v>
      </c>
      <c r="BK263" s="28"/>
      <c r="BL263" s="28">
        <v>89</v>
      </c>
      <c r="BW263" s="28">
        <v>21</v>
      </c>
      <c r="BX263" s="4" t="s">
        <v>541</v>
      </c>
    </row>
    <row r="264" spans="1:76" ht="52.8" x14ac:dyDescent="0.3">
      <c r="A264" s="31"/>
      <c r="B264" s="35" t="s">
        <v>68</v>
      </c>
      <c r="C264" s="93" t="s">
        <v>542</v>
      </c>
      <c r="D264" s="94"/>
      <c r="E264" s="94"/>
      <c r="F264" s="94"/>
      <c r="G264" s="94"/>
      <c r="H264" s="94"/>
      <c r="I264" s="94"/>
      <c r="J264" s="94"/>
      <c r="K264" s="95"/>
      <c r="BX264" s="36" t="s">
        <v>542</v>
      </c>
    </row>
    <row r="265" spans="1:76" ht="14.4" x14ac:dyDescent="0.3">
      <c r="A265" s="2" t="s">
        <v>543</v>
      </c>
      <c r="B265" s="3" t="s">
        <v>544</v>
      </c>
      <c r="C265" s="75" t="s">
        <v>545</v>
      </c>
      <c r="D265" s="70"/>
      <c r="E265" s="3" t="s">
        <v>293</v>
      </c>
      <c r="F265" s="28">
        <v>2</v>
      </c>
      <c r="G265" s="28">
        <v>0</v>
      </c>
      <c r="H265" s="28">
        <f>ROUND(F265*AO265,2)</f>
        <v>0</v>
      </c>
      <c r="I265" s="28">
        <f>ROUND(F265*AP265,2)</f>
        <v>0</v>
      </c>
      <c r="J265" s="28">
        <f>ROUND(F265*G265,2)</f>
        <v>0</v>
      </c>
      <c r="K265" s="29" t="s">
        <v>60</v>
      </c>
      <c r="Z265" s="28">
        <f>ROUND(IF(AQ265="5",BJ265,0),2)</f>
        <v>0</v>
      </c>
      <c r="AB265" s="28">
        <f>ROUND(IF(AQ265="1",BH265,0),2)</f>
        <v>0</v>
      </c>
      <c r="AC265" s="28">
        <f>ROUND(IF(AQ265="1",BI265,0),2)</f>
        <v>0</v>
      </c>
      <c r="AD265" s="28">
        <f>ROUND(IF(AQ265="7",BH265,0),2)</f>
        <v>0</v>
      </c>
      <c r="AE265" s="28">
        <f>ROUND(IF(AQ265="7",BI265,0),2)</f>
        <v>0</v>
      </c>
      <c r="AF265" s="28">
        <f>ROUND(IF(AQ265="2",BH265,0),2)</f>
        <v>0</v>
      </c>
      <c r="AG265" s="28">
        <f>ROUND(IF(AQ265="2",BI265,0),2)</f>
        <v>0</v>
      </c>
      <c r="AH265" s="28">
        <f>ROUND(IF(AQ265="0",BJ265,0),2)</f>
        <v>0</v>
      </c>
      <c r="AI265" s="10" t="s">
        <v>55</v>
      </c>
      <c r="AJ265" s="28">
        <f>IF(AN265=0,J265,0)</f>
        <v>0</v>
      </c>
      <c r="AK265" s="28">
        <f>IF(AN265=12,J265,0)</f>
        <v>0</v>
      </c>
      <c r="AL265" s="28">
        <f>IF(AN265=21,J265,0)</f>
        <v>0</v>
      </c>
      <c r="AN265" s="28">
        <v>21</v>
      </c>
      <c r="AO265" s="28">
        <f>G265*1</f>
        <v>0</v>
      </c>
      <c r="AP265" s="28">
        <f>G265*(1-1)</f>
        <v>0</v>
      </c>
      <c r="AQ265" s="30" t="s">
        <v>56</v>
      </c>
      <c r="AV265" s="28">
        <f>ROUND(AW265+AX265,2)</f>
        <v>0</v>
      </c>
      <c r="AW265" s="28">
        <f>ROUND(F265*AO265,2)</f>
        <v>0</v>
      </c>
      <c r="AX265" s="28">
        <f>ROUND(F265*AP265,2)</f>
        <v>0</v>
      </c>
      <c r="AY265" s="30" t="s">
        <v>537</v>
      </c>
      <c r="AZ265" s="30" t="s">
        <v>461</v>
      </c>
      <c r="BA265" s="10" t="s">
        <v>63</v>
      </c>
      <c r="BC265" s="28">
        <f>AW265+AX265</f>
        <v>0</v>
      </c>
      <c r="BD265" s="28">
        <f>G265/(100-BE265)*100</f>
        <v>0</v>
      </c>
      <c r="BE265" s="28">
        <v>0</v>
      </c>
      <c r="BF265" s="28">
        <f>265</f>
        <v>265</v>
      </c>
      <c r="BH265" s="28">
        <f>F265*AO265</f>
        <v>0</v>
      </c>
      <c r="BI265" s="28">
        <f>F265*AP265</f>
        <v>0</v>
      </c>
      <c r="BJ265" s="28">
        <f>F265*G265</f>
        <v>0</v>
      </c>
      <c r="BK265" s="28"/>
      <c r="BL265" s="28">
        <v>89</v>
      </c>
      <c r="BW265" s="28">
        <v>21</v>
      </c>
      <c r="BX265" s="4" t="s">
        <v>545</v>
      </c>
    </row>
    <row r="266" spans="1:76" ht="52.8" x14ac:dyDescent="0.3">
      <c r="A266" s="31"/>
      <c r="B266" s="35" t="s">
        <v>68</v>
      </c>
      <c r="C266" s="93" t="s">
        <v>546</v>
      </c>
      <c r="D266" s="94"/>
      <c r="E266" s="94"/>
      <c r="F266" s="94"/>
      <c r="G266" s="94"/>
      <c r="H266" s="94"/>
      <c r="I266" s="94"/>
      <c r="J266" s="94"/>
      <c r="K266" s="95"/>
      <c r="BX266" s="36" t="s">
        <v>546</v>
      </c>
    </row>
    <row r="267" spans="1:76" ht="14.4" x14ac:dyDescent="0.3">
      <c r="A267" s="2" t="s">
        <v>547</v>
      </c>
      <c r="B267" s="3" t="s">
        <v>548</v>
      </c>
      <c r="C267" s="75" t="s">
        <v>549</v>
      </c>
      <c r="D267" s="70"/>
      <c r="E267" s="3" t="s">
        <v>293</v>
      </c>
      <c r="F267" s="28">
        <v>1</v>
      </c>
      <c r="G267" s="28">
        <v>0</v>
      </c>
      <c r="H267" s="28">
        <f>ROUND(F267*AO267,2)</f>
        <v>0</v>
      </c>
      <c r="I267" s="28">
        <f>ROUND(F267*AP267,2)</f>
        <v>0</v>
      </c>
      <c r="J267" s="28">
        <f>ROUND(F267*G267,2)</f>
        <v>0</v>
      </c>
      <c r="K267" s="29" t="s">
        <v>60</v>
      </c>
      <c r="Z267" s="28">
        <f>ROUND(IF(AQ267="5",BJ267,0),2)</f>
        <v>0</v>
      </c>
      <c r="AB267" s="28">
        <f>ROUND(IF(AQ267="1",BH267,0),2)</f>
        <v>0</v>
      </c>
      <c r="AC267" s="28">
        <f>ROUND(IF(AQ267="1",BI267,0),2)</f>
        <v>0</v>
      </c>
      <c r="AD267" s="28">
        <f>ROUND(IF(AQ267="7",BH267,0),2)</f>
        <v>0</v>
      </c>
      <c r="AE267" s="28">
        <f>ROUND(IF(AQ267="7",BI267,0),2)</f>
        <v>0</v>
      </c>
      <c r="AF267" s="28">
        <f>ROUND(IF(AQ267="2",BH267,0),2)</f>
        <v>0</v>
      </c>
      <c r="AG267" s="28">
        <f>ROUND(IF(AQ267="2",BI267,0),2)</f>
        <v>0</v>
      </c>
      <c r="AH267" s="28">
        <f>ROUND(IF(AQ267="0",BJ267,0),2)</f>
        <v>0</v>
      </c>
      <c r="AI267" s="10" t="s">
        <v>55</v>
      </c>
      <c r="AJ267" s="28">
        <f>IF(AN267=0,J267,0)</f>
        <v>0</v>
      </c>
      <c r="AK267" s="28">
        <f>IF(AN267=12,J267,0)</f>
        <v>0</v>
      </c>
      <c r="AL267" s="28">
        <f>IF(AN267=21,J267,0)</f>
        <v>0</v>
      </c>
      <c r="AN267" s="28">
        <v>21</v>
      </c>
      <c r="AO267" s="28">
        <f>G267*1</f>
        <v>0</v>
      </c>
      <c r="AP267" s="28">
        <f>G267*(1-1)</f>
        <v>0</v>
      </c>
      <c r="AQ267" s="30" t="s">
        <v>56</v>
      </c>
      <c r="AV267" s="28">
        <f>ROUND(AW267+AX267,2)</f>
        <v>0</v>
      </c>
      <c r="AW267" s="28">
        <f>ROUND(F267*AO267,2)</f>
        <v>0</v>
      </c>
      <c r="AX267" s="28">
        <f>ROUND(F267*AP267,2)</f>
        <v>0</v>
      </c>
      <c r="AY267" s="30" t="s">
        <v>537</v>
      </c>
      <c r="AZ267" s="30" t="s">
        <v>461</v>
      </c>
      <c r="BA267" s="10" t="s">
        <v>63</v>
      </c>
      <c r="BC267" s="28">
        <f>AW267+AX267</f>
        <v>0</v>
      </c>
      <c r="BD267" s="28">
        <f>G267/(100-BE267)*100</f>
        <v>0</v>
      </c>
      <c r="BE267" s="28">
        <v>0</v>
      </c>
      <c r="BF267" s="28">
        <f>267</f>
        <v>267</v>
      </c>
      <c r="BH267" s="28">
        <f>F267*AO267</f>
        <v>0</v>
      </c>
      <c r="BI267" s="28">
        <f>F267*AP267</f>
        <v>0</v>
      </c>
      <c r="BJ267" s="28">
        <f>F267*G267</f>
        <v>0</v>
      </c>
      <c r="BK267" s="28"/>
      <c r="BL267" s="28">
        <v>89</v>
      </c>
      <c r="BW267" s="28">
        <v>21</v>
      </c>
      <c r="BX267" s="4" t="s">
        <v>549</v>
      </c>
    </row>
    <row r="268" spans="1:76" ht="14.4" x14ac:dyDescent="0.3">
      <c r="A268" s="2" t="s">
        <v>477</v>
      </c>
      <c r="B268" s="3" t="s">
        <v>550</v>
      </c>
      <c r="C268" s="75" t="s">
        <v>551</v>
      </c>
      <c r="D268" s="70"/>
      <c r="E268" s="3" t="s">
        <v>188</v>
      </c>
      <c r="F268" s="28">
        <v>64</v>
      </c>
      <c r="G268" s="28">
        <v>0</v>
      </c>
      <c r="H268" s="28">
        <f>ROUND(F268*AO268,2)</f>
        <v>0</v>
      </c>
      <c r="I268" s="28">
        <f>ROUND(F268*AP268,2)</f>
        <v>0</v>
      </c>
      <c r="J268" s="28">
        <f>ROUND(F268*G268,2)</f>
        <v>0</v>
      </c>
      <c r="K268" s="29" t="s">
        <v>60</v>
      </c>
      <c r="Z268" s="28">
        <f>ROUND(IF(AQ268="5",BJ268,0),2)</f>
        <v>0</v>
      </c>
      <c r="AB268" s="28">
        <f>ROUND(IF(AQ268="1",BH268,0),2)</f>
        <v>0</v>
      </c>
      <c r="AC268" s="28">
        <f>ROUND(IF(AQ268="1",BI268,0),2)</f>
        <v>0</v>
      </c>
      <c r="AD268" s="28">
        <f>ROUND(IF(AQ268="7",BH268,0),2)</f>
        <v>0</v>
      </c>
      <c r="AE268" s="28">
        <f>ROUND(IF(AQ268="7",BI268,0),2)</f>
        <v>0</v>
      </c>
      <c r="AF268" s="28">
        <f>ROUND(IF(AQ268="2",BH268,0),2)</f>
        <v>0</v>
      </c>
      <c r="AG268" s="28">
        <f>ROUND(IF(AQ268="2",BI268,0),2)</f>
        <v>0</v>
      </c>
      <c r="AH268" s="28">
        <f>ROUND(IF(AQ268="0",BJ268,0),2)</f>
        <v>0</v>
      </c>
      <c r="AI268" s="10" t="s">
        <v>55</v>
      </c>
      <c r="AJ268" s="28">
        <f>IF(AN268=0,J268,0)</f>
        <v>0</v>
      </c>
      <c r="AK268" s="28">
        <f>IF(AN268=12,J268,0)</f>
        <v>0</v>
      </c>
      <c r="AL268" s="28">
        <f>IF(AN268=21,J268,0)</f>
        <v>0</v>
      </c>
      <c r="AN268" s="28">
        <v>21</v>
      </c>
      <c r="AO268" s="28">
        <f>G268*0.090781563</f>
        <v>0</v>
      </c>
      <c r="AP268" s="28">
        <f>G268*(1-0.090781563)</f>
        <v>0</v>
      </c>
      <c r="AQ268" s="30" t="s">
        <v>56</v>
      </c>
      <c r="AV268" s="28">
        <f>ROUND(AW268+AX268,2)</f>
        <v>0</v>
      </c>
      <c r="AW268" s="28">
        <f>ROUND(F268*AO268,2)</f>
        <v>0</v>
      </c>
      <c r="AX268" s="28">
        <f>ROUND(F268*AP268,2)</f>
        <v>0</v>
      </c>
      <c r="AY268" s="30" t="s">
        <v>537</v>
      </c>
      <c r="AZ268" s="30" t="s">
        <v>461</v>
      </c>
      <c r="BA268" s="10" t="s">
        <v>63</v>
      </c>
      <c r="BC268" s="28">
        <f>AW268+AX268</f>
        <v>0</v>
      </c>
      <c r="BD268" s="28">
        <f>G268/(100-BE268)*100</f>
        <v>0</v>
      </c>
      <c r="BE268" s="28">
        <v>0</v>
      </c>
      <c r="BF268" s="28">
        <f>268</f>
        <v>268</v>
      </c>
      <c r="BH268" s="28">
        <f>F268*AO268</f>
        <v>0</v>
      </c>
      <c r="BI268" s="28">
        <f>F268*AP268</f>
        <v>0</v>
      </c>
      <c r="BJ268" s="28">
        <f>F268*G268</f>
        <v>0</v>
      </c>
      <c r="BK268" s="28"/>
      <c r="BL268" s="28">
        <v>89</v>
      </c>
      <c r="BW268" s="28">
        <v>21</v>
      </c>
      <c r="BX268" s="4" t="s">
        <v>551</v>
      </c>
    </row>
    <row r="269" spans="1:76" ht="14.4" x14ac:dyDescent="0.3">
      <c r="A269" s="31"/>
      <c r="C269" s="32" t="s">
        <v>552</v>
      </c>
      <c r="D269" s="32" t="s">
        <v>51</v>
      </c>
      <c r="F269" s="33">
        <v>64</v>
      </c>
      <c r="K269" s="34"/>
    </row>
    <row r="270" spans="1:76" ht="26.4" x14ac:dyDescent="0.3">
      <c r="A270" s="31"/>
      <c r="B270" s="35" t="s">
        <v>68</v>
      </c>
      <c r="C270" s="93" t="s">
        <v>553</v>
      </c>
      <c r="D270" s="94"/>
      <c r="E270" s="94"/>
      <c r="F270" s="94"/>
      <c r="G270" s="94"/>
      <c r="H270" s="94"/>
      <c r="I270" s="94"/>
      <c r="J270" s="94"/>
      <c r="K270" s="95"/>
      <c r="BX270" s="36" t="s">
        <v>553</v>
      </c>
    </row>
    <row r="271" spans="1:76" ht="14.4" x14ac:dyDescent="0.3">
      <c r="A271" s="2" t="s">
        <v>554</v>
      </c>
      <c r="B271" s="3" t="s">
        <v>555</v>
      </c>
      <c r="C271" s="75" t="s">
        <v>556</v>
      </c>
      <c r="D271" s="70"/>
      <c r="E271" s="3" t="s">
        <v>557</v>
      </c>
      <c r="F271" s="28">
        <v>6</v>
      </c>
      <c r="G271" s="28">
        <v>0</v>
      </c>
      <c r="H271" s="28">
        <f>ROUND(F271*AO271,2)</f>
        <v>0</v>
      </c>
      <c r="I271" s="28">
        <f>ROUND(F271*AP271,2)</f>
        <v>0</v>
      </c>
      <c r="J271" s="28">
        <f>ROUND(F271*G271,2)</f>
        <v>0</v>
      </c>
      <c r="K271" s="29" t="s">
        <v>60</v>
      </c>
      <c r="Z271" s="28">
        <f>ROUND(IF(AQ271="5",BJ271,0),2)</f>
        <v>0</v>
      </c>
      <c r="AB271" s="28">
        <f>ROUND(IF(AQ271="1",BH271,0),2)</f>
        <v>0</v>
      </c>
      <c r="AC271" s="28">
        <f>ROUND(IF(AQ271="1",BI271,0),2)</f>
        <v>0</v>
      </c>
      <c r="AD271" s="28">
        <f>ROUND(IF(AQ271="7",BH271,0),2)</f>
        <v>0</v>
      </c>
      <c r="AE271" s="28">
        <f>ROUND(IF(AQ271="7",BI271,0),2)</f>
        <v>0</v>
      </c>
      <c r="AF271" s="28">
        <f>ROUND(IF(AQ271="2",BH271,0),2)</f>
        <v>0</v>
      </c>
      <c r="AG271" s="28">
        <f>ROUND(IF(AQ271="2",BI271,0),2)</f>
        <v>0</v>
      </c>
      <c r="AH271" s="28">
        <f>ROUND(IF(AQ271="0",BJ271,0),2)</f>
        <v>0</v>
      </c>
      <c r="AI271" s="10" t="s">
        <v>55</v>
      </c>
      <c r="AJ271" s="28">
        <f>IF(AN271=0,J271,0)</f>
        <v>0</v>
      </c>
      <c r="AK271" s="28">
        <f>IF(AN271=12,J271,0)</f>
        <v>0</v>
      </c>
      <c r="AL271" s="28">
        <f>IF(AN271=21,J271,0)</f>
        <v>0</v>
      </c>
      <c r="AN271" s="28">
        <v>21</v>
      </c>
      <c r="AO271" s="28">
        <f>G271*0.095862173</f>
        <v>0</v>
      </c>
      <c r="AP271" s="28">
        <f>G271*(1-0.095862173)</f>
        <v>0</v>
      </c>
      <c r="AQ271" s="30" t="s">
        <v>56</v>
      </c>
      <c r="AV271" s="28">
        <f>ROUND(AW271+AX271,2)</f>
        <v>0</v>
      </c>
      <c r="AW271" s="28">
        <f>ROUND(F271*AO271,2)</f>
        <v>0</v>
      </c>
      <c r="AX271" s="28">
        <f>ROUND(F271*AP271,2)</f>
        <v>0</v>
      </c>
      <c r="AY271" s="30" t="s">
        <v>537</v>
      </c>
      <c r="AZ271" s="30" t="s">
        <v>461</v>
      </c>
      <c r="BA271" s="10" t="s">
        <v>63</v>
      </c>
      <c r="BC271" s="28">
        <f>AW271+AX271</f>
        <v>0</v>
      </c>
      <c r="BD271" s="28">
        <f>G271/(100-BE271)*100</f>
        <v>0</v>
      </c>
      <c r="BE271" s="28">
        <v>0</v>
      </c>
      <c r="BF271" s="28">
        <f>271</f>
        <v>271</v>
      </c>
      <c r="BH271" s="28">
        <f>F271*AO271</f>
        <v>0</v>
      </c>
      <c r="BI271" s="28">
        <f>F271*AP271</f>
        <v>0</v>
      </c>
      <c r="BJ271" s="28">
        <f>F271*G271</f>
        <v>0</v>
      </c>
      <c r="BK271" s="28"/>
      <c r="BL271" s="28">
        <v>89</v>
      </c>
      <c r="BW271" s="28">
        <v>21</v>
      </c>
      <c r="BX271" s="4" t="s">
        <v>556</v>
      </c>
    </row>
    <row r="272" spans="1:76" ht="132" x14ac:dyDescent="0.3">
      <c r="A272" s="31"/>
      <c r="B272" s="35" t="s">
        <v>68</v>
      </c>
      <c r="C272" s="93" t="s">
        <v>558</v>
      </c>
      <c r="D272" s="94"/>
      <c r="E272" s="94"/>
      <c r="F272" s="94"/>
      <c r="G272" s="94"/>
      <c r="H272" s="94"/>
      <c r="I272" s="94"/>
      <c r="J272" s="94"/>
      <c r="K272" s="95"/>
      <c r="BX272" s="36" t="s">
        <v>558</v>
      </c>
    </row>
    <row r="273" spans="1:76" ht="14.4" x14ac:dyDescent="0.3">
      <c r="A273" s="2" t="s">
        <v>559</v>
      </c>
      <c r="B273" s="3" t="s">
        <v>560</v>
      </c>
      <c r="C273" s="75" t="s">
        <v>561</v>
      </c>
      <c r="D273" s="70"/>
      <c r="E273" s="3" t="s">
        <v>59</v>
      </c>
      <c r="F273" s="28">
        <v>2</v>
      </c>
      <c r="G273" s="28">
        <v>0</v>
      </c>
      <c r="H273" s="28">
        <f>ROUND(F273*AO273,2)</f>
        <v>0</v>
      </c>
      <c r="I273" s="28">
        <f>ROUND(F273*AP273,2)</f>
        <v>0</v>
      </c>
      <c r="J273" s="28">
        <f>ROUND(F273*G273,2)</f>
        <v>0</v>
      </c>
      <c r="K273" s="29" t="s">
        <v>60</v>
      </c>
      <c r="Z273" s="28">
        <f>ROUND(IF(AQ273="5",BJ273,0),2)</f>
        <v>0</v>
      </c>
      <c r="AB273" s="28">
        <f>ROUND(IF(AQ273="1",BH273,0),2)</f>
        <v>0</v>
      </c>
      <c r="AC273" s="28">
        <f>ROUND(IF(AQ273="1",BI273,0),2)</f>
        <v>0</v>
      </c>
      <c r="AD273" s="28">
        <f>ROUND(IF(AQ273="7",BH273,0),2)</f>
        <v>0</v>
      </c>
      <c r="AE273" s="28">
        <f>ROUND(IF(AQ273="7",BI273,0),2)</f>
        <v>0</v>
      </c>
      <c r="AF273" s="28">
        <f>ROUND(IF(AQ273="2",BH273,0),2)</f>
        <v>0</v>
      </c>
      <c r="AG273" s="28">
        <f>ROUND(IF(AQ273="2",BI273,0),2)</f>
        <v>0</v>
      </c>
      <c r="AH273" s="28">
        <f>ROUND(IF(AQ273="0",BJ273,0),2)</f>
        <v>0</v>
      </c>
      <c r="AI273" s="10" t="s">
        <v>55</v>
      </c>
      <c r="AJ273" s="28">
        <f>IF(AN273=0,J273,0)</f>
        <v>0</v>
      </c>
      <c r="AK273" s="28">
        <f>IF(AN273=12,J273,0)</f>
        <v>0</v>
      </c>
      <c r="AL273" s="28">
        <f>IF(AN273=21,J273,0)</f>
        <v>0</v>
      </c>
      <c r="AN273" s="28">
        <v>21</v>
      </c>
      <c r="AO273" s="28">
        <f>G273*0.875005291</f>
        <v>0</v>
      </c>
      <c r="AP273" s="28">
        <f>G273*(1-0.875005291)</f>
        <v>0</v>
      </c>
      <c r="AQ273" s="30" t="s">
        <v>56</v>
      </c>
      <c r="AV273" s="28">
        <f>ROUND(AW273+AX273,2)</f>
        <v>0</v>
      </c>
      <c r="AW273" s="28">
        <f>ROUND(F273*AO273,2)</f>
        <v>0</v>
      </c>
      <c r="AX273" s="28">
        <f>ROUND(F273*AP273,2)</f>
        <v>0</v>
      </c>
      <c r="AY273" s="30" t="s">
        <v>537</v>
      </c>
      <c r="AZ273" s="30" t="s">
        <v>461</v>
      </c>
      <c r="BA273" s="10" t="s">
        <v>63</v>
      </c>
      <c r="BC273" s="28">
        <f>AW273+AX273</f>
        <v>0</v>
      </c>
      <c r="BD273" s="28">
        <f>G273/(100-BE273)*100</f>
        <v>0</v>
      </c>
      <c r="BE273" s="28">
        <v>0</v>
      </c>
      <c r="BF273" s="28">
        <f>273</f>
        <v>273</v>
      </c>
      <c r="BH273" s="28">
        <f>F273*AO273</f>
        <v>0</v>
      </c>
      <c r="BI273" s="28">
        <f>F273*AP273</f>
        <v>0</v>
      </c>
      <c r="BJ273" s="28">
        <f>F273*G273</f>
        <v>0</v>
      </c>
      <c r="BK273" s="28"/>
      <c r="BL273" s="28">
        <v>89</v>
      </c>
      <c r="BW273" s="28">
        <v>21</v>
      </c>
      <c r="BX273" s="4" t="s">
        <v>561</v>
      </c>
    </row>
    <row r="274" spans="1:76" ht="39.6" x14ac:dyDescent="0.3">
      <c r="A274" s="31"/>
      <c r="B274" s="35" t="s">
        <v>68</v>
      </c>
      <c r="C274" s="93" t="s">
        <v>562</v>
      </c>
      <c r="D274" s="94"/>
      <c r="E274" s="94"/>
      <c r="F274" s="94"/>
      <c r="G274" s="94"/>
      <c r="H274" s="94"/>
      <c r="I274" s="94"/>
      <c r="J274" s="94"/>
      <c r="K274" s="95"/>
      <c r="BX274" s="36" t="s">
        <v>562</v>
      </c>
    </row>
    <row r="275" spans="1:76" ht="14.4" x14ac:dyDescent="0.3">
      <c r="A275" s="2" t="s">
        <v>485</v>
      </c>
      <c r="B275" s="3" t="s">
        <v>563</v>
      </c>
      <c r="C275" s="75" t="s">
        <v>564</v>
      </c>
      <c r="D275" s="70"/>
      <c r="E275" s="3" t="s">
        <v>103</v>
      </c>
      <c r="F275" s="28">
        <v>17</v>
      </c>
      <c r="G275" s="28">
        <v>0</v>
      </c>
      <c r="H275" s="28">
        <f>ROUND(F275*AO275,2)</f>
        <v>0</v>
      </c>
      <c r="I275" s="28">
        <f>ROUND(F275*AP275,2)</f>
        <v>0</v>
      </c>
      <c r="J275" s="28">
        <f>ROUND(F275*G275,2)</f>
        <v>0</v>
      </c>
      <c r="K275" s="29" t="s">
        <v>60</v>
      </c>
      <c r="Z275" s="28">
        <f>ROUND(IF(AQ275="5",BJ275,0),2)</f>
        <v>0</v>
      </c>
      <c r="AB275" s="28">
        <f>ROUND(IF(AQ275="1",BH275,0),2)</f>
        <v>0</v>
      </c>
      <c r="AC275" s="28">
        <f>ROUND(IF(AQ275="1",BI275,0),2)</f>
        <v>0</v>
      </c>
      <c r="AD275" s="28">
        <f>ROUND(IF(AQ275="7",BH275,0),2)</f>
        <v>0</v>
      </c>
      <c r="AE275" s="28">
        <f>ROUND(IF(AQ275="7",BI275,0),2)</f>
        <v>0</v>
      </c>
      <c r="AF275" s="28">
        <f>ROUND(IF(AQ275="2",BH275,0),2)</f>
        <v>0</v>
      </c>
      <c r="AG275" s="28">
        <f>ROUND(IF(AQ275="2",BI275,0),2)</f>
        <v>0</v>
      </c>
      <c r="AH275" s="28">
        <f>ROUND(IF(AQ275="0",BJ275,0),2)</f>
        <v>0</v>
      </c>
      <c r="AI275" s="10" t="s">
        <v>55</v>
      </c>
      <c r="AJ275" s="28">
        <f>IF(AN275=0,J275,0)</f>
        <v>0</v>
      </c>
      <c r="AK275" s="28">
        <f>IF(AN275=12,J275,0)</f>
        <v>0</v>
      </c>
      <c r="AL275" s="28">
        <f>IF(AN275=21,J275,0)</f>
        <v>0</v>
      </c>
      <c r="AN275" s="28">
        <v>21</v>
      </c>
      <c r="AO275" s="28">
        <f>G275*0.127532816</f>
        <v>0</v>
      </c>
      <c r="AP275" s="28">
        <f>G275*(1-0.127532816)</f>
        <v>0</v>
      </c>
      <c r="AQ275" s="30" t="s">
        <v>56</v>
      </c>
      <c r="AV275" s="28">
        <f>ROUND(AW275+AX275,2)</f>
        <v>0</v>
      </c>
      <c r="AW275" s="28">
        <f>ROUND(F275*AO275,2)</f>
        <v>0</v>
      </c>
      <c r="AX275" s="28">
        <f>ROUND(F275*AP275,2)</f>
        <v>0</v>
      </c>
      <c r="AY275" s="30" t="s">
        <v>537</v>
      </c>
      <c r="AZ275" s="30" t="s">
        <v>461</v>
      </c>
      <c r="BA275" s="10" t="s">
        <v>63</v>
      </c>
      <c r="BC275" s="28">
        <f>AW275+AX275</f>
        <v>0</v>
      </c>
      <c r="BD275" s="28">
        <f>G275/(100-BE275)*100</f>
        <v>0</v>
      </c>
      <c r="BE275" s="28">
        <v>0</v>
      </c>
      <c r="BF275" s="28">
        <f>275</f>
        <v>275</v>
      </c>
      <c r="BH275" s="28">
        <f>F275*AO275</f>
        <v>0</v>
      </c>
      <c r="BI275" s="28">
        <f>F275*AP275</f>
        <v>0</v>
      </c>
      <c r="BJ275" s="28">
        <f>F275*G275</f>
        <v>0</v>
      </c>
      <c r="BK275" s="28"/>
      <c r="BL275" s="28">
        <v>89</v>
      </c>
      <c r="BW275" s="28">
        <v>21</v>
      </c>
      <c r="BX275" s="4" t="s">
        <v>564</v>
      </c>
    </row>
    <row r="276" spans="1:76" ht="14.4" x14ac:dyDescent="0.3">
      <c r="A276" s="31"/>
      <c r="C276" s="32" t="s">
        <v>565</v>
      </c>
      <c r="D276" s="32" t="s">
        <v>51</v>
      </c>
      <c r="F276" s="33">
        <v>17</v>
      </c>
      <c r="K276" s="34"/>
    </row>
    <row r="277" spans="1:76" ht="14.4" x14ac:dyDescent="0.3">
      <c r="A277" s="31"/>
      <c r="B277" s="35" t="s">
        <v>68</v>
      </c>
      <c r="C277" s="93" t="s">
        <v>566</v>
      </c>
      <c r="D277" s="94"/>
      <c r="E277" s="94"/>
      <c r="F277" s="94"/>
      <c r="G277" s="94"/>
      <c r="H277" s="94"/>
      <c r="I277" s="94"/>
      <c r="J277" s="94"/>
      <c r="K277" s="95"/>
      <c r="BX277" s="36" t="s">
        <v>566</v>
      </c>
    </row>
    <row r="278" spans="1:76" ht="14.4" x14ac:dyDescent="0.3">
      <c r="A278" s="2" t="s">
        <v>567</v>
      </c>
      <c r="B278" s="3" t="s">
        <v>568</v>
      </c>
      <c r="C278" s="75" t="s">
        <v>569</v>
      </c>
      <c r="D278" s="70"/>
      <c r="E278" s="3" t="s">
        <v>570</v>
      </c>
      <c r="F278" s="28">
        <v>18</v>
      </c>
      <c r="G278" s="28">
        <v>0</v>
      </c>
      <c r="H278" s="28">
        <f>ROUND(F278*AO278,2)</f>
        <v>0</v>
      </c>
      <c r="I278" s="28">
        <f>ROUND(F278*AP278,2)</f>
        <v>0</v>
      </c>
      <c r="J278" s="28">
        <f>ROUND(F278*G278,2)</f>
        <v>0</v>
      </c>
      <c r="K278" s="29" t="s">
        <v>60</v>
      </c>
      <c r="Z278" s="28">
        <f>ROUND(IF(AQ278="5",BJ278,0),2)</f>
        <v>0</v>
      </c>
      <c r="AB278" s="28">
        <f>ROUND(IF(AQ278="1",BH278,0),2)</f>
        <v>0</v>
      </c>
      <c r="AC278" s="28">
        <f>ROUND(IF(AQ278="1",BI278,0),2)</f>
        <v>0</v>
      </c>
      <c r="AD278" s="28">
        <f>ROUND(IF(AQ278="7",BH278,0),2)</f>
        <v>0</v>
      </c>
      <c r="AE278" s="28">
        <f>ROUND(IF(AQ278="7",BI278,0),2)</f>
        <v>0</v>
      </c>
      <c r="AF278" s="28">
        <f>ROUND(IF(AQ278="2",BH278,0),2)</f>
        <v>0</v>
      </c>
      <c r="AG278" s="28">
        <f>ROUND(IF(AQ278="2",BI278,0),2)</f>
        <v>0</v>
      </c>
      <c r="AH278" s="28">
        <f>ROUND(IF(AQ278="0",BJ278,0),2)</f>
        <v>0</v>
      </c>
      <c r="AI278" s="10" t="s">
        <v>55</v>
      </c>
      <c r="AJ278" s="28">
        <f>IF(AN278=0,J278,0)</f>
        <v>0</v>
      </c>
      <c r="AK278" s="28">
        <f>IF(AN278=12,J278,0)</f>
        <v>0</v>
      </c>
      <c r="AL278" s="28">
        <f>IF(AN278=21,J278,0)</f>
        <v>0</v>
      </c>
      <c r="AN278" s="28">
        <v>21</v>
      </c>
      <c r="AO278" s="28">
        <f>G278*0.464116456</f>
        <v>0</v>
      </c>
      <c r="AP278" s="28">
        <f>G278*(1-0.464116456)</f>
        <v>0</v>
      </c>
      <c r="AQ278" s="30" t="s">
        <v>56</v>
      </c>
      <c r="AV278" s="28">
        <f>ROUND(AW278+AX278,2)</f>
        <v>0</v>
      </c>
      <c r="AW278" s="28">
        <f>ROUND(F278*AO278,2)</f>
        <v>0</v>
      </c>
      <c r="AX278" s="28">
        <f>ROUND(F278*AP278,2)</f>
        <v>0</v>
      </c>
      <c r="AY278" s="30" t="s">
        <v>537</v>
      </c>
      <c r="AZ278" s="30" t="s">
        <v>461</v>
      </c>
      <c r="BA278" s="10" t="s">
        <v>63</v>
      </c>
      <c r="BC278" s="28">
        <f>AW278+AX278</f>
        <v>0</v>
      </c>
      <c r="BD278" s="28">
        <f>G278/(100-BE278)*100</f>
        <v>0</v>
      </c>
      <c r="BE278" s="28">
        <v>0</v>
      </c>
      <c r="BF278" s="28">
        <f>278</f>
        <v>278</v>
      </c>
      <c r="BH278" s="28">
        <f>F278*AO278</f>
        <v>0</v>
      </c>
      <c r="BI278" s="28">
        <f>F278*AP278</f>
        <v>0</v>
      </c>
      <c r="BJ278" s="28">
        <f>F278*G278</f>
        <v>0</v>
      </c>
      <c r="BK278" s="28"/>
      <c r="BL278" s="28">
        <v>89</v>
      </c>
      <c r="BW278" s="28">
        <v>21</v>
      </c>
      <c r="BX278" s="4" t="s">
        <v>569</v>
      </c>
    </row>
    <row r="279" spans="1:76" ht="14.4" x14ac:dyDescent="0.3">
      <c r="A279" s="31"/>
      <c r="C279" s="32" t="s">
        <v>53</v>
      </c>
      <c r="D279" s="32" t="s">
        <v>571</v>
      </c>
      <c r="F279" s="33">
        <v>13</v>
      </c>
      <c r="K279" s="34"/>
    </row>
    <row r="280" spans="1:76" ht="14.4" x14ac:dyDescent="0.3">
      <c r="A280" s="31"/>
      <c r="C280" s="32" t="s">
        <v>100</v>
      </c>
      <c r="D280" s="32" t="s">
        <v>572</v>
      </c>
      <c r="F280" s="33">
        <v>5</v>
      </c>
      <c r="K280" s="34"/>
    </row>
    <row r="281" spans="1:76" ht="14.4" x14ac:dyDescent="0.3">
      <c r="A281" s="2" t="s">
        <v>532</v>
      </c>
      <c r="B281" s="3" t="s">
        <v>573</v>
      </c>
      <c r="C281" s="75" t="s">
        <v>574</v>
      </c>
      <c r="D281" s="70"/>
      <c r="E281" s="3" t="s">
        <v>188</v>
      </c>
      <c r="F281" s="28">
        <v>77</v>
      </c>
      <c r="G281" s="28">
        <v>0</v>
      </c>
      <c r="H281" s="28">
        <f>ROUND(F281*AO281,2)</f>
        <v>0</v>
      </c>
      <c r="I281" s="28">
        <f>ROUND(F281*AP281,2)</f>
        <v>0</v>
      </c>
      <c r="J281" s="28">
        <f>ROUND(F281*G281,2)</f>
        <v>0</v>
      </c>
      <c r="K281" s="29" t="s">
        <v>60</v>
      </c>
      <c r="Z281" s="28">
        <f>ROUND(IF(AQ281="5",BJ281,0),2)</f>
        <v>0</v>
      </c>
      <c r="AB281" s="28">
        <f>ROUND(IF(AQ281="1",BH281,0),2)</f>
        <v>0</v>
      </c>
      <c r="AC281" s="28">
        <f>ROUND(IF(AQ281="1",BI281,0),2)</f>
        <v>0</v>
      </c>
      <c r="AD281" s="28">
        <f>ROUND(IF(AQ281="7",BH281,0),2)</f>
        <v>0</v>
      </c>
      <c r="AE281" s="28">
        <f>ROUND(IF(AQ281="7",BI281,0),2)</f>
        <v>0</v>
      </c>
      <c r="AF281" s="28">
        <f>ROUND(IF(AQ281="2",BH281,0),2)</f>
        <v>0</v>
      </c>
      <c r="AG281" s="28">
        <f>ROUND(IF(AQ281="2",BI281,0),2)</f>
        <v>0</v>
      </c>
      <c r="AH281" s="28">
        <f>ROUND(IF(AQ281="0",BJ281,0),2)</f>
        <v>0</v>
      </c>
      <c r="AI281" s="10" t="s">
        <v>55</v>
      </c>
      <c r="AJ281" s="28">
        <f>IF(AN281=0,J281,0)</f>
        <v>0</v>
      </c>
      <c r="AK281" s="28">
        <f>IF(AN281=12,J281,0)</f>
        <v>0</v>
      </c>
      <c r="AL281" s="28">
        <f>IF(AN281=21,J281,0)</f>
        <v>0</v>
      </c>
      <c r="AN281" s="28">
        <v>21</v>
      </c>
      <c r="AO281" s="28">
        <f>G281*0</f>
        <v>0</v>
      </c>
      <c r="AP281" s="28">
        <f>G281*(1-0)</f>
        <v>0</v>
      </c>
      <c r="AQ281" s="30" t="s">
        <v>56</v>
      </c>
      <c r="AV281" s="28">
        <f>ROUND(AW281+AX281,2)</f>
        <v>0</v>
      </c>
      <c r="AW281" s="28">
        <f>ROUND(F281*AO281,2)</f>
        <v>0</v>
      </c>
      <c r="AX281" s="28">
        <f>ROUND(F281*AP281,2)</f>
        <v>0</v>
      </c>
      <c r="AY281" s="30" t="s">
        <v>537</v>
      </c>
      <c r="AZ281" s="30" t="s">
        <v>461</v>
      </c>
      <c r="BA281" s="10" t="s">
        <v>63</v>
      </c>
      <c r="BC281" s="28">
        <f>AW281+AX281</f>
        <v>0</v>
      </c>
      <c r="BD281" s="28">
        <f>G281/(100-BE281)*100</f>
        <v>0</v>
      </c>
      <c r="BE281" s="28">
        <v>0</v>
      </c>
      <c r="BF281" s="28">
        <f>281</f>
        <v>281</v>
      </c>
      <c r="BH281" s="28">
        <f>F281*AO281</f>
        <v>0</v>
      </c>
      <c r="BI281" s="28">
        <f>F281*AP281</f>
        <v>0</v>
      </c>
      <c r="BJ281" s="28">
        <f>F281*G281</f>
        <v>0</v>
      </c>
      <c r="BK281" s="28"/>
      <c r="BL281" s="28">
        <v>89</v>
      </c>
      <c r="BW281" s="28">
        <v>21</v>
      </c>
      <c r="BX281" s="4" t="s">
        <v>574</v>
      </c>
    </row>
    <row r="282" spans="1:76" ht="14.4" x14ac:dyDescent="0.3">
      <c r="A282" s="31"/>
      <c r="C282" s="32" t="s">
        <v>552</v>
      </c>
      <c r="D282" s="32" t="s">
        <v>575</v>
      </c>
      <c r="F282" s="33">
        <v>64</v>
      </c>
      <c r="K282" s="34"/>
    </row>
    <row r="283" spans="1:76" ht="14.4" x14ac:dyDescent="0.3">
      <c r="A283" s="31"/>
      <c r="C283" s="32" t="s">
        <v>53</v>
      </c>
      <c r="D283" s="32" t="s">
        <v>51</v>
      </c>
      <c r="F283" s="33">
        <v>13</v>
      </c>
      <c r="K283" s="34"/>
    </row>
    <row r="284" spans="1:76" ht="14.4" x14ac:dyDescent="0.3">
      <c r="A284" s="2" t="s">
        <v>196</v>
      </c>
      <c r="B284" s="3" t="s">
        <v>576</v>
      </c>
      <c r="C284" s="75" t="s">
        <v>577</v>
      </c>
      <c r="D284" s="70"/>
      <c r="E284" s="3" t="s">
        <v>293</v>
      </c>
      <c r="F284" s="28">
        <v>1</v>
      </c>
      <c r="G284" s="28">
        <v>0</v>
      </c>
      <c r="H284" s="28">
        <f>ROUND(F284*AO284,2)</f>
        <v>0</v>
      </c>
      <c r="I284" s="28">
        <f>ROUND(F284*AP284,2)</f>
        <v>0</v>
      </c>
      <c r="J284" s="28">
        <f>ROUND(F284*G284,2)</f>
        <v>0</v>
      </c>
      <c r="K284" s="29" t="s">
        <v>60</v>
      </c>
      <c r="Z284" s="28">
        <f>ROUND(IF(AQ284="5",BJ284,0),2)</f>
        <v>0</v>
      </c>
      <c r="AB284" s="28">
        <f>ROUND(IF(AQ284="1",BH284,0),2)</f>
        <v>0</v>
      </c>
      <c r="AC284" s="28">
        <f>ROUND(IF(AQ284="1",BI284,0),2)</f>
        <v>0</v>
      </c>
      <c r="AD284" s="28">
        <f>ROUND(IF(AQ284="7",BH284,0),2)</f>
        <v>0</v>
      </c>
      <c r="AE284" s="28">
        <f>ROUND(IF(AQ284="7",BI284,0),2)</f>
        <v>0</v>
      </c>
      <c r="AF284" s="28">
        <f>ROUND(IF(AQ284="2",BH284,0),2)</f>
        <v>0</v>
      </c>
      <c r="AG284" s="28">
        <f>ROUND(IF(AQ284="2",BI284,0),2)</f>
        <v>0</v>
      </c>
      <c r="AH284" s="28">
        <f>ROUND(IF(AQ284="0",BJ284,0),2)</f>
        <v>0</v>
      </c>
      <c r="AI284" s="10" t="s">
        <v>55</v>
      </c>
      <c r="AJ284" s="28">
        <f>IF(AN284=0,J284,0)</f>
        <v>0</v>
      </c>
      <c r="AK284" s="28">
        <f>IF(AN284=12,J284,0)</f>
        <v>0</v>
      </c>
      <c r="AL284" s="28">
        <f>IF(AN284=21,J284,0)</f>
        <v>0</v>
      </c>
      <c r="AN284" s="28">
        <v>21</v>
      </c>
      <c r="AO284" s="28">
        <f>G284*0.833333333</f>
        <v>0</v>
      </c>
      <c r="AP284" s="28">
        <f>G284*(1-0.833333333)</f>
        <v>0</v>
      </c>
      <c r="AQ284" s="30" t="s">
        <v>56</v>
      </c>
      <c r="AV284" s="28">
        <f>ROUND(AW284+AX284,2)</f>
        <v>0</v>
      </c>
      <c r="AW284" s="28">
        <f>ROUND(F284*AO284,2)</f>
        <v>0</v>
      </c>
      <c r="AX284" s="28">
        <f>ROUND(F284*AP284,2)</f>
        <v>0</v>
      </c>
      <c r="AY284" s="30" t="s">
        <v>537</v>
      </c>
      <c r="AZ284" s="30" t="s">
        <v>461</v>
      </c>
      <c r="BA284" s="10" t="s">
        <v>63</v>
      </c>
      <c r="BC284" s="28">
        <f>AW284+AX284</f>
        <v>0</v>
      </c>
      <c r="BD284" s="28">
        <f>G284/(100-BE284)*100</f>
        <v>0</v>
      </c>
      <c r="BE284" s="28">
        <v>0</v>
      </c>
      <c r="BF284" s="28">
        <f>284</f>
        <v>284</v>
      </c>
      <c r="BH284" s="28">
        <f>F284*AO284</f>
        <v>0</v>
      </c>
      <c r="BI284" s="28">
        <f>F284*AP284</f>
        <v>0</v>
      </c>
      <c r="BJ284" s="28">
        <f>F284*G284</f>
        <v>0</v>
      </c>
      <c r="BK284" s="28"/>
      <c r="BL284" s="28">
        <v>89</v>
      </c>
      <c r="BW284" s="28">
        <v>21</v>
      </c>
      <c r="BX284" s="4" t="s">
        <v>577</v>
      </c>
    </row>
    <row r="285" spans="1:76" ht="14.4" x14ac:dyDescent="0.3">
      <c r="A285" s="2" t="s">
        <v>578</v>
      </c>
      <c r="B285" s="3" t="s">
        <v>579</v>
      </c>
      <c r="C285" s="75" t="s">
        <v>580</v>
      </c>
      <c r="D285" s="70"/>
      <c r="E285" s="3" t="s">
        <v>293</v>
      </c>
      <c r="F285" s="28">
        <v>3</v>
      </c>
      <c r="G285" s="28">
        <v>0</v>
      </c>
      <c r="H285" s="28">
        <f>ROUND(F285*AO285,2)</f>
        <v>0</v>
      </c>
      <c r="I285" s="28">
        <f>ROUND(F285*AP285,2)</f>
        <v>0</v>
      </c>
      <c r="J285" s="28">
        <f>ROUND(F285*G285,2)</f>
        <v>0</v>
      </c>
      <c r="K285" s="29" t="s">
        <v>60</v>
      </c>
      <c r="Z285" s="28">
        <f>ROUND(IF(AQ285="5",BJ285,0),2)</f>
        <v>0</v>
      </c>
      <c r="AB285" s="28">
        <f>ROUND(IF(AQ285="1",BH285,0),2)</f>
        <v>0</v>
      </c>
      <c r="AC285" s="28">
        <f>ROUND(IF(AQ285="1",BI285,0),2)</f>
        <v>0</v>
      </c>
      <c r="AD285" s="28">
        <f>ROUND(IF(AQ285="7",BH285,0),2)</f>
        <v>0</v>
      </c>
      <c r="AE285" s="28">
        <f>ROUND(IF(AQ285="7",BI285,0),2)</f>
        <v>0</v>
      </c>
      <c r="AF285" s="28">
        <f>ROUND(IF(AQ285="2",BH285,0),2)</f>
        <v>0</v>
      </c>
      <c r="AG285" s="28">
        <f>ROUND(IF(AQ285="2",BI285,0),2)</f>
        <v>0</v>
      </c>
      <c r="AH285" s="28">
        <f>ROUND(IF(AQ285="0",BJ285,0),2)</f>
        <v>0</v>
      </c>
      <c r="AI285" s="10" t="s">
        <v>55</v>
      </c>
      <c r="AJ285" s="28">
        <f>IF(AN285=0,J285,0)</f>
        <v>0</v>
      </c>
      <c r="AK285" s="28">
        <f>IF(AN285=12,J285,0)</f>
        <v>0</v>
      </c>
      <c r="AL285" s="28">
        <f>IF(AN285=21,J285,0)</f>
        <v>0</v>
      </c>
      <c r="AN285" s="28">
        <v>21</v>
      </c>
      <c r="AO285" s="28">
        <f>G285*0.050502814</f>
        <v>0</v>
      </c>
      <c r="AP285" s="28">
        <f>G285*(1-0.050502814)</f>
        <v>0</v>
      </c>
      <c r="AQ285" s="30" t="s">
        <v>56</v>
      </c>
      <c r="AV285" s="28">
        <f>ROUND(AW285+AX285,2)</f>
        <v>0</v>
      </c>
      <c r="AW285" s="28">
        <f>ROUND(F285*AO285,2)</f>
        <v>0</v>
      </c>
      <c r="AX285" s="28">
        <f>ROUND(F285*AP285,2)</f>
        <v>0</v>
      </c>
      <c r="AY285" s="30" t="s">
        <v>537</v>
      </c>
      <c r="AZ285" s="30" t="s">
        <v>461</v>
      </c>
      <c r="BA285" s="10" t="s">
        <v>63</v>
      </c>
      <c r="BC285" s="28">
        <f>AW285+AX285</f>
        <v>0</v>
      </c>
      <c r="BD285" s="28">
        <f>G285/(100-BE285)*100</f>
        <v>0</v>
      </c>
      <c r="BE285" s="28">
        <v>0</v>
      </c>
      <c r="BF285" s="28">
        <f>285</f>
        <v>285</v>
      </c>
      <c r="BH285" s="28">
        <f>F285*AO285</f>
        <v>0</v>
      </c>
      <c r="BI285" s="28">
        <f>F285*AP285</f>
        <v>0</v>
      </c>
      <c r="BJ285" s="28">
        <f>F285*G285</f>
        <v>0</v>
      </c>
      <c r="BK285" s="28"/>
      <c r="BL285" s="28">
        <v>89</v>
      </c>
      <c r="BW285" s="28">
        <v>21</v>
      </c>
      <c r="BX285" s="4" t="s">
        <v>580</v>
      </c>
    </row>
    <row r="286" spans="1:76" ht="92.4" x14ac:dyDescent="0.3">
      <c r="A286" s="31"/>
      <c r="B286" s="35" t="s">
        <v>68</v>
      </c>
      <c r="C286" s="93" t="s">
        <v>581</v>
      </c>
      <c r="D286" s="94"/>
      <c r="E286" s="94"/>
      <c r="F286" s="94"/>
      <c r="G286" s="94"/>
      <c r="H286" s="94"/>
      <c r="I286" s="94"/>
      <c r="J286" s="94"/>
      <c r="K286" s="95"/>
      <c r="BX286" s="36" t="s">
        <v>581</v>
      </c>
    </row>
    <row r="287" spans="1:76" ht="14.4" x14ac:dyDescent="0.3">
      <c r="A287" s="2" t="s">
        <v>582</v>
      </c>
      <c r="B287" s="3" t="s">
        <v>583</v>
      </c>
      <c r="C287" s="75" t="s">
        <v>584</v>
      </c>
      <c r="D287" s="70"/>
      <c r="E287" s="3" t="s">
        <v>293</v>
      </c>
      <c r="F287" s="28">
        <v>2</v>
      </c>
      <c r="G287" s="28">
        <v>0</v>
      </c>
      <c r="H287" s="28">
        <f>ROUND(F287*AO287,2)</f>
        <v>0</v>
      </c>
      <c r="I287" s="28">
        <f>ROUND(F287*AP287,2)</f>
        <v>0</v>
      </c>
      <c r="J287" s="28">
        <f>ROUND(F287*G287,2)</f>
        <v>0</v>
      </c>
      <c r="K287" s="29" t="s">
        <v>60</v>
      </c>
      <c r="Z287" s="28">
        <f>ROUND(IF(AQ287="5",BJ287,0),2)</f>
        <v>0</v>
      </c>
      <c r="AB287" s="28">
        <f>ROUND(IF(AQ287="1",BH287,0),2)</f>
        <v>0</v>
      </c>
      <c r="AC287" s="28">
        <f>ROUND(IF(AQ287="1",BI287,0),2)</f>
        <v>0</v>
      </c>
      <c r="AD287" s="28">
        <f>ROUND(IF(AQ287="7",BH287,0),2)</f>
        <v>0</v>
      </c>
      <c r="AE287" s="28">
        <f>ROUND(IF(AQ287="7",BI287,0),2)</f>
        <v>0</v>
      </c>
      <c r="AF287" s="28">
        <f>ROUND(IF(AQ287="2",BH287,0),2)</f>
        <v>0</v>
      </c>
      <c r="AG287" s="28">
        <f>ROUND(IF(AQ287="2",BI287,0),2)</f>
        <v>0</v>
      </c>
      <c r="AH287" s="28">
        <f>ROUND(IF(AQ287="0",BJ287,0),2)</f>
        <v>0</v>
      </c>
      <c r="AI287" s="10" t="s">
        <v>55</v>
      </c>
      <c r="AJ287" s="28">
        <f>IF(AN287=0,J287,0)</f>
        <v>0</v>
      </c>
      <c r="AK287" s="28">
        <f>IF(AN287=12,J287,0)</f>
        <v>0</v>
      </c>
      <c r="AL287" s="28">
        <f>IF(AN287=21,J287,0)</f>
        <v>0</v>
      </c>
      <c r="AN287" s="28">
        <v>21</v>
      </c>
      <c r="AO287" s="28">
        <f>G287*0.823258792</f>
        <v>0</v>
      </c>
      <c r="AP287" s="28">
        <f>G287*(1-0.823258792)</f>
        <v>0</v>
      </c>
      <c r="AQ287" s="30" t="s">
        <v>56</v>
      </c>
      <c r="AV287" s="28">
        <f>ROUND(AW287+AX287,2)</f>
        <v>0</v>
      </c>
      <c r="AW287" s="28">
        <f>ROUND(F287*AO287,2)</f>
        <v>0</v>
      </c>
      <c r="AX287" s="28">
        <f>ROUND(F287*AP287,2)</f>
        <v>0</v>
      </c>
      <c r="AY287" s="30" t="s">
        <v>537</v>
      </c>
      <c r="AZ287" s="30" t="s">
        <v>461</v>
      </c>
      <c r="BA287" s="10" t="s">
        <v>63</v>
      </c>
      <c r="BC287" s="28">
        <f>AW287+AX287</f>
        <v>0</v>
      </c>
      <c r="BD287" s="28">
        <f>G287/(100-BE287)*100</f>
        <v>0</v>
      </c>
      <c r="BE287" s="28">
        <v>0</v>
      </c>
      <c r="BF287" s="28">
        <f>287</f>
        <v>287</v>
      </c>
      <c r="BH287" s="28">
        <f>F287*AO287</f>
        <v>0</v>
      </c>
      <c r="BI287" s="28">
        <f>F287*AP287</f>
        <v>0</v>
      </c>
      <c r="BJ287" s="28">
        <f>F287*G287</f>
        <v>0</v>
      </c>
      <c r="BK287" s="28"/>
      <c r="BL287" s="28">
        <v>89</v>
      </c>
      <c r="BW287" s="28">
        <v>21</v>
      </c>
      <c r="BX287" s="4" t="s">
        <v>584</v>
      </c>
    </row>
    <row r="288" spans="1:76" ht="13.5" customHeight="1" x14ac:dyDescent="0.3">
      <c r="A288" s="31"/>
      <c r="B288" s="35" t="s">
        <v>105</v>
      </c>
      <c r="C288" s="96" t="s">
        <v>585</v>
      </c>
      <c r="D288" s="97"/>
      <c r="E288" s="97"/>
      <c r="F288" s="97"/>
      <c r="G288" s="97"/>
      <c r="H288" s="97"/>
      <c r="I288" s="97"/>
      <c r="J288" s="97"/>
      <c r="K288" s="98"/>
    </row>
    <row r="289" spans="1:76" ht="52.8" x14ac:dyDescent="0.3">
      <c r="A289" s="31"/>
      <c r="B289" s="35" t="s">
        <v>68</v>
      </c>
      <c r="C289" s="93" t="s">
        <v>586</v>
      </c>
      <c r="D289" s="94"/>
      <c r="E289" s="94"/>
      <c r="F289" s="94"/>
      <c r="G289" s="94"/>
      <c r="H289" s="94"/>
      <c r="I289" s="94"/>
      <c r="J289" s="94"/>
      <c r="K289" s="95"/>
      <c r="BX289" s="36" t="s">
        <v>586</v>
      </c>
    </row>
    <row r="290" spans="1:76" ht="14.4" x14ac:dyDescent="0.3">
      <c r="A290" s="2" t="s">
        <v>587</v>
      </c>
      <c r="B290" s="3" t="s">
        <v>588</v>
      </c>
      <c r="C290" s="75" t="s">
        <v>589</v>
      </c>
      <c r="D290" s="70"/>
      <c r="E290" s="3" t="s">
        <v>293</v>
      </c>
      <c r="F290" s="28">
        <v>1</v>
      </c>
      <c r="G290" s="28">
        <v>0</v>
      </c>
      <c r="H290" s="28">
        <f>ROUND(F290*AO290,2)</f>
        <v>0</v>
      </c>
      <c r="I290" s="28">
        <f>ROUND(F290*AP290,2)</f>
        <v>0</v>
      </c>
      <c r="J290" s="28">
        <f>ROUND(F290*G290,2)</f>
        <v>0</v>
      </c>
      <c r="K290" s="29" t="s">
        <v>60</v>
      </c>
      <c r="Z290" s="28">
        <f>ROUND(IF(AQ290="5",BJ290,0),2)</f>
        <v>0</v>
      </c>
      <c r="AB290" s="28">
        <f>ROUND(IF(AQ290="1",BH290,0),2)</f>
        <v>0</v>
      </c>
      <c r="AC290" s="28">
        <f>ROUND(IF(AQ290="1",BI290,0),2)</f>
        <v>0</v>
      </c>
      <c r="AD290" s="28">
        <f>ROUND(IF(AQ290="7",BH290,0),2)</f>
        <v>0</v>
      </c>
      <c r="AE290" s="28">
        <f>ROUND(IF(AQ290="7",BI290,0),2)</f>
        <v>0</v>
      </c>
      <c r="AF290" s="28">
        <f>ROUND(IF(AQ290="2",BH290,0),2)</f>
        <v>0</v>
      </c>
      <c r="AG290" s="28">
        <f>ROUND(IF(AQ290="2",BI290,0),2)</f>
        <v>0</v>
      </c>
      <c r="AH290" s="28">
        <f>ROUND(IF(AQ290="0",BJ290,0),2)</f>
        <v>0</v>
      </c>
      <c r="AI290" s="10" t="s">
        <v>55</v>
      </c>
      <c r="AJ290" s="28">
        <f>IF(AN290=0,J290,0)</f>
        <v>0</v>
      </c>
      <c r="AK290" s="28">
        <f>IF(AN290=12,J290,0)</f>
        <v>0</v>
      </c>
      <c r="AL290" s="28">
        <f>IF(AN290=21,J290,0)</f>
        <v>0</v>
      </c>
      <c r="AN290" s="28">
        <v>21</v>
      </c>
      <c r="AO290" s="28">
        <f>G290*0</f>
        <v>0</v>
      </c>
      <c r="AP290" s="28">
        <f>G290*(1-0)</f>
        <v>0</v>
      </c>
      <c r="AQ290" s="30" t="s">
        <v>56</v>
      </c>
      <c r="AV290" s="28">
        <f>ROUND(AW290+AX290,2)</f>
        <v>0</v>
      </c>
      <c r="AW290" s="28">
        <f>ROUND(F290*AO290,2)</f>
        <v>0</v>
      </c>
      <c r="AX290" s="28">
        <f>ROUND(F290*AP290,2)</f>
        <v>0</v>
      </c>
      <c r="AY290" s="30" t="s">
        <v>537</v>
      </c>
      <c r="AZ290" s="30" t="s">
        <v>461</v>
      </c>
      <c r="BA290" s="10" t="s">
        <v>63</v>
      </c>
      <c r="BC290" s="28">
        <f>AW290+AX290</f>
        <v>0</v>
      </c>
      <c r="BD290" s="28">
        <f>G290/(100-BE290)*100</f>
        <v>0</v>
      </c>
      <c r="BE290" s="28">
        <v>0</v>
      </c>
      <c r="BF290" s="28">
        <f>290</f>
        <v>290</v>
      </c>
      <c r="BH290" s="28">
        <f>F290*AO290</f>
        <v>0</v>
      </c>
      <c r="BI290" s="28">
        <f>F290*AP290</f>
        <v>0</v>
      </c>
      <c r="BJ290" s="28">
        <f>F290*G290</f>
        <v>0</v>
      </c>
      <c r="BK290" s="28"/>
      <c r="BL290" s="28">
        <v>89</v>
      </c>
      <c r="BW290" s="28">
        <v>21</v>
      </c>
      <c r="BX290" s="4" t="s">
        <v>589</v>
      </c>
    </row>
    <row r="291" spans="1:76" ht="13.5" customHeight="1" x14ac:dyDescent="0.3">
      <c r="A291" s="31"/>
      <c r="B291" s="35" t="s">
        <v>105</v>
      </c>
      <c r="C291" s="96" t="s">
        <v>590</v>
      </c>
      <c r="D291" s="97"/>
      <c r="E291" s="97"/>
      <c r="F291" s="97"/>
      <c r="G291" s="97"/>
      <c r="H291" s="97"/>
      <c r="I291" s="97"/>
      <c r="J291" s="97"/>
      <c r="K291" s="98"/>
    </row>
    <row r="292" spans="1:76" ht="39.6" x14ac:dyDescent="0.3">
      <c r="A292" s="31"/>
      <c r="B292" s="35" t="s">
        <v>68</v>
      </c>
      <c r="C292" s="93" t="s">
        <v>591</v>
      </c>
      <c r="D292" s="94"/>
      <c r="E292" s="94"/>
      <c r="F292" s="94"/>
      <c r="G292" s="94"/>
      <c r="H292" s="94"/>
      <c r="I292" s="94"/>
      <c r="J292" s="94"/>
      <c r="K292" s="95"/>
      <c r="BX292" s="36" t="s">
        <v>591</v>
      </c>
    </row>
    <row r="293" spans="1:76" ht="14.4" x14ac:dyDescent="0.3">
      <c r="A293" s="2" t="s">
        <v>592</v>
      </c>
      <c r="B293" s="3" t="s">
        <v>593</v>
      </c>
      <c r="C293" s="75" t="s">
        <v>594</v>
      </c>
      <c r="D293" s="70"/>
      <c r="E293" s="3" t="s">
        <v>293</v>
      </c>
      <c r="F293" s="28">
        <v>1</v>
      </c>
      <c r="G293" s="28">
        <v>0</v>
      </c>
      <c r="H293" s="28">
        <f>ROUND(F293*AO293,2)</f>
        <v>0</v>
      </c>
      <c r="I293" s="28">
        <f>ROUND(F293*AP293,2)</f>
        <v>0</v>
      </c>
      <c r="J293" s="28">
        <f>ROUND(F293*G293,2)</f>
        <v>0</v>
      </c>
      <c r="K293" s="29" t="s">
        <v>60</v>
      </c>
      <c r="Z293" s="28">
        <f>ROUND(IF(AQ293="5",BJ293,0),2)</f>
        <v>0</v>
      </c>
      <c r="AB293" s="28">
        <f>ROUND(IF(AQ293="1",BH293,0),2)</f>
        <v>0</v>
      </c>
      <c r="AC293" s="28">
        <f>ROUND(IF(AQ293="1",BI293,0),2)</f>
        <v>0</v>
      </c>
      <c r="AD293" s="28">
        <f>ROUND(IF(AQ293="7",BH293,0),2)</f>
        <v>0</v>
      </c>
      <c r="AE293" s="28">
        <f>ROUND(IF(AQ293="7",BI293,0),2)</f>
        <v>0</v>
      </c>
      <c r="AF293" s="28">
        <f>ROUND(IF(AQ293="2",BH293,0),2)</f>
        <v>0</v>
      </c>
      <c r="AG293" s="28">
        <f>ROUND(IF(AQ293="2",BI293,0),2)</f>
        <v>0</v>
      </c>
      <c r="AH293" s="28">
        <f>ROUND(IF(AQ293="0",BJ293,0),2)</f>
        <v>0</v>
      </c>
      <c r="AI293" s="10" t="s">
        <v>55</v>
      </c>
      <c r="AJ293" s="28">
        <f>IF(AN293=0,J293,0)</f>
        <v>0</v>
      </c>
      <c r="AK293" s="28">
        <f>IF(AN293=12,J293,0)</f>
        <v>0</v>
      </c>
      <c r="AL293" s="28">
        <f>IF(AN293=21,J293,0)</f>
        <v>0</v>
      </c>
      <c r="AN293" s="28">
        <v>21</v>
      </c>
      <c r="AO293" s="28">
        <f>G293*1</f>
        <v>0</v>
      </c>
      <c r="AP293" s="28">
        <f>G293*(1-1)</f>
        <v>0</v>
      </c>
      <c r="AQ293" s="30" t="s">
        <v>56</v>
      </c>
      <c r="AV293" s="28">
        <f>ROUND(AW293+AX293,2)</f>
        <v>0</v>
      </c>
      <c r="AW293" s="28">
        <f>ROUND(F293*AO293,2)</f>
        <v>0</v>
      </c>
      <c r="AX293" s="28">
        <f>ROUND(F293*AP293,2)</f>
        <v>0</v>
      </c>
      <c r="AY293" s="30" t="s">
        <v>537</v>
      </c>
      <c r="AZ293" s="30" t="s">
        <v>461</v>
      </c>
      <c r="BA293" s="10" t="s">
        <v>63</v>
      </c>
      <c r="BC293" s="28">
        <f>AW293+AX293</f>
        <v>0</v>
      </c>
      <c r="BD293" s="28">
        <f>G293/(100-BE293)*100</f>
        <v>0</v>
      </c>
      <c r="BE293" s="28">
        <v>0</v>
      </c>
      <c r="BF293" s="28">
        <f>293</f>
        <v>293</v>
      </c>
      <c r="BH293" s="28">
        <f>F293*AO293</f>
        <v>0</v>
      </c>
      <c r="BI293" s="28">
        <f>F293*AP293</f>
        <v>0</v>
      </c>
      <c r="BJ293" s="28">
        <f>F293*G293</f>
        <v>0</v>
      </c>
      <c r="BK293" s="28"/>
      <c r="BL293" s="28">
        <v>89</v>
      </c>
      <c r="BW293" s="28">
        <v>21</v>
      </c>
      <c r="BX293" s="4" t="s">
        <v>594</v>
      </c>
    </row>
    <row r="294" spans="1:76" ht="14.4" x14ac:dyDescent="0.3">
      <c r="A294" s="31"/>
      <c r="B294" s="35" t="s">
        <v>68</v>
      </c>
      <c r="C294" s="93" t="s">
        <v>595</v>
      </c>
      <c r="D294" s="94"/>
      <c r="E294" s="94"/>
      <c r="F294" s="94"/>
      <c r="G294" s="94"/>
      <c r="H294" s="94"/>
      <c r="I294" s="94"/>
      <c r="J294" s="94"/>
      <c r="K294" s="95"/>
      <c r="BX294" s="36" t="s">
        <v>595</v>
      </c>
    </row>
    <row r="295" spans="1:76" ht="14.4" x14ac:dyDescent="0.3">
      <c r="A295" s="2" t="s">
        <v>596</v>
      </c>
      <c r="B295" s="3" t="s">
        <v>597</v>
      </c>
      <c r="C295" s="75" t="s">
        <v>598</v>
      </c>
      <c r="D295" s="70"/>
      <c r="E295" s="3" t="s">
        <v>293</v>
      </c>
      <c r="F295" s="28">
        <v>1</v>
      </c>
      <c r="G295" s="28">
        <v>0</v>
      </c>
      <c r="H295" s="28">
        <f>ROUND(F295*AO295,2)</f>
        <v>0</v>
      </c>
      <c r="I295" s="28">
        <f>ROUND(F295*AP295,2)</f>
        <v>0</v>
      </c>
      <c r="J295" s="28">
        <f>ROUND(F295*G295,2)</f>
        <v>0</v>
      </c>
      <c r="K295" s="29" t="s">
        <v>426</v>
      </c>
      <c r="Z295" s="28">
        <f>ROUND(IF(AQ295="5",BJ295,0),2)</f>
        <v>0</v>
      </c>
      <c r="AB295" s="28">
        <f>ROUND(IF(AQ295="1",BH295,0),2)</f>
        <v>0</v>
      </c>
      <c r="AC295" s="28">
        <f>ROUND(IF(AQ295="1",BI295,0),2)</f>
        <v>0</v>
      </c>
      <c r="AD295" s="28">
        <f>ROUND(IF(AQ295="7",BH295,0),2)</f>
        <v>0</v>
      </c>
      <c r="AE295" s="28">
        <f>ROUND(IF(AQ295="7",BI295,0),2)</f>
        <v>0</v>
      </c>
      <c r="AF295" s="28">
        <f>ROUND(IF(AQ295="2",BH295,0),2)</f>
        <v>0</v>
      </c>
      <c r="AG295" s="28">
        <f>ROUND(IF(AQ295="2",BI295,0),2)</f>
        <v>0</v>
      </c>
      <c r="AH295" s="28">
        <f>ROUND(IF(AQ295="0",BJ295,0),2)</f>
        <v>0</v>
      </c>
      <c r="AI295" s="10" t="s">
        <v>55</v>
      </c>
      <c r="AJ295" s="28">
        <f>IF(AN295=0,J295,0)</f>
        <v>0</v>
      </c>
      <c r="AK295" s="28">
        <f>IF(AN295=12,J295,0)</f>
        <v>0</v>
      </c>
      <c r="AL295" s="28">
        <f>IF(AN295=21,J295,0)</f>
        <v>0</v>
      </c>
      <c r="AN295" s="28">
        <v>21</v>
      </c>
      <c r="AO295" s="28">
        <f>G295*0.366270376</f>
        <v>0</v>
      </c>
      <c r="AP295" s="28">
        <f>G295*(1-0.366270376)</f>
        <v>0</v>
      </c>
      <c r="AQ295" s="30" t="s">
        <v>56</v>
      </c>
      <c r="AV295" s="28">
        <f>ROUND(AW295+AX295,2)</f>
        <v>0</v>
      </c>
      <c r="AW295" s="28">
        <f>ROUND(F295*AO295,2)</f>
        <v>0</v>
      </c>
      <c r="AX295" s="28">
        <f>ROUND(F295*AP295,2)</f>
        <v>0</v>
      </c>
      <c r="AY295" s="30" t="s">
        <v>537</v>
      </c>
      <c r="AZ295" s="30" t="s">
        <v>461</v>
      </c>
      <c r="BA295" s="10" t="s">
        <v>63</v>
      </c>
      <c r="BC295" s="28">
        <f>AW295+AX295</f>
        <v>0</v>
      </c>
      <c r="BD295" s="28">
        <f>G295/(100-BE295)*100</f>
        <v>0</v>
      </c>
      <c r="BE295" s="28">
        <v>0</v>
      </c>
      <c r="BF295" s="28">
        <f>295</f>
        <v>295</v>
      </c>
      <c r="BH295" s="28">
        <f>F295*AO295</f>
        <v>0</v>
      </c>
      <c r="BI295" s="28">
        <f>F295*AP295</f>
        <v>0</v>
      </c>
      <c r="BJ295" s="28">
        <f>F295*G295</f>
        <v>0</v>
      </c>
      <c r="BK295" s="28"/>
      <c r="BL295" s="28">
        <v>89</v>
      </c>
      <c r="BW295" s="28">
        <v>21</v>
      </c>
      <c r="BX295" s="4" t="s">
        <v>598</v>
      </c>
    </row>
    <row r="296" spans="1:76" ht="13.5" customHeight="1" x14ac:dyDescent="0.3">
      <c r="A296" s="31"/>
      <c r="B296" s="35" t="s">
        <v>105</v>
      </c>
      <c r="C296" s="96" t="s">
        <v>599</v>
      </c>
      <c r="D296" s="97"/>
      <c r="E296" s="97"/>
      <c r="F296" s="97"/>
      <c r="G296" s="97"/>
      <c r="H296" s="97"/>
      <c r="I296" s="97"/>
      <c r="J296" s="97"/>
      <c r="K296" s="98"/>
    </row>
    <row r="297" spans="1:76" ht="14.4" x14ac:dyDescent="0.3">
      <c r="A297" s="31"/>
      <c r="B297" s="35" t="s">
        <v>68</v>
      </c>
      <c r="C297" s="93" t="s">
        <v>4</v>
      </c>
      <c r="D297" s="94"/>
      <c r="E297" s="94"/>
      <c r="F297" s="94"/>
      <c r="G297" s="94"/>
      <c r="H297" s="94"/>
      <c r="I297" s="94"/>
      <c r="J297" s="94"/>
      <c r="K297" s="95"/>
      <c r="BX297" s="36" t="s">
        <v>4</v>
      </c>
    </row>
    <row r="298" spans="1:76" ht="14.4" x14ac:dyDescent="0.3">
      <c r="A298" s="2" t="s">
        <v>600</v>
      </c>
      <c r="B298" s="3" t="s">
        <v>601</v>
      </c>
      <c r="C298" s="75" t="s">
        <v>602</v>
      </c>
      <c r="D298" s="70"/>
      <c r="E298" s="3" t="s">
        <v>293</v>
      </c>
      <c r="F298" s="28">
        <v>1</v>
      </c>
      <c r="G298" s="28">
        <v>0</v>
      </c>
      <c r="H298" s="28">
        <f>ROUND(F298*AO298,2)</f>
        <v>0</v>
      </c>
      <c r="I298" s="28">
        <f>ROUND(F298*AP298,2)</f>
        <v>0</v>
      </c>
      <c r="J298" s="28">
        <f>ROUND(F298*G298,2)</f>
        <v>0</v>
      </c>
      <c r="K298" s="29" t="s">
        <v>426</v>
      </c>
      <c r="Z298" s="28">
        <f>ROUND(IF(AQ298="5",BJ298,0),2)</f>
        <v>0</v>
      </c>
      <c r="AB298" s="28">
        <f>ROUND(IF(AQ298="1",BH298,0),2)</f>
        <v>0</v>
      </c>
      <c r="AC298" s="28">
        <f>ROUND(IF(AQ298="1",BI298,0),2)</f>
        <v>0</v>
      </c>
      <c r="AD298" s="28">
        <f>ROUND(IF(AQ298="7",BH298,0),2)</f>
        <v>0</v>
      </c>
      <c r="AE298" s="28">
        <f>ROUND(IF(AQ298="7",BI298,0),2)</f>
        <v>0</v>
      </c>
      <c r="AF298" s="28">
        <f>ROUND(IF(AQ298="2",BH298,0),2)</f>
        <v>0</v>
      </c>
      <c r="AG298" s="28">
        <f>ROUND(IF(AQ298="2",BI298,0),2)</f>
        <v>0</v>
      </c>
      <c r="AH298" s="28">
        <f>ROUND(IF(AQ298="0",BJ298,0),2)</f>
        <v>0</v>
      </c>
      <c r="AI298" s="10" t="s">
        <v>55</v>
      </c>
      <c r="AJ298" s="28">
        <f>IF(AN298=0,J298,0)</f>
        <v>0</v>
      </c>
      <c r="AK298" s="28">
        <f>IF(AN298=12,J298,0)</f>
        <v>0</v>
      </c>
      <c r="AL298" s="28">
        <f>IF(AN298=21,J298,0)</f>
        <v>0</v>
      </c>
      <c r="AN298" s="28">
        <v>21</v>
      </c>
      <c r="AO298" s="28">
        <f>G298*0.416552611</f>
        <v>0</v>
      </c>
      <c r="AP298" s="28">
        <f>G298*(1-0.416552611)</f>
        <v>0</v>
      </c>
      <c r="AQ298" s="30" t="s">
        <v>56</v>
      </c>
      <c r="AV298" s="28">
        <f>ROUND(AW298+AX298,2)</f>
        <v>0</v>
      </c>
      <c r="AW298" s="28">
        <f>ROUND(F298*AO298,2)</f>
        <v>0</v>
      </c>
      <c r="AX298" s="28">
        <f>ROUND(F298*AP298,2)</f>
        <v>0</v>
      </c>
      <c r="AY298" s="30" t="s">
        <v>537</v>
      </c>
      <c r="AZ298" s="30" t="s">
        <v>461</v>
      </c>
      <c r="BA298" s="10" t="s">
        <v>63</v>
      </c>
      <c r="BC298" s="28">
        <f>AW298+AX298</f>
        <v>0</v>
      </c>
      <c r="BD298" s="28">
        <f>G298/(100-BE298)*100</f>
        <v>0</v>
      </c>
      <c r="BE298" s="28">
        <v>0</v>
      </c>
      <c r="BF298" s="28">
        <f>298</f>
        <v>298</v>
      </c>
      <c r="BH298" s="28">
        <f>F298*AO298</f>
        <v>0</v>
      </c>
      <c r="BI298" s="28">
        <f>F298*AP298</f>
        <v>0</v>
      </c>
      <c r="BJ298" s="28">
        <f>F298*G298</f>
        <v>0</v>
      </c>
      <c r="BK298" s="28"/>
      <c r="BL298" s="28">
        <v>89</v>
      </c>
      <c r="BW298" s="28">
        <v>21</v>
      </c>
      <c r="BX298" s="4" t="s">
        <v>602</v>
      </c>
    </row>
    <row r="299" spans="1:76" ht="13.5" customHeight="1" x14ac:dyDescent="0.3">
      <c r="A299" s="31"/>
      <c r="B299" s="35" t="s">
        <v>105</v>
      </c>
      <c r="C299" s="96" t="s">
        <v>603</v>
      </c>
      <c r="D299" s="97"/>
      <c r="E299" s="97"/>
      <c r="F299" s="97"/>
      <c r="G299" s="97"/>
      <c r="H299" s="97"/>
      <c r="I299" s="97"/>
      <c r="J299" s="97"/>
      <c r="K299" s="98"/>
    </row>
    <row r="300" spans="1:76" ht="14.4" x14ac:dyDescent="0.3">
      <c r="A300" s="24" t="s">
        <v>51</v>
      </c>
      <c r="B300" s="25" t="s">
        <v>587</v>
      </c>
      <c r="C300" s="91" t="s">
        <v>604</v>
      </c>
      <c r="D300" s="92"/>
      <c r="E300" s="26" t="s">
        <v>4</v>
      </c>
      <c r="F300" s="26" t="s">
        <v>4</v>
      </c>
      <c r="G300" s="26" t="s">
        <v>4</v>
      </c>
      <c r="H300" s="1">
        <f>SUM(H301:H307)</f>
        <v>0</v>
      </c>
      <c r="I300" s="1">
        <f>SUM(I301:I307)</f>
        <v>0</v>
      </c>
      <c r="J300" s="1">
        <f>SUM(J301:J307)</f>
        <v>0</v>
      </c>
      <c r="K300" s="27" t="s">
        <v>51</v>
      </c>
      <c r="AI300" s="10" t="s">
        <v>55</v>
      </c>
      <c r="AS300" s="1">
        <f>SUM(AJ301:AJ307)</f>
        <v>0</v>
      </c>
      <c r="AT300" s="1">
        <f>SUM(AK301:AK307)</f>
        <v>0</v>
      </c>
      <c r="AU300" s="1">
        <f>SUM(AL301:AL307)</f>
        <v>0</v>
      </c>
    </row>
    <row r="301" spans="1:76" ht="14.4" x14ac:dyDescent="0.3">
      <c r="A301" s="2" t="s">
        <v>605</v>
      </c>
      <c r="B301" s="3" t="s">
        <v>606</v>
      </c>
      <c r="C301" s="75" t="s">
        <v>607</v>
      </c>
      <c r="D301" s="70"/>
      <c r="E301" s="3" t="s">
        <v>59</v>
      </c>
      <c r="F301" s="28">
        <v>1.41</v>
      </c>
      <c r="G301" s="28">
        <v>0</v>
      </c>
      <c r="H301" s="28">
        <f>ROUND(F301*AO301,2)</f>
        <v>0</v>
      </c>
      <c r="I301" s="28">
        <f>ROUND(F301*AP301,2)</f>
        <v>0</v>
      </c>
      <c r="J301" s="28">
        <f>ROUND(F301*G301,2)</f>
        <v>0</v>
      </c>
      <c r="K301" s="29" t="s">
        <v>60</v>
      </c>
      <c r="Z301" s="28">
        <f>ROUND(IF(AQ301="5",BJ301,0),2)</f>
        <v>0</v>
      </c>
      <c r="AB301" s="28">
        <f>ROUND(IF(AQ301="1",BH301,0),2)</f>
        <v>0</v>
      </c>
      <c r="AC301" s="28">
        <f>ROUND(IF(AQ301="1",BI301,0),2)</f>
        <v>0</v>
      </c>
      <c r="AD301" s="28">
        <f>ROUND(IF(AQ301="7",BH301,0),2)</f>
        <v>0</v>
      </c>
      <c r="AE301" s="28">
        <f>ROUND(IF(AQ301="7",BI301,0),2)</f>
        <v>0</v>
      </c>
      <c r="AF301" s="28">
        <f>ROUND(IF(AQ301="2",BH301,0),2)</f>
        <v>0</v>
      </c>
      <c r="AG301" s="28">
        <f>ROUND(IF(AQ301="2",BI301,0),2)</f>
        <v>0</v>
      </c>
      <c r="AH301" s="28">
        <f>ROUND(IF(AQ301="0",BJ301,0),2)</f>
        <v>0</v>
      </c>
      <c r="AI301" s="10" t="s">
        <v>55</v>
      </c>
      <c r="AJ301" s="28">
        <f>IF(AN301=0,J301,0)</f>
        <v>0</v>
      </c>
      <c r="AK301" s="28">
        <f>IF(AN301=12,J301,0)</f>
        <v>0</v>
      </c>
      <c r="AL301" s="28">
        <f>IF(AN301=21,J301,0)</f>
        <v>0</v>
      </c>
      <c r="AN301" s="28">
        <v>21</v>
      </c>
      <c r="AO301" s="28">
        <f>G301*0.199963907</f>
        <v>0</v>
      </c>
      <c r="AP301" s="28">
        <f>G301*(1-0.199963907)</f>
        <v>0</v>
      </c>
      <c r="AQ301" s="30" t="s">
        <v>56</v>
      </c>
      <c r="AV301" s="28">
        <f>ROUND(AW301+AX301,2)</f>
        <v>0</v>
      </c>
      <c r="AW301" s="28">
        <f>ROUND(F301*AO301,2)</f>
        <v>0</v>
      </c>
      <c r="AX301" s="28">
        <f>ROUND(F301*AP301,2)</f>
        <v>0</v>
      </c>
      <c r="AY301" s="30" t="s">
        <v>608</v>
      </c>
      <c r="AZ301" s="30" t="s">
        <v>609</v>
      </c>
      <c r="BA301" s="10" t="s">
        <v>63</v>
      </c>
      <c r="BC301" s="28">
        <f>AW301+AX301</f>
        <v>0</v>
      </c>
      <c r="BD301" s="28">
        <f>G301/(100-BE301)*100</f>
        <v>0</v>
      </c>
      <c r="BE301" s="28">
        <v>0</v>
      </c>
      <c r="BF301" s="28">
        <f>301</f>
        <v>301</v>
      </c>
      <c r="BH301" s="28">
        <f>F301*AO301</f>
        <v>0</v>
      </c>
      <c r="BI301" s="28">
        <f>F301*AP301</f>
        <v>0</v>
      </c>
      <c r="BJ301" s="28">
        <f>F301*G301</f>
        <v>0</v>
      </c>
      <c r="BK301" s="28"/>
      <c r="BL301" s="28">
        <v>93</v>
      </c>
      <c r="BW301" s="28">
        <v>21</v>
      </c>
      <c r="BX301" s="4" t="s">
        <v>607</v>
      </c>
    </row>
    <row r="302" spans="1:76" ht="14.4" x14ac:dyDescent="0.3">
      <c r="A302" s="31"/>
      <c r="C302" s="32" t="s">
        <v>610</v>
      </c>
      <c r="D302" s="32" t="s">
        <v>611</v>
      </c>
      <c r="F302" s="33">
        <v>1.41</v>
      </c>
      <c r="K302" s="34"/>
    </row>
    <row r="303" spans="1:76" ht="14.4" x14ac:dyDescent="0.3">
      <c r="A303" s="2" t="s">
        <v>612</v>
      </c>
      <c r="B303" s="3" t="s">
        <v>613</v>
      </c>
      <c r="C303" s="75" t="s">
        <v>614</v>
      </c>
      <c r="D303" s="70"/>
      <c r="E303" s="3" t="s">
        <v>188</v>
      </c>
      <c r="F303" s="28">
        <v>55.6</v>
      </c>
      <c r="G303" s="28">
        <v>0</v>
      </c>
      <c r="H303" s="28">
        <f>ROUND(F303*AO303,2)</f>
        <v>0</v>
      </c>
      <c r="I303" s="28">
        <f>ROUND(F303*AP303,2)</f>
        <v>0</v>
      </c>
      <c r="J303" s="28">
        <f>ROUND(F303*G303,2)</f>
        <v>0</v>
      </c>
      <c r="K303" s="29" t="s">
        <v>60</v>
      </c>
      <c r="Z303" s="28">
        <f>ROUND(IF(AQ303="5",BJ303,0),2)</f>
        <v>0</v>
      </c>
      <c r="AB303" s="28">
        <f>ROUND(IF(AQ303="1",BH303,0),2)</f>
        <v>0</v>
      </c>
      <c r="AC303" s="28">
        <f>ROUND(IF(AQ303="1",BI303,0),2)</f>
        <v>0</v>
      </c>
      <c r="AD303" s="28">
        <f>ROUND(IF(AQ303="7",BH303,0),2)</f>
        <v>0</v>
      </c>
      <c r="AE303" s="28">
        <f>ROUND(IF(AQ303="7",BI303,0),2)</f>
        <v>0</v>
      </c>
      <c r="AF303" s="28">
        <f>ROUND(IF(AQ303="2",BH303,0),2)</f>
        <v>0</v>
      </c>
      <c r="AG303" s="28">
        <f>ROUND(IF(AQ303="2",BI303,0),2)</f>
        <v>0</v>
      </c>
      <c r="AH303" s="28">
        <f>ROUND(IF(AQ303="0",BJ303,0),2)</f>
        <v>0</v>
      </c>
      <c r="AI303" s="10" t="s">
        <v>55</v>
      </c>
      <c r="AJ303" s="28">
        <f>IF(AN303=0,J303,0)</f>
        <v>0</v>
      </c>
      <c r="AK303" s="28">
        <f>IF(AN303=12,J303,0)</f>
        <v>0</v>
      </c>
      <c r="AL303" s="28">
        <f>IF(AN303=21,J303,0)</f>
        <v>0</v>
      </c>
      <c r="AN303" s="28">
        <v>21</v>
      </c>
      <c r="AO303" s="28">
        <f>G303*0.698770343</f>
        <v>0</v>
      </c>
      <c r="AP303" s="28">
        <f>G303*(1-0.698770343)</f>
        <v>0</v>
      </c>
      <c r="AQ303" s="30" t="s">
        <v>56</v>
      </c>
      <c r="AV303" s="28">
        <f>ROUND(AW303+AX303,2)</f>
        <v>0</v>
      </c>
      <c r="AW303" s="28">
        <f>ROUND(F303*AO303,2)</f>
        <v>0</v>
      </c>
      <c r="AX303" s="28">
        <f>ROUND(F303*AP303,2)</f>
        <v>0</v>
      </c>
      <c r="AY303" s="30" t="s">
        <v>608</v>
      </c>
      <c r="AZ303" s="30" t="s">
        <v>609</v>
      </c>
      <c r="BA303" s="10" t="s">
        <v>63</v>
      </c>
      <c r="BC303" s="28">
        <f>AW303+AX303</f>
        <v>0</v>
      </c>
      <c r="BD303" s="28">
        <f>G303/(100-BE303)*100</f>
        <v>0</v>
      </c>
      <c r="BE303" s="28">
        <v>0</v>
      </c>
      <c r="BF303" s="28">
        <f>303</f>
        <v>303</v>
      </c>
      <c r="BH303" s="28">
        <f>F303*AO303</f>
        <v>0</v>
      </c>
      <c r="BI303" s="28">
        <f>F303*AP303</f>
        <v>0</v>
      </c>
      <c r="BJ303" s="28">
        <f>F303*G303</f>
        <v>0</v>
      </c>
      <c r="BK303" s="28"/>
      <c r="BL303" s="28">
        <v>93</v>
      </c>
      <c r="BW303" s="28">
        <v>21</v>
      </c>
      <c r="BX303" s="4" t="s">
        <v>614</v>
      </c>
    </row>
    <row r="304" spans="1:76" ht="14.4" x14ac:dyDescent="0.3">
      <c r="A304" s="31"/>
      <c r="C304" s="32" t="s">
        <v>615</v>
      </c>
      <c r="D304" s="32" t="s">
        <v>51</v>
      </c>
      <c r="F304" s="33">
        <v>55.6</v>
      </c>
      <c r="K304" s="34"/>
    </row>
    <row r="305" spans="1:76" ht="39.6" x14ac:dyDescent="0.3">
      <c r="A305" s="31"/>
      <c r="B305" s="35" t="s">
        <v>68</v>
      </c>
      <c r="C305" s="93" t="s">
        <v>616</v>
      </c>
      <c r="D305" s="94"/>
      <c r="E305" s="94"/>
      <c r="F305" s="94"/>
      <c r="G305" s="94"/>
      <c r="H305" s="94"/>
      <c r="I305" s="94"/>
      <c r="J305" s="94"/>
      <c r="K305" s="95"/>
      <c r="BX305" s="36" t="s">
        <v>616</v>
      </c>
    </row>
    <row r="306" spans="1:76" ht="14.4" x14ac:dyDescent="0.3">
      <c r="A306" s="2" t="s">
        <v>617</v>
      </c>
      <c r="B306" s="3" t="s">
        <v>618</v>
      </c>
      <c r="C306" s="75" t="s">
        <v>619</v>
      </c>
      <c r="D306" s="70"/>
      <c r="E306" s="3" t="s">
        <v>59</v>
      </c>
      <c r="F306" s="28">
        <v>280.5</v>
      </c>
      <c r="G306" s="28">
        <v>0</v>
      </c>
      <c r="H306" s="28">
        <f>ROUND(F306*AO306,2)</f>
        <v>0</v>
      </c>
      <c r="I306" s="28">
        <f>ROUND(F306*AP306,2)</f>
        <v>0</v>
      </c>
      <c r="J306" s="28">
        <f>ROUND(F306*G306,2)</f>
        <v>0</v>
      </c>
      <c r="K306" s="29" t="s">
        <v>60</v>
      </c>
      <c r="Z306" s="28">
        <f>ROUND(IF(AQ306="5",BJ306,0),2)</f>
        <v>0</v>
      </c>
      <c r="AB306" s="28">
        <f>ROUND(IF(AQ306="1",BH306,0),2)</f>
        <v>0</v>
      </c>
      <c r="AC306" s="28">
        <f>ROUND(IF(AQ306="1",BI306,0),2)</f>
        <v>0</v>
      </c>
      <c r="AD306" s="28">
        <f>ROUND(IF(AQ306="7",BH306,0),2)</f>
        <v>0</v>
      </c>
      <c r="AE306" s="28">
        <f>ROUND(IF(AQ306="7",BI306,0),2)</f>
        <v>0</v>
      </c>
      <c r="AF306" s="28">
        <f>ROUND(IF(AQ306="2",BH306,0),2)</f>
        <v>0</v>
      </c>
      <c r="AG306" s="28">
        <f>ROUND(IF(AQ306="2",BI306,0),2)</f>
        <v>0</v>
      </c>
      <c r="AH306" s="28">
        <f>ROUND(IF(AQ306="0",BJ306,0),2)</f>
        <v>0</v>
      </c>
      <c r="AI306" s="10" t="s">
        <v>55</v>
      </c>
      <c r="AJ306" s="28">
        <f>IF(AN306=0,J306,0)</f>
        <v>0</v>
      </c>
      <c r="AK306" s="28">
        <f>IF(AN306=12,J306,0)</f>
        <v>0</v>
      </c>
      <c r="AL306" s="28">
        <f>IF(AN306=21,J306,0)</f>
        <v>0</v>
      </c>
      <c r="AN306" s="28">
        <v>21</v>
      </c>
      <c r="AO306" s="28">
        <f>G306*0</f>
        <v>0</v>
      </c>
      <c r="AP306" s="28">
        <f>G306*(1-0)</f>
        <v>0</v>
      </c>
      <c r="AQ306" s="30" t="s">
        <v>56</v>
      </c>
      <c r="AV306" s="28">
        <f>ROUND(AW306+AX306,2)</f>
        <v>0</v>
      </c>
      <c r="AW306" s="28">
        <f>ROUND(F306*AO306,2)</f>
        <v>0</v>
      </c>
      <c r="AX306" s="28">
        <f>ROUND(F306*AP306,2)</f>
        <v>0</v>
      </c>
      <c r="AY306" s="30" t="s">
        <v>608</v>
      </c>
      <c r="AZ306" s="30" t="s">
        <v>609</v>
      </c>
      <c r="BA306" s="10" t="s">
        <v>63</v>
      </c>
      <c r="BC306" s="28">
        <f>AW306+AX306</f>
        <v>0</v>
      </c>
      <c r="BD306" s="28">
        <f>G306/(100-BE306)*100</f>
        <v>0</v>
      </c>
      <c r="BE306" s="28">
        <v>0</v>
      </c>
      <c r="BF306" s="28">
        <f>306</f>
        <v>306</v>
      </c>
      <c r="BH306" s="28">
        <f>F306*AO306</f>
        <v>0</v>
      </c>
      <c r="BI306" s="28">
        <f>F306*AP306</f>
        <v>0</v>
      </c>
      <c r="BJ306" s="28">
        <f>F306*G306</f>
        <v>0</v>
      </c>
      <c r="BK306" s="28"/>
      <c r="BL306" s="28">
        <v>93</v>
      </c>
      <c r="BW306" s="28">
        <v>21</v>
      </c>
      <c r="BX306" s="4" t="s">
        <v>619</v>
      </c>
    </row>
    <row r="307" spans="1:76" ht="14.4" x14ac:dyDescent="0.3">
      <c r="A307" s="2" t="s">
        <v>620</v>
      </c>
      <c r="B307" s="3" t="s">
        <v>621</v>
      </c>
      <c r="C307" s="75" t="s">
        <v>622</v>
      </c>
      <c r="D307" s="70"/>
      <c r="E307" s="3" t="s">
        <v>59</v>
      </c>
      <c r="F307" s="28">
        <v>280.5</v>
      </c>
      <c r="G307" s="28">
        <v>0</v>
      </c>
      <c r="H307" s="28">
        <f>ROUND(F307*AO307,2)</f>
        <v>0</v>
      </c>
      <c r="I307" s="28">
        <f>ROUND(F307*AP307,2)</f>
        <v>0</v>
      </c>
      <c r="J307" s="28">
        <f>ROUND(F307*G307,2)</f>
        <v>0</v>
      </c>
      <c r="K307" s="29" t="s">
        <v>60</v>
      </c>
      <c r="Z307" s="28">
        <f>ROUND(IF(AQ307="5",BJ307,0),2)</f>
        <v>0</v>
      </c>
      <c r="AB307" s="28">
        <f>ROUND(IF(AQ307="1",BH307,0),2)</f>
        <v>0</v>
      </c>
      <c r="AC307" s="28">
        <f>ROUND(IF(AQ307="1",BI307,0),2)</f>
        <v>0</v>
      </c>
      <c r="AD307" s="28">
        <f>ROUND(IF(AQ307="7",BH307,0),2)</f>
        <v>0</v>
      </c>
      <c r="AE307" s="28">
        <f>ROUND(IF(AQ307="7",BI307,0),2)</f>
        <v>0</v>
      </c>
      <c r="AF307" s="28">
        <f>ROUND(IF(AQ307="2",BH307,0),2)</f>
        <v>0</v>
      </c>
      <c r="AG307" s="28">
        <f>ROUND(IF(AQ307="2",BI307,0),2)</f>
        <v>0</v>
      </c>
      <c r="AH307" s="28">
        <f>ROUND(IF(AQ307="0",BJ307,0),2)</f>
        <v>0</v>
      </c>
      <c r="AI307" s="10" t="s">
        <v>55</v>
      </c>
      <c r="AJ307" s="28">
        <f>IF(AN307=0,J307,0)</f>
        <v>0</v>
      </c>
      <c r="AK307" s="28">
        <f>IF(AN307=12,J307,0)</f>
        <v>0</v>
      </c>
      <c r="AL307" s="28">
        <f>IF(AN307=21,J307,0)</f>
        <v>0</v>
      </c>
      <c r="AN307" s="28">
        <v>21</v>
      </c>
      <c r="AO307" s="28">
        <f>G307*0.751896849</f>
        <v>0</v>
      </c>
      <c r="AP307" s="28">
        <f>G307*(1-0.751896849)</f>
        <v>0</v>
      </c>
      <c r="AQ307" s="30" t="s">
        <v>56</v>
      </c>
      <c r="AV307" s="28">
        <f>ROUND(AW307+AX307,2)</f>
        <v>0</v>
      </c>
      <c r="AW307" s="28">
        <f>ROUND(F307*AO307,2)</f>
        <v>0</v>
      </c>
      <c r="AX307" s="28">
        <f>ROUND(F307*AP307,2)</f>
        <v>0</v>
      </c>
      <c r="AY307" s="30" t="s">
        <v>608</v>
      </c>
      <c r="AZ307" s="30" t="s">
        <v>609</v>
      </c>
      <c r="BA307" s="10" t="s">
        <v>63</v>
      </c>
      <c r="BC307" s="28">
        <f>AW307+AX307</f>
        <v>0</v>
      </c>
      <c r="BD307" s="28">
        <f>G307/(100-BE307)*100</f>
        <v>0</v>
      </c>
      <c r="BE307" s="28">
        <v>0</v>
      </c>
      <c r="BF307" s="28">
        <f>307</f>
        <v>307</v>
      </c>
      <c r="BH307" s="28">
        <f>F307*AO307</f>
        <v>0</v>
      </c>
      <c r="BI307" s="28">
        <f>F307*AP307</f>
        <v>0</v>
      </c>
      <c r="BJ307" s="28">
        <f>F307*G307</f>
        <v>0</v>
      </c>
      <c r="BK307" s="28"/>
      <c r="BL307" s="28">
        <v>93</v>
      </c>
      <c r="BW307" s="28">
        <v>21</v>
      </c>
      <c r="BX307" s="4" t="s">
        <v>622</v>
      </c>
    </row>
    <row r="308" spans="1:76" ht="14.4" x14ac:dyDescent="0.3">
      <c r="A308" s="24" t="s">
        <v>51</v>
      </c>
      <c r="B308" s="25" t="s">
        <v>600</v>
      </c>
      <c r="C308" s="91" t="s">
        <v>623</v>
      </c>
      <c r="D308" s="92"/>
      <c r="E308" s="26" t="s">
        <v>4</v>
      </c>
      <c r="F308" s="26" t="s">
        <v>4</v>
      </c>
      <c r="G308" s="26" t="s">
        <v>4</v>
      </c>
      <c r="H308" s="1">
        <f>SUM(H309:H309)</f>
        <v>0</v>
      </c>
      <c r="I308" s="1">
        <f>SUM(I309:I309)</f>
        <v>0</v>
      </c>
      <c r="J308" s="1">
        <f>SUM(J309:J309)</f>
        <v>0</v>
      </c>
      <c r="K308" s="27" t="s">
        <v>51</v>
      </c>
      <c r="AI308" s="10" t="s">
        <v>55</v>
      </c>
      <c r="AS308" s="1">
        <f>SUM(AJ309:AJ309)</f>
        <v>0</v>
      </c>
      <c r="AT308" s="1">
        <f>SUM(AK309:AK309)</f>
        <v>0</v>
      </c>
      <c r="AU308" s="1">
        <f>SUM(AL309:AL309)</f>
        <v>0</v>
      </c>
    </row>
    <row r="309" spans="1:76" ht="14.4" x14ac:dyDescent="0.3">
      <c r="A309" s="2" t="s">
        <v>624</v>
      </c>
      <c r="B309" s="3" t="s">
        <v>625</v>
      </c>
      <c r="C309" s="75" t="s">
        <v>626</v>
      </c>
      <c r="D309" s="70"/>
      <c r="E309" s="3" t="s">
        <v>188</v>
      </c>
      <c r="F309" s="28">
        <v>50</v>
      </c>
      <c r="G309" s="28">
        <v>0</v>
      </c>
      <c r="H309" s="28">
        <f>ROUND(F309*AO309,2)</f>
        <v>0</v>
      </c>
      <c r="I309" s="28">
        <f>ROUND(F309*AP309,2)</f>
        <v>0</v>
      </c>
      <c r="J309" s="28">
        <f>ROUND(F309*G309,2)</f>
        <v>0</v>
      </c>
      <c r="K309" s="29" t="s">
        <v>60</v>
      </c>
      <c r="Z309" s="28">
        <f>ROUND(IF(AQ309="5",BJ309,0),2)</f>
        <v>0</v>
      </c>
      <c r="AB309" s="28">
        <f>ROUND(IF(AQ309="1",BH309,0),2)</f>
        <v>0</v>
      </c>
      <c r="AC309" s="28">
        <f>ROUND(IF(AQ309="1",BI309,0),2)</f>
        <v>0</v>
      </c>
      <c r="AD309" s="28">
        <f>ROUND(IF(AQ309="7",BH309,0),2)</f>
        <v>0</v>
      </c>
      <c r="AE309" s="28">
        <f>ROUND(IF(AQ309="7",BI309,0),2)</f>
        <v>0</v>
      </c>
      <c r="AF309" s="28">
        <f>ROUND(IF(AQ309="2",BH309,0),2)</f>
        <v>0</v>
      </c>
      <c r="AG309" s="28">
        <f>ROUND(IF(AQ309="2",BI309,0),2)</f>
        <v>0</v>
      </c>
      <c r="AH309" s="28">
        <f>ROUND(IF(AQ309="0",BJ309,0),2)</f>
        <v>0</v>
      </c>
      <c r="AI309" s="10" t="s">
        <v>55</v>
      </c>
      <c r="AJ309" s="28">
        <f>IF(AN309=0,J309,0)</f>
        <v>0</v>
      </c>
      <c r="AK309" s="28">
        <f>IF(AN309=12,J309,0)</f>
        <v>0</v>
      </c>
      <c r="AL309" s="28">
        <f>IF(AN309=21,J309,0)</f>
        <v>0</v>
      </c>
      <c r="AN309" s="28">
        <v>21</v>
      </c>
      <c r="AO309" s="28">
        <f>G309*0.054863563</f>
        <v>0</v>
      </c>
      <c r="AP309" s="28">
        <f>G309*(1-0.054863563)</f>
        <v>0</v>
      </c>
      <c r="AQ309" s="30" t="s">
        <v>56</v>
      </c>
      <c r="AV309" s="28">
        <f>ROUND(AW309+AX309,2)</f>
        <v>0</v>
      </c>
      <c r="AW309" s="28">
        <f>ROUND(F309*AO309,2)</f>
        <v>0</v>
      </c>
      <c r="AX309" s="28">
        <f>ROUND(F309*AP309,2)</f>
        <v>0</v>
      </c>
      <c r="AY309" s="30" t="s">
        <v>627</v>
      </c>
      <c r="AZ309" s="30" t="s">
        <v>609</v>
      </c>
      <c r="BA309" s="10" t="s">
        <v>63</v>
      </c>
      <c r="BC309" s="28">
        <f>AW309+AX309</f>
        <v>0</v>
      </c>
      <c r="BD309" s="28">
        <f>G309/(100-BE309)*100</f>
        <v>0</v>
      </c>
      <c r="BE309" s="28">
        <v>0</v>
      </c>
      <c r="BF309" s="28">
        <f>309</f>
        <v>309</v>
      </c>
      <c r="BH309" s="28">
        <f>F309*AO309</f>
        <v>0</v>
      </c>
      <c r="BI309" s="28">
        <f>F309*AP309</f>
        <v>0</v>
      </c>
      <c r="BJ309" s="28">
        <f>F309*G309</f>
        <v>0</v>
      </c>
      <c r="BK309" s="28"/>
      <c r="BL309" s="28">
        <v>96</v>
      </c>
      <c r="BW309" s="28">
        <v>21</v>
      </c>
      <c r="BX309" s="4" t="s">
        <v>626</v>
      </c>
    </row>
    <row r="310" spans="1:76" ht="14.4" x14ac:dyDescent="0.3">
      <c r="A310" s="31"/>
      <c r="C310" s="32" t="s">
        <v>382</v>
      </c>
      <c r="D310" s="32" t="s">
        <v>51</v>
      </c>
      <c r="F310" s="33">
        <v>50</v>
      </c>
      <c r="K310" s="34"/>
    </row>
    <row r="311" spans="1:76" ht="26.4" x14ac:dyDescent="0.3">
      <c r="A311" s="31"/>
      <c r="B311" s="35" t="s">
        <v>68</v>
      </c>
      <c r="C311" s="93" t="s">
        <v>628</v>
      </c>
      <c r="D311" s="94"/>
      <c r="E311" s="94"/>
      <c r="F311" s="94"/>
      <c r="G311" s="94"/>
      <c r="H311" s="94"/>
      <c r="I311" s="94"/>
      <c r="J311" s="94"/>
      <c r="K311" s="95"/>
      <c r="BX311" s="36" t="s">
        <v>628</v>
      </c>
    </row>
    <row r="312" spans="1:76" ht="14.4" x14ac:dyDescent="0.3">
      <c r="A312" s="24" t="s">
        <v>51</v>
      </c>
      <c r="B312" s="25" t="s">
        <v>605</v>
      </c>
      <c r="C312" s="91" t="s">
        <v>629</v>
      </c>
      <c r="D312" s="92"/>
      <c r="E312" s="26" t="s">
        <v>4</v>
      </c>
      <c r="F312" s="26" t="s">
        <v>4</v>
      </c>
      <c r="G312" s="26" t="s">
        <v>4</v>
      </c>
      <c r="H312" s="1">
        <f>SUM(H313:H315)</f>
        <v>0</v>
      </c>
      <c r="I312" s="1">
        <f>SUM(I313:I315)</f>
        <v>0</v>
      </c>
      <c r="J312" s="1">
        <f>SUM(J313:J315)</f>
        <v>0</v>
      </c>
      <c r="K312" s="27" t="s">
        <v>51</v>
      </c>
      <c r="AI312" s="10" t="s">
        <v>55</v>
      </c>
      <c r="AS312" s="1">
        <f>SUM(AJ313:AJ315)</f>
        <v>0</v>
      </c>
      <c r="AT312" s="1">
        <f>SUM(AK313:AK315)</f>
        <v>0</v>
      </c>
      <c r="AU312" s="1">
        <f>SUM(AL313:AL315)</f>
        <v>0</v>
      </c>
    </row>
    <row r="313" spans="1:76" ht="14.4" x14ac:dyDescent="0.3">
      <c r="A313" s="2" t="s">
        <v>630</v>
      </c>
      <c r="B313" s="3" t="s">
        <v>631</v>
      </c>
      <c r="C313" s="75" t="s">
        <v>632</v>
      </c>
      <c r="D313" s="70"/>
      <c r="E313" s="3" t="s">
        <v>293</v>
      </c>
      <c r="F313" s="28">
        <v>2</v>
      </c>
      <c r="G313" s="28">
        <v>0</v>
      </c>
      <c r="H313" s="28">
        <f>ROUND(F313*AO313,2)</f>
        <v>0</v>
      </c>
      <c r="I313" s="28">
        <f>ROUND(F313*AP313,2)</f>
        <v>0</v>
      </c>
      <c r="J313" s="28">
        <f>ROUND(F313*G313,2)</f>
        <v>0</v>
      </c>
      <c r="K313" s="29" t="s">
        <v>60</v>
      </c>
      <c r="Z313" s="28">
        <f>ROUND(IF(AQ313="5",BJ313,0),2)</f>
        <v>0</v>
      </c>
      <c r="AB313" s="28">
        <f>ROUND(IF(AQ313="1",BH313,0),2)</f>
        <v>0</v>
      </c>
      <c r="AC313" s="28">
        <f>ROUND(IF(AQ313="1",BI313,0),2)</f>
        <v>0</v>
      </c>
      <c r="AD313" s="28">
        <f>ROUND(IF(AQ313="7",BH313,0),2)</f>
        <v>0</v>
      </c>
      <c r="AE313" s="28">
        <f>ROUND(IF(AQ313="7",BI313,0),2)</f>
        <v>0</v>
      </c>
      <c r="AF313" s="28">
        <f>ROUND(IF(AQ313="2",BH313,0),2)</f>
        <v>0</v>
      </c>
      <c r="AG313" s="28">
        <f>ROUND(IF(AQ313="2",BI313,0),2)</f>
        <v>0</v>
      </c>
      <c r="AH313" s="28">
        <f>ROUND(IF(AQ313="0",BJ313,0),2)</f>
        <v>0</v>
      </c>
      <c r="AI313" s="10" t="s">
        <v>55</v>
      </c>
      <c r="AJ313" s="28">
        <f>IF(AN313=0,J313,0)</f>
        <v>0</v>
      </c>
      <c r="AK313" s="28">
        <f>IF(AN313=12,J313,0)</f>
        <v>0</v>
      </c>
      <c r="AL313" s="28">
        <f>IF(AN313=21,J313,0)</f>
        <v>0</v>
      </c>
      <c r="AN313" s="28">
        <v>21</v>
      </c>
      <c r="AO313" s="28">
        <f>G313*0</f>
        <v>0</v>
      </c>
      <c r="AP313" s="28">
        <f>G313*(1-0)</f>
        <v>0</v>
      </c>
      <c r="AQ313" s="30" t="s">
        <v>56</v>
      </c>
      <c r="AV313" s="28">
        <f>ROUND(AW313+AX313,2)</f>
        <v>0</v>
      </c>
      <c r="AW313" s="28">
        <f>ROUND(F313*AO313,2)</f>
        <v>0</v>
      </c>
      <c r="AX313" s="28">
        <f>ROUND(F313*AP313,2)</f>
        <v>0</v>
      </c>
      <c r="AY313" s="30" t="s">
        <v>633</v>
      </c>
      <c r="AZ313" s="30" t="s">
        <v>609</v>
      </c>
      <c r="BA313" s="10" t="s">
        <v>63</v>
      </c>
      <c r="BC313" s="28">
        <f>AW313+AX313</f>
        <v>0</v>
      </c>
      <c r="BD313" s="28">
        <f>G313/(100-BE313)*100</f>
        <v>0</v>
      </c>
      <c r="BE313" s="28">
        <v>0</v>
      </c>
      <c r="BF313" s="28">
        <f>313</f>
        <v>313</v>
      </c>
      <c r="BH313" s="28">
        <f>F313*AO313</f>
        <v>0</v>
      </c>
      <c r="BI313" s="28">
        <f>F313*AP313</f>
        <v>0</v>
      </c>
      <c r="BJ313" s="28">
        <f>F313*G313</f>
        <v>0</v>
      </c>
      <c r="BK313" s="28"/>
      <c r="BL313" s="28">
        <v>97</v>
      </c>
      <c r="BW313" s="28">
        <v>21</v>
      </c>
      <c r="BX313" s="4" t="s">
        <v>632</v>
      </c>
    </row>
    <row r="314" spans="1:76" ht="26.4" x14ac:dyDescent="0.3">
      <c r="A314" s="31"/>
      <c r="B314" s="35" t="s">
        <v>68</v>
      </c>
      <c r="C314" s="93" t="s">
        <v>628</v>
      </c>
      <c r="D314" s="94"/>
      <c r="E314" s="94"/>
      <c r="F314" s="94"/>
      <c r="G314" s="94"/>
      <c r="H314" s="94"/>
      <c r="I314" s="94"/>
      <c r="J314" s="94"/>
      <c r="K314" s="95"/>
      <c r="BX314" s="36" t="s">
        <v>628</v>
      </c>
    </row>
    <row r="315" spans="1:76" ht="14.4" x14ac:dyDescent="0.3">
      <c r="A315" s="2" t="s">
        <v>634</v>
      </c>
      <c r="B315" s="3" t="s">
        <v>635</v>
      </c>
      <c r="C315" s="75" t="s">
        <v>636</v>
      </c>
      <c r="D315" s="70"/>
      <c r="E315" s="3" t="s">
        <v>459</v>
      </c>
      <c r="F315" s="28">
        <v>6</v>
      </c>
      <c r="G315" s="28">
        <v>0</v>
      </c>
      <c r="H315" s="28">
        <f>ROUND(F315*AO315,2)</f>
        <v>0</v>
      </c>
      <c r="I315" s="28">
        <f>ROUND(F315*AP315,2)</f>
        <v>0</v>
      </c>
      <c r="J315" s="28">
        <f>ROUND(F315*G315,2)</f>
        <v>0</v>
      </c>
      <c r="K315" s="29" t="s">
        <v>60</v>
      </c>
      <c r="Z315" s="28">
        <f>ROUND(IF(AQ315="5",BJ315,0),2)</f>
        <v>0</v>
      </c>
      <c r="AB315" s="28">
        <f>ROUND(IF(AQ315="1",BH315,0),2)</f>
        <v>0</v>
      </c>
      <c r="AC315" s="28">
        <f>ROUND(IF(AQ315="1",BI315,0),2)</f>
        <v>0</v>
      </c>
      <c r="AD315" s="28">
        <f>ROUND(IF(AQ315="7",BH315,0),2)</f>
        <v>0</v>
      </c>
      <c r="AE315" s="28">
        <f>ROUND(IF(AQ315="7",BI315,0),2)</f>
        <v>0</v>
      </c>
      <c r="AF315" s="28">
        <f>ROUND(IF(AQ315="2",BH315,0),2)</f>
        <v>0</v>
      </c>
      <c r="AG315" s="28">
        <f>ROUND(IF(AQ315="2",BI315,0),2)</f>
        <v>0</v>
      </c>
      <c r="AH315" s="28">
        <f>ROUND(IF(AQ315="0",BJ315,0),2)</f>
        <v>0</v>
      </c>
      <c r="AI315" s="10" t="s">
        <v>55</v>
      </c>
      <c r="AJ315" s="28">
        <f>IF(AN315=0,J315,0)</f>
        <v>0</v>
      </c>
      <c r="AK315" s="28">
        <f>IF(AN315=12,J315,0)</f>
        <v>0</v>
      </c>
      <c r="AL315" s="28">
        <f>IF(AN315=21,J315,0)</f>
        <v>0</v>
      </c>
      <c r="AN315" s="28">
        <v>21</v>
      </c>
      <c r="AO315" s="28">
        <f>G315*0</f>
        <v>0</v>
      </c>
      <c r="AP315" s="28">
        <f>G315*(1-0)</f>
        <v>0</v>
      </c>
      <c r="AQ315" s="30" t="s">
        <v>56</v>
      </c>
      <c r="AV315" s="28">
        <f>ROUND(AW315+AX315,2)</f>
        <v>0</v>
      </c>
      <c r="AW315" s="28">
        <f>ROUND(F315*AO315,2)</f>
        <v>0</v>
      </c>
      <c r="AX315" s="28">
        <f>ROUND(F315*AP315,2)</f>
        <v>0</v>
      </c>
      <c r="AY315" s="30" t="s">
        <v>633</v>
      </c>
      <c r="AZ315" s="30" t="s">
        <v>609</v>
      </c>
      <c r="BA315" s="10" t="s">
        <v>63</v>
      </c>
      <c r="BC315" s="28">
        <f>AW315+AX315</f>
        <v>0</v>
      </c>
      <c r="BD315" s="28">
        <f>G315/(100-BE315)*100</f>
        <v>0</v>
      </c>
      <c r="BE315" s="28">
        <v>0</v>
      </c>
      <c r="BF315" s="28">
        <f>315</f>
        <v>315</v>
      </c>
      <c r="BH315" s="28">
        <f>F315*AO315</f>
        <v>0</v>
      </c>
      <c r="BI315" s="28">
        <f>F315*AP315</f>
        <v>0</v>
      </c>
      <c r="BJ315" s="28">
        <f>F315*G315</f>
        <v>0</v>
      </c>
      <c r="BK315" s="28"/>
      <c r="BL315" s="28">
        <v>97</v>
      </c>
      <c r="BW315" s="28">
        <v>21</v>
      </c>
      <c r="BX315" s="4" t="s">
        <v>636</v>
      </c>
    </row>
    <row r="316" spans="1:76" ht="13.5" customHeight="1" x14ac:dyDescent="0.3">
      <c r="A316" s="31"/>
      <c r="B316" s="35" t="s">
        <v>105</v>
      </c>
      <c r="C316" s="96" t="s">
        <v>637</v>
      </c>
      <c r="D316" s="97"/>
      <c r="E316" s="97"/>
      <c r="F316" s="97"/>
      <c r="G316" s="97"/>
      <c r="H316" s="97"/>
      <c r="I316" s="97"/>
      <c r="J316" s="97"/>
      <c r="K316" s="98"/>
    </row>
    <row r="317" spans="1:76" ht="14.4" x14ac:dyDescent="0.3">
      <c r="A317" s="24" t="s">
        <v>51</v>
      </c>
      <c r="B317" s="25" t="s">
        <v>638</v>
      </c>
      <c r="C317" s="91" t="s">
        <v>639</v>
      </c>
      <c r="D317" s="92"/>
      <c r="E317" s="26" t="s">
        <v>4</v>
      </c>
      <c r="F317" s="26" t="s">
        <v>4</v>
      </c>
      <c r="G317" s="26" t="s">
        <v>4</v>
      </c>
      <c r="H317" s="1">
        <f>SUM(H318:H318)</f>
        <v>0</v>
      </c>
      <c r="I317" s="1">
        <f>SUM(I318:I318)</f>
        <v>0</v>
      </c>
      <c r="J317" s="1">
        <f>SUM(J318:J318)</f>
        <v>0</v>
      </c>
      <c r="K317" s="27" t="s">
        <v>51</v>
      </c>
      <c r="AI317" s="10" t="s">
        <v>55</v>
      </c>
      <c r="AS317" s="1">
        <f>SUM(AJ318:AJ318)</f>
        <v>0</v>
      </c>
      <c r="AT317" s="1">
        <f>SUM(AK318:AK318)</f>
        <v>0</v>
      </c>
      <c r="AU317" s="1">
        <f>SUM(AL318:AL318)</f>
        <v>0</v>
      </c>
    </row>
    <row r="318" spans="1:76" ht="14.4" x14ac:dyDescent="0.3">
      <c r="A318" s="2" t="s">
        <v>640</v>
      </c>
      <c r="B318" s="3" t="s">
        <v>641</v>
      </c>
      <c r="C318" s="75" t="s">
        <v>642</v>
      </c>
      <c r="D318" s="70"/>
      <c r="E318" s="3" t="s">
        <v>201</v>
      </c>
      <c r="F318" s="28">
        <v>762.94</v>
      </c>
      <c r="G318" s="28">
        <v>0</v>
      </c>
      <c r="H318" s="28">
        <f>ROUND(F318*AO318,2)</f>
        <v>0</v>
      </c>
      <c r="I318" s="28">
        <f>ROUND(F318*AP318,2)</f>
        <v>0</v>
      </c>
      <c r="J318" s="28">
        <f>ROUND(F318*G318,2)</f>
        <v>0</v>
      </c>
      <c r="K318" s="29" t="s">
        <v>60</v>
      </c>
      <c r="Z318" s="28">
        <f>ROUND(IF(AQ318="5",BJ318,0),2)</f>
        <v>0</v>
      </c>
      <c r="AB318" s="28">
        <f>ROUND(IF(AQ318="1",BH318,0),2)</f>
        <v>0</v>
      </c>
      <c r="AC318" s="28">
        <f>ROUND(IF(AQ318="1",BI318,0),2)</f>
        <v>0</v>
      </c>
      <c r="AD318" s="28">
        <f>ROUND(IF(AQ318="7",BH318,0),2)</f>
        <v>0</v>
      </c>
      <c r="AE318" s="28">
        <f>ROUND(IF(AQ318="7",BI318,0),2)</f>
        <v>0</v>
      </c>
      <c r="AF318" s="28">
        <f>ROUND(IF(AQ318="2",BH318,0),2)</f>
        <v>0</v>
      </c>
      <c r="AG318" s="28">
        <f>ROUND(IF(AQ318="2",BI318,0),2)</f>
        <v>0</v>
      </c>
      <c r="AH318" s="28">
        <f>ROUND(IF(AQ318="0",BJ318,0),2)</f>
        <v>0</v>
      </c>
      <c r="AI318" s="10" t="s">
        <v>55</v>
      </c>
      <c r="AJ318" s="28">
        <f>IF(AN318=0,J318,0)</f>
        <v>0</v>
      </c>
      <c r="AK318" s="28">
        <f>IF(AN318=12,J318,0)</f>
        <v>0</v>
      </c>
      <c r="AL318" s="28">
        <f>IF(AN318=21,J318,0)</f>
        <v>0</v>
      </c>
      <c r="AN318" s="28">
        <v>21</v>
      </c>
      <c r="AO318" s="28">
        <f>G318*0</f>
        <v>0</v>
      </c>
      <c r="AP318" s="28">
        <f>G318*(1-0)</f>
        <v>0</v>
      </c>
      <c r="AQ318" s="30" t="s">
        <v>100</v>
      </c>
      <c r="AV318" s="28">
        <f>ROUND(AW318+AX318,2)</f>
        <v>0</v>
      </c>
      <c r="AW318" s="28">
        <f>ROUND(F318*AO318,2)</f>
        <v>0</v>
      </c>
      <c r="AX318" s="28">
        <f>ROUND(F318*AP318,2)</f>
        <v>0</v>
      </c>
      <c r="AY318" s="30" t="s">
        <v>643</v>
      </c>
      <c r="AZ318" s="30" t="s">
        <v>609</v>
      </c>
      <c r="BA318" s="10" t="s">
        <v>63</v>
      </c>
      <c r="BC318" s="28">
        <f>AW318+AX318</f>
        <v>0</v>
      </c>
      <c r="BD318" s="28">
        <f>G318/(100-BE318)*100</f>
        <v>0</v>
      </c>
      <c r="BE318" s="28">
        <v>0</v>
      </c>
      <c r="BF318" s="28">
        <f>318</f>
        <v>318</v>
      </c>
      <c r="BH318" s="28">
        <f>F318*AO318</f>
        <v>0</v>
      </c>
      <c r="BI318" s="28">
        <f>F318*AP318</f>
        <v>0</v>
      </c>
      <c r="BJ318" s="28">
        <f>F318*G318</f>
        <v>0</v>
      </c>
      <c r="BK318" s="28"/>
      <c r="BL318" s="28"/>
      <c r="BW318" s="28">
        <v>21</v>
      </c>
      <c r="BX318" s="4" t="s">
        <v>642</v>
      </c>
    </row>
    <row r="319" spans="1:76" ht="14.4" x14ac:dyDescent="0.3">
      <c r="A319" s="24" t="s">
        <v>51</v>
      </c>
      <c r="B319" s="25" t="s">
        <v>51</v>
      </c>
      <c r="C319" s="91" t="s">
        <v>644</v>
      </c>
      <c r="D319" s="92"/>
      <c r="E319" s="26" t="s">
        <v>4</v>
      </c>
      <c r="F319" s="26" t="s">
        <v>4</v>
      </c>
      <c r="G319" s="26" t="s">
        <v>4</v>
      </c>
      <c r="H319" s="1">
        <f>H320+H328+H339+H347+H354+H357+H362+H370</f>
        <v>0</v>
      </c>
      <c r="I319" s="1">
        <f>I320+I328+I339+I347+I354+I357+I362+I370</f>
        <v>0</v>
      </c>
      <c r="J319" s="1">
        <f>J320+J328+J339+J347+J354+J357+J362+J370</f>
        <v>0</v>
      </c>
      <c r="K319" s="27" t="s">
        <v>51</v>
      </c>
    </row>
    <row r="320" spans="1:76" ht="14.4" x14ac:dyDescent="0.3">
      <c r="A320" s="24" t="s">
        <v>51</v>
      </c>
      <c r="B320" s="25" t="s">
        <v>53</v>
      </c>
      <c r="C320" s="91" t="s">
        <v>54</v>
      </c>
      <c r="D320" s="92"/>
      <c r="E320" s="26" t="s">
        <v>4</v>
      </c>
      <c r="F320" s="26" t="s">
        <v>4</v>
      </c>
      <c r="G320" s="26" t="s">
        <v>4</v>
      </c>
      <c r="H320" s="1">
        <f>SUM(H321:H326)</f>
        <v>0</v>
      </c>
      <c r="I320" s="1">
        <f>SUM(I321:I326)</f>
        <v>0</v>
      </c>
      <c r="J320" s="1">
        <f>SUM(J321:J326)</f>
        <v>0</v>
      </c>
      <c r="K320" s="27" t="s">
        <v>51</v>
      </c>
      <c r="AI320" s="10" t="s">
        <v>645</v>
      </c>
      <c r="AS320" s="1">
        <f>SUM(AJ321:AJ326)</f>
        <v>0</v>
      </c>
      <c r="AT320" s="1">
        <f>SUM(AK321:AK326)</f>
        <v>0</v>
      </c>
      <c r="AU320" s="1">
        <f>SUM(AL321:AL326)</f>
        <v>0</v>
      </c>
    </row>
    <row r="321" spans="1:76" ht="14.4" x14ac:dyDescent="0.3">
      <c r="A321" s="2" t="s">
        <v>646</v>
      </c>
      <c r="B321" s="3" t="s">
        <v>647</v>
      </c>
      <c r="C321" s="75" t="s">
        <v>648</v>
      </c>
      <c r="D321" s="70"/>
      <c r="E321" s="3" t="s">
        <v>59</v>
      </c>
      <c r="F321" s="28">
        <v>14.4</v>
      </c>
      <c r="G321" s="28">
        <v>0</v>
      </c>
      <c r="H321" s="28">
        <f>ROUND(F321*AO321,2)</f>
        <v>0</v>
      </c>
      <c r="I321" s="28">
        <f>ROUND(F321*AP321,2)</f>
        <v>0</v>
      </c>
      <c r="J321" s="28">
        <f>ROUND(F321*G321,2)</f>
        <v>0</v>
      </c>
      <c r="K321" s="29" t="s">
        <v>60</v>
      </c>
      <c r="Z321" s="28">
        <f>ROUND(IF(AQ321="5",BJ321,0),2)</f>
        <v>0</v>
      </c>
      <c r="AB321" s="28">
        <f>ROUND(IF(AQ321="1",BH321,0),2)</f>
        <v>0</v>
      </c>
      <c r="AC321" s="28">
        <f>ROUND(IF(AQ321="1",BI321,0),2)</f>
        <v>0</v>
      </c>
      <c r="AD321" s="28">
        <f>ROUND(IF(AQ321="7",BH321,0),2)</f>
        <v>0</v>
      </c>
      <c r="AE321" s="28">
        <f>ROUND(IF(AQ321="7",BI321,0),2)</f>
        <v>0</v>
      </c>
      <c r="AF321" s="28">
        <f>ROUND(IF(AQ321="2",BH321,0),2)</f>
        <v>0</v>
      </c>
      <c r="AG321" s="28">
        <f>ROUND(IF(AQ321="2",BI321,0),2)</f>
        <v>0</v>
      </c>
      <c r="AH321" s="28">
        <f>ROUND(IF(AQ321="0",BJ321,0),2)</f>
        <v>0</v>
      </c>
      <c r="AI321" s="10" t="s">
        <v>645</v>
      </c>
      <c r="AJ321" s="28">
        <f>IF(AN321=0,J321,0)</f>
        <v>0</v>
      </c>
      <c r="AK321" s="28">
        <f>IF(AN321=12,J321,0)</f>
        <v>0</v>
      </c>
      <c r="AL321" s="28">
        <f>IF(AN321=21,J321,0)</f>
        <v>0</v>
      </c>
      <c r="AN321" s="28">
        <v>21</v>
      </c>
      <c r="AO321" s="28">
        <f>G321*0</f>
        <v>0</v>
      </c>
      <c r="AP321" s="28">
        <f>G321*(1-0)</f>
        <v>0</v>
      </c>
      <c r="AQ321" s="30" t="s">
        <v>56</v>
      </c>
      <c r="AV321" s="28">
        <f>ROUND(AW321+AX321,2)</f>
        <v>0</v>
      </c>
      <c r="AW321" s="28">
        <f>ROUND(F321*AO321,2)</f>
        <v>0</v>
      </c>
      <c r="AX321" s="28">
        <f>ROUND(F321*AP321,2)</f>
        <v>0</v>
      </c>
      <c r="AY321" s="30" t="s">
        <v>61</v>
      </c>
      <c r="AZ321" s="30" t="s">
        <v>649</v>
      </c>
      <c r="BA321" s="10" t="s">
        <v>650</v>
      </c>
      <c r="BC321" s="28">
        <f>AW321+AX321</f>
        <v>0</v>
      </c>
      <c r="BD321" s="28">
        <f>G321/(100-BE321)*100</f>
        <v>0</v>
      </c>
      <c r="BE321" s="28">
        <v>0</v>
      </c>
      <c r="BF321" s="28">
        <f>321</f>
        <v>321</v>
      </c>
      <c r="BH321" s="28">
        <f>F321*AO321</f>
        <v>0</v>
      </c>
      <c r="BI321" s="28">
        <f>F321*AP321</f>
        <v>0</v>
      </c>
      <c r="BJ321" s="28">
        <f>F321*G321</f>
        <v>0</v>
      </c>
      <c r="BK321" s="28"/>
      <c r="BL321" s="28">
        <v>13</v>
      </c>
      <c r="BW321" s="28">
        <v>21</v>
      </c>
      <c r="BX321" s="4" t="s">
        <v>648</v>
      </c>
    </row>
    <row r="322" spans="1:76" ht="14.4" x14ac:dyDescent="0.3">
      <c r="A322" s="31"/>
      <c r="C322" s="32" t="s">
        <v>651</v>
      </c>
      <c r="D322" s="32" t="s">
        <v>652</v>
      </c>
      <c r="F322" s="33">
        <v>14.4</v>
      </c>
      <c r="K322" s="34"/>
    </row>
    <row r="323" spans="1:76" ht="66" x14ac:dyDescent="0.3">
      <c r="A323" s="31"/>
      <c r="B323" s="35" t="s">
        <v>68</v>
      </c>
      <c r="C323" s="93" t="s">
        <v>69</v>
      </c>
      <c r="D323" s="94"/>
      <c r="E323" s="94"/>
      <c r="F323" s="94"/>
      <c r="G323" s="94"/>
      <c r="H323" s="94"/>
      <c r="I323" s="94"/>
      <c r="J323" s="94"/>
      <c r="K323" s="95"/>
      <c r="BX323" s="36" t="s">
        <v>69</v>
      </c>
    </row>
    <row r="324" spans="1:76" ht="27" customHeight="1" x14ac:dyDescent="0.3">
      <c r="A324" s="31"/>
      <c r="B324" s="37" t="s">
        <v>70</v>
      </c>
      <c r="C324" s="96" t="s">
        <v>71</v>
      </c>
      <c r="D324" s="97"/>
      <c r="E324" s="97"/>
      <c r="F324" s="97"/>
      <c r="G324" s="97"/>
      <c r="H324" s="97"/>
      <c r="I324" s="97"/>
      <c r="J324" s="97"/>
      <c r="K324" s="98"/>
    </row>
    <row r="325" spans="1:76" ht="13.5" customHeight="1" x14ac:dyDescent="0.3">
      <c r="A325" s="31"/>
      <c r="B325" s="37" t="s">
        <v>72</v>
      </c>
      <c r="C325" s="96" t="s">
        <v>73</v>
      </c>
      <c r="D325" s="97"/>
      <c r="E325" s="97"/>
      <c r="F325" s="97"/>
      <c r="G325" s="97"/>
      <c r="H325" s="97"/>
      <c r="I325" s="97"/>
      <c r="J325" s="97"/>
      <c r="K325" s="98"/>
    </row>
    <row r="326" spans="1:76" ht="14.4" x14ac:dyDescent="0.3">
      <c r="A326" s="2" t="s">
        <v>653</v>
      </c>
      <c r="B326" s="3" t="s">
        <v>75</v>
      </c>
      <c r="C326" s="75" t="s">
        <v>76</v>
      </c>
      <c r="D326" s="70"/>
      <c r="E326" s="3" t="s">
        <v>59</v>
      </c>
      <c r="F326" s="28">
        <v>14.4</v>
      </c>
      <c r="G326" s="28">
        <v>0</v>
      </c>
      <c r="H326" s="28">
        <f>ROUND(F326*AO326,2)</f>
        <v>0</v>
      </c>
      <c r="I326" s="28">
        <f>ROUND(F326*AP326,2)</f>
        <v>0</v>
      </c>
      <c r="J326" s="28">
        <f>ROUND(F326*G326,2)</f>
        <v>0</v>
      </c>
      <c r="K326" s="29" t="s">
        <v>60</v>
      </c>
      <c r="Z326" s="28">
        <f>ROUND(IF(AQ326="5",BJ326,0),2)</f>
        <v>0</v>
      </c>
      <c r="AB326" s="28">
        <f>ROUND(IF(AQ326="1",BH326,0),2)</f>
        <v>0</v>
      </c>
      <c r="AC326" s="28">
        <f>ROUND(IF(AQ326="1",BI326,0),2)</f>
        <v>0</v>
      </c>
      <c r="AD326" s="28">
        <f>ROUND(IF(AQ326="7",BH326,0),2)</f>
        <v>0</v>
      </c>
      <c r="AE326" s="28">
        <f>ROUND(IF(AQ326="7",BI326,0),2)</f>
        <v>0</v>
      </c>
      <c r="AF326" s="28">
        <f>ROUND(IF(AQ326="2",BH326,0),2)</f>
        <v>0</v>
      </c>
      <c r="AG326" s="28">
        <f>ROUND(IF(AQ326="2",BI326,0),2)</f>
        <v>0</v>
      </c>
      <c r="AH326" s="28">
        <f>ROUND(IF(AQ326="0",BJ326,0),2)</f>
        <v>0</v>
      </c>
      <c r="AI326" s="10" t="s">
        <v>645</v>
      </c>
      <c r="AJ326" s="28">
        <f>IF(AN326=0,J326,0)</f>
        <v>0</v>
      </c>
      <c r="AK326" s="28">
        <f>IF(AN326=12,J326,0)</f>
        <v>0</v>
      </c>
      <c r="AL326" s="28">
        <f>IF(AN326=21,J326,0)</f>
        <v>0</v>
      </c>
      <c r="AN326" s="28">
        <v>21</v>
      </c>
      <c r="AO326" s="28">
        <f>G326*0</f>
        <v>0</v>
      </c>
      <c r="AP326" s="28">
        <f>G326*(1-0)</f>
        <v>0</v>
      </c>
      <c r="AQ326" s="30" t="s">
        <v>56</v>
      </c>
      <c r="AV326" s="28">
        <f>ROUND(AW326+AX326,2)</f>
        <v>0</v>
      </c>
      <c r="AW326" s="28">
        <f>ROUND(F326*AO326,2)</f>
        <v>0</v>
      </c>
      <c r="AX326" s="28">
        <f>ROUND(F326*AP326,2)</f>
        <v>0</v>
      </c>
      <c r="AY326" s="30" t="s">
        <v>61</v>
      </c>
      <c r="AZ326" s="30" t="s">
        <v>649</v>
      </c>
      <c r="BA326" s="10" t="s">
        <v>650</v>
      </c>
      <c r="BC326" s="28">
        <f>AW326+AX326</f>
        <v>0</v>
      </c>
      <c r="BD326" s="28">
        <f>G326/(100-BE326)*100</f>
        <v>0</v>
      </c>
      <c r="BE326" s="28">
        <v>0</v>
      </c>
      <c r="BF326" s="28">
        <f>326</f>
        <v>326</v>
      </c>
      <c r="BH326" s="28">
        <f>F326*AO326</f>
        <v>0</v>
      </c>
      <c r="BI326" s="28">
        <f>F326*AP326</f>
        <v>0</v>
      </c>
      <c r="BJ326" s="28">
        <f>F326*G326</f>
        <v>0</v>
      </c>
      <c r="BK326" s="28"/>
      <c r="BL326" s="28">
        <v>13</v>
      </c>
      <c r="BW326" s="28">
        <v>21</v>
      </c>
      <c r="BX326" s="4" t="s">
        <v>76</v>
      </c>
    </row>
    <row r="327" spans="1:76" ht="14.4" x14ac:dyDescent="0.3">
      <c r="A327" s="31"/>
      <c r="C327" s="32" t="s">
        <v>651</v>
      </c>
      <c r="D327" s="32" t="s">
        <v>654</v>
      </c>
      <c r="F327" s="33">
        <v>14.4</v>
      </c>
      <c r="K327" s="34"/>
    </row>
    <row r="328" spans="1:76" ht="14.4" x14ac:dyDescent="0.3">
      <c r="A328" s="24" t="s">
        <v>51</v>
      </c>
      <c r="B328" s="25" t="s">
        <v>98</v>
      </c>
      <c r="C328" s="91" t="s">
        <v>99</v>
      </c>
      <c r="D328" s="92"/>
      <c r="E328" s="26" t="s">
        <v>4</v>
      </c>
      <c r="F328" s="26" t="s">
        <v>4</v>
      </c>
      <c r="G328" s="26" t="s">
        <v>4</v>
      </c>
      <c r="H328" s="1">
        <f>SUM(H329:H337)</f>
        <v>0</v>
      </c>
      <c r="I328" s="1">
        <f>SUM(I329:I337)</f>
        <v>0</v>
      </c>
      <c r="J328" s="1">
        <f>SUM(J329:J337)</f>
        <v>0</v>
      </c>
      <c r="K328" s="27" t="s">
        <v>51</v>
      </c>
      <c r="AI328" s="10" t="s">
        <v>645</v>
      </c>
      <c r="AS328" s="1">
        <f>SUM(AJ329:AJ337)</f>
        <v>0</v>
      </c>
      <c r="AT328" s="1">
        <f>SUM(AK329:AK337)</f>
        <v>0</v>
      </c>
      <c r="AU328" s="1">
        <f>SUM(AL329:AL337)</f>
        <v>0</v>
      </c>
    </row>
    <row r="329" spans="1:76" ht="14.4" x14ac:dyDescent="0.3">
      <c r="A329" s="2" t="s">
        <v>655</v>
      </c>
      <c r="B329" s="3" t="s">
        <v>656</v>
      </c>
      <c r="C329" s="75" t="s">
        <v>657</v>
      </c>
      <c r="D329" s="70"/>
      <c r="E329" s="3" t="s">
        <v>103</v>
      </c>
      <c r="F329" s="28">
        <v>57.6</v>
      </c>
      <c r="G329" s="28">
        <v>0</v>
      </c>
      <c r="H329" s="28">
        <f>ROUND(F329*AO329,2)</f>
        <v>0</v>
      </c>
      <c r="I329" s="28">
        <f>ROUND(F329*AP329,2)</f>
        <v>0</v>
      </c>
      <c r="J329" s="28">
        <f>ROUND(F329*G329,2)</f>
        <v>0</v>
      </c>
      <c r="K329" s="29" t="s">
        <v>60</v>
      </c>
      <c r="Z329" s="28">
        <f>ROUND(IF(AQ329="5",BJ329,0),2)</f>
        <v>0</v>
      </c>
      <c r="AB329" s="28">
        <f>ROUND(IF(AQ329="1",BH329,0),2)</f>
        <v>0</v>
      </c>
      <c r="AC329" s="28">
        <f>ROUND(IF(AQ329="1",BI329,0),2)</f>
        <v>0</v>
      </c>
      <c r="AD329" s="28">
        <f>ROUND(IF(AQ329="7",BH329,0),2)</f>
        <v>0</v>
      </c>
      <c r="AE329" s="28">
        <f>ROUND(IF(AQ329="7",BI329,0),2)</f>
        <v>0</v>
      </c>
      <c r="AF329" s="28">
        <f>ROUND(IF(AQ329="2",BH329,0),2)</f>
        <v>0</v>
      </c>
      <c r="AG329" s="28">
        <f>ROUND(IF(AQ329="2",BI329,0),2)</f>
        <v>0</v>
      </c>
      <c r="AH329" s="28">
        <f>ROUND(IF(AQ329="0",BJ329,0),2)</f>
        <v>0</v>
      </c>
      <c r="AI329" s="10" t="s">
        <v>645</v>
      </c>
      <c r="AJ329" s="28">
        <f>IF(AN329=0,J329,0)</f>
        <v>0</v>
      </c>
      <c r="AK329" s="28">
        <f>IF(AN329=12,J329,0)</f>
        <v>0</v>
      </c>
      <c r="AL329" s="28">
        <f>IF(AN329=21,J329,0)</f>
        <v>0</v>
      </c>
      <c r="AN329" s="28">
        <v>21</v>
      </c>
      <c r="AO329" s="28">
        <f>G329*0.088676601</f>
        <v>0</v>
      </c>
      <c r="AP329" s="28">
        <f>G329*(1-0.088676601)</f>
        <v>0</v>
      </c>
      <c r="AQ329" s="30" t="s">
        <v>56</v>
      </c>
      <c r="AV329" s="28">
        <f>ROUND(AW329+AX329,2)</f>
        <v>0</v>
      </c>
      <c r="AW329" s="28">
        <f>ROUND(F329*AO329,2)</f>
        <v>0</v>
      </c>
      <c r="AX329" s="28">
        <f>ROUND(F329*AP329,2)</f>
        <v>0</v>
      </c>
      <c r="AY329" s="30" t="s">
        <v>104</v>
      </c>
      <c r="AZ329" s="30" t="s">
        <v>649</v>
      </c>
      <c r="BA329" s="10" t="s">
        <v>650</v>
      </c>
      <c r="BC329" s="28">
        <f>AW329+AX329</f>
        <v>0</v>
      </c>
      <c r="BD329" s="28">
        <f>G329/(100-BE329)*100</f>
        <v>0</v>
      </c>
      <c r="BE329" s="28">
        <v>0</v>
      </c>
      <c r="BF329" s="28">
        <f>329</f>
        <v>329</v>
      </c>
      <c r="BH329" s="28">
        <f>F329*AO329</f>
        <v>0</v>
      </c>
      <c r="BI329" s="28">
        <f>F329*AP329</f>
        <v>0</v>
      </c>
      <c r="BJ329" s="28">
        <f>F329*G329</f>
        <v>0</v>
      </c>
      <c r="BK329" s="28"/>
      <c r="BL329" s="28">
        <v>15</v>
      </c>
      <c r="BW329" s="28">
        <v>21</v>
      </c>
      <c r="BX329" s="4" t="s">
        <v>657</v>
      </c>
    </row>
    <row r="330" spans="1:76" ht="14.4" x14ac:dyDescent="0.3">
      <c r="A330" s="31"/>
      <c r="C330" s="32" t="s">
        <v>658</v>
      </c>
      <c r="D330" s="32" t="s">
        <v>659</v>
      </c>
      <c r="F330" s="33">
        <v>57.6</v>
      </c>
      <c r="K330" s="34"/>
    </row>
    <row r="331" spans="1:76" ht="14.4" x14ac:dyDescent="0.3">
      <c r="A331" s="31"/>
      <c r="B331" s="35" t="s">
        <v>68</v>
      </c>
      <c r="C331" s="93" t="s">
        <v>111</v>
      </c>
      <c r="D331" s="94"/>
      <c r="E331" s="94"/>
      <c r="F331" s="94"/>
      <c r="G331" s="94"/>
      <c r="H331" s="94"/>
      <c r="I331" s="94"/>
      <c r="J331" s="94"/>
      <c r="K331" s="95"/>
      <c r="BX331" s="36" t="s">
        <v>111</v>
      </c>
    </row>
    <row r="332" spans="1:76" ht="14.4" x14ac:dyDescent="0.3">
      <c r="A332" s="2" t="s">
        <v>660</v>
      </c>
      <c r="B332" s="3" t="s">
        <v>661</v>
      </c>
      <c r="C332" s="75" t="s">
        <v>662</v>
      </c>
      <c r="D332" s="70"/>
      <c r="E332" s="3" t="s">
        <v>103</v>
      </c>
      <c r="F332" s="28">
        <v>57.6</v>
      </c>
      <c r="G332" s="28">
        <v>0</v>
      </c>
      <c r="H332" s="28">
        <f>ROUND(F332*AO332,2)</f>
        <v>0</v>
      </c>
      <c r="I332" s="28">
        <f>ROUND(F332*AP332,2)</f>
        <v>0</v>
      </c>
      <c r="J332" s="28">
        <f>ROUND(F332*G332,2)</f>
        <v>0</v>
      </c>
      <c r="K332" s="29" t="s">
        <v>60</v>
      </c>
      <c r="Z332" s="28">
        <f>ROUND(IF(AQ332="5",BJ332,0),2)</f>
        <v>0</v>
      </c>
      <c r="AB332" s="28">
        <f>ROUND(IF(AQ332="1",BH332,0),2)</f>
        <v>0</v>
      </c>
      <c r="AC332" s="28">
        <f>ROUND(IF(AQ332="1",BI332,0),2)</f>
        <v>0</v>
      </c>
      <c r="AD332" s="28">
        <f>ROUND(IF(AQ332="7",BH332,0),2)</f>
        <v>0</v>
      </c>
      <c r="AE332" s="28">
        <f>ROUND(IF(AQ332="7",BI332,0),2)</f>
        <v>0</v>
      </c>
      <c r="AF332" s="28">
        <f>ROUND(IF(AQ332="2",BH332,0),2)</f>
        <v>0</v>
      </c>
      <c r="AG332" s="28">
        <f>ROUND(IF(AQ332="2",BI332,0),2)</f>
        <v>0</v>
      </c>
      <c r="AH332" s="28">
        <f>ROUND(IF(AQ332="0",BJ332,0),2)</f>
        <v>0</v>
      </c>
      <c r="AI332" s="10" t="s">
        <v>645</v>
      </c>
      <c r="AJ332" s="28">
        <f>IF(AN332=0,J332,0)</f>
        <v>0</v>
      </c>
      <c r="AK332" s="28">
        <f>IF(AN332=12,J332,0)</f>
        <v>0</v>
      </c>
      <c r="AL332" s="28">
        <f>IF(AN332=21,J332,0)</f>
        <v>0</v>
      </c>
      <c r="AN332" s="28">
        <v>21</v>
      </c>
      <c r="AO332" s="28">
        <f>G332*0</f>
        <v>0</v>
      </c>
      <c r="AP332" s="28">
        <f>G332*(1-0)</f>
        <v>0</v>
      </c>
      <c r="AQ332" s="30" t="s">
        <v>56</v>
      </c>
      <c r="AV332" s="28">
        <f>ROUND(AW332+AX332,2)</f>
        <v>0</v>
      </c>
      <c r="AW332" s="28">
        <f>ROUND(F332*AO332,2)</f>
        <v>0</v>
      </c>
      <c r="AX332" s="28">
        <f>ROUND(F332*AP332,2)</f>
        <v>0</v>
      </c>
      <c r="AY332" s="30" t="s">
        <v>104</v>
      </c>
      <c r="AZ332" s="30" t="s">
        <v>649</v>
      </c>
      <c r="BA332" s="10" t="s">
        <v>650</v>
      </c>
      <c r="BC332" s="28">
        <f>AW332+AX332</f>
        <v>0</v>
      </c>
      <c r="BD332" s="28">
        <f>G332/(100-BE332)*100</f>
        <v>0</v>
      </c>
      <c r="BE332" s="28">
        <v>0</v>
      </c>
      <c r="BF332" s="28">
        <f>332</f>
        <v>332</v>
      </c>
      <c r="BH332" s="28">
        <f>F332*AO332</f>
        <v>0</v>
      </c>
      <c r="BI332" s="28">
        <f>F332*AP332</f>
        <v>0</v>
      </c>
      <c r="BJ332" s="28">
        <f>F332*G332</f>
        <v>0</v>
      </c>
      <c r="BK332" s="28"/>
      <c r="BL332" s="28">
        <v>15</v>
      </c>
      <c r="BW332" s="28">
        <v>21</v>
      </c>
      <c r="BX332" s="4" t="s">
        <v>662</v>
      </c>
    </row>
    <row r="333" spans="1:76" ht="14.4" x14ac:dyDescent="0.3">
      <c r="A333" s="31"/>
      <c r="C333" s="32" t="s">
        <v>658</v>
      </c>
      <c r="D333" s="32" t="s">
        <v>663</v>
      </c>
      <c r="F333" s="33">
        <v>57.6</v>
      </c>
      <c r="K333" s="34"/>
    </row>
    <row r="334" spans="1:76" ht="14.4" x14ac:dyDescent="0.3">
      <c r="A334" s="2" t="s">
        <v>664</v>
      </c>
      <c r="B334" s="3" t="s">
        <v>101</v>
      </c>
      <c r="C334" s="75" t="s">
        <v>102</v>
      </c>
      <c r="D334" s="70"/>
      <c r="E334" s="3" t="s">
        <v>103</v>
      </c>
      <c r="F334" s="28">
        <v>13</v>
      </c>
      <c r="G334" s="28">
        <v>0</v>
      </c>
      <c r="H334" s="28">
        <f>ROUND(F334*AO334,2)</f>
        <v>0</v>
      </c>
      <c r="I334" s="28">
        <f>ROUND(F334*AP334,2)</f>
        <v>0</v>
      </c>
      <c r="J334" s="28">
        <f>ROUND(F334*G334,2)</f>
        <v>0</v>
      </c>
      <c r="K334" s="29" t="s">
        <v>60</v>
      </c>
      <c r="Z334" s="28">
        <f>ROUND(IF(AQ334="5",BJ334,0),2)</f>
        <v>0</v>
      </c>
      <c r="AB334" s="28">
        <f>ROUND(IF(AQ334="1",BH334,0),2)</f>
        <v>0</v>
      </c>
      <c r="AC334" s="28">
        <f>ROUND(IF(AQ334="1",BI334,0),2)</f>
        <v>0</v>
      </c>
      <c r="AD334" s="28">
        <f>ROUND(IF(AQ334="7",BH334,0),2)</f>
        <v>0</v>
      </c>
      <c r="AE334" s="28">
        <f>ROUND(IF(AQ334="7",BI334,0),2)</f>
        <v>0</v>
      </c>
      <c r="AF334" s="28">
        <f>ROUND(IF(AQ334="2",BH334,0),2)</f>
        <v>0</v>
      </c>
      <c r="AG334" s="28">
        <f>ROUND(IF(AQ334="2",BI334,0),2)</f>
        <v>0</v>
      </c>
      <c r="AH334" s="28">
        <f>ROUND(IF(AQ334="0",BJ334,0),2)</f>
        <v>0</v>
      </c>
      <c r="AI334" s="10" t="s">
        <v>645</v>
      </c>
      <c r="AJ334" s="28">
        <f>IF(AN334=0,J334,0)</f>
        <v>0</v>
      </c>
      <c r="AK334" s="28">
        <f>IF(AN334=12,J334,0)</f>
        <v>0</v>
      </c>
      <c r="AL334" s="28">
        <f>IF(AN334=21,J334,0)</f>
        <v>0</v>
      </c>
      <c r="AN334" s="28">
        <v>21</v>
      </c>
      <c r="AO334" s="28">
        <f>G334*0.091290323</f>
        <v>0</v>
      </c>
      <c r="AP334" s="28">
        <f>G334*(1-0.091290323)</f>
        <v>0</v>
      </c>
      <c r="AQ334" s="30" t="s">
        <v>56</v>
      </c>
      <c r="AV334" s="28">
        <f>ROUND(AW334+AX334,2)</f>
        <v>0</v>
      </c>
      <c r="AW334" s="28">
        <f>ROUND(F334*AO334,2)</f>
        <v>0</v>
      </c>
      <c r="AX334" s="28">
        <f>ROUND(F334*AP334,2)</f>
        <v>0</v>
      </c>
      <c r="AY334" s="30" t="s">
        <v>104</v>
      </c>
      <c r="AZ334" s="30" t="s">
        <v>649</v>
      </c>
      <c r="BA334" s="10" t="s">
        <v>650</v>
      </c>
      <c r="BC334" s="28">
        <f>AW334+AX334</f>
        <v>0</v>
      </c>
      <c r="BD334" s="28">
        <f>G334/(100-BE334)*100</f>
        <v>0</v>
      </c>
      <c r="BE334" s="28">
        <v>0</v>
      </c>
      <c r="BF334" s="28">
        <f>334</f>
        <v>334</v>
      </c>
      <c r="BH334" s="28">
        <f>F334*AO334</f>
        <v>0</v>
      </c>
      <c r="BI334" s="28">
        <f>F334*AP334</f>
        <v>0</v>
      </c>
      <c r="BJ334" s="28">
        <f>F334*G334</f>
        <v>0</v>
      </c>
      <c r="BK334" s="28"/>
      <c r="BL334" s="28">
        <v>15</v>
      </c>
      <c r="BW334" s="28">
        <v>21</v>
      </c>
      <c r="BX334" s="4" t="s">
        <v>102</v>
      </c>
    </row>
    <row r="335" spans="1:76" ht="13.5" customHeight="1" x14ac:dyDescent="0.3">
      <c r="A335" s="31"/>
      <c r="B335" s="35" t="s">
        <v>105</v>
      </c>
      <c r="C335" s="96" t="s">
        <v>106</v>
      </c>
      <c r="D335" s="97"/>
      <c r="E335" s="97"/>
      <c r="F335" s="97"/>
      <c r="G335" s="97"/>
      <c r="H335" s="97"/>
      <c r="I335" s="97"/>
      <c r="J335" s="97"/>
      <c r="K335" s="98"/>
    </row>
    <row r="336" spans="1:76" ht="14.4" x14ac:dyDescent="0.3">
      <c r="A336" s="31"/>
      <c r="C336" s="32" t="s">
        <v>665</v>
      </c>
      <c r="D336" s="32" t="s">
        <v>666</v>
      </c>
      <c r="F336" s="33">
        <v>13</v>
      </c>
      <c r="K336" s="34"/>
    </row>
    <row r="337" spans="1:76" ht="14.4" x14ac:dyDescent="0.3">
      <c r="A337" s="2" t="s">
        <v>667</v>
      </c>
      <c r="B337" s="3" t="s">
        <v>113</v>
      </c>
      <c r="C337" s="75" t="s">
        <v>114</v>
      </c>
      <c r="D337" s="70"/>
      <c r="E337" s="3" t="s">
        <v>103</v>
      </c>
      <c r="F337" s="28">
        <v>14</v>
      </c>
      <c r="G337" s="28">
        <v>0</v>
      </c>
      <c r="H337" s="28">
        <f>ROUND(F337*AO337,2)</f>
        <v>0</v>
      </c>
      <c r="I337" s="28">
        <f>ROUND(F337*AP337,2)</f>
        <v>0</v>
      </c>
      <c r="J337" s="28">
        <f>ROUND(F337*G337,2)</f>
        <v>0</v>
      </c>
      <c r="K337" s="29" t="s">
        <v>60</v>
      </c>
      <c r="Z337" s="28">
        <f>ROUND(IF(AQ337="5",BJ337,0),2)</f>
        <v>0</v>
      </c>
      <c r="AB337" s="28">
        <f>ROUND(IF(AQ337="1",BH337,0),2)</f>
        <v>0</v>
      </c>
      <c r="AC337" s="28">
        <f>ROUND(IF(AQ337="1",BI337,0),2)</f>
        <v>0</v>
      </c>
      <c r="AD337" s="28">
        <f>ROUND(IF(AQ337="7",BH337,0),2)</f>
        <v>0</v>
      </c>
      <c r="AE337" s="28">
        <f>ROUND(IF(AQ337="7",BI337,0),2)</f>
        <v>0</v>
      </c>
      <c r="AF337" s="28">
        <f>ROUND(IF(AQ337="2",BH337,0),2)</f>
        <v>0</v>
      </c>
      <c r="AG337" s="28">
        <f>ROUND(IF(AQ337="2",BI337,0),2)</f>
        <v>0</v>
      </c>
      <c r="AH337" s="28">
        <f>ROUND(IF(AQ337="0",BJ337,0),2)</f>
        <v>0</v>
      </c>
      <c r="AI337" s="10" t="s">
        <v>645</v>
      </c>
      <c r="AJ337" s="28">
        <f>IF(AN337=0,J337,0)</f>
        <v>0</v>
      </c>
      <c r="AK337" s="28">
        <f>IF(AN337=12,J337,0)</f>
        <v>0</v>
      </c>
      <c r="AL337" s="28">
        <f>IF(AN337=21,J337,0)</f>
        <v>0</v>
      </c>
      <c r="AN337" s="28">
        <v>21</v>
      </c>
      <c r="AO337" s="28">
        <f>G337*0</f>
        <v>0</v>
      </c>
      <c r="AP337" s="28">
        <f>G337*(1-0)</f>
        <v>0</v>
      </c>
      <c r="AQ337" s="30" t="s">
        <v>56</v>
      </c>
      <c r="AV337" s="28">
        <f>ROUND(AW337+AX337,2)</f>
        <v>0</v>
      </c>
      <c r="AW337" s="28">
        <f>ROUND(F337*AO337,2)</f>
        <v>0</v>
      </c>
      <c r="AX337" s="28">
        <f>ROUND(F337*AP337,2)</f>
        <v>0</v>
      </c>
      <c r="AY337" s="30" t="s">
        <v>104</v>
      </c>
      <c r="AZ337" s="30" t="s">
        <v>649</v>
      </c>
      <c r="BA337" s="10" t="s">
        <v>650</v>
      </c>
      <c r="BC337" s="28">
        <f>AW337+AX337</f>
        <v>0</v>
      </c>
      <c r="BD337" s="28">
        <f>G337/(100-BE337)*100</f>
        <v>0</v>
      </c>
      <c r="BE337" s="28">
        <v>0</v>
      </c>
      <c r="BF337" s="28">
        <f>337</f>
        <v>337</v>
      </c>
      <c r="BH337" s="28">
        <f>F337*AO337</f>
        <v>0</v>
      </c>
      <c r="BI337" s="28">
        <f>F337*AP337</f>
        <v>0</v>
      </c>
      <c r="BJ337" s="28">
        <f>F337*G337</f>
        <v>0</v>
      </c>
      <c r="BK337" s="28"/>
      <c r="BL337" s="28">
        <v>15</v>
      </c>
      <c r="BW337" s="28">
        <v>21</v>
      </c>
      <c r="BX337" s="4" t="s">
        <v>114</v>
      </c>
    </row>
    <row r="338" spans="1:76" ht="14.4" x14ac:dyDescent="0.3">
      <c r="A338" s="31"/>
      <c r="C338" s="32" t="s">
        <v>668</v>
      </c>
      <c r="D338" s="32" t="s">
        <v>669</v>
      </c>
      <c r="F338" s="33">
        <v>14</v>
      </c>
      <c r="K338" s="34"/>
    </row>
    <row r="339" spans="1:76" ht="14.4" x14ac:dyDescent="0.3">
      <c r="A339" s="24" t="s">
        <v>51</v>
      </c>
      <c r="B339" s="25" t="s">
        <v>116</v>
      </c>
      <c r="C339" s="91" t="s">
        <v>117</v>
      </c>
      <c r="D339" s="92"/>
      <c r="E339" s="26" t="s">
        <v>4</v>
      </c>
      <c r="F339" s="26" t="s">
        <v>4</v>
      </c>
      <c r="G339" s="26" t="s">
        <v>4</v>
      </c>
      <c r="H339" s="1">
        <f>SUM(H340:H346)</f>
        <v>0</v>
      </c>
      <c r="I339" s="1">
        <f>SUM(I340:I346)</f>
        <v>0</v>
      </c>
      <c r="J339" s="1">
        <f>SUM(J340:J346)</f>
        <v>0</v>
      </c>
      <c r="K339" s="27" t="s">
        <v>51</v>
      </c>
      <c r="AI339" s="10" t="s">
        <v>645</v>
      </c>
      <c r="AS339" s="1">
        <f>SUM(AJ340:AJ346)</f>
        <v>0</v>
      </c>
      <c r="AT339" s="1">
        <f>SUM(AK340:AK346)</f>
        <v>0</v>
      </c>
      <c r="AU339" s="1">
        <f>SUM(AL340:AL346)</f>
        <v>0</v>
      </c>
    </row>
    <row r="340" spans="1:76" ht="14.4" x14ac:dyDescent="0.3">
      <c r="A340" s="2" t="s">
        <v>670</v>
      </c>
      <c r="B340" s="3" t="s">
        <v>119</v>
      </c>
      <c r="C340" s="75" t="s">
        <v>120</v>
      </c>
      <c r="D340" s="70"/>
      <c r="E340" s="3" t="s">
        <v>59</v>
      </c>
      <c r="F340" s="28">
        <v>7.12</v>
      </c>
      <c r="G340" s="28">
        <v>0</v>
      </c>
      <c r="H340" s="28">
        <f>ROUND(F340*AO340,2)</f>
        <v>0</v>
      </c>
      <c r="I340" s="28">
        <f>ROUND(F340*AP340,2)</f>
        <v>0</v>
      </c>
      <c r="J340" s="28">
        <f>ROUND(F340*G340,2)</f>
        <v>0</v>
      </c>
      <c r="K340" s="29" t="s">
        <v>60</v>
      </c>
      <c r="Z340" s="28">
        <f>ROUND(IF(AQ340="5",BJ340,0),2)</f>
        <v>0</v>
      </c>
      <c r="AB340" s="28">
        <f>ROUND(IF(AQ340="1",BH340,0),2)</f>
        <v>0</v>
      </c>
      <c r="AC340" s="28">
        <f>ROUND(IF(AQ340="1",BI340,0),2)</f>
        <v>0</v>
      </c>
      <c r="AD340" s="28">
        <f>ROUND(IF(AQ340="7",BH340,0),2)</f>
        <v>0</v>
      </c>
      <c r="AE340" s="28">
        <f>ROUND(IF(AQ340="7",BI340,0),2)</f>
        <v>0</v>
      </c>
      <c r="AF340" s="28">
        <f>ROUND(IF(AQ340="2",BH340,0),2)</f>
        <v>0</v>
      </c>
      <c r="AG340" s="28">
        <f>ROUND(IF(AQ340="2",BI340,0),2)</f>
        <v>0</v>
      </c>
      <c r="AH340" s="28">
        <f>ROUND(IF(AQ340="0",BJ340,0),2)</f>
        <v>0</v>
      </c>
      <c r="AI340" s="10" t="s">
        <v>645</v>
      </c>
      <c r="AJ340" s="28">
        <f>IF(AN340=0,J340,0)</f>
        <v>0</v>
      </c>
      <c r="AK340" s="28">
        <f>IF(AN340=12,J340,0)</f>
        <v>0</v>
      </c>
      <c r="AL340" s="28">
        <f>IF(AN340=21,J340,0)</f>
        <v>0</v>
      </c>
      <c r="AN340" s="28">
        <v>21</v>
      </c>
      <c r="AO340" s="28">
        <f>G340*0</f>
        <v>0</v>
      </c>
      <c r="AP340" s="28">
        <f>G340*(1-0)</f>
        <v>0</v>
      </c>
      <c r="AQ340" s="30" t="s">
        <v>56</v>
      </c>
      <c r="AV340" s="28">
        <f>ROUND(AW340+AX340,2)</f>
        <v>0</v>
      </c>
      <c r="AW340" s="28">
        <f>ROUND(F340*AO340,2)</f>
        <v>0</v>
      </c>
      <c r="AX340" s="28">
        <f>ROUND(F340*AP340,2)</f>
        <v>0</v>
      </c>
      <c r="AY340" s="30" t="s">
        <v>121</v>
      </c>
      <c r="AZ340" s="30" t="s">
        <v>649</v>
      </c>
      <c r="BA340" s="10" t="s">
        <v>650</v>
      </c>
      <c r="BC340" s="28">
        <f>AW340+AX340</f>
        <v>0</v>
      </c>
      <c r="BD340" s="28">
        <f>G340/(100-BE340)*100</f>
        <v>0</v>
      </c>
      <c r="BE340" s="28">
        <v>0</v>
      </c>
      <c r="BF340" s="28">
        <f>340</f>
        <v>340</v>
      </c>
      <c r="BH340" s="28">
        <f>F340*AO340</f>
        <v>0</v>
      </c>
      <c r="BI340" s="28">
        <f>F340*AP340</f>
        <v>0</v>
      </c>
      <c r="BJ340" s="28">
        <f>F340*G340</f>
        <v>0</v>
      </c>
      <c r="BK340" s="28"/>
      <c r="BL340" s="28">
        <v>16</v>
      </c>
      <c r="BW340" s="28">
        <v>21</v>
      </c>
      <c r="BX340" s="4" t="s">
        <v>120</v>
      </c>
    </row>
    <row r="341" spans="1:76" ht="14.4" x14ac:dyDescent="0.3">
      <c r="A341" s="31"/>
      <c r="C341" s="32" t="s">
        <v>671</v>
      </c>
      <c r="D341" s="32" t="s">
        <v>672</v>
      </c>
      <c r="F341" s="33">
        <v>7.12</v>
      </c>
      <c r="K341" s="34"/>
    </row>
    <row r="342" spans="1:76" ht="13.5" customHeight="1" x14ac:dyDescent="0.3">
      <c r="A342" s="31"/>
      <c r="B342" s="37" t="s">
        <v>70</v>
      </c>
      <c r="C342" s="96" t="s">
        <v>126</v>
      </c>
      <c r="D342" s="97"/>
      <c r="E342" s="97"/>
      <c r="F342" s="97"/>
      <c r="G342" s="97"/>
      <c r="H342" s="97"/>
      <c r="I342" s="97"/>
      <c r="J342" s="97"/>
      <c r="K342" s="98"/>
    </row>
    <row r="343" spans="1:76" ht="14.4" x14ac:dyDescent="0.3">
      <c r="A343" s="2" t="s">
        <v>673</v>
      </c>
      <c r="B343" s="3" t="s">
        <v>139</v>
      </c>
      <c r="C343" s="75" t="s">
        <v>140</v>
      </c>
      <c r="D343" s="70"/>
      <c r="E343" s="3" t="s">
        <v>59</v>
      </c>
      <c r="F343" s="28">
        <v>7.12</v>
      </c>
      <c r="G343" s="28">
        <v>0</v>
      </c>
      <c r="H343" s="28">
        <f>ROUND(F343*AO343,2)</f>
        <v>0</v>
      </c>
      <c r="I343" s="28">
        <f>ROUND(F343*AP343,2)</f>
        <v>0</v>
      </c>
      <c r="J343" s="28">
        <f>ROUND(F343*G343,2)</f>
        <v>0</v>
      </c>
      <c r="K343" s="29" t="s">
        <v>60</v>
      </c>
      <c r="Z343" s="28">
        <f>ROUND(IF(AQ343="5",BJ343,0),2)</f>
        <v>0</v>
      </c>
      <c r="AB343" s="28">
        <f>ROUND(IF(AQ343="1",BH343,0),2)</f>
        <v>0</v>
      </c>
      <c r="AC343" s="28">
        <f>ROUND(IF(AQ343="1",BI343,0),2)</f>
        <v>0</v>
      </c>
      <c r="AD343" s="28">
        <f>ROUND(IF(AQ343="7",BH343,0),2)</f>
        <v>0</v>
      </c>
      <c r="AE343" s="28">
        <f>ROUND(IF(AQ343="7",BI343,0),2)</f>
        <v>0</v>
      </c>
      <c r="AF343" s="28">
        <f>ROUND(IF(AQ343="2",BH343,0),2)</f>
        <v>0</v>
      </c>
      <c r="AG343" s="28">
        <f>ROUND(IF(AQ343="2",BI343,0),2)</f>
        <v>0</v>
      </c>
      <c r="AH343" s="28">
        <f>ROUND(IF(AQ343="0",BJ343,0),2)</f>
        <v>0</v>
      </c>
      <c r="AI343" s="10" t="s">
        <v>645</v>
      </c>
      <c r="AJ343" s="28">
        <f>IF(AN343=0,J343,0)</f>
        <v>0</v>
      </c>
      <c r="AK343" s="28">
        <f>IF(AN343=12,J343,0)</f>
        <v>0</v>
      </c>
      <c r="AL343" s="28">
        <f>IF(AN343=21,J343,0)</f>
        <v>0</v>
      </c>
      <c r="AN343" s="28">
        <v>21</v>
      </c>
      <c r="AO343" s="28">
        <f>G343*0</f>
        <v>0</v>
      </c>
      <c r="AP343" s="28">
        <f>G343*(1-0)</f>
        <v>0</v>
      </c>
      <c r="AQ343" s="30" t="s">
        <v>56</v>
      </c>
      <c r="AV343" s="28">
        <f>ROUND(AW343+AX343,2)</f>
        <v>0</v>
      </c>
      <c r="AW343" s="28">
        <f>ROUND(F343*AO343,2)</f>
        <v>0</v>
      </c>
      <c r="AX343" s="28">
        <f>ROUND(F343*AP343,2)</f>
        <v>0</v>
      </c>
      <c r="AY343" s="30" t="s">
        <v>121</v>
      </c>
      <c r="AZ343" s="30" t="s">
        <v>649</v>
      </c>
      <c r="BA343" s="10" t="s">
        <v>650</v>
      </c>
      <c r="BC343" s="28">
        <f>AW343+AX343</f>
        <v>0</v>
      </c>
      <c r="BD343" s="28">
        <f>G343/(100-BE343)*100</f>
        <v>0</v>
      </c>
      <c r="BE343" s="28">
        <v>0</v>
      </c>
      <c r="BF343" s="28">
        <f>343</f>
        <v>343</v>
      </c>
      <c r="BH343" s="28">
        <f>F343*AO343</f>
        <v>0</v>
      </c>
      <c r="BI343" s="28">
        <f>F343*AP343</f>
        <v>0</v>
      </c>
      <c r="BJ343" s="28">
        <f>F343*G343</f>
        <v>0</v>
      </c>
      <c r="BK343" s="28"/>
      <c r="BL343" s="28">
        <v>16</v>
      </c>
      <c r="BW343" s="28">
        <v>21</v>
      </c>
      <c r="BX343" s="4" t="s">
        <v>140</v>
      </c>
    </row>
    <row r="344" spans="1:76" ht="14.4" x14ac:dyDescent="0.3">
      <c r="A344" s="2" t="s">
        <v>674</v>
      </c>
      <c r="B344" s="3" t="s">
        <v>143</v>
      </c>
      <c r="C344" s="75" t="s">
        <v>144</v>
      </c>
      <c r="D344" s="70"/>
      <c r="E344" s="3" t="s">
        <v>59</v>
      </c>
      <c r="F344" s="28">
        <v>7.12</v>
      </c>
      <c r="G344" s="28">
        <v>0</v>
      </c>
      <c r="H344" s="28">
        <f>ROUND(F344*AO344,2)</f>
        <v>0</v>
      </c>
      <c r="I344" s="28">
        <f>ROUND(F344*AP344,2)</f>
        <v>0</v>
      </c>
      <c r="J344" s="28">
        <f>ROUND(F344*G344,2)</f>
        <v>0</v>
      </c>
      <c r="K344" s="29" t="s">
        <v>60</v>
      </c>
      <c r="Z344" s="28">
        <f>ROUND(IF(AQ344="5",BJ344,0),2)</f>
        <v>0</v>
      </c>
      <c r="AB344" s="28">
        <f>ROUND(IF(AQ344="1",BH344,0),2)</f>
        <v>0</v>
      </c>
      <c r="AC344" s="28">
        <f>ROUND(IF(AQ344="1",BI344,0),2)</f>
        <v>0</v>
      </c>
      <c r="AD344" s="28">
        <f>ROUND(IF(AQ344="7",BH344,0),2)</f>
        <v>0</v>
      </c>
      <c r="AE344" s="28">
        <f>ROUND(IF(AQ344="7",BI344,0),2)</f>
        <v>0</v>
      </c>
      <c r="AF344" s="28">
        <f>ROUND(IF(AQ344="2",BH344,0),2)</f>
        <v>0</v>
      </c>
      <c r="AG344" s="28">
        <f>ROUND(IF(AQ344="2",BI344,0),2)</f>
        <v>0</v>
      </c>
      <c r="AH344" s="28">
        <f>ROUND(IF(AQ344="0",BJ344,0),2)</f>
        <v>0</v>
      </c>
      <c r="AI344" s="10" t="s">
        <v>645</v>
      </c>
      <c r="AJ344" s="28">
        <f>IF(AN344=0,J344,0)</f>
        <v>0</v>
      </c>
      <c r="AK344" s="28">
        <f>IF(AN344=12,J344,0)</f>
        <v>0</v>
      </c>
      <c r="AL344" s="28">
        <f>IF(AN344=21,J344,0)</f>
        <v>0</v>
      </c>
      <c r="AN344" s="28">
        <v>21</v>
      </c>
      <c r="AO344" s="28">
        <f>G344*0</f>
        <v>0</v>
      </c>
      <c r="AP344" s="28">
        <f>G344*(1-0)</f>
        <v>0</v>
      </c>
      <c r="AQ344" s="30" t="s">
        <v>56</v>
      </c>
      <c r="AV344" s="28">
        <f>ROUND(AW344+AX344,2)</f>
        <v>0</v>
      </c>
      <c r="AW344" s="28">
        <f>ROUND(F344*AO344,2)</f>
        <v>0</v>
      </c>
      <c r="AX344" s="28">
        <f>ROUND(F344*AP344,2)</f>
        <v>0</v>
      </c>
      <c r="AY344" s="30" t="s">
        <v>121</v>
      </c>
      <c r="AZ344" s="30" t="s">
        <v>649</v>
      </c>
      <c r="BA344" s="10" t="s">
        <v>650</v>
      </c>
      <c r="BC344" s="28">
        <f>AW344+AX344</f>
        <v>0</v>
      </c>
      <c r="BD344" s="28">
        <f>G344/(100-BE344)*100</f>
        <v>0</v>
      </c>
      <c r="BE344" s="28">
        <v>0</v>
      </c>
      <c r="BF344" s="28">
        <f>344</f>
        <v>344</v>
      </c>
      <c r="BH344" s="28">
        <f>F344*AO344</f>
        <v>0</v>
      </c>
      <c r="BI344" s="28">
        <f>F344*AP344</f>
        <v>0</v>
      </c>
      <c r="BJ344" s="28">
        <f>F344*G344</f>
        <v>0</v>
      </c>
      <c r="BK344" s="28"/>
      <c r="BL344" s="28">
        <v>16</v>
      </c>
      <c r="BW344" s="28">
        <v>21</v>
      </c>
      <c r="BX344" s="4" t="s">
        <v>144</v>
      </c>
    </row>
    <row r="345" spans="1:76" ht="14.4" x14ac:dyDescent="0.3">
      <c r="A345" s="2" t="s">
        <v>675</v>
      </c>
      <c r="B345" s="3" t="s">
        <v>676</v>
      </c>
      <c r="C345" s="75" t="s">
        <v>677</v>
      </c>
      <c r="D345" s="70"/>
      <c r="E345" s="3" t="s">
        <v>59</v>
      </c>
      <c r="F345" s="28">
        <v>7.12</v>
      </c>
      <c r="G345" s="28">
        <v>0</v>
      </c>
      <c r="H345" s="28">
        <f>ROUND(F345*AO345,2)</f>
        <v>0</v>
      </c>
      <c r="I345" s="28">
        <f>ROUND(F345*AP345,2)</f>
        <v>0</v>
      </c>
      <c r="J345" s="28">
        <f>ROUND(F345*G345,2)</f>
        <v>0</v>
      </c>
      <c r="K345" s="29" t="s">
        <v>60</v>
      </c>
      <c r="Z345" s="28">
        <f>ROUND(IF(AQ345="5",BJ345,0),2)</f>
        <v>0</v>
      </c>
      <c r="AB345" s="28">
        <f>ROUND(IF(AQ345="1",BH345,0),2)</f>
        <v>0</v>
      </c>
      <c r="AC345" s="28">
        <f>ROUND(IF(AQ345="1",BI345,0),2)</f>
        <v>0</v>
      </c>
      <c r="AD345" s="28">
        <f>ROUND(IF(AQ345="7",BH345,0),2)</f>
        <v>0</v>
      </c>
      <c r="AE345" s="28">
        <f>ROUND(IF(AQ345="7",BI345,0),2)</f>
        <v>0</v>
      </c>
      <c r="AF345" s="28">
        <f>ROUND(IF(AQ345="2",BH345,0),2)</f>
        <v>0</v>
      </c>
      <c r="AG345" s="28">
        <f>ROUND(IF(AQ345="2",BI345,0),2)</f>
        <v>0</v>
      </c>
      <c r="AH345" s="28">
        <f>ROUND(IF(AQ345="0",BJ345,0),2)</f>
        <v>0</v>
      </c>
      <c r="AI345" s="10" t="s">
        <v>645</v>
      </c>
      <c r="AJ345" s="28">
        <f>IF(AN345=0,J345,0)</f>
        <v>0</v>
      </c>
      <c r="AK345" s="28">
        <f>IF(AN345=12,J345,0)</f>
        <v>0</v>
      </c>
      <c r="AL345" s="28">
        <f>IF(AN345=21,J345,0)</f>
        <v>0</v>
      </c>
      <c r="AN345" s="28">
        <v>21</v>
      </c>
      <c r="AO345" s="28">
        <f>G345*0</f>
        <v>0</v>
      </c>
      <c r="AP345" s="28">
        <f>G345*(1-0)</f>
        <v>0</v>
      </c>
      <c r="AQ345" s="30" t="s">
        <v>56</v>
      </c>
      <c r="AV345" s="28">
        <f>ROUND(AW345+AX345,2)</f>
        <v>0</v>
      </c>
      <c r="AW345" s="28">
        <f>ROUND(F345*AO345,2)</f>
        <v>0</v>
      </c>
      <c r="AX345" s="28">
        <f>ROUND(F345*AP345,2)</f>
        <v>0</v>
      </c>
      <c r="AY345" s="30" t="s">
        <v>121</v>
      </c>
      <c r="AZ345" s="30" t="s">
        <v>649</v>
      </c>
      <c r="BA345" s="10" t="s">
        <v>650</v>
      </c>
      <c r="BC345" s="28">
        <f>AW345+AX345</f>
        <v>0</v>
      </c>
      <c r="BD345" s="28">
        <f>G345/(100-BE345)*100</f>
        <v>0</v>
      </c>
      <c r="BE345" s="28">
        <v>0</v>
      </c>
      <c r="BF345" s="28">
        <f>345</f>
        <v>345</v>
      </c>
      <c r="BH345" s="28">
        <f>F345*AO345</f>
        <v>0</v>
      </c>
      <c r="BI345" s="28">
        <f>F345*AP345</f>
        <v>0</v>
      </c>
      <c r="BJ345" s="28">
        <f>F345*G345</f>
        <v>0</v>
      </c>
      <c r="BK345" s="28"/>
      <c r="BL345" s="28">
        <v>16</v>
      </c>
      <c r="BW345" s="28">
        <v>21</v>
      </c>
      <c r="BX345" s="4" t="s">
        <v>677</v>
      </c>
    </row>
    <row r="346" spans="1:76" ht="14.4" x14ac:dyDescent="0.3">
      <c r="A346" s="2" t="s">
        <v>678</v>
      </c>
      <c r="B346" s="3" t="s">
        <v>149</v>
      </c>
      <c r="C346" s="75" t="s">
        <v>150</v>
      </c>
      <c r="D346" s="70"/>
      <c r="E346" s="3" t="s">
        <v>59</v>
      </c>
      <c r="F346" s="28">
        <v>7.12</v>
      </c>
      <c r="G346" s="28">
        <v>0</v>
      </c>
      <c r="H346" s="28">
        <f>ROUND(F346*AO346,2)</f>
        <v>0</v>
      </c>
      <c r="I346" s="28">
        <f>ROUND(F346*AP346,2)</f>
        <v>0</v>
      </c>
      <c r="J346" s="28">
        <f>ROUND(F346*G346,2)</f>
        <v>0</v>
      </c>
      <c r="K346" s="29" t="s">
        <v>60</v>
      </c>
      <c r="Z346" s="28">
        <f>ROUND(IF(AQ346="5",BJ346,0),2)</f>
        <v>0</v>
      </c>
      <c r="AB346" s="28">
        <f>ROUND(IF(AQ346="1",BH346,0),2)</f>
        <v>0</v>
      </c>
      <c r="AC346" s="28">
        <f>ROUND(IF(AQ346="1",BI346,0),2)</f>
        <v>0</v>
      </c>
      <c r="AD346" s="28">
        <f>ROUND(IF(AQ346="7",BH346,0),2)</f>
        <v>0</v>
      </c>
      <c r="AE346" s="28">
        <f>ROUND(IF(AQ346="7",BI346,0),2)</f>
        <v>0</v>
      </c>
      <c r="AF346" s="28">
        <f>ROUND(IF(AQ346="2",BH346,0),2)</f>
        <v>0</v>
      </c>
      <c r="AG346" s="28">
        <f>ROUND(IF(AQ346="2",BI346,0),2)</f>
        <v>0</v>
      </c>
      <c r="AH346" s="28">
        <f>ROUND(IF(AQ346="0",BJ346,0),2)</f>
        <v>0</v>
      </c>
      <c r="AI346" s="10" t="s">
        <v>645</v>
      </c>
      <c r="AJ346" s="28">
        <f>IF(AN346=0,J346,0)</f>
        <v>0</v>
      </c>
      <c r="AK346" s="28">
        <f>IF(AN346=12,J346,0)</f>
        <v>0</v>
      </c>
      <c r="AL346" s="28">
        <f>IF(AN346=21,J346,0)</f>
        <v>0</v>
      </c>
      <c r="AN346" s="28">
        <v>21</v>
      </c>
      <c r="AO346" s="28">
        <f>G346*0</f>
        <v>0</v>
      </c>
      <c r="AP346" s="28">
        <f>G346*(1-0)</f>
        <v>0</v>
      </c>
      <c r="AQ346" s="30" t="s">
        <v>56</v>
      </c>
      <c r="AV346" s="28">
        <f>ROUND(AW346+AX346,2)</f>
        <v>0</v>
      </c>
      <c r="AW346" s="28">
        <f>ROUND(F346*AO346,2)</f>
        <v>0</v>
      </c>
      <c r="AX346" s="28">
        <f>ROUND(F346*AP346,2)</f>
        <v>0</v>
      </c>
      <c r="AY346" s="30" t="s">
        <v>121</v>
      </c>
      <c r="AZ346" s="30" t="s">
        <v>649</v>
      </c>
      <c r="BA346" s="10" t="s">
        <v>650</v>
      </c>
      <c r="BC346" s="28">
        <f>AW346+AX346</f>
        <v>0</v>
      </c>
      <c r="BD346" s="28">
        <f>G346/(100-BE346)*100</f>
        <v>0</v>
      </c>
      <c r="BE346" s="28">
        <v>0</v>
      </c>
      <c r="BF346" s="28">
        <f>346</f>
        <v>346</v>
      </c>
      <c r="BH346" s="28">
        <f>F346*AO346</f>
        <v>0</v>
      </c>
      <c r="BI346" s="28">
        <f>F346*AP346</f>
        <v>0</v>
      </c>
      <c r="BJ346" s="28">
        <f>F346*G346</f>
        <v>0</v>
      </c>
      <c r="BK346" s="28"/>
      <c r="BL346" s="28">
        <v>16</v>
      </c>
      <c r="BW346" s="28">
        <v>21</v>
      </c>
      <c r="BX346" s="4" t="s">
        <v>150</v>
      </c>
    </row>
    <row r="347" spans="1:76" ht="14.4" x14ac:dyDescent="0.3">
      <c r="A347" s="24" t="s">
        <v>51</v>
      </c>
      <c r="B347" s="25" t="s">
        <v>152</v>
      </c>
      <c r="C347" s="91" t="s">
        <v>153</v>
      </c>
      <c r="D347" s="92"/>
      <c r="E347" s="26" t="s">
        <v>4</v>
      </c>
      <c r="F347" s="26" t="s">
        <v>4</v>
      </c>
      <c r="G347" s="26" t="s">
        <v>4</v>
      </c>
      <c r="H347" s="1">
        <f>SUM(H348:H352)</f>
        <v>0</v>
      </c>
      <c r="I347" s="1">
        <f>SUM(I348:I352)</f>
        <v>0</v>
      </c>
      <c r="J347" s="1">
        <f>SUM(J348:J352)</f>
        <v>0</v>
      </c>
      <c r="K347" s="27" t="s">
        <v>51</v>
      </c>
      <c r="AI347" s="10" t="s">
        <v>645</v>
      </c>
      <c r="AS347" s="1">
        <f>SUM(AJ348:AJ352)</f>
        <v>0</v>
      </c>
      <c r="AT347" s="1">
        <f>SUM(AK348:AK352)</f>
        <v>0</v>
      </c>
      <c r="AU347" s="1">
        <f>SUM(AL348:AL352)</f>
        <v>0</v>
      </c>
    </row>
    <row r="348" spans="1:76" ht="14.4" x14ac:dyDescent="0.3">
      <c r="A348" s="2" t="s">
        <v>679</v>
      </c>
      <c r="B348" s="3" t="s">
        <v>154</v>
      </c>
      <c r="C348" s="75" t="s">
        <v>155</v>
      </c>
      <c r="D348" s="70"/>
      <c r="E348" s="3" t="s">
        <v>59</v>
      </c>
      <c r="F348" s="28">
        <v>13.92</v>
      </c>
      <c r="G348" s="28">
        <v>0</v>
      </c>
      <c r="H348" s="28">
        <f>ROUND(F348*AO348,2)</f>
        <v>0</v>
      </c>
      <c r="I348" s="28">
        <f>ROUND(F348*AP348,2)</f>
        <v>0</v>
      </c>
      <c r="J348" s="28">
        <f>ROUND(F348*G348,2)</f>
        <v>0</v>
      </c>
      <c r="K348" s="29" t="s">
        <v>60</v>
      </c>
      <c r="Z348" s="28">
        <f>ROUND(IF(AQ348="5",BJ348,0),2)</f>
        <v>0</v>
      </c>
      <c r="AB348" s="28">
        <f>ROUND(IF(AQ348="1",BH348,0),2)</f>
        <v>0</v>
      </c>
      <c r="AC348" s="28">
        <f>ROUND(IF(AQ348="1",BI348,0),2)</f>
        <v>0</v>
      </c>
      <c r="AD348" s="28">
        <f>ROUND(IF(AQ348="7",BH348,0),2)</f>
        <v>0</v>
      </c>
      <c r="AE348" s="28">
        <f>ROUND(IF(AQ348="7",BI348,0),2)</f>
        <v>0</v>
      </c>
      <c r="AF348" s="28">
        <f>ROUND(IF(AQ348="2",BH348,0),2)</f>
        <v>0</v>
      </c>
      <c r="AG348" s="28">
        <f>ROUND(IF(AQ348="2",BI348,0),2)</f>
        <v>0</v>
      </c>
      <c r="AH348" s="28">
        <f>ROUND(IF(AQ348="0",BJ348,0),2)</f>
        <v>0</v>
      </c>
      <c r="AI348" s="10" t="s">
        <v>645</v>
      </c>
      <c r="AJ348" s="28">
        <f>IF(AN348=0,J348,0)</f>
        <v>0</v>
      </c>
      <c r="AK348" s="28">
        <f>IF(AN348=12,J348,0)</f>
        <v>0</v>
      </c>
      <c r="AL348" s="28">
        <f>IF(AN348=21,J348,0)</f>
        <v>0</v>
      </c>
      <c r="AN348" s="28">
        <v>21</v>
      </c>
      <c r="AO348" s="28">
        <f>G348*0</f>
        <v>0</v>
      </c>
      <c r="AP348" s="28">
        <f>G348*(1-0)</f>
        <v>0</v>
      </c>
      <c r="AQ348" s="30" t="s">
        <v>56</v>
      </c>
      <c r="AV348" s="28">
        <f>ROUND(AW348+AX348,2)</f>
        <v>0</v>
      </c>
      <c r="AW348" s="28">
        <f>ROUND(F348*AO348,2)</f>
        <v>0</v>
      </c>
      <c r="AX348" s="28">
        <f>ROUND(F348*AP348,2)</f>
        <v>0</v>
      </c>
      <c r="AY348" s="30" t="s">
        <v>156</v>
      </c>
      <c r="AZ348" s="30" t="s">
        <v>649</v>
      </c>
      <c r="BA348" s="10" t="s">
        <v>650</v>
      </c>
      <c r="BC348" s="28">
        <f>AW348+AX348</f>
        <v>0</v>
      </c>
      <c r="BD348" s="28">
        <f>G348/(100-BE348)*100</f>
        <v>0</v>
      </c>
      <c r="BE348" s="28">
        <v>0</v>
      </c>
      <c r="BF348" s="28">
        <f>348</f>
        <v>348</v>
      </c>
      <c r="BH348" s="28">
        <f>F348*AO348</f>
        <v>0</v>
      </c>
      <c r="BI348" s="28">
        <f>F348*AP348</f>
        <v>0</v>
      </c>
      <c r="BJ348" s="28">
        <f>F348*G348</f>
        <v>0</v>
      </c>
      <c r="BK348" s="28"/>
      <c r="BL348" s="28">
        <v>17</v>
      </c>
      <c r="BW348" s="28">
        <v>21</v>
      </c>
      <c r="BX348" s="4" t="s">
        <v>155</v>
      </c>
    </row>
    <row r="349" spans="1:76" ht="14.4" x14ac:dyDescent="0.3">
      <c r="A349" s="31"/>
      <c r="C349" s="32" t="s">
        <v>680</v>
      </c>
      <c r="D349" s="32" t="s">
        <v>681</v>
      </c>
      <c r="F349" s="33">
        <v>13.92</v>
      </c>
      <c r="K349" s="34"/>
    </row>
    <row r="350" spans="1:76" ht="14.4" x14ac:dyDescent="0.3">
      <c r="A350" s="2" t="s">
        <v>682</v>
      </c>
      <c r="B350" s="3" t="s">
        <v>163</v>
      </c>
      <c r="C350" s="75" t="s">
        <v>164</v>
      </c>
      <c r="D350" s="70"/>
      <c r="E350" s="3" t="s">
        <v>59</v>
      </c>
      <c r="F350" s="28">
        <v>20.88</v>
      </c>
      <c r="G350" s="28">
        <v>0</v>
      </c>
      <c r="H350" s="28">
        <f>ROUND(F350*AO350,2)</f>
        <v>0</v>
      </c>
      <c r="I350" s="28">
        <f>ROUND(F350*AP350,2)</f>
        <v>0</v>
      </c>
      <c r="J350" s="28">
        <f>ROUND(F350*G350,2)</f>
        <v>0</v>
      </c>
      <c r="K350" s="29" t="s">
        <v>60</v>
      </c>
      <c r="Z350" s="28">
        <f>ROUND(IF(AQ350="5",BJ350,0),2)</f>
        <v>0</v>
      </c>
      <c r="AB350" s="28">
        <f>ROUND(IF(AQ350="1",BH350,0),2)</f>
        <v>0</v>
      </c>
      <c r="AC350" s="28">
        <f>ROUND(IF(AQ350="1",BI350,0),2)</f>
        <v>0</v>
      </c>
      <c r="AD350" s="28">
        <f>ROUND(IF(AQ350="7",BH350,0),2)</f>
        <v>0</v>
      </c>
      <c r="AE350" s="28">
        <f>ROUND(IF(AQ350="7",BI350,0),2)</f>
        <v>0</v>
      </c>
      <c r="AF350" s="28">
        <f>ROUND(IF(AQ350="2",BH350,0),2)</f>
        <v>0</v>
      </c>
      <c r="AG350" s="28">
        <f>ROUND(IF(AQ350="2",BI350,0),2)</f>
        <v>0</v>
      </c>
      <c r="AH350" s="28">
        <f>ROUND(IF(AQ350="0",BJ350,0),2)</f>
        <v>0</v>
      </c>
      <c r="AI350" s="10" t="s">
        <v>645</v>
      </c>
      <c r="AJ350" s="28">
        <f>IF(AN350=0,J350,0)</f>
        <v>0</v>
      </c>
      <c r="AK350" s="28">
        <f>IF(AN350=12,J350,0)</f>
        <v>0</v>
      </c>
      <c r="AL350" s="28">
        <f>IF(AN350=21,J350,0)</f>
        <v>0</v>
      </c>
      <c r="AN350" s="28">
        <v>21</v>
      </c>
      <c r="AO350" s="28">
        <f>G350*0</f>
        <v>0</v>
      </c>
      <c r="AP350" s="28">
        <f>G350*(1-0)</f>
        <v>0</v>
      </c>
      <c r="AQ350" s="30" t="s">
        <v>56</v>
      </c>
      <c r="AV350" s="28">
        <f>ROUND(AW350+AX350,2)</f>
        <v>0</v>
      </c>
      <c r="AW350" s="28">
        <f>ROUND(F350*AO350,2)</f>
        <v>0</v>
      </c>
      <c r="AX350" s="28">
        <f>ROUND(F350*AP350,2)</f>
        <v>0</v>
      </c>
      <c r="AY350" s="30" t="s">
        <v>156</v>
      </c>
      <c r="AZ350" s="30" t="s">
        <v>649</v>
      </c>
      <c r="BA350" s="10" t="s">
        <v>650</v>
      </c>
      <c r="BC350" s="28">
        <f>AW350+AX350</f>
        <v>0</v>
      </c>
      <c r="BD350" s="28">
        <f>G350/(100-BE350)*100</f>
        <v>0</v>
      </c>
      <c r="BE350" s="28">
        <v>0</v>
      </c>
      <c r="BF350" s="28">
        <f>350</f>
        <v>350</v>
      </c>
      <c r="BH350" s="28">
        <f>F350*AO350</f>
        <v>0</v>
      </c>
      <c r="BI350" s="28">
        <f>F350*AP350</f>
        <v>0</v>
      </c>
      <c r="BJ350" s="28">
        <f>F350*G350</f>
        <v>0</v>
      </c>
      <c r="BK350" s="28"/>
      <c r="BL350" s="28">
        <v>17</v>
      </c>
      <c r="BW350" s="28">
        <v>21</v>
      </c>
      <c r="BX350" s="4" t="s">
        <v>164</v>
      </c>
    </row>
    <row r="351" spans="1:76" ht="14.4" x14ac:dyDescent="0.3">
      <c r="A351" s="31"/>
      <c r="C351" s="32" t="s">
        <v>683</v>
      </c>
      <c r="D351" s="32" t="s">
        <v>166</v>
      </c>
      <c r="F351" s="33">
        <v>20.88</v>
      </c>
      <c r="K351" s="34"/>
    </row>
    <row r="352" spans="1:76" ht="14.4" x14ac:dyDescent="0.3">
      <c r="A352" s="2" t="s">
        <v>684</v>
      </c>
      <c r="B352" s="3" t="s">
        <v>186</v>
      </c>
      <c r="C352" s="75" t="s">
        <v>187</v>
      </c>
      <c r="D352" s="70"/>
      <c r="E352" s="3" t="s">
        <v>188</v>
      </c>
      <c r="F352" s="28">
        <v>29</v>
      </c>
      <c r="G352" s="28">
        <v>0</v>
      </c>
      <c r="H352" s="28">
        <f>ROUND(F352*AO352,2)</f>
        <v>0</v>
      </c>
      <c r="I352" s="28">
        <f>ROUND(F352*AP352,2)</f>
        <v>0</v>
      </c>
      <c r="J352" s="28">
        <f>ROUND(F352*G352,2)</f>
        <v>0</v>
      </c>
      <c r="K352" s="29" t="s">
        <v>60</v>
      </c>
      <c r="Z352" s="28">
        <f>ROUND(IF(AQ352="5",BJ352,0),2)</f>
        <v>0</v>
      </c>
      <c r="AB352" s="28">
        <f>ROUND(IF(AQ352="1",BH352,0),2)</f>
        <v>0</v>
      </c>
      <c r="AC352" s="28">
        <f>ROUND(IF(AQ352="1",BI352,0),2)</f>
        <v>0</v>
      </c>
      <c r="AD352" s="28">
        <f>ROUND(IF(AQ352="7",BH352,0),2)</f>
        <v>0</v>
      </c>
      <c r="AE352" s="28">
        <f>ROUND(IF(AQ352="7",BI352,0),2)</f>
        <v>0</v>
      </c>
      <c r="AF352" s="28">
        <f>ROUND(IF(AQ352="2",BH352,0),2)</f>
        <v>0</v>
      </c>
      <c r="AG352" s="28">
        <f>ROUND(IF(AQ352="2",BI352,0),2)</f>
        <v>0</v>
      </c>
      <c r="AH352" s="28">
        <f>ROUND(IF(AQ352="0",BJ352,0),2)</f>
        <v>0</v>
      </c>
      <c r="AI352" s="10" t="s">
        <v>645</v>
      </c>
      <c r="AJ352" s="28">
        <f>IF(AN352=0,J352,0)</f>
        <v>0</v>
      </c>
      <c r="AK352" s="28">
        <f>IF(AN352=12,J352,0)</f>
        <v>0</v>
      </c>
      <c r="AL352" s="28">
        <f>IF(AN352=21,J352,0)</f>
        <v>0</v>
      </c>
      <c r="AN352" s="28">
        <v>21</v>
      </c>
      <c r="AO352" s="28">
        <f>G352*0.352747253</f>
        <v>0</v>
      </c>
      <c r="AP352" s="28">
        <f>G352*(1-0.352747253)</f>
        <v>0</v>
      </c>
      <c r="AQ352" s="30" t="s">
        <v>56</v>
      </c>
      <c r="AV352" s="28">
        <f>ROUND(AW352+AX352,2)</f>
        <v>0</v>
      </c>
      <c r="AW352" s="28">
        <f>ROUND(F352*AO352,2)</f>
        <v>0</v>
      </c>
      <c r="AX352" s="28">
        <f>ROUND(F352*AP352,2)</f>
        <v>0</v>
      </c>
      <c r="AY352" s="30" t="s">
        <v>156</v>
      </c>
      <c r="AZ352" s="30" t="s">
        <v>649</v>
      </c>
      <c r="BA352" s="10" t="s">
        <v>650</v>
      </c>
      <c r="BC352" s="28">
        <f>AW352+AX352</f>
        <v>0</v>
      </c>
      <c r="BD352" s="28">
        <f>G352/(100-BE352)*100</f>
        <v>0</v>
      </c>
      <c r="BE352" s="28">
        <v>0</v>
      </c>
      <c r="BF352" s="28">
        <f>352</f>
        <v>352</v>
      </c>
      <c r="BH352" s="28">
        <f>F352*AO352</f>
        <v>0</v>
      </c>
      <c r="BI352" s="28">
        <f>F352*AP352</f>
        <v>0</v>
      </c>
      <c r="BJ352" s="28">
        <f>F352*G352</f>
        <v>0</v>
      </c>
      <c r="BK352" s="28"/>
      <c r="BL352" s="28">
        <v>17</v>
      </c>
      <c r="BW352" s="28">
        <v>21</v>
      </c>
      <c r="BX352" s="4" t="s">
        <v>187</v>
      </c>
    </row>
    <row r="353" spans="1:76" ht="13.5" customHeight="1" x14ac:dyDescent="0.3">
      <c r="A353" s="31"/>
      <c r="B353" s="35" t="s">
        <v>105</v>
      </c>
      <c r="C353" s="96" t="s">
        <v>189</v>
      </c>
      <c r="D353" s="97"/>
      <c r="E353" s="97"/>
      <c r="F353" s="97"/>
      <c r="G353" s="97"/>
      <c r="H353" s="97"/>
      <c r="I353" s="97"/>
      <c r="J353" s="97"/>
      <c r="K353" s="98"/>
    </row>
    <row r="354" spans="1:76" ht="14.4" x14ac:dyDescent="0.3">
      <c r="A354" s="24" t="s">
        <v>51</v>
      </c>
      <c r="B354" s="25" t="s">
        <v>414</v>
      </c>
      <c r="C354" s="91" t="s">
        <v>685</v>
      </c>
      <c r="D354" s="92"/>
      <c r="E354" s="26" t="s">
        <v>4</v>
      </c>
      <c r="F354" s="26" t="s">
        <v>4</v>
      </c>
      <c r="G354" s="26" t="s">
        <v>4</v>
      </c>
      <c r="H354" s="1">
        <f>SUM(H355:H355)</f>
        <v>0</v>
      </c>
      <c r="I354" s="1">
        <f>SUM(I355:I355)</f>
        <v>0</v>
      </c>
      <c r="J354" s="1">
        <f>SUM(J355:J355)</f>
        <v>0</v>
      </c>
      <c r="K354" s="27" t="s">
        <v>51</v>
      </c>
      <c r="AI354" s="10" t="s">
        <v>645</v>
      </c>
      <c r="AS354" s="1">
        <f>SUM(AJ355:AJ355)</f>
        <v>0</v>
      </c>
      <c r="AT354" s="1">
        <f>SUM(AK355:AK355)</f>
        <v>0</v>
      </c>
      <c r="AU354" s="1">
        <f>SUM(AL355:AL355)</f>
        <v>0</v>
      </c>
    </row>
    <row r="355" spans="1:76" ht="14.4" x14ac:dyDescent="0.3">
      <c r="A355" s="2" t="s">
        <v>686</v>
      </c>
      <c r="B355" s="3" t="s">
        <v>687</v>
      </c>
      <c r="C355" s="75" t="s">
        <v>688</v>
      </c>
      <c r="D355" s="70"/>
      <c r="E355" s="3" t="s">
        <v>103</v>
      </c>
      <c r="F355" s="28">
        <v>65</v>
      </c>
      <c r="G355" s="28">
        <v>0</v>
      </c>
      <c r="H355" s="28">
        <f>ROUND(F355*AO355,2)</f>
        <v>0</v>
      </c>
      <c r="I355" s="28">
        <f>ROUND(F355*AP355,2)</f>
        <v>0</v>
      </c>
      <c r="J355" s="28">
        <f>ROUND(F355*G355,2)</f>
        <v>0</v>
      </c>
      <c r="K355" s="29" t="s">
        <v>60</v>
      </c>
      <c r="Z355" s="28">
        <f>ROUND(IF(AQ355="5",BJ355,0),2)</f>
        <v>0</v>
      </c>
      <c r="AB355" s="28">
        <f>ROUND(IF(AQ355="1",BH355,0),2)</f>
        <v>0</v>
      </c>
      <c r="AC355" s="28">
        <f>ROUND(IF(AQ355="1",BI355,0),2)</f>
        <v>0</v>
      </c>
      <c r="AD355" s="28">
        <f>ROUND(IF(AQ355="7",BH355,0),2)</f>
        <v>0</v>
      </c>
      <c r="AE355" s="28">
        <f>ROUND(IF(AQ355="7",BI355,0),2)</f>
        <v>0</v>
      </c>
      <c r="AF355" s="28">
        <f>ROUND(IF(AQ355="2",BH355,0),2)</f>
        <v>0</v>
      </c>
      <c r="AG355" s="28">
        <f>ROUND(IF(AQ355="2",BI355,0),2)</f>
        <v>0</v>
      </c>
      <c r="AH355" s="28">
        <f>ROUND(IF(AQ355="0",BJ355,0),2)</f>
        <v>0</v>
      </c>
      <c r="AI355" s="10" t="s">
        <v>645</v>
      </c>
      <c r="AJ355" s="28">
        <f>IF(AN355=0,J355,0)</f>
        <v>0</v>
      </c>
      <c r="AK355" s="28">
        <f>IF(AN355=12,J355,0)</f>
        <v>0</v>
      </c>
      <c r="AL355" s="28">
        <f>IF(AN355=21,J355,0)</f>
        <v>0</v>
      </c>
      <c r="AN355" s="28">
        <v>21</v>
      </c>
      <c r="AO355" s="28">
        <f>G355*0.833292683</f>
        <v>0</v>
      </c>
      <c r="AP355" s="28">
        <f>G355*(1-0.833292683)</f>
        <v>0</v>
      </c>
      <c r="AQ355" s="30" t="s">
        <v>56</v>
      </c>
      <c r="AV355" s="28">
        <f>ROUND(AW355+AX355,2)</f>
        <v>0</v>
      </c>
      <c r="AW355" s="28">
        <f>ROUND(F355*AO355,2)</f>
        <v>0</v>
      </c>
      <c r="AX355" s="28">
        <f>ROUND(F355*AP355,2)</f>
        <v>0</v>
      </c>
      <c r="AY355" s="30" t="s">
        <v>689</v>
      </c>
      <c r="AZ355" s="30" t="s">
        <v>690</v>
      </c>
      <c r="BA355" s="10" t="s">
        <v>650</v>
      </c>
      <c r="BC355" s="28">
        <f>AW355+AX355</f>
        <v>0</v>
      </c>
      <c r="BD355" s="28">
        <f>G355/(100-BE355)*100</f>
        <v>0</v>
      </c>
      <c r="BE355" s="28">
        <v>0</v>
      </c>
      <c r="BF355" s="28">
        <f>355</f>
        <v>355</v>
      </c>
      <c r="BH355" s="28">
        <f>F355*AO355</f>
        <v>0</v>
      </c>
      <c r="BI355" s="28">
        <f>F355*AP355</f>
        <v>0</v>
      </c>
      <c r="BJ355" s="28">
        <f>F355*G355</f>
        <v>0</v>
      </c>
      <c r="BK355" s="28"/>
      <c r="BL355" s="28">
        <v>56</v>
      </c>
      <c r="BW355" s="28">
        <v>21</v>
      </c>
      <c r="BX355" s="4" t="s">
        <v>688</v>
      </c>
    </row>
    <row r="356" spans="1:76" ht="26.4" x14ac:dyDescent="0.3">
      <c r="A356" s="31"/>
      <c r="B356" s="35" t="s">
        <v>68</v>
      </c>
      <c r="C356" s="93" t="s">
        <v>691</v>
      </c>
      <c r="D356" s="94"/>
      <c r="E356" s="94"/>
      <c r="F356" s="94"/>
      <c r="G356" s="94"/>
      <c r="H356" s="94"/>
      <c r="I356" s="94"/>
      <c r="J356" s="94"/>
      <c r="K356" s="95"/>
      <c r="BX356" s="36" t="s">
        <v>691</v>
      </c>
    </row>
    <row r="357" spans="1:76" ht="14.4" x14ac:dyDescent="0.3">
      <c r="A357" s="24" t="s">
        <v>51</v>
      </c>
      <c r="B357" s="25" t="s">
        <v>422</v>
      </c>
      <c r="C357" s="91" t="s">
        <v>692</v>
      </c>
      <c r="D357" s="92"/>
      <c r="E357" s="26" t="s">
        <v>4</v>
      </c>
      <c r="F357" s="26" t="s">
        <v>4</v>
      </c>
      <c r="G357" s="26" t="s">
        <v>4</v>
      </c>
      <c r="H357" s="1">
        <f>SUM(H358:H361)</f>
        <v>0</v>
      </c>
      <c r="I357" s="1">
        <f>SUM(I358:I361)</f>
        <v>0</v>
      </c>
      <c r="J357" s="1">
        <f>SUM(J358:J361)</f>
        <v>0</v>
      </c>
      <c r="K357" s="27" t="s">
        <v>51</v>
      </c>
      <c r="AI357" s="10" t="s">
        <v>645</v>
      </c>
      <c r="AS357" s="1">
        <f>SUM(AJ358:AJ361)</f>
        <v>0</v>
      </c>
      <c r="AT357" s="1">
        <f>SUM(AK358:AK361)</f>
        <v>0</v>
      </c>
      <c r="AU357" s="1">
        <f>SUM(AL358:AL361)</f>
        <v>0</v>
      </c>
    </row>
    <row r="358" spans="1:76" ht="14.4" x14ac:dyDescent="0.3">
      <c r="A358" s="2" t="s">
        <v>693</v>
      </c>
      <c r="B358" s="3" t="s">
        <v>694</v>
      </c>
      <c r="C358" s="75" t="s">
        <v>695</v>
      </c>
      <c r="D358" s="70"/>
      <c r="E358" s="3" t="s">
        <v>103</v>
      </c>
      <c r="F358" s="28">
        <v>65</v>
      </c>
      <c r="G358" s="28">
        <v>0</v>
      </c>
      <c r="H358" s="28">
        <f>ROUND(F358*AO358,2)</f>
        <v>0</v>
      </c>
      <c r="I358" s="28">
        <f>ROUND(F358*AP358,2)</f>
        <v>0</v>
      </c>
      <c r="J358" s="28">
        <f>ROUND(F358*G358,2)</f>
        <v>0</v>
      </c>
      <c r="K358" s="29" t="s">
        <v>60</v>
      </c>
      <c r="Z358" s="28">
        <f>ROUND(IF(AQ358="5",BJ358,0),2)</f>
        <v>0</v>
      </c>
      <c r="AB358" s="28">
        <f>ROUND(IF(AQ358="1",BH358,0),2)</f>
        <v>0</v>
      </c>
      <c r="AC358" s="28">
        <f>ROUND(IF(AQ358="1",BI358,0),2)</f>
        <v>0</v>
      </c>
      <c r="AD358" s="28">
        <f>ROUND(IF(AQ358="7",BH358,0),2)</f>
        <v>0</v>
      </c>
      <c r="AE358" s="28">
        <f>ROUND(IF(AQ358="7",BI358,0),2)</f>
        <v>0</v>
      </c>
      <c r="AF358" s="28">
        <f>ROUND(IF(AQ358="2",BH358,0),2)</f>
        <v>0</v>
      </c>
      <c r="AG358" s="28">
        <f>ROUND(IF(AQ358="2",BI358,0),2)</f>
        <v>0</v>
      </c>
      <c r="AH358" s="28">
        <f>ROUND(IF(AQ358="0",BJ358,0),2)</f>
        <v>0</v>
      </c>
      <c r="AI358" s="10" t="s">
        <v>645</v>
      </c>
      <c r="AJ358" s="28">
        <f>IF(AN358=0,J358,0)</f>
        <v>0</v>
      </c>
      <c r="AK358" s="28">
        <f>IF(AN358=12,J358,0)</f>
        <v>0</v>
      </c>
      <c r="AL358" s="28">
        <f>IF(AN358=21,J358,0)</f>
        <v>0</v>
      </c>
      <c r="AN358" s="28">
        <v>21</v>
      </c>
      <c r="AO358" s="28">
        <f>G358*0.912146597</f>
        <v>0</v>
      </c>
      <c r="AP358" s="28">
        <f>G358*(1-0.912146597)</f>
        <v>0</v>
      </c>
      <c r="AQ358" s="30" t="s">
        <v>56</v>
      </c>
      <c r="AV358" s="28">
        <f>ROUND(AW358+AX358,2)</f>
        <v>0</v>
      </c>
      <c r="AW358" s="28">
        <f>ROUND(F358*AO358,2)</f>
        <v>0</v>
      </c>
      <c r="AX358" s="28">
        <f>ROUND(F358*AP358,2)</f>
        <v>0</v>
      </c>
      <c r="AY358" s="30" t="s">
        <v>696</v>
      </c>
      <c r="AZ358" s="30" t="s">
        <v>690</v>
      </c>
      <c r="BA358" s="10" t="s">
        <v>650</v>
      </c>
      <c r="BC358" s="28">
        <f>AW358+AX358</f>
        <v>0</v>
      </c>
      <c r="BD358" s="28">
        <f>G358/(100-BE358)*100</f>
        <v>0</v>
      </c>
      <c r="BE358" s="28">
        <v>0</v>
      </c>
      <c r="BF358" s="28">
        <f>358</f>
        <v>358</v>
      </c>
      <c r="BH358" s="28">
        <f>F358*AO358</f>
        <v>0</v>
      </c>
      <c r="BI358" s="28">
        <f>F358*AP358</f>
        <v>0</v>
      </c>
      <c r="BJ358" s="28">
        <f>F358*G358</f>
        <v>0</v>
      </c>
      <c r="BK358" s="28"/>
      <c r="BL358" s="28">
        <v>57</v>
      </c>
      <c r="BW358" s="28">
        <v>21</v>
      </c>
      <c r="BX358" s="4" t="s">
        <v>695</v>
      </c>
    </row>
    <row r="359" spans="1:76" ht="14.4" x14ac:dyDescent="0.3">
      <c r="A359" s="2" t="s">
        <v>697</v>
      </c>
      <c r="B359" s="3" t="s">
        <v>698</v>
      </c>
      <c r="C359" s="75" t="s">
        <v>699</v>
      </c>
      <c r="D359" s="70"/>
      <c r="E359" s="3" t="s">
        <v>103</v>
      </c>
      <c r="F359" s="28">
        <v>65</v>
      </c>
      <c r="G359" s="28">
        <v>0</v>
      </c>
      <c r="H359" s="28">
        <f>ROUND(F359*AO359,2)</f>
        <v>0</v>
      </c>
      <c r="I359" s="28">
        <f>ROUND(F359*AP359,2)</f>
        <v>0</v>
      </c>
      <c r="J359" s="28">
        <f>ROUND(F359*G359,2)</f>
        <v>0</v>
      </c>
      <c r="K359" s="29" t="s">
        <v>60</v>
      </c>
      <c r="Z359" s="28">
        <f>ROUND(IF(AQ359="5",BJ359,0),2)</f>
        <v>0</v>
      </c>
      <c r="AB359" s="28">
        <f>ROUND(IF(AQ359="1",BH359,0),2)</f>
        <v>0</v>
      </c>
      <c r="AC359" s="28">
        <f>ROUND(IF(AQ359="1",BI359,0),2)</f>
        <v>0</v>
      </c>
      <c r="AD359" s="28">
        <f>ROUND(IF(AQ359="7",BH359,0),2)</f>
        <v>0</v>
      </c>
      <c r="AE359" s="28">
        <f>ROUND(IF(AQ359="7",BI359,0),2)</f>
        <v>0</v>
      </c>
      <c r="AF359" s="28">
        <f>ROUND(IF(AQ359="2",BH359,0),2)</f>
        <v>0</v>
      </c>
      <c r="AG359" s="28">
        <f>ROUND(IF(AQ359="2",BI359,0),2)</f>
        <v>0</v>
      </c>
      <c r="AH359" s="28">
        <f>ROUND(IF(AQ359="0",BJ359,0),2)</f>
        <v>0</v>
      </c>
      <c r="AI359" s="10" t="s">
        <v>645</v>
      </c>
      <c r="AJ359" s="28">
        <f>IF(AN359=0,J359,0)</f>
        <v>0</v>
      </c>
      <c r="AK359" s="28">
        <f>IF(AN359=12,J359,0)</f>
        <v>0</v>
      </c>
      <c r="AL359" s="28">
        <f>IF(AN359=21,J359,0)</f>
        <v>0</v>
      </c>
      <c r="AN359" s="28">
        <v>21</v>
      </c>
      <c r="AO359" s="28">
        <f>G359*0.849473684</f>
        <v>0</v>
      </c>
      <c r="AP359" s="28">
        <f>G359*(1-0.849473684)</f>
        <v>0</v>
      </c>
      <c r="AQ359" s="30" t="s">
        <v>56</v>
      </c>
      <c r="AV359" s="28">
        <f>ROUND(AW359+AX359,2)</f>
        <v>0</v>
      </c>
      <c r="AW359" s="28">
        <f>ROUND(F359*AO359,2)</f>
        <v>0</v>
      </c>
      <c r="AX359" s="28">
        <f>ROUND(F359*AP359,2)</f>
        <v>0</v>
      </c>
      <c r="AY359" s="30" t="s">
        <v>696</v>
      </c>
      <c r="AZ359" s="30" t="s">
        <v>690</v>
      </c>
      <c r="BA359" s="10" t="s">
        <v>650</v>
      </c>
      <c r="BC359" s="28">
        <f>AW359+AX359</f>
        <v>0</v>
      </c>
      <c r="BD359" s="28">
        <f>G359/(100-BE359)*100</f>
        <v>0</v>
      </c>
      <c r="BE359" s="28">
        <v>0</v>
      </c>
      <c r="BF359" s="28">
        <f>359</f>
        <v>359</v>
      </c>
      <c r="BH359" s="28">
        <f>F359*AO359</f>
        <v>0</v>
      </c>
      <c r="BI359" s="28">
        <f>F359*AP359</f>
        <v>0</v>
      </c>
      <c r="BJ359" s="28">
        <f>F359*G359</f>
        <v>0</v>
      </c>
      <c r="BK359" s="28"/>
      <c r="BL359" s="28">
        <v>57</v>
      </c>
      <c r="BW359" s="28">
        <v>21</v>
      </c>
      <c r="BX359" s="4" t="s">
        <v>699</v>
      </c>
    </row>
    <row r="360" spans="1:76" ht="14.4" x14ac:dyDescent="0.3">
      <c r="A360" s="2" t="s">
        <v>700</v>
      </c>
      <c r="B360" s="3" t="s">
        <v>701</v>
      </c>
      <c r="C360" s="75" t="s">
        <v>702</v>
      </c>
      <c r="D360" s="70"/>
      <c r="E360" s="3" t="s">
        <v>103</v>
      </c>
      <c r="F360" s="28">
        <v>65</v>
      </c>
      <c r="G360" s="28">
        <v>0</v>
      </c>
      <c r="H360" s="28">
        <f>ROUND(F360*AO360,2)</f>
        <v>0</v>
      </c>
      <c r="I360" s="28">
        <f>ROUND(F360*AP360,2)</f>
        <v>0</v>
      </c>
      <c r="J360" s="28">
        <f>ROUND(F360*G360,2)</f>
        <v>0</v>
      </c>
      <c r="K360" s="29" t="s">
        <v>60</v>
      </c>
      <c r="Z360" s="28">
        <f>ROUND(IF(AQ360="5",BJ360,0),2)</f>
        <v>0</v>
      </c>
      <c r="AB360" s="28">
        <f>ROUND(IF(AQ360="1",BH360,0),2)</f>
        <v>0</v>
      </c>
      <c r="AC360" s="28">
        <f>ROUND(IF(AQ360="1",BI360,0),2)</f>
        <v>0</v>
      </c>
      <c r="AD360" s="28">
        <f>ROUND(IF(AQ360="7",BH360,0),2)</f>
        <v>0</v>
      </c>
      <c r="AE360" s="28">
        <f>ROUND(IF(AQ360="7",BI360,0),2)</f>
        <v>0</v>
      </c>
      <c r="AF360" s="28">
        <f>ROUND(IF(AQ360="2",BH360,0),2)</f>
        <v>0</v>
      </c>
      <c r="AG360" s="28">
        <f>ROUND(IF(AQ360="2",BI360,0),2)</f>
        <v>0</v>
      </c>
      <c r="AH360" s="28">
        <f>ROUND(IF(AQ360="0",BJ360,0),2)</f>
        <v>0</v>
      </c>
      <c r="AI360" s="10" t="s">
        <v>645</v>
      </c>
      <c r="AJ360" s="28">
        <f>IF(AN360=0,J360,0)</f>
        <v>0</v>
      </c>
      <c r="AK360" s="28">
        <f>IF(AN360=12,J360,0)</f>
        <v>0</v>
      </c>
      <c r="AL360" s="28">
        <f>IF(AN360=21,J360,0)</f>
        <v>0</v>
      </c>
      <c r="AN360" s="28">
        <v>21</v>
      </c>
      <c r="AO360" s="28">
        <f>G360*0.79662803</f>
        <v>0</v>
      </c>
      <c r="AP360" s="28">
        <f>G360*(1-0.79662803)</f>
        <v>0</v>
      </c>
      <c r="AQ360" s="30" t="s">
        <v>56</v>
      </c>
      <c r="AV360" s="28">
        <f>ROUND(AW360+AX360,2)</f>
        <v>0</v>
      </c>
      <c r="AW360" s="28">
        <f>ROUND(F360*AO360,2)</f>
        <v>0</v>
      </c>
      <c r="AX360" s="28">
        <f>ROUND(F360*AP360,2)</f>
        <v>0</v>
      </c>
      <c r="AY360" s="30" t="s">
        <v>696</v>
      </c>
      <c r="AZ360" s="30" t="s">
        <v>690</v>
      </c>
      <c r="BA360" s="10" t="s">
        <v>650</v>
      </c>
      <c r="BC360" s="28">
        <f>AW360+AX360</f>
        <v>0</v>
      </c>
      <c r="BD360" s="28">
        <f>G360/(100-BE360)*100</f>
        <v>0</v>
      </c>
      <c r="BE360" s="28">
        <v>0</v>
      </c>
      <c r="BF360" s="28">
        <f>360</f>
        <v>360</v>
      </c>
      <c r="BH360" s="28">
        <f>F360*AO360</f>
        <v>0</v>
      </c>
      <c r="BI360" s="28">
        <f>F360*AP360</f>
        <v>0</v>
      </c>
      <c r="BJ360" s="28">
        <f>F360*G360</f>
        <v>0</v>
      </c>
      <c r="BK360" s="28"/>
      <c r="BL360" s="28">
        <v>57</v>
      </c>
      <c r="BW360" s="28">
        <v>21</v>
      </c>
      <c r="BX360" s="4" t="s">
        <v>702</v>
      </c>
    </row>
    <row r="361" spans="1:76" ht="14.4" x14ac:dyDescent="0.3">
      <c r="A361" s="2" t="s">
        <v>703</v>
      </c>
      <c r="B361" s="3" t="s">
        <v>704</v>
      </c>
      <c r="C361" s="75" t="s">
        <v>705</v>
      </c>
      <c r="D361" s="70"/>
      <c r="E361" s="3" t="s">
        <v>188</v>
      </c>
      <c r="F361" s="28">
        <v>67</v>
      </c>
      <c r="G361" s="28">
        <v>0</v>
      </c>
      <c r="H361" s="28">
        <f>ROUND(F361*AO361,2)</f>
        <v>0</v>
      </c>
      <c r="I361" s="28">
        <f>ROUND(F361*AP361,2)</f>
        <v>0</v>
      </c>
      <c r="J361" s="28">
        <f>ROUND(F361*G361,2)</f>
        <v>0</v>
      </c>
      <c r="K361" s="29" t="s">
        <v>60</v>
      </c>
      <c r="Z361" s="28">
        <f>ROUND(IF(AQ361="5",BJ361,0),2)</f>
        <v>0</v>
      </c>
      <c r="AB361" s="28">
        <f>ROUND(IF(AQ361="1",BH361,0),2)</f>
        <v>0</v>
      </c>
      <c r="AC361" s="28">
        <f>ROUND(IF(AQ361="1",BI361,0),2)</f>
        <v>0</v>
      </c>
      <c r="AD361" s="28">
        <f>ROUND(IF(AQ361="7",BH361,0),2)</f>
        <v>0</v>
      </c>
      <c r="AE361" s="28">
        <f>ROUND(IF(AQ361="7",BI361,0),2)</f>
        <v>0</v>
      </c>
      <c r="AF361" s="28">
        <f>ROUND(IF(AQ361="2",BH361,0),2)</f>
        <v>0</v>
      </c>
      <c r="AG361" s="28">
        <f>ROUND(IF(AQ361="2",BI361,0),2)</f>
        <v>0</v>
      </c>
      <c r="AH361" s="28">
        <f>ROUND(IF(AQ361="0",BJ361,0),2)</f>
        <v>0</v>
      </c>
      <c r="AI361" s="10" t="s">
        <v>645</v>
      </c>
      <c r="AJ361" s="28">
        <f>IF(AN361=0,J361,0)</f>
        <v>0</v>
      </c>
      <c r="AK361" s="28">
        <f>IF(AN361=12,J361,0)</f>
        <v>0</v>
      </c>
      <c r="AL361" s="28">
        <f>IF(AN361=21,J361,0)</f>
        <v>0</v>
      </c>
      <c r="AN361" s="28">
        <v>21</v>
      </c>
      <c r="AO361" s="28">
        <f>G361*0.411415052</f>
        <v>0</v>
      </c>
      <c r="AP361" s="28">
        <f>G361*(1-0.411415052)</f>
        <v>0</v>
      </c>
      <c r="AQ361" s="30" t="s">
        <v>56</v>
      </c>
      <c r="AV361" s="28">
        <f>ROUND(AW361+AX361,2)</f>
        <v>0</v>
      </c>
      <c r="AW361" s="28">
        <f>ROUND(F361*AO361,2)</f>
        <v>0</v>
      </c>
      <c r="AX361" s="28">
        <f>ROUND(F361*AP361,2)</f>
        <v>0</v>
      </c>
      <c r="AY361" s="30" t="s">
        <v>696</v>
      </c>
      <c r="AZ361" s="30" t="s">
        <v>690</v>
      </c>
      <c r="BA361" s="10" t="s">
        <v>650</v>
      </c>
      <c r="BC361" s="28">
        <f>AW361+AX361</f>
        <v>0</v>
      </c>
      <c r="BD361" s="28">
        <f>G361/(100-BE361)*100</f>
        <v>0</v>
      </c>
      <c r="BE361" s="28">
        <v>0</v>
      </c>
      <c r="BF361" s="28">
        <f>361</f>
        <v>361</v>
      </c>
      <c r="BH361" s="28">
        <f>F361*AO361</f>
        <v>0</v>
      </c>
      <c r="BI361" s="28">
        <f>F361*AP361</f>
        <v>0</v>
      </c>
      <c r="BJ361" s="28">
        <f>F361*G361</f>
        <v>0</v>
      </c>
      <c r="BK361" s="28"/>
      <c r="BL361" s="28">
        <v>57</v>
      </c>
      <c r="BW361" s="28">
        <v>21</v>
      </c>
      <c r="BX361" s="4" t="s">
        <v>705</v>
      </c>
    </row>
    <row r="362" spans="1:76" ht="14.4" x14ac:dyDescent="0.3">
      <c r="A362" s="24" t="s">
        <v>51</v>
      </c>
      <c r="B362" s="25" t="s">
        <v>485</v>
      </c>
      <c r="C362" s="91" t="s">
        <v>486</v>
      </c>
      <c r="D362" s="92"/>
      <c r="E362" s="26" t="s">
        <v>4</v>
      </c>
      <c r="F362" s="26" t="s">
        <v>4</v>
      </c>
      <c r="G362" s="26" t="s">
        <v>4</v>
      </c>
      <c r="H362" s="1">
        <f>SUM(H363:H369)</f>
        <v>0</v>
      </c>
      <c r="I362" s="1">
        <f>SUM(I363:I369)</f>
        <v>0</v>
      </c>
      <c r="J362" s="1">
        <f>SUM(J363:J369)</f>
        <v>0</v>
      </c>
      <c r="K362" s="27" t="s">
        <v>51</v>
      </c>
      <c r="AI362" s="10" t="s">
        <v>645</v>
      </c>
      <c r="AS362" s="1">
        <f>SUM(AJ363:AJ369)</f>
        <v>0</v>
      </c>
      <c r="AT362" s="1">
        <f>SUM(AK363:AK369)</f>
        <v>0</v>
      </c>
      <c r="AU362" s="1">
        <f>SUM(AL363:AL369)</f>
        <v>0</v>
      </c>
    </row>
    <row r="363" spans="1:76" ht="14.4" x14ac:dyDescent="0.3">
      <c r="A363" s="2" t="s">
        <v>706</v>
      </c>
      <c r="B363" s="3" t="s">
        <v>488</v>
      </c>
      <c r="C363" s="75" t="s">
        <v>489</v>
      </c>
      <c r="D363" s="70"/>
      <c r="E363" s="3" t="s">
        <v>188</v>
      </c>
      <c r="F363" s="28">
        <v>28</v>
      </c>
      <c r="G363" s="28">
        <v>0</v>
      </c>
      <c r="H363" s="28">
        <f>ROUND(F363*AO363,2)</f>
        <v>0</v>
      </c>
      <c r="I363" s="28">
        <f>ROUND(F363*AP363,2)</f>
        <v>0</v>
      </c>
      <c r="J363" s="28">
        <f>ROUND(F363*G363,2)</f>
        <v>0</v>
      </c>
      <c r="K363" s="29" t="s">
        <v>60</v>
      </c>
      <c r="Z363" s="28">
        <f>ROUND(IF(AQ363="5",BJ363,0),2)</f>
        <v>0</v>
      </c>
      <c r="AB363" s="28">
        <f>ROUND(IF(AQ363="1",BH363,0),2)</f>
        <v>0</v>
      </c>
      <c r="AC363" s="28">
        <f>ROUND(IF(AQ363="1",BI363,0),2)</f>
        <v>0</v>
      </c>
      <c r="AD363" s="28">
        <f>ROUND(IF(AQ363="7",BH363,0),2)</f>
        <v>0</v>
      </c>
      <c r="AE363" s="28">
        <f>ROUND(IF(AQ363="7",BI363,0),2)</f>
        <v>0</v>
      </c>
      <c r="AF363" s="28">
        <f>ROUND(IF(AQ363="2",BH363,0),2)</f>
        <v>0</v>
      </c>
      <c r="AG363" s="28">
        <f>ROUND(IF(AQ363="2",BI363,0),2)</f>
        <v>0</v>
      </c>
      <c r="AH363" s="28">
        <f>ROUND(IF(AQ363="0",BJ363,0),2)</f>
        <v>0</v>
      </c>
      <c r="AI363" s="10" t="s">
        <v>645</v>
      </c>
      <c r="AJ363" s="28">
        <f>IF(AN363=0,J363,0)</f>
        <v>0</v>
      </c>
      <c r="AK363" s="28">
        <f>IF(AN363=12,J363,0)</f>
        <v>0</v>
      </c>
      <c r="AL363" s="28">
        <f>IF(AN363=21,J363,0)</f>
        <v>0</v>
      </c>
      <c r="AN363" s="28">
        <v>21</v>
      </c>
      <c r="AO363" s="28">
        <f>G363*0</f>
        <v>0</v>
      </c>
      <c r="AP363" s="28">
        <f>G363*(1-0)</f>
        <v>0</v>
      </c>
      <c r="AQ363" s="30" t="s">
        <v>56</v>
      </c>
      <c r="AV363" s="28">
        <f>ROUND(AW363+AX363,2)</f>
        <v>0</v>
      </c>
      <c r="AW363" s="28">
        <f>ROUND(F363*AO363,2)</f>
        <v>0</v>
      </c>
      <c r="AX363" s="28">
        <f>ROUND(F363*AP363,2)</f>
        <v>0</v>
      </c>
      <c r="AY363" s="30" t="s">
        <v>490</v>
      </c>
      <c r="AZ363" s="30" t="s">
        <v>707</v>
      </c>
      <c r="BA363" s="10" t="s">
        <v>650</v>
      </c>
      <c r="BC363" s="28">
        <f>AW363+AX363</f>
        <v>0</v>
      </c>
      <c r="BD363" s="28">
        <f>G363/(100-BE363)*100</f>
        <v>0</v>
      </c>
      <c r="BE363" s="28">
        <v>0</v>
      </c>
      <c r="BF363" s="28">
        <f>363</f>
        <v>363</v>
      </c>
      <c r="BH363" s="28">
        <f>F363*AO363</f>
        <v>0</v>
      </c>
      <c r="BI363" s="28">
        <f>F363*AP363</f>
        <v>0</v>
      </c>
      <c r="BJ363" s="28">
        <f>F363*G363</f>
        <v>0</v>
      </c>
      <c r="BK363" s="28"/>
      <c r="BL363" s="28">
        <v>87</v>
      </c>
      <c r="BW363" s="28">
        <v>21</v>
      </c>
      <c r="BX363" s="4" t="s">
        <v>489</v>
      </c>
    </row>
    <row r="364" spans="1:76" ht="66" x14ac:dyDescent="0.3">
      <c r="A364" s="31"/>
      <c r="B364" s="35" t="s">
        <v>68</v>
      </c>
      <c r="C364" s="93" t="s">
        <v>494</v>
      </c>
      <c r="D364" s="94"/>
      <c r="E364" s="94"/>
      <c r="F364" s="94"/>
      <c r="G364" s="94"/>
      <c r="H364" s="94"/>
      <c r="I364" s="94"/>
      <c r="J364" s="94"/>
      <c r="K364" s="95"/>
      <c r="BX364" s="36" t="s">
        <v>494</v>
      </c>
    </row>
    <row r="365" spans="1:76" ht="14.4" x14ac:dyDescent="0.3">
      <c r="A365" s="2" t="s">
        <v>708</v>
      </c>
      <c r="B365" s="3" t="s">
        <v>709</v>
      </c>
      <c r="C365" s="75" t="s">
        <v>710</v>
      </c>
      <c r="D365" s="70"/>
      <c r="E365" s="3" t="s">
        <v>188</v>
      </c>
      <c r="F365" s="28">
        <v>5</v>
      </c>
      <c r="G365" s="28">
        <v>0</v>
      </c>
      <c r="H365" s="28">
        <f>ROUND(F365*AO365,2)</f>
        <v>0</v>
      </c>
      <c r="I365" s="28">
        <f>ROUND(F365*AP365,2)</f>
        <v>0</v>
      </c>
      <c r="J365" s="28">
        <f>ROUND(F365*G365,2)</f>
        <v>0</v>
      </c>
      <c r="K365" s="29" t="s">
        <v>60</v>
      </c>
      <c r="Z365" s="28">
        <f>ROUND(IF(AQ365="5",BJ365,0),2)</f>
        <v>0</v>
      </c>
      <c r="AB365" s="28">
        <f>ROUND(IF(AQ365="1",BH365,0),2)</f>
        <v>0</v>
      </c>
      <c r="AC365" s="28">
        <f>ROUND(IF(AQ365="1",BI365,0),2)</f>
        <v>0</v>
      </c>
      <c r="AD365" s="28">
        <f>ROUND(IF(AQ365="7",BH365,0),2)</f>
        <v>0</v>
      </c>
      <c r="AE365" s="28">
        <f>ROUND(IF(AQ365="7",BI365,0),2)</f>
        <v>0</v>
      </c>
      <c r="AF365" s="28">
        <f>ROUND(IF(AQ365="2",BH365,0),2)</f>
        <v>0</v>
      </c>
      <c r="AG365" s="28">
        <f>ROUND(IF(AQ365="2",BI365,0),2)</f>
        <v>0</v>
      </c>
      <c r="AH365" s="28">
        <f>ROUND(IF(AQ365="0",BJ365,0),2)</f>
        <v>0</v>
      </c>
      <c r="AI365" s="10" t="s">
        <v>645</v>
      </c>
      <c r="AJ365" s="28">
        <f>IF(AN365=0,J365,0)</f>
        <v>0</v>
      </c>
      <c r="AK365" s="28">
        <f>IF(AN365=12,J365,0)</f>
        <v>0</v>
      </c>
      <c r="AL365" s="28">
        <f>IF(AN365=21,J365,0)</f>
        <v>0</v>
      </c>
      <c r="AN365" s="28">
        <v>21</v>
      </c>
      <c r="AO365" s="28">
        <f>G365*0.002906977</f>
        <v>0</v>
      </c>
      <c r="AP365" s="28">
        <f>G365*(1-0.002906977)</f>
        <v>0</v>
      </c>
      <c r="AQ365" s="30" t="s">
        <v>56</v>
      </c>
      <c r="AV365" s="28">
        <f>ROUND(AW365+AX365,2)</f>
        <v>0</v>
      </c>
      <c r="AW365" s="28">
        <f>ROUND(F365*AO365,2)</f>
        <v>0</v>
      </c>
      <c r="AX365" s="28">
        <f>ROUND(F365*AP365,2)</f>
        <v>0</v>
      </c>
      <c r="AY365" s="30" t="s">
        <v>490</v>
      </c>
      <c r="AZ365" s="30" t="s">
        <v>707</v>
      </c>
      <c r="BA365" s="10" t="s">
        <v>650</v>
      </c>
      <c r="BC365" s="28">
        <f>AW365+AX365</f>
        <v>0</v>
      </c>
      <c r="BD365" s="28">
        <f>G365/(100-BE365)*100</f>
        <v>0</v>
      </c>
      <c r="BE365" s="28">
        <v>0</v>
      </c>
      <c r="BF365" s="28">
        <f>365</f>
        <v>365</v>
      </c>
      <c r="BH365" s="28">
        <f>F365*AO365</f>
        <v>0</v>
      </c>
      <c r="BI365" s="28">
        <f>F365*AP365</f>
        <v>0</v>
      </c>
      <c r="BJ365" s="28">
        <f>F365*G365</f>
        <v>0</v>
      </c>
      <c r="BK365" s="28"/>
      <c r="BL365" s="28">
        <v>87</v>
      </c>
      <c r="BW365" s="28">
        <v>21</v>
      </c>
      <c r="BX365" s="4" t="s">
        <v>710</v>
      </c>
    </row>
    <row r="366" spans="1:76" ht="52.8" x14ac:dyDescent="0.3">
      <c r="A366" s="31"/>
      <c r="B366" s="35" t="s">
        <v>68</v>
      </c>
      <c r="C366" s="93" t="s">
        <v>711</v>
      </c>
      <c r="D366" s="94"/>
      <c r="E366" s="94"/>
      <c r="F366" s="94"/>
      <c r="G366" s="94"/>
      <c r="H366" s="94"/>
      <c r="I366" s="94"/>
      <c r="J366" s="94"/>
      <c r="K366" s="95"/>
      <c r="BX366" s="36" t="s">
        <v>711</v>
      </c>
    </row>
    <row r="367" spans="1:76" ht="14.4" x14ac:dyDescent="0.3">
      <c r="A367" s="2" t="s">
        <v>712</v>
      </c>
      <c r="B367" s="3" t="s">
        <v>488</v>
      </c>
      <c r="C367" s="75" t="s">
        <v>489</v>
      </c>
      <c r="D367" s="70"/>
      <c r="E367" s="3" t="s">
        <v>188</v>
      </c>
      <c r="F367" s="28">
        <v>29</v>
      </c>
      <c r="G367" s="28">
        <v>0</v>
      </c>
      <c r="H367" s="28">
        <f>ROUND(F367*AO367,2)</f>
        <v>0</v>
      </c>
      <c r="I367" s="28">
        <f>ROUND(F367*AP367,2)</f>
        <v>0</v>
      </c>
      <c r="J367" s="28">
        <f>ROUND(F367*G367,2)</f>
        <v>0</v>
      </c>
      <c r="K367" s="29" t="s">
        <v>60</v>
      </c>
      <c r="Z367" s="28">
        <f>ROUND(IF(AQ367="5",BJ367,0),2)</f>
        <v>0</v>
      </c>
      <c r="AB367" s="28">
        <f>ROUND(IF(AQ367="1",BH367,0),2)</f>
        <v>0</v>
      </c>
      <c r="AC367" s="28">
        <f>ROUND(IF(AQ367="1",BI367,0),2)</f>
        <v>0</v>
      </c>
      <c r="AD367" s="28">
        <f>ROUND(IF(AQ367="7",BH367,0),2)</f>
        <v>0</v>
      </c>
      <c r="AE367" s="28">
        <f>ROUND(IF(AQ367="7",BI367,0),2)</f>
        <v>0</v>
      </c>
      <c r="AF367" s="28">
        <f>ROUND(IF(AQ367="2",BH367,0),2)</f>
        <v>0</v>
      </c>
      <c r="AG367" s="28">
        <f>ROUND(IF(AQ367="2",BI367,0),2)</f>
        <v>0</v>
      </c>
      <c r="AH367" s="28">
        <f>ROUND(IF(AQ367="0",BJ367,0),2)</f>
        <v>0</v>
      </c>
      <c r="AI367" s="10" t="s">
        <v>645</v>
      </c>
      <c r="AJ367" s="28">
        <f>IF(AN367=0,J367,0)</f>
        <v>0</v>
      </c>
      <c r="AK367" s="28">
        <f>IF(AN367=12,J367,0)</f>
        <v>0</v>
      </c>
      <c r="AL367" s="28">
        <f>IF(AN367=21,J367,0)</f>
        <v>0</v>
      </c>
      <c r="AN367" s="28">
        <v>21</v>
      </c>
      <c r="AO367" s="28">
        <f>G367*0</f>
        <v>0</v>
      </c>
      <c r="AP367" s="28">
        <f>G367*(1-0)</f>
        <v>0</v>
      </c>
      <c r="AQ367" s="30" t="s">
        <v>56</v>
      </c>
      <c r="AV367" s="28">
        <f>ROUND(AW367+AX367,2)</f>
        <v>0</v>
      </c>
      <c r="AW367" s="28">
        <f>ROUND(F367*AO367,2)</f>
        <v>0</v>
      </c>
      <c r="AX367" s="28">
        <f>ROUND(F367*AP367,2)</f>
        <v>0</v>
      </c>
      <c r="AY367" s="30" t="s">
        <v>490</v>
      </c>
      <c r="AZ367" s="30" t="s">
        <v>707</v>
      </c>
      <c r="BA367" s="10" t="s">
        <v>650</v>
      </c>
      <c r="BC367" s="28">
        <f>AW367+AX367</f>
        <v>0</v>
      </c>
      <c r="BD367" s="28">
        <f>G367/(100-BE367)*100</f>
        <v>0</v>
      </c>
      <c r="BE367" s="28">
        <v>0</v>
      </c>
      <c r="BF367" s="28">
        <f>367</f>
        <v>367</v>
      </c>
      <c r="BH367" s="28">
        <f>F367*AO367</f>
        <v>0</v>
      </c>
      <c r="BI367" s="28">
        <f>F367*AP367</f>
        <v>0</v>
      </c>
      <c r="BJ367" s="28">
        <f>F367*G367</f>
        <v>0</v>
      </c>
      <c r="BK367" s="28"/>
      <c r="BL367" s="28">
        <v>87</v>
      </c>
      <c r="BW367" s="28">
        <v>21</v>
      </c>
      <c r="BX367" s="4" t="s">
        <v>489</v>
      </c>
    </row>
    <row r="368" spans="1:76" ht="14.4" x14ac:dyDescent="0.3">
      <c r="A368" s="31"/>
      <c r="C368" s="32" t="s">
        <v>261</v>
      </c>
      <c r="D368" s="32" t="s">
        <v>713</v>
      </c>
      <c r="F368" s="33">
        <v>29</v>
      </c>
      <c r="K368" s="34"/>
    </row>
    <row r="369" spans="1:76" ht="14.4" x14ac:dyDescent="0.3">
      <c r="A369" s="2" t="s">
        <v>714</v>
      </c>
      <c r="B369" s="3" t="s">
        <v>496</v>
      </c>
      <c r="C369" s="75" t="s">
        <v>497</v>
      </c>
      <c r="D369" s="70"/>
      <c r="E369" s="3" t="s">
        <v>293</v>
      </c>
      <c r="F369" s="28">
        <v>5</v>
      </c>
      <c r="G369" s="28">
        <v>0</v>
      </c>
      <c r="H369" s="28">
        <f>ROUND(F369*AO369,2)</f>
        <v>0</v>
      </c>
      <c r="I369" s="28">
        <f>ROUND(F369*AP369,2)</f>
        <v>0</v>
      </c>
      <c r="J369" s="28">
        <f>ROUND(F369*G369,2)</f>
        <v>0</v>
      </c>
      <c r="K369" s="29" t="s">
        <v>60</v>
      </c>
      <c r="Z369" s="28">
        <f>ROUND(IF(AQ369="5",BJ369,0),2)</f>
        <v>0</v>
      </c>
      <c r="AB369" s="28">
        <f>ROUND(IF(AQ369="1",BH369,0),2)</f>
        <v>0</v>
      </c>
      <c r="AC369" s="28">
        <f>ROUND(IF(AQ369="1",BI369,0),2)</f>
        <v>0</v>
      </c>
      <c r="AD369" s="28">
        <f>ROUND(IF(AQ369="7",BH369,0),2)</f>
        <v>0</v>
      </c>
      <c r="AE369" s="28">
        <f>ROUND(IF(AQ369="7",BI369,0),2)</f>
        <v>0</v>
      </c>
      <c r="AF369" s="28">
        <f>ROUND(IF(AQ369="2",BH369,0),2)</f>
        <v>0</v>
      </c>
      <c r="AG369" s="28">
        <f>ROUND(IF(AQ369="2",BI369,0),2)</f>
        <v>0</v>
      </c>
      <c r="AH369" s="28">
        <f>ROUND(IF(AQ369="0",BJ369,0),2)</f>
        <v>0</v>
      </c>
      <c r="AI369" s="10" t="s">
        <v>645</v>
      </c>
      <c r="AJ369" s="28">
        <f>IF(AN369=0,J369,0)</f>
        <v>0</v>
      </c>
      <c r="AK369" s="28">
        <f>IF(AN369=12,J369,0)</f>
        <v>0</v>
      </c>
      <c r="AL369" s="28">
        <f>IF(AN369=21,J369,0)</f>
        <v>0</v>
      </c>
      <c r="AN369" s="28">
        <v>21</v>
      </c>
      <c r="AO369" s="28">
        <f>G369*1</f>
        <v>0</v>
      </c>
      <c r="AP369" s="28">
        <f>G369*(1-1)</f>
        <v>0</v>
      </c>
      <c r="AQ369" s="30" t="s">
        <v>56</v>
      </c>
      <c r="AV369" s="28">
        <f>ROUND(AW369+AX369,2)</f>
        <v>0</v>
      </c>
      <c r="AW369" s="28">
        <f>ROUND(F369*AO369,2)</f>
        <v>0</v>
      </c>
      <c r="AX369" s="28">
        <f>ROUND(F369*AP369,2)</f>
        <v>0</v>
      </c>
      <c r="AY369" s="30" t="s">
        <v>490</v>
      </c>
      <c r="AZ369" s="30" t="s">
        <v>707</v>
      </c>
      <c r="BA369" s="10" t="s">
        <v>650</v>
      </c>
      <c r="BC369" s="28">
        <f>AW369+AX369</f>
        <v>0</v>
      </c>
      <c r="BD369" s="28">
        <f>G369/(100-BE369)*100</f>
        <v>0</v>
      </c>
      <c r="BE369" s="28">
        <v>0</v>
      </c>
      <c r="BF369" s="28">
        <f>369</f>
        <v>369</v>
      </c>
      <c r="BH369" s="28">
        <f>F369*AO369</f>
        <v>0</v>
      </c>
      <c r="BI369" s="28">
        <f>F369*AP369</f>
        <v>0</v>
      </c>
      <c r="BJ369" s="28">
        <f>F369*G369</f>
        <v>0</v>
      </c>
      <c r="BK369" s="28"/>
      <c r="BL369" s="28">
        <v>87</v>
      </c>
      <c r="BW369" s="28">
        <v>21</v>
      </c>
      <c r="BX369" s="4" t="s">
        <v>497</v>
      </c>
    </row>
    <row r="370" spans="1:76" ht="14.4" x14ac:dyDescent="0.3">
      <c r="A370" s="24" t="s">
        <v>51</v>
      </c>
      <c r="B370" s="25" t="s">
        <v>638</v>
      </c>
      <c r="C370" s="91" t="s">
        <v>639</v>
      </c>
      <c r="D370" s="92"/>
      <c r="E370" s="26" t="s">
        <v>4</v>
      </c>
      <c r="F370" s="26" t="s">
        <v>4</v>
      </c>
      <c r="G370" s="26" t="s">
        <v>4</v>
      </c>
      <c r="H370" s="1">
        <f>SUM(H371:H371)</f>
        <v>0</v>
      </c>
      <c r="I370" s="1">
        <f>SUM(I371:I371)</f>
        <v>0</v>
      </c>
      <c r="J370" s="1">
        <f>SUM(J371:J371)</f>
        <v>0</v>
      </c>
      <c r="K370" s="27" t="s">
        <v>51</v>
      </c>
      <c r="AI370" s="10" t="s">
        <v>645</v>
      </c>
      <c r="AS370" s="1">
        <f>SUM(AJ371:AJ371)</f>
        <v>0</v>
      </c>
      <c r="AT370" s="1">
        <f>SUM(AK371:AK371)</f>
        <v>0</v>
      </c>
      <c r="AU370" s="1">
        <f>SUM(AL371:AL371)</f>
        <v>0</v>
      </c>
    </row>
    <row r="371" spans="1:76" ht="14.4" x14ac:dyDescent="0.3">
      <c r="A371" s="2" t="s">
        <v>715</v>
      </c>
      <c r="B371" s="3" t="s">
        <v>641</v>
      </c>
      <c r="C371" s="75" t="s">
        <v>642</v>
      </c>
      <c r="D371" s="70"/>
      <c r="E371" s="3" t="s">
        <v>201</v>
      </c>
      <c r="F371" s="28">
        <v>43.37</v>
      </c>
      <c r="G371" s="28">
        <v>0</v>
      </c>
      <c r="H371" s="28">
        <f>ROUND(F371*AO371,2)</f>
        <v>0</v>
      </c>
      <c r="I371" s="28">
        <f>ROUND(F371*AP371,2)</f>
        <v>0</v>
      </c>
      <c r="J371" s="28">
        <f>ROUND(F371*G371,2)</f>
        <v>0</v>
      </c>
      <c r="K371" s="29" t="s">
        <v>60</v>
      </c>
      <c r="Z371" s="28">
        <f>ROUND(IF(AQ371="5",BJ371,0),2)</f>
        <v>0</v>
      </c>
      <c r="AB371" s="28">
        <f>ROUND(IF(AQ371="1",BH371,0),2)</f>
        <v>0</v>
      </c>
      <c r="AC371" s="28">
        <f>ROUND(IF(AQ371="1",BI371,0),2)</f>
        <v>0</v>
      </c>
      <c r="AD371" s="28">
        <f>ROUND(IF(AQ371="7",BH371,0),2)</f>
        <v>0</v>
      </c>
      <c r="AE371" s="28">
        <f>ROUND(IF(AQ371="7",BI371,0),2)</f>
        <v>0</v>
      </c>
      <c r="AF371" s="28">
        <f>ROUND(IF(AQ371="2",BH371,0),2)</f>
        <v>0</v>
      </c>
      <c r="AG371" s="28">
        <f>ROUND(IF(AQ371="2",BI371,0),2)</f>
        <v>0</v>
      </c>
      <c r="AH371" s="28">
        <f>ROUND(IF(AQ371="0",BJ371,0),2)</f>
        <v>0</v>
      </c>
      <c r="AI371" s="10" t="s">
        <v>645</v>
      </c>
      <c r="AJ371" s="28">
        <f>IF(AN371=0,J371,0)</f>
        <v>0</v>
      </c>
      <c r="AK371" s="28">
        <f>IF(AN371=12,J371,0)</f>
        <v>0</v>
      </c>
      <c r="AL371" s="28">
        <f>IF(AN371=21,J371,0)</f>
        <v>0</v>
      </c>
      <c r="AN371" s="28">
        <v>21</v>
      </c>
      <c r="AO371" s="28">
        <f>G371*0</f>
        <v>0</v>
      </c>
      <c r="AP371" s="28">
        <f>G371*(1-0)</f>
        <v>0</v>
      </c>
      <c r="AQ371" s="30" t="s">
        <v>100</v>
      </c>
      <c r="AV371" s="28">
        <f>ROUND(AW371+AX371,2)</f>
        <v>0</v>
      </c>
      <c r="AW371" s="28">
        <f>ROUND(F371*AO371,2)</f>
        <v>0</v>
      </c>
      <c r="AX371" s="28">
        <f>ROUND(F371*AP371,2)</f>
        <v>0</v>
      </c>
      <c r="AY371" s="30" t="s">
        <v>643</v>
      </c>
      <c r="AZ371" s="30" t="s">
        <v>716</v>
      </c>
      <c r="BA371" s="10" t="s">
        <v>650</v>
      </c>
      <c r="BC371" s="28">
        <f>AW371+AX371</f>
        <v>0</v>
      </c>
      <c r="BD371" s="28">
        <f>G371/(100-BE371)*100</f>
        <v>0</v>
      </c>
      <c r="BE371" s="28">
        <v>0</v>
      </c>
      <c r="BF371" s="28">
        <f>371</f>
        <v>371</v>
      </c>
      <c r="BH371" s="28">
        <f>F371*AO371</f>
        <v>0</v>
      </c>
      <c r="BI371" s="28">
        <f>F371*AP371</f>
        <v>0</v>
      </c>
      <c r="BJ371" s="28">
        <f>F371*G371</f>
        <v>0</v>
      </c>
      <c r="BK371" s="28"/>
      <c r="BL371" s="28"/>
      <c r="BW371" s="28">
        <v>21</v>
      </c>
      <c r="BX371" s="4" t="s">
        <v>642</v>
      </c>
    </row>
    <row r="372" spans="1:76" ht="14.4" x14ac:dyDescent="0.3">
      <c r="A372" s="24" t="s">
        <v>51</v>
      </c>
      <c r="B372" s="25" t="s">
        <v>51</v>
      </c>
      <c r="C372" s="91" t="s">
        <v>717</v>
      </c>
      <c r="D372" s="92"/>
      <c r="E372" s="26" t="s">
        <v>4</v>
      </c>
      <c r="F372" s="26" t="s">
        <v>4</v>
      </c>
      <c r="G372" s="26" t="s">
        <v>4</v>
      </c>
      <c r="H372" s="1">
        <f>H373+H385+H390+H394+H403+H407+H437+H467+H470+H475+H482+H519+H522+H525+H527</f>
        <v>0</v>
      </c>
      <c r="I372" s="1">
        <f>I373+I385+I390+I394+I403+I407+I437+I467+I470+I475+I482+I519+I522+I525+I527</f>
        <v>0</v>
      </c>
      <c r="J372" s="1">
        <f>J373+J385+J390+J394+J403+J407+J437+J467+J470+J475+J482+J519+J522+J525+J527</f>
        <v>0</v>
      </c>
      <c r="K372" s="27" t="s">
        <v>51</v>
      </c>
    </row>
    <row r="373" spans="1:76" ht="14.4" x14ac:dyDescent="0.3">
      <c r="A373" s="24" t="s">
        <v>51</v>
      </c>
      <c r="B373" s="25" t="s">
        <v>148</v>
      </c>
      <c r="C373" s="91" t="s">
        <v>718</v>
      </c>
      <c r="D373" s="92"/>
      <c r="E373" s="26" t="s">
        <v>4</v>
      </c>
      <c r="F373" s="26" t="s">
        <v>4</v>
      </c>
      <c r="G373" s="26" t="s">
        <v>4</v>
      </c>
      <c r="H373" s="1">
        <f>SUM(H374:H379)</f>
        <v>0</v>
      </c>
      <c r="I373" s="1">
        <f>SUM(I374:I379)</f>
        <v>0</v>
      </c>
      <c r="J373" s="1">
        <f>SUM(J374:J379)</f>
        <v>0</v>
      </c>
      <c r="K373" s="27" t="s">
        <v>51</v>
      </c>
      <c r="AI373" s="10" t="s">
        <v>719</v>
      </c>
      <c r="AS373" s="1">
        <f>SUM(AJ374:AJ379)</f>
        <v>0</v>
      </c>
      <c r="AT373" s="1">
        <f>SUM(AK374:AK379)</f>
        <v>0</v>
      </c>
      <c r="AU373" s="1">
        <f>SUM(AL374:AL379)</f>
        <v>0</v>
      </c>
    </row>
    <row r="374" spans="1:76" ht="14.4" x14ac:dyDescent="0.3">
      <c r="A374" s="2" t="s">
        <v>720</v>
      </c>
      <c r="B374" s="3" t="s">
        <v>721</v>
      </c>
      <c r="C374" s="75" t="s">
        <v>722</v>
      </c>
      <c r="D374" s="70"/>
      <c r="E374" s="3" t="s">
        <v>59</v>
      </c>
      <c r="F374" s="28">
        <v>186.9</v>
      </c>
      <c r="G374" s="28">
        <v>0</v>
      </c>
      <c r="H374" s="28">
        <f>ROUND(F374*AO374,2)</f>
        <v>0</v>
      </c>
      <c r="I374" s="28">
        <f>ROUND(F374*AP374,2)</f>
        <v>0</v>
      </c>
      <c r="J374" s="28">
        <f>ROUND(F374*G374,2)</f>
        <v>0</v>
      </c>
      <c r="K374" s="29" t="s">
        <v>60</v>
      </c>
      <c r="Z374" s="28">
        <f>ROUND(IF(AQ374="5",BJ374,0),2)</f>
        <v>0</v>
      </c>
      <c r="AB374" s="28">
        <f>ROUND(IF(AQ374="1",BH374,0),2)</f>
        <v>0</v>
      </c>
      <c r="AC374" s="28">
        <f>ROUND(IF(AQ374="1",BI374,0),2)</f>
        <v>0</v>
      </c>
      <c r="AD374" s="28">
        <f>ROUND(IF(AQ374="7",BH374,0),2)</f>
        <v>0</v>
      </c>
      <c r="AE374" s="28">
        <f>ROUND(IF(AQ374="7",BI374,0),2)</f>
        <v>0</v>
      </c>
      <c r="AF374" s="28">
        <f>ROUND(IF(AQ374="2",BH374,0),2)</f>
        <v>0</v>
      </c>
      <c r="AG374" s="28">
        <f>ROUND(IF(AQ374="2",BI374,0),2)</f>
        <v>0</v>
      </c>
      <c r="AH374" s="28">
        <f>ROUND(IF(AQ374="0",BJ374,0),2)</f>
        <v>0</v>
      </c>
      <c r="AI374" s="10" t="s">
        <v>719</v>
      </c>
      <c r="AJ374" s="28">
        <f>IF(AN374=0,J374,0)</f>
        <v>0</v>
      </c>
      <c r="AK374" s="28">
        <f>IF(AN374=12,J374,0)</f>
        <v>0</v>
      </c>
      <c r="AL374" s="28">
        <f>IF(AN374=21,J374,0)</f>
        <v>0</v>
      </c>
      <c r="AN374" s="28">
        <v>21</v>
      </c>
      <c r="AO374" s="28">
        <f>G374*0</f>
        <v>0</v>
      </c>
      <c r="AP374" s="28">
        <f>G374*(1-0)</f>
        <v>0</v>
      </c>
      <c r="AQ374" s="30" t="s">
        <v>56</v>
      </c>
      <c r="AV374" s="28">
        <f>ROUND(AW374+AX374,2)</f>
        <v>0</v>
      </c>
      <c r="AW374" s="28">
        <f>ROUND(F374*AO374,2)</f>
        <v>0</v>
      </c>
      <c r="AX374" s="28">
        <f>ROUND(F374*AP374,2)</f>
        <v>0</v>
      </c>
      <c r="AY374" s="30" t="s">
        <v>723</v>
      </c>
      <c r="AZ374" s="30" t="s">
        <v>724</v>
      </c>
      <c r="BA374" s="10" t="s">
        <v>725</v>
      </c>
      <c r="BC374" s="28">
        <f>AW374+AX374</f>
        <v>0</v>
      </c>
      <c r="BD374" s="28">
        <f>G374/(100-BE374)*100</f>
        <v>0</v>
      </c>
      <c r="BE374" s="28">
        <v>0</v>
      </c>
      <c r="BF374" s="28">
        <f>374</f>
        <v>374</v>
      </c>
      <c r="BH374" s="28">
        <f>F374*AO374</f>
        <v>0</v>
      </c>
      <c r="BI374" s="28">
        <f>F374*AP374</f>
        <v>0</v>
      </c>
      <c r="BJ374" s="28">
        <f>F374*G374</f>
        <v>0</v>
      </c>
      <c r="BK374" s="28"/>
      <c r="BL374" s="28">
        <v>12</v>
      </c>
      <c r="BW374" s="28">
        <v>21</v>
      </c>
      <c r="BX374" s="4" t="s">
        <v>722</v>
      </c>
    </row>
    <row r="375" spans="1:76" ht="14.4" x14ac:dyDescent="0.3">
      <c r="A375" s="31"/>
      <c r="C375" s="32" t="s">
        <v>726</v>
      </c>
      <c r="D375" s="32" t="s">
        <v>727</v>
      </c>
      <c r="F375" s="33">
        <v>124.5</v>
      </c>
      <c r="K375" s="34"/>
    </row>
    <row r="376" spans="1:76" ht="14.4" x14ac:dyDescent="0.3">
      <c r="A376" s="31"/>
      <c r="C376" s="32" t="s">
        <v>728</v>
      </c>
      <c r="D376" s="32" t="s">
        <v>729</v>
      </c>
      <c r="F376" s="33">
        <v>49.5</v>
      </c>
      <c r="K376" s="34"/>
    </row>
    <row r="377" spans="1:76" ht="14.4" x14ac:dyDescent="0.3">
      <c r="A377" s="31"/>
      <c r="C377" s="32" t="s">
        <v>730</v>
      </c>
      <c r="D377" s="32" t="s">
        <v>731</v>
      </c>
      <c r="F377" s="33">
        <v>10.5</v>
      </c>
      <c r="K377" s="34"/>
    </row>
    <row r="378" spans="1:76" ht="14.4" x14ac:dyDescent="0.3">
      <c r="A378" s="31"/>
      <c r="C378" s="32" t="s">
        <v>732</v>
      </c>
      <c r="D378" s="32" t="s">
        <v>733</v>
      </c>
      <c r="F378" s="33">
        <v>2.4</v>
      </c>
      <c r="K378" s="34"/>
    </row>
    <row r="379" spans="1:76" ht="14.4" x14ac:dyDescent="0.3">
      <c r="A379" s="2" t="s">
        <v>734</v>
      </c>
      <c r="B379" s="3" t="s">
        <v>735</v>
      </c>
      <c r="C379" s="75" t="s">
        <v>736</v>
      </c>
      <c r="D379" s="70"/>
      <c r="E379" s="3" t="s">
        <v>59</v>
      </c>
      <c r="F379" s="28">
        <v>186.9</v>
      </c>
      <c r="G379" s="28">
        <v>0</v>
      </c>
      <c r="H379" s="28">
        <f>ROUND(F379*AO379,2)</f>
        <v>0</v>
      </c>
      <c r="I379" s="28">
        <f>ROUND(F379*AP379,2)</f>
        <v>0</v>
      </c>
      <c r="J379" s="28">
        <f>ROUND(F379*G379,2)</f>
        <v>0</v>
      </c>
      <c r="K379" s="29" t="s">
        <v>60</v>
      </c>
      <c r="Z379" s="28">
        <f>ROUND(IF(AQ379="5",BJ379,0),2)</f>
        <v>0</v>
      </c>
      <c r="AB379" s="28">
        <f>ROUND(IF(AQ379="1",BH379,0),2)</f>
        <v>0</v>
      </c>
      <c r="AC379" s="28">
        <f>ROUND(IF(AQ379="1",BI379,0),2)</f>
        <v>0</v>
      </c>
      <c r="AD379" s="28">
        <f>ROUND(IF(AQ379="7",BH379,0),2)</f>
        <v>0</v>
      </c>
      <c r="AE379" s="28">
        <f>ROUND(IF(AQ379="7",BI379,0),2)</f>
        <v>0</v>
      </c>
      <c r="AF379" s="28">
        <f>ROUND(IF(AQ379="2",BH379,0),2)</f>
        <v>0</v>
      </c>
      <c r="AG379" s="28">
        <f>ROUND(IF(AQ379="2",BI379,0),2)</f>
        <v>0</v>
      </c>
      <c r="AH379" s="28">
        <f>ROUND(IF(AQ379="0",BJ379,0),2)</f>
        <v>0</v>
      </c>
      <c r="AI379" s="10" t="s">
        <v>719</v>
      </c>
      <c r="AJ379" s="28">
        <f>IF(AN379=0,J379,0)</f>
        <v>0</v>
      </c>
      <c r="AK379" s="28">
        <f>IF(AN379=12,J379,0)</f>
        <v>0</v>
      </c>
      <c r="AL379" s="28">
        <f>IF(AN379=21,J379,0)</f>
        <v>0</v>
      </c>
      <c r="AN379" s="28">
        <v>21</v>
      </c>
      <c r="AO379" s="28">
        <f>G379*0</f>
        <v>0</v>
      </c>
      <c r="AP379" s="28">
        <f>G379*(1-0)</f>
        <v>0</v>
      </c>
      <c r="AQ379" s="30" t="s">
        <v>56</v>
      </c>
      <c r="AV379" s="28">
        <f>ROUND(AW379+AX379,2)</f>
        <v>0</v>
      </c>
      <c r="AW379" s="28">
        <f>ROUND(F379*AO379,2)</f>
        <v>0</v>
      </c>
      <c r="AX379" s="28">
        <f>ROUND(F379*AP379,2)</f>
        <v>0</v>
      </c>
      <c r="AY379" s="30" t="s">
        <v>723</v>
      </c>
      <c r="AZ379" s="30" t="s">
        <v>724</v>
      </c>
      <c r="BA379" s="10" t="s">
        <v>725</v>
      </c>
      <c r="BC379" s="28">
        <f>AW379+AX379</f>
        <v>0</v>
      </c>
      <c r="BD379" s="28">
        <f>G379/(100-BE379)*100</f>
        <v>0</v>
      </c>
      <c r="BE379" s="28">
        <v>0</v>
      </c>
      <c r="BF379" s="28">
        <f>379</f>
        <v>379</v>
      </c>
      <c r="BH379" s="28">
        <f>F379*AO379</f>
        <v>0</v>
      </c>
      <c r="BI379" s="28">
        <f>F379*AP379</f>
        <v>0</v>
      </c>
      <c r="BJ379" s="28">
        <f>F379*G379</f>
        <v>0</v>
      </c>
      <c r="BK379" s="28"/>
      <c r="BL379" s="28">
        <v>12</v>
      </c>
      <c r="BW379" s="28">
        <v>21</v>
      </c>
      <c r="BX379" s="4" t="s">
        <v>736</v>
      </c>
    </row>
    <row r="380" spans="1:76" ht="14.4" x14ac:dyDescent="0.3">
      <c r="A380" s="31"/>
      <c r="C380" s="32" t="s">
        <v>726</v>
      </c>
      <c r="D380" s="32" t="s">
        <v>727</v>
      </c>
      <c r="F380" s="33">
        <v>124.5</v>
      </c>
      <c r="K380" s="34"/>
    </row>
    <row r="381" spans="1:76" ht="14.4" x14ac:dyDescent="0.3">
      <c r="A381" s="31"/>
      <c r="C381" s="32" t="s">
        <v>728</v>
      </c>
      <c r="D381" s="32" t="s">
        <v>729</v>
      </c>
      <c r="F381" s="33">
        <v>49.5</v>
      </c>
      <c r="K381" s="34"/>
    </row>
    <row r="382" spans="1:76" ht="14.4" x14ac:dyDescent="0.3">
      <c r="A382" s="31"/>
      <c r="C382" s="32" t="s">
        <v>730</v>
      </c>
      <c r="D382" s="32" t="s">
        <v>731</v>
      </c>
      <c r="F382" s="33">
        <v>10.5</v>
      </c>
      <c r="K382" s="34"/>
    </row>
    <row r="383" spans="1:76" ht="14.4" x14ac:dyDescent="0.3">
      <c r="A383" s="31"/>
      <c r="C383" s="32" t="s">
        <v>732</v>
      </c>
      <c r="D383" s="32" t="s">
        <v>733</v>
      </c>
      <c r="F383" s="33">
        <v>2.4</v>
      </c>
      <c r="K383" s="34"/>
    </row>
    <row r="384" spans="1:76" ht="26.4" x14ac:dyDescent="0.3">
      <c r="A384" s="31"/>
      <c r="B384" s="35" t="s">
        <v>68</v>
      </c>
      <c r="C384" s="93" t="s">
        <v>79</v>
      </c>
      <c r="D384" s="94"/>
      <c r="E384" s="94"/>
      <c r="F384" s="94"/>
      <c r="G384" s="94"/>
      <c r="H384" s="94"/>
      <c r="I384" s="94"/>
      <c r="J384" s="94"/>
      <c r="K384" s="95"/>
      <c r="BX384" s="36" t="s">
        <v>79</v>
      </c>
    </row>
    <row r="385" spans="1:76" ht="14.4" x14ac:dyDescent="0.3">
      <c r="A385" s="24" t="s">
        <v>51</v>
      </c>
      <c r="B385" s="25" t="s">
        <v>53</v>
      </c>
      <c r="C385" s="91" t="s">
        <v>54</v>
      </c>
      <c r="D385" s="92"/>
      <c r="E385" s="26" t="s">
        <v>4</v>
      </c>
      <c r="F385" s="26" t="s">
        <v>4</v>
      </c>
      <c r="G385" s="26" t="s">
        <v>4</v>
      </c>
      <c r="H385" s="1">
        <f>SUM(H386:H386)</f>
        <v>0</v>
      </c>
      <c r="I385" s="1">
        <f>SUM(I386:I386)</f>
        <v>0</v>
      </c>
      <c r="J385" s="1">
        <f>SUM(J386:J386)</f>
        <v>0</v>
      </c>
      <c r="K385" s="27" t="s">
        <v>51</v>
      </c>
      <c r="AI385" s="10" t="s">
        <v>719</v>
      </c>
      <c r="AS385" s="1">
        <f>SUM(AJ386:AJ386)</f>
        <v>0</v>
      </c>
      <c r="AT385" s="1">
        <f>SUM(AK386:AK386)</f>
        <v>0</v>
      </c>
      <c r="AU385" s="1">
        <f>SUM(AL386:AL386)</f>
        <v>0</v>
      </c>
    </row>
    <row r="386" spans="1:76" ht="14.4" x14ac:dyDescent="0.3">
      <c r="A386" s="2" t="s">
        <v>737</v>
      </c>
      <c r="B386" s="3" t="s">
        <v>738</v>
      </c>
      <c r="C386" s="75" t="s">
        <v>739</v>
      </c>
      <c r="D386" s="70"/>
      <c r="E386" s="3" t="s">
        <v>188</v>
      </c>
      <c r="F386" s="28">
        <v>40</v>
      </c>
      <c r="G386" s="28">
        <v>0</v>
      </c>
      <c r="H386" s="28">
        <f>ROUND(F386*AO386,2)</f>
        <v>0</v>
      </c>
      <c r="I386" s="28">
        <f>ROUND(F386*AP386,2)</f>
        <v>0</v>
      </c>
      <c r="J386" s="28">
        <f>ROUND(F386*G386,2)</f>
        <v>0</v>
      </c>
      <c r="K386" s="29" t="s">
        <v>60</v>
      </c>
      <c r="Z386" s="28">
        <f>ROUND(IF(AQ386="5",BJ386,0),2)</f>
        <v>0</v>
      </c>
      <c r="AB386" s="28">
        <f>ROUND(IF(AQ386="1",BH386,0),2)</f>
        <v>0</v>
      </c>
      <c r="AC386" s="28">
        <f>ROUND(IF(AQ386="1",BI386,0),2)</f>
        <v>0</v>
      </c>
      <c r="AD386" s="28">
        <f>ROUND(IF(AQ386="7",BH386,0),2)</f>
        <v>0</v>
      </c>
      <c r="AE386" s="28">
        <f>ROUND(IF(AQ386="7",BI386,0),2)</f>
        <v>0</v>
      </c>
      <c r="AF386" s="28">
        <f>ROUND(IF(AQ386="2",BH386,0),2)</f>
        <v>0</v>
      </c>
      <c r="AG386" s="28">
        <f>ROUND(IF(AQ386="2",BI386,0),2)</f>
        <v>0</v>
      </c>
      <c r="AH386" s="28">
        <f>ROUND(IF(AQ386="0",BJ386,0),2)</f>
        <v>0</v>
      </c>
      <c r="AI386" s="10" t="s">
        <v>719</v>
      </c>
      <c r="AJ386" s="28">
        <f>IF(AN386=0,J386,0)</f>
        <v>0</v>
      </c>
      <c r="AK386" s="28">
        <f>IF(AN386=12,J386,0)</f>
        <v>0</v>
      </c>
      <c r="AL386" s="28">
        <f>IF(AN386=21,J386,0)</f>
        <v>0</v>
      </c>
      <c r="AN386" s="28">
        <v>21</v>
      </c>
      <c r="AO386" s="28">
        <f>G386*0</f>
        <v>0</v>
      </c>
      <c r="AP386" s="28">
        <f>G386*(1-0)</f>
        <v>0</v>
      </c>
      <c r="AQ386" s="30" t="s">
        <v>56</v>
      </c>
      <c r="AV386" s="28">
        <f>ROUND(AW386+AX386,2)</f>
        <v>0</v>
      </c>
      <c r="AW386" s="28">
        <f>ROUND(F386*AO386,2)</f>
        <v>0</v>
      </c>
      <c r="AX386" s="28">
        <f>ROUND(F386*AP386,2)</f>
        <v>0</v>
      </c>
      <c r="AY386" s="30" t="s">
        <v>61</v>
      </c>
      <c r="AZ386" s="30" t="s">
        <v>724</v>
      </c>
      <c r="BA386" s="10" t="s">
        <v>725</v>
      </c>
      <c r="BC386" s="28">
        <f>AW386+AX386</f>
        <v>0</v>
      </c>
      <c r="BD386" s="28">
        <f>G386/(100-BE386)*100</f>
        <v>0</v>
      </c>
      <c r="BE386" s="28">
        <v>0</v>
      </c>
      <c r="BF386" s="28">
        <f>386</f>
        <v>386</v>
      </c>
      <c r="BH386" s="28">
        <f>F386*AO386</f>
        <v>0</v>
      </c>
      <c r="BI386" s="28">
        <f>F386*AP386</f>
        <v>0</v>
      </c>
      <c r="BJ386" s="28">
        <f>F386*G386</f>
        <v>0</v>
      </c>
      <c r="BK386" s="28"/>
      <c r="BL386" s="28">
        <v>13</v>
      </c>
      <c r="BW386" s="28">
        <v>21</v>
      </c>
      <c r="BX386" s="4" t="s">
        <v>739</v>
      </c>
    </row>
    <row r="387" spans="1:76" ht="13.5" customHeight="1" x14ac:dyDescent="0.3">
      <c r="A387" s="31"/>
      <c r="B387" s="35" t="s">
        <v>105</v>
      </c>
      <c r="C387" s="96" t="s">
        <v>740</v>
      </c>
      <c r="D387" s="97"/>
      <c r="E387" s="97"/>
      <c r="F387" s="97"/>
      <c r="G387" s="97"/>
      <c r="H387" s="97"/>
      <c r="I387" s="97"/>
      <c r="J387" s="97"/>
      <c r="K387" s="98"/>
    </row>
    <row r="388" spans="1:76" ht="14.4" x14ac:dyDescent="0.3">
      <c r="A388" s="31"/>
      <c r="C388" s="32" t="s">
        <v>318</v>
      </c>
      <c r="D388" s="32" t="s">
        <v>741</v>
      </c>
      <c r="F388" s="33">
        <v>40</v>
      </c>
      <c r="K388" s="34"/>
    </row>
    <row r="389" spans="1:76" ht="26.4" x14ac:dyDescent="0.3">
      <c r="A389" s="31"/>
      <c r="B389" s="35" t="s">
        <v>68</v>
      </c>
      <c r="C389" s="93" t="s">
        <v>742</v>
      </c>
      <c r="D389" s="94"/>
      <c r="E389" s="94"/>
      <c r="F389" s="94"/>
      <c r="G389" s="94"/>
      <c r="H389" s="94"/>
      <c r="I389" s="94"/>
      <c r="J389" s="94"/>
      <c r="K389" s="95"/>
      <c r="BX389" s="36" t="s">
        <v>742</v>
      </c>
    </row>
    <row r="390" spans="1:76" ht="14.4" x14ac:dyDescent="0.3">
      <c r="A390" s="24" t="s">
        <v>51</v>
      </c>
      <c r="B390" s="25" t="s">
        <v>152</v>
      </c>
      <c r="C390" s="91" t="s">
        <v>153</v>
      </c>
      <c r="D390" s="92"/>
      <c r="E390" s="26" t="s">
        <v>4</v>
      </c>
      <c r="F390" s="26" t="s">
        <v>4</v>
      </c>
      <c r="G390" s="26" t="s">
        <v>4</v>
      </c>
      <c r="H390" s="1">
        <f>SUM(H391:H391)</f>
        <v>0</v>
      </c>
      <c r="I390" s="1">
        <f>SUM(I391:I391)</f>
        <v>0</v>
      </c>
      <c r="J390" s="1">
        <f>SUM(J391:J391)</f>
        <v>0</v>
      </c>
      <c r="K390" s="27" t="s">
        <v>51</v>
      </c>
      <c r="AI390" s="10" t="s">
        <v>719</v>
      </c>
      <c r="AS390" s="1">
        <f>SUM(AJ391:AJ391)</f>
        <v>0</v>
      </c>
      <c r="AT390" s="1">
        <f>SUM(AK391:AK391)</f>
        <v>0</v>
      </c>
      <c r="AU390" s="1">
        <f>SUM(AL391:AL391)</f>
        <v>0</v>
      </c>
    </row>
    <row r="391" spans="1:76" ht="14.4" x14ac:dyDescent="0.3">
      <c r="A391" s="2" t="s">
        <v>743</v>
      </c>
      <c r="B391" s="3" t="s">
        <v>163</v>
      </c>
      <c r="C391" s="75" t="s">
        <v>164</v>
      </c>
      <c r="D391" s="70"/>
      <c r="E391" s="3" t="s">
        <v>59</v>
      </c>
      <c r="F391" s="28">
        <v>1015</v>
      </c>
      <c r="G391" s="28">
        <v>0</v>
      </c>
      <c r="H391" s="28">
        <f>ROUND(F391*AO391,2)</f>
        <v>0</v>
      </c>
      <c r="I391" s="28">
        <f>ROUND(F391*AP391,2)</f>
        <v>0</v>
      </c>
      <c r="J391" s="28">
        <f>ROUND(F391*G391,2)</f>
        <v>0</v>
      </c>
      <c r="K391" s="29" t="s">
        <v>60</v>
      </c>
      <c r="Z391" s="28">
        <f>ROUND(IF(AQ391="5",BJ391,0),2)</f>
        <v>0</v>
      </c>
      <c r="AB391" s="28">
        <f>ROUND(IF(AQ391="1",BH391,0),2)</f>
        <v>0</v>
      </c>
      <c r="AC391" s="28">
        <f>ROUND(IF(AQ391="1",BI391,0),2)</f>
        <v>0</v>
      </c>
      <c r="AD391" s="28">
        <f>ROUND(IF(AQ391="7",BH391,0),2)</f>
        <v>0</v>
      </c>
      <c r="AE391" s="28">
        <f>ROUND(IF(AQ391="7",BI391,0),2)</f>
        <v>0</v>
      </c>
      <c r="AF391" s="28">
        <f>ROUND(IF(AQ391="2",BH391,0),2)</f>
        <v>0</v>
      </c>
      <c r="AG391" s="28">
        <f>ROUND(IF(AQ391="2",BI391,0),2)</f>
        <v>0</v>
      </c>
      <c r="AH391" s="28">
        <f>ROUND(IF(AQ391="0",BJ391,0),2)</f>
        <v>0</v>
      </c>
      <c r="AI391" s="10" t="s">
        <v>719</v>
      </c>
      <c r="AJ391" s="28">
        <f>IF(AN391=0,J391,0)</f>
        <v>0</v>
      </c>
      <c r="AK391" s="28">
        <f>IF(AN391=12,J391,0)</f>
        <v>0</v>
      </c>
      <c r="AL391" s="28">
        <f>IF(AN391=21,J391,0)</f>
        <v>0</v>
      </c>
      <c r="AN391" s="28">
        <v>21</v>
      </c>
      <c r="AO391" s="28">
        <f>G391*0</f>
        <v>0</v>
      </c>
      <c r="AP391" s="28">
        <f>G391*(1-0)</f>
        <v>0</v>
      </c>
      <c r="AQ391" s="30" t="s">
        <v>56</v>
      </c>
      <c r="AV391" s="28">
        <f>ROUND(AW391+AX391,2)</f>
        <v>0</v>
      </c>
      <c r="AW391" s="28">
        <f>ROUND(F391*AO391,2)</f>
        <v>0</v>
      </c>
      <c r="AX391" s="28">
        <f>ROUND(F391*AP391,2)</f>
        <v>0</v>
      </c>
      <c r="AY391" s="30" t="s">
        <v>156</v>
      </c>
      <c r="AZ391" s="30" t="s">
        <v>724</v>
      </c>
      <c r="BA391" s="10" t="s">
        <v>725</v>
      </c>
      <c r="BC391" s="28">
        <f>AW391+AX391</f>
        <v>0</v>
      </c>
      <c r="BD391" s="28">
        <f>G391/(100-BE391)*100</f>
        <v>0</v>
      </c>
      <c r="BE391" s="28">
        <v>0</v>
      </c>
      <c r="BF391" s="28">
        <f>391</f>
        <v>391</v>
      </c>
      <c r="BH391" s="28">
        <f>F391*AO391</f>
        <v>0</v>
      </c>
      <c r="BI391" s="28">
        <f>F391*AP391</f>
        <v>0</v>
      </c>
      <c r="BJ391" s="28">
        <f>F391*G391</f>
        <v>0</v>
      </c>
      <c r="BK391" s="28"/>
      <c r="BL391" s="28">
        <v>17</v>
      </c>
      <c r="BW391" s="28">
        <v>21</v>
      </c>
      <c r="BX391" s="4" t="s">
        <v>164</v>
      </c>
    </row>
    <row r="392" spans="1:76" ht="13.5" customHeight="1" x14ac:dyDescent="0.3">
      <c r="A392" s="31"/>
      <c r="B392" s="35" t="s">
        <v>105</v>
      </c>
      <c r="C392" s="96" t="s">
        <v>744</v>
      </c>
      <c r="D392" s="97"/>
      <c r="E392" s="97"/>
      <c r="F392" s="97"/>
      <c r="G392" s="97"/>
      <c r="H392" s="97"/>
      <c r="I392" s="97"/>
      <c r="J392" s="97"/>
      <c r="K392" s="98"/>
    </row>
    <row r="393" spans="1:76" ht="14.4" x14ac:dyDescent="0.3">
      <c r="A393" s="31"/>
      <c r="C393" s="32" t="s">
        <v>745</v>
      </c>
      <c r="D393" s="32" t="s">
        <v>746</v>
      </c>
      <c r="F393" s="33">
        <v>1015</v>
      </c>
      <c r="K393" s="34"/>
    </row>
    <row r="394" spans="1:76" ht="14.4" x14ac:dyDescent="0.3">
      <c r="A394" s="24" t="s">
        <v>51</v>
      </c>
      <c r="B394" s="25" t="s">
        <v>185</v>
      </c>
      <c r="C394" s="91" t="s">
        <v>191</v>
      </c>
      <c r="D394" s="92"/>
      <c r="E394" s="26" t="s">
        <v>4</v>
      </c>
      <c r="F394" s="26" t="s">
        <v>4</v>
      </c>
      <c r="G394" s="26" t="s">
        <v>4</v>
      </c>
      <c r="H394" s="1">
        <f>SUM(H395:H395)</f>
        <v>0</v>
      </c>
      <c r="I394" s="1">
        <f>SUM(I395:I395)</f>
        <v>0</v>
      </c>
      <c r="J394" s="1">
        <f>SUM(J395:J395)</f>
        <v>0</v>
      </c>
      <c r="K394" s="27" t="s">
        <v>51</v>
      </c>
      <c r="AI394" s="10" t="s">
        <v>719</v>
      </c>
      <c r="AS394" s="1">
        <f>SUM(AJ395:AJ395)</f>
        <v>0</v>
      </c>
      <c r="AT394" s="1">
        <f>SUM(AK395:AK395)</f>
        <v>0</v>
      </c>
      <c r="AU394" s="1">
        <f>SUM(AL395:AL395)</f>
        <v>0</v>
      </c>
    </row>
    <row r="395" spans="1:76" ht="14.4" x14ac:dyDescent="0.3">
      <c r="A395" s="2" t="s">
        <v>747</v>
      </c>
      <c r="B395" s="3" t="s">
        <v>748</v>
      </c>
      <c r="C395" s="75" t="s">
        <v>749</v>
      </c>
      <c r="D395" s="70"/>
      <c r="E395" s="3" t="s">
        <v>103</v>
      </c>
      <c r="F395" s="28">
        <v>893</v>
      </c>
      <c r="G395" s="28">
        <v>0</v>
      </c>
      <c r="H395" s="28">
        <f>ROUND(F395*AO395,2)</f>
        <v>0</v>
      </c>
      <c r="I395" s="28">
        <f>ROUND(F395*AP395,2)</f>
        <v>0</v>
      </c>
      <c r="J395" s="28">
        <f>ROUND(F395*G395,2)</f>
        <v>0</v>
      </c>
      <c r="K395" s="29" t="s">
        <v>60</v>
      </c>
      <c r="Z395" s="28">
        <f>ROUND(IF(AQ395="5",BJ395,0),2)</f>
        <v>0</v>
      </c>
      <c r="AB395" s="28">
        <f>ROUND(IF(AQ395="1",BH395,0),2)</f>
        <v>0</v>
      </c>
      <c r="AC395" s="28">
        <f>ROUND(IF(AQ395="1",BI395,0),2)</f>
        <v>0</v>
      </c>
      <c r="AD395" s="28">
        <f>ROUND(IF(AQ395="7",BH395,0),2)</f>
        <v>0</v>
      </c>
      <c r="AE395" s="28">
        <f>ROUND(IF(AQ395="7",BI395,0),2)</f>
        <v>0</v>
      </c>
      <c r="AF395" s="28">
        <f>ROUND(IF(AQ395="2",BH395,0),2)</f>
        <v>0</v>
      </c>
      <c r="AG395" s="28">
        <f>ROUND(IF(AQ395="2",BI395,0),2)</f>
        <v>0</v>
      </c>
      <c r="AH395" s="28">
        <f>ROUND(IF(AQ395="0",BJ395,0),2)</f>
        <v>0</v>
      </c>
      <c r="AI395" s="10" t="s">
        <v>719</v>
      </c>
      <c r="AJ395" s="28">
        <f>IF(AN395=0,J395,0)</f>
        <v>0</v>
      </c>
      <c r="AK395" s="28">
        <f>IF(AN395=12,J395,0)</f>
        <v>0</v>
      </c>
      <c r="AL395" s="28">
        <f>IF(AN395=21,J395,0)</f>
        <v>0</v>
      </c>
      <c r="AN395" s="28">
        <v>21</v>
      </c>
      <c r="AO395" s="28">
        <f>G395*0</f>
        <v>0</v>
      </c>
      <c r="AP395" s="28">
        <f>G395*(1-0)</f>
        <v>0</v>
      </c>
      <c r="AQ395" s="30" t="s">
        <v>56</v>
      </c>
      <c r="AV395" s="28">
        <f>ROUND(AW395+AX395,2)</f>
        <v>0</v>
      </c>
      <c r="AW395" s="28">
        <f>ROUND(F395*AO395,2)</f>
        <v>0</v>
      </c>
      <c r="AX395" s="28">
        <f>ROUND(F395*AP395,2)</f>
        <v>0</v>
      </c>
      <c r="AY395" s="30" t="s">
        <v>195</v>
      </c>
      <c r="AZ395" s="30" t="s">
        <v>724</v>
      </c>
      <c r="BA395" s="10" t="s">
        <v>725</v>
      </c>
      <c r="BC395" s="28">
        <f>AW395+AX395</f>
        <v>0</v>
      </c>
      <c r="BD395" s="28">
        <f>G395/(100-BE395)*100</f>
        <v>0</v>
      </c>
      <c r="BE395" s="28">
        <v>0</v>
      </c>
      <c r="BF395" s="28">
        <f>395</f>
        <v>395</v>
      </c>
      <c r="BH395" s="28">
        <f>F395*AO395</f>
        <v>0</v>
      </c>
      <c r="BI395" s="28">
        <f>F395*AP395</f>
        <v>0</v>
      </c>
      <c r="BJ395" s="28">
        <f>F395*G395</f>
        <v>0</v>
      </c>
      <c r="BK395" s="28"/>
      <c r="BL395" s="28">
        <v>18</v>
      </c>
      <c r="BW395" s="28">
        <v>21</v>
      </c>
      <c r="BX395" s="4" t="s">
        <v>749</v>
      </c>
    </row>
    <row r="396" spans="1:76" ht="14.4" x14ac:dyDescent="0.3">
      <c r="A396" s="31"/>
      <c r="C396" s="32" t="s">
        <v>734</v>
      </c>
      <c r="D396" s="32" t="s">
        <v>750</v>
      </c>
      <c r="F396" s="33">
        <v>130</v>
      </c>
      <c r="K396" s="34"/>
    </row>
    <row r="397" spans="1:76" ht="14.4" x14ac:dyDescent="0.3">
      <c r="A397" s="31"/>
      <c r="C397" s="32" t="s">
        <v>751</v>
      </c>
      <c r="D397" s="32" t="s">
        <v>727</v>
      </c>
      <c r="F397" s="33">
        <v>415</v>
      </c>
      <c r="K397" s="34"/>
    </row>
    <row r="398" spans="1:76" ht="14.4" x14ac:dyDescent="0.3">
      <c r="A398" s="31"/>
      <c r="C398" s="32" t="s">
        <v>752</v>
      </c>
      <c r="D398" s="32" t="s">
        <v>753</v>
      </c>
      <c r="F398" s="33">
        <v>279</v>
      </c>
      <c r="K398" s="34"/>
    </row>
    <row r="399" spans="1:76" ht="14.4" x14ac:dyDescent="0.3">
      <c r="A399" s="31"/>
      <c r="C399" s="32" t="s">
        <v>224</v>
      </c>
      <c r="D399" s="32" t="s">
        <v>754</v>
      </c>
      <c r="F399" s="33">
        <v>25</v>
      </c>
      <c r="K399" s="34"/>
    </row>
    <row r="400" spans="1:76" ht="14.4" x14ac:dyDescent="0.3">
      <c r="A400" s="31"/>
      <c r="C400" s="32" t="s">
        <v>162</v>
      </c>
      <c r="D400" s="32" t="s">
        <v>755</v>
      </c>
      <c r="F400" s="33">
        <v>14</v>
      </c>
      <c r="K400" s="34"/>
    </row>
    <row r="401" spans="1:76" ht="14.4" x14ac:dyDescent="0.3">
      <c r="A401" s="31"/>
      <c r="C401" s="32" t="s">
        <v>267</v>
      </c>
      <c r="D401" s="32" t="s">
        <v>756</v>
      </c>
      <c r="F401" s="33">
        <v>30</v>
      </c>
      <c r="K401" s="34"/>
    </row>
    <row r="402" spans="1:76" ht="14.4" x14ac:dyDescent="0.3">
      <c r="A402" s="31"/>
      <c r="B402" s="35" t="s">
        <v>68</v>
      </c>
      <c r="C402" s="93" t="s">
        <v>757</v>
      </c>
      <c r="D402" s="94"/>
      <c r="E402" s="94"/>
      <c r="F402" s="94"/>
      <c r="G402" s="94"/>
      <c r="H402" s="94"/>
      <c r="I402" s="94"/>
      <c r="J402" s="94"/>
      <c r="K402" s="95"/>
      <c r="BX402" s="36" t="s">
        <v>757</v>
      </c>
    </row>
    <row r="403" spans="1:76" ht="14.4" x14ac:dyDescent="0.3">
      <c r="A403" s="24" t="s">
        <v>51</v>
      </c>
      <c r="B403" s="25" t="s">
        <v>336</v>
      </c>
      <c r="C403" s="91" t="s">
        <v>758</v>
      </c>
      <c r="D403" s="92"/>
      <c r="E403" s="26" t="s">
        <v>4</v>
      </c>
      <c r="F403" s="26" t="s">
        <v>4</v>
      </c>
      <c r="G403" s="26" t="s">
        <v>4</v>
      </c>
      <c r="H403" s="1">
        <f>SUM(H404:H404)</f>
        <v>0</v>
      </c>
      <c r="I403" s="1">
        <f>SUM(I404:I404)</f>
        <v>0</v>
      </c>
      <c r="J403" s="1">
        <f>SUM(J404:J404)</f>
        <v>0</v>
      </c>
      <c r="K403" s="27" t="s">
        <v>51</v>
      </c>
      <c r="AI403" s="10" t="s">
        <v>719</v>
      </c>
      <c r="AS403" s="1">
        <f>SUM(AJ404:AJ404)</f>
        <v>0</v>
      </c>
      <c r="AT403" s="1">
        <f>SUM(AK404:AK404)</f>
        <v>0</v>
      </c>
      <c r="AU403" s="1">
        <f>SUM(AL404:AL404)</f>
        <v>0</v>
      </c>
    </row>
    <row r="404" spans="1:76" ht="14.4" x14ac:dyDescent="0.3">
      <c r="A404" s="2" t="s">
        <v>759</v>
      </c>
      <c r="B404" s="3" t="s">
        <v>760</v>
      </c>
      <c r="C404" s="75" t="s">
        <v>761</v>
      </c>
      <c r="D404" s="70"/>
      <c r="E404" s="3" t="s">
        <v>762</v>
      </c>
      <c r="F404" s="28">
        <v>4.5</v>
      </c>
      <c r="G404" s="28">
        <v>0</v>
      </c>
      <c r="H404" s="28">
        <f>ROUND(F404*AO404,2)</f>
        <v>0</v>
      </c>
      <c r="I404" s="28">
        <f>ROUND(F404*AP404,2)</f>
        <v>0</v>
      </c>
      <c r="J404" s="28">
        <f>ROUND(F404*G404,2)</f>
        <v>0</v>
      </c>
      <c r="K404" s="29" t="s">
        <v>60</v>
      </c>
      <c r="Z404" s="28">
        <f>ROUND(IF(AQ404="5",BJ404,0),2)</f>
        <v>0</v>
      </c>
      <c r="AB404" s="28">
        <f>ROUND(IF(AQ404="1",BH404,0),2)</f>
        <v>0</v>
      </c>
      <c r="AC404" s="28">
        <f>ROUND(IF(AQ404="1",BI404,0),2)</f>
        <v>0</v>
      </c>
      <c r="AD404" s="28">
        <f>ROUND(IF(AQ404="7",BH404,0),2)</f>
        <v>0</v>
      </c>
      <c r="AE404" s="28">
        <f>ROUND(IF(AQ404="7",BI404,0),2)</f>
        <v>0</v>
      </c>
      <c r="AF404" s="28">
        <f>ROUND(IF(AQ404="2",BH404,0),2)</f>
        <v>0</v>
      </c>
      <c r="AG404" s="28">
        <f>ROUND(IF(AQ404="2",BI404,0),2)</f>
        <v>0</v>
      </c>
      <c r="AH404" s="28">
        <f>ROUND(IF(AQ404="0",BJ404,0),2)</f>
        <v>0</v>
      </c>
      <c r="AI404" s="10" t="s">
        <v>719</v>
      </c>
      <c r="AJ404" s="28">
        <f>IF(AN404=0,J404,0)</f>
        <v>0</v>
      </c>
      <c r="AK404" s="28">
        <f>IF(AN404=12,J404,0)</f>
        <v>0</v>
      </c>
      <c r="AL404" s="28">
        <f>IF(AN404=21,J404,0)</f>
        <v>0</v>
      </c>
      <c r="AN404" s="28">
        <v>21</v>
      </c>
      <c r="AO404" s="28">
        <f>G404*0.780769143</f>
        <v>0</v>
      </c>
      <c r="AP404" s="28">
        <f>G404*(1-0.780769143)</f>
        <v>0</v>
      </c>
      <c r="AQ404" s="30" t="s">
        <v>56</v>
      </c>
      <c r="AV404" s="28">
        <f>ROUND(AW404+AX404,2)</f>
        <v>0</v>
      </c>
      <c r="AW404" s="28">
        <f>ROUND(F404*AO404,2)</f>
        <v>0</v>
      </c>
      <c r="AX404" s="28">
        <f>ROUND(F404*AP404,2)</f>
        <v>0</v>
      </c>
      <c r="AY404" s="30" t="s">
        <v>763</v>
      </c>
      <c r="AZ404" s="30" t="s">
        <v>764</v>
      </c>
      <c r="BA404" s="10" t="s">
        <v>725</v>
      </c>
      <c r="BC404" s="28">
        <f>AW404+AX404</f>
        <v>0</v>
      </c>
      <c r="BD404" s="28">
        <f>G404/(100-BE404)*100</f>
        <v>0</v>
      </c>
      <c r="BE404" s="28">
        <v>0</v>
      </c>
      <c r="BF404" s="28">
        <f>404</f>
        <v>404</v>
      </c>
      <c r="BH404" s="28">
        <f>F404*AO404</f>
        <v>0</v>
      </c>
      <c r="BI404" s="28">
        <f>F404*AP404</f>
        <v>0</v>
      </c>
      <c r="BJ404" s="28">
        <f>F404*G404</f>
        <v>0</v>
      </c>
      <c r="BK404" s="28"/>
      <c r="BL404" s="28">
        <v>43</v>
      </c>
      <c r="BW404" s="28">
        <v>21</v>
      </c>
      <c r="BX404" s="4" t="s">
        <v>761</v>
      </c>
    </row>
    <row r="405" spans="1:76" ht="13.5" customHeight="1" x14ac:dyDescent="0.3">
      <c r="A405" s="31"/>
      <c r="B405" s="35" t="s">
        <v>105</v>
      </c>
      <c r="C405" s="96" t="s">
        <v>765</v>
      </c>
      <c r="D405" s="97"/>
      <c r="E405" s="97"/>
      <c r="F405" s="97"/>
      <c r="G405" s="97"/>
      <c r="H405" s="97"/>
      <c r="I405" s="97"/>
      <c r="J405" s="97"/>
      <c r="K405" s="98"/>
    </row>
    <row r="406" spans="1:76" ht="52.8" x14ac:dyDescent="0.3">
      <c r="A406" s="31"/>
      <c r="B406" s="35" t="s">
        <v>68</v>
      </c>
      <c r="C406" s="93" t="s">
        <v>766</v>
      </c>
      <c r="D406" s="94"/>
      <c r="E406" s="94"/>
      <c r="F406" s="94"/>
      <c r="G406" s="94"/>
      <c r="H406" s="94"/>
      <c r="I406" s="94"/>
      <c r="J406" s="94"/>
      <c r="K406" s="95"/>
      <c r="BX406" s="36" t="s">
        <v>766</v>
      </c>
    </row>
    <row r="407" spans="1:76" ht="14.4" x14ac:dyDescent="0.3">
      <c r="A407" s="24" t="s">
        <v>51</v>
      </c>
      <c r="B407" s="25" t="s">
        <v>414</v>
      </c>
      <c r="C407" s="91" t="s">
        <v>685</v>
      </c>
      <c r="D407" s="92"/>
      <c r="E407" s="26" t="s">
        <v>4</v>
      </c>
      <c r="F407" s="26" t="s">
        <v>4</v>
      </c>
      <c r="G407" s="26" t="s">
        <v>4</v>
      </c>
      <c r="H407" s="1">
        <f>SUM(H408:H434)</f>
        <v>0</v>
      </c>
      <c r="I407" s="1">
        <f>SUM(I408:I434)</f>
        <v>0</v>
      </c>
      <c r="J407" s="1">
        <f>SUM(J408:J434)</f>
        <v>0</v>
      </c>
      <c r="K407" s="27" t="s">
        <v>51</v>
      </c>
      <c r="AI407" s="10" t="s">
        <v>719</v>
      </c>
      <c r="AS407" s="1">
        <f>SUM(AJ408:AJ434)</f>
        <v>0</v>
      </c>
      <c r="AT407" s="1">
        <f>SUM(AK408:AK434)</f>
        <v>0</v>
      </c>
      <c r="AU407" s="1">
        <f>SUM(AL408:AL434)</f>
        <v>0</v>
      </c>
    </row>
    <row r="408" spans="1:76" ht="14.4" x14ac:dyDescent="0.3">
      <c r="A408" s="2" t="s">
        <v>767</v>
      </c>
      <c r="B408" s="3" t="s">
        <v>768</v>
      </c>
      <c r="C408" s="75" t="s">
        <v>769</v>
      </c>
      <c r="D408" s="70"/>
      <c r="E408" s="3" t="s">
        <v>103</v>
      </c>
      <c r="F408" s="28">
        <v>375</v>
      </c>
      <c r="G408" s="28">
        <v>0</v>
      </c>
      <c r="H408" s="28">
        <f>ROUND(F408*AO408,2)</f>
        <v>0</v>
      </c>
      <c r="I408" s="28">
        <f>ROUND(F408*AP408,2)</f>
        <v>0</v>
      </c>
      <c r="J408" s="28">
        <f>ROUND(F408*G408,2)</f>
        <v>0</v>
      </c>
      <c r="K408" s="29" t="s">
        <v>60</v>
      </c>
      <c r="Z408" s="28">
        <f>ROUND(IF(AQ408="5",BJ408,0),2)</f>
        <v>0</v>
      </c>
      <c r="AB408" s="28">
        <f>ROUND(IF(AQ408="1",BH408,0),2)</f>
        <v>0</v>
      </c>
      <c r="AC408" s="28">
        <f>ROUND(IF(AQ408="1",BI408,0),2)</f>
        <v>0</v>
      </c>
      <c r="AD408" s="28">
        <f>ROUND(IF(AQ408="7",BH408,0),2)</f>
        <v>0</v>
      </c>
      <c r="AE408" s="28">
        <f>ROUND(IF(AQ408="7",BI408,0),2)</f>
        <v>0</v>
      </c>
      <c r="AF408" s="28">
        <f>ROUND(IF(AQ408="2",BH408,0),2)</f>
        <v>0</v>
      </c>
      <c r="AG408" s="28">
        <f>ROUND(IF(AQ408="2",BI408,0),2)</f>
        <v>0</v>
      </c>
      <c r="AH408" s="28">
        <f>ROUND(IF(AQ408="0",BJ408,0),2)</f>
        <v>0</v>
      </c>
      <c r="AI408" s="10" t="s">
        <v>719</v>
      </c>
      <c r="AJ408" s="28">
        <f>IF(AN408=0,J408,0)</f>
        <v>0</v>
      </c>
      <c r="AK408" s="28">
        <f>IF(AN408=12,J408,0)</f>
        <v>0</v>
      </c>
      <c r="AL408" s="28">
        <f>IF(AN408=21,J408,0)</f>
        <v>0</v>
      </c>
      <c r="AN408" s="28">
        <v>21</v>
      </c>
      <c r="AO408" s="28">
        <f>G408*0.84013986</f>
        <v>0</v>
      </c>
      <c r="AP408" s="28">
        <f>G408*(1-0.84013986)</f>
        <v>0</v>
      </c>
      <c r="AQ408" s="30" t="s">
        <v>56</v>
      </c>
      <c r="AV408" s="28">
        <f>ROUND(AW408+AX408,2)</f>
        <v>0</v>
      </c>
      <c r="AW408" s="28">
        <f>ROUND(F408*AO408,2)</f>
        <v>0</v>
      </c>
      <c r="AX408" s="28">
        <f>ROUND(F408*AP408,2)</f>
        <v>0</v>
      </c>
      <c r="AY408" s="30" t="s">
        <v>689</v>
      </c>
      <c r="AZ408" s="30" t="s">
        <v>770</v>
      </c>
      <c r="BA408" s="10" t="s">
        <v>725</v>
      </c>
      <c r="BC408" s="28">
        <f>AW408+AX408</f>
        <v>0</v>
      </c>
      <c r="BD408" s="28">
        <f>G408/(100-BE408)*100</f>
        <v>0</v>
      </c>
      <c r="BE408" s="28">
        <v>0</v>
      </c>
      <c r="BF408" s="28">
        <f>408</f>
        <v>408</v>
      </c>
      <c r="BH408" s="28">
        <f>F408*AO408</f>
        <v>0</v>
      </c>
      <c r="BI408" s="28">
        <f>F408*AP408</f>
        <v>0</v>
      </c>
      <c r="BJ408" s="28">
        <f>F408*G408</f>
        <v>0</v>
      </c>
      <c r="BK408" s="28"/>
      <c r="BL408" s="28">
        <v>56</v>
      </c>
      <c r="BW408" s="28">
        <v>21</v>
      </c>
      <c r="BX408" s="4" t="s">
        <v>769</v>
      </c>
    </row>
    <row r="409" spans="1:76" ht="14.4" x14ac:dyDescent="0.3">
      <c r="A409" s="31"/>
      <c r="C409" s="32" t="s">
        <v>771</v>
      </c>
      <c r="D409" s="32" t="s">
        <v>772</v>
      </c>
      <c r="F409" s="33">
        <v>227</v>
      </c>
      <c r="K409" s="34"/>
    </row>
    <row r="410" spans="1:76" ht="14.4" x14ac:dyDescent="0.3">
      <c r="A410" s="31"/>
      <c r="C410" s="32" t="s">
        <v>734</v>
      </c>
      <c r="D410" s="32" t="s">
        <v>773</v>
      </c>
      <c r="F410" s="33">
        <v>130</v>
      </c>
      <c r="K410" s="34"/>
    </row>
    <row r="411" spans="1:76" ht="14.4" x14ac:dyDescent="0.3">
      <c r="A411" s="31"/>
      <c r="C411" s="32" t="s">
        <v>185</v>
      </c>
      <c r="D411" s="32" t="s">
        <v>774</v>
      </c>
      <c r="F411" s="33">
        <v>18</v>
      </c>
      <c r="K411" s="34"/>
    </row>
    <row r="412" spans="1:76" ht="26.4" x14ac:dyDescent="0.3">
      <c r="A412" s="31"/>
      <c r="B412" s="35" t="s">
        <v>68</v>
      </c>
      <c r="C412" s="93" t="s">
        <v>775</v>
      </c>
      <c r="D412" s="94"/>
      <c r="E412" s="94"/>
      <c r="F412" s="94"/>
      <c r="G412" s="94"/>
      <c r="H412" s="94"/>
      <c r="I412" s="94"/>
      <c r="J412" s="94"/>
      <c r="K412" s="95"/>
      <c r="BX412" s="36" t="s">
        <v>775</v>
      </c>
    </row>
    <row r="413" spans="1:76" ht="14.4" x14ac:dyDescent="0.3">
      <c r="A413" s="2" t="s">
        <v>776</v>
      </c>
      <c r="B413" s="3" t="s">
        <v>777</v>
      </c>
      <c r="C413" s="75" t="s">
        <v>778</v>
      </c>
      <c r="D413" s="70"/>
      <c r="E413" s="3" t="s">
        <v>103</v>
      </c>
      <c r="F413" s="28">
        <v>710</v>
      </c>
      <c r="G413" s="28">
        <v>0</v>
      </c>
      <c r="H413" s="28">
        <f>ROUND(F413*AO413,2)</f>
        <v>0</v>
      </c>
      <c r="I413" s="28">
        <f>ROUND(F413*AP413,2)</f>
        <v>0</v>
      </c>
      <c r="J413" s="28">
        <f>ROUND(F413*G413,2)</f>
        <v>0</v>
      </c>
      <c r="K413" s="29" t="s">
        <v>60</v>
      </c>
      <c r="Z413" s="28">
        <f>ROUND(IF(AQ413="5",BJ413,0),2)</f>
        <v>0</v>
      </c>
      <c r="AB413" s="28">
        <f>ROUND(IF(AQ413="1",BH413,0),2)</f>
        <v>0</v>
      </c>
      <c r="AC413" s="28">
        <f>ROUND(IF(AQ413="1",BI413,0),2)</f>
        <v>0</v>
      </c>
      <c r="AD413" s="28">
        <f>ROUND(IF(AQ413="7",BH413,0),2)</f>
        <v>0</v>
      </c>
      <c r="AE413" s="28">
        <f>ROUND(IF(AQ413="7",BI413,0),2)</f>
        <v>0</v>
      </c>
      <c r="AF413" s="28">
        <f>ROUND(IF(AQ413="2",BH413,0),2)</f>
        <v>0</v>
      </c>
      <c r="AG413" s="28">
        <f>ROUND(IF(AQ413="2",BI413,0),2)</f>
        <v>0</v>
      </c>
      <c r="AH413" s="28">
        <f>ROUND(IF(AQ413="0",BJ413,0),2)</f>
        <v>0</v>
      </c>
      <c r="AI413" s="10" t="s">
        <v>719</v>
      </c>
      <c r="AJ413" s="28">
        <f>IF(AN413=0,J413,0)</f>
        <v>0</v>
      </c>
      <c r="AK413" s="28">
        <f>IF(AN413=12,J413,0)</f>
        <v>0</v>
      </c>
      <c r="AL413" s="28">
        <f>IF(AN413=21,J413,0)</f>
        <v>0</v>
      </c>
      <c r="AN413" s="28">
        <v>21</v>
      </c>
      <c r="AO413" s="28">
        <f>G413*0.846008772</f>
        <v>0</v>
      </c>
      <c r="AP413" s="28">
        <f>G413*(1-0.846008772)</f>
        <v>0</v>
      </c>
      <c r="AQ413" s="30" t="s">
        <v>56</v>
      </c>
      <c r="AV413" s="28">
        <f>ROUND(AW413+AX413,2)</f>
        <v>0</v>
      </c>
      <c r="AW413" s="28">
        <f>ROUND(F413*AO413,2)</f>
        <v>0</v>
      </c>
      <c r="AX413" s="28">
        <f>ROUND(F413*AP413,2)</f>
        <v>0</v>
      </c>
      <c r="AY413" s="30" t="s">
        <v>689</v>
      </c>
      <c r="AZ413" s="30" t="s">
        <v>770</v>
      </c>
      <c r="BA413" s="10" t="s">
        <v>725</v>
      </c>
      <c r="BC413" s="28">
        <f>AW413+AX413</f>
        <v>0</v>
      </c>
      <c r="BD413" s="28">
        <f>G413/(100-BE413)*100</f>
        <v>0</v>
      </c>
      <c r="BE413" s="28">
        <v>0</v>
      </c>
      <c r="BF413" s="28">
        <f>413</f>
        <v>413</v>
      </c>
      <c r="BH413" s="28">
        <f>F413*AO413</f>
        <v>0</v>
      </c>
      <c r="BI413" s="28">
        <f>F413*AP413</f>
        <v>0</v>
      </c>
      <c r="BJ413" s="28">
        <f>F413*G413</f>
        <v>0</v>
      </c>
      <c r="BK413" s="28"/>
      <c r="BL413" s="28">
        <v>56</v>
      </c>
      <c r="BW413" s="28">
        <v>21</v>
      </c>
      <c r="BX413" s="4" t="s">
        <v>778</v>
      </c>
    </row>
    <row r="414" spans="1:76" ht="14.4" x14ac:dyDescent="0.3">
      <c r="A414" s="31"/>
      <c r="C414" s="32" t="s">
        <v>751</v>
      </c>
      <c r="D414" s="32" t="s">
        <v>779</v>
      </c>
      <c r="F414" s="33">
        <v>415</v>
      </c>
      <c r="K414" s="34"/>
    </row>
    <row r="415" spans="1:76" ht="14.4" x14ac:dyDescent="0.3">
      <c r="A415" s="31"/>
      <c r="C415" s="32" t="s">
        <v>780</v>
      </c>
      <c r="D415" s="32" t="s">
        <v>781</v>
      </c>
      <c r="F415" s="33">
        <v>165</v>
      </c>
      <c r="K415" s="34"/>
    </row>
    <row r="416" spans="1:76" ht="14.4" x14ac:dyDescent="0.3">
      <c r="A416" s="31"/>
      <c r="C416" s="32" t="s">
        <v>734</v>
      </c>
      <c r="D416" s="32" t="s">
        <v>782</v>
      </c>
      <c r="F416" s="33">
        <v>130</v>
      </c>
      <c r="K416" s="34"/>
    </row>
    <row r="417" spans="1:76" ht="26.4" x14ac:dyDescent="0.3">
      <c r="A417" s="31"/>
      <c r="B417" s="35" t="s">
        <v>68</v>
      </c>
      <c r="C417" s="93" t="s">
        <v>783</v>
      </c>
      <c r="D417" s="94"/>
      <c r="E417" s="94"/>
      <c r="F417" s="94"/>
      <c r="G417" s="94"/>
      <c r="H417" s="94"/>
      <c r="I417" s="94"/>
      <c r="J417" s="94"/>
      <c r="K417" s="95"/>
      <c r="BX417" s="36" t="s">
        <v>783</v>
      </c>
    </row>
    <row r="418" spans="1:76" ht="14.4" x14ac:dyDescent="0.3">
      <c r="A418" s="2" t="s">
        <v>784</v>
      </c>
      <c r="B418" s="3" t="s">
        <v>785</v>
      </c>
      <c r="C418" s="75" t="s">
        <v>786</v>
      </c>
      <c r="D418" s="70"/>
      <c r="E418" s="3" t="s">
        <v>103</v>
      </c>
      <c r="F418" s="28">
        <v>710</v>
      </c>
      <c r="G418" s="28">
        <v>0</v>
      </c>
      <c r="H418" s="28">
        <f>ROUND(F418*AO418,2)</f>
        <v>0</v>
      </c>
      <c r="I418" s="28">
        <f>ROUND(F418*AP418,2)</f>
        <v>0</v>
      </c>
      <c r="J418" s="28">
        <f>ROUND(F418*G418,2)</f>
        <v>0</v>
      </c>
      <c r="K418" s="29" t="s">
        <v>60</v>
      </c>
      <c r="Z418" s="28">
        <f>ROUND(IF(AQ418="5",BJ418,0),2)</f>
        <v>0</v>
      </c>
      <c r="AB418" s="28">
        <f>ROUND(IF(AQ418="1",BH418,0),2)</f>
        <v>0</v>
      </c>
      <c r="AC418" s="28">
        <f>ROUND(IF(AQ418="1",BI418,0),2)</f>
        <v>0</v>
      </c>
      <c r="AD418" s="28">
        <f>ROUND(IF(AQ418="7",BH418,0),2)</f>
        <v>0</v>
      </c>
      <c r="AE418" s="28">
        <f>ROUND(IF(AQ418="7",BI418,0),2)</f>
        <v>0</v>
      </c>
      <c r="AF418" s="28">
        <f>ROUND(IF(AQ418="2",BH418,0),2)</f>
        <v>0</v>
      </c>
      <c r="AG418" s="28">
        <f>ROUND(IF(AQ418="2",BI418,0),2)</f>
        <v>0</v>
      </c>
      <c r="AH418" s="28">
        <f>ROUND(IF(AQ418="0",BJ418,0),2)</f>
        <v>0</v>
      </c>
      <c r="AI418" s="10" t="s">
        <v>719</v>
      </c>
      <c r="AJ418" s="28">
        <f>IF(AN418=0,J418,0)</f>
        <v>0</v>
      </c>
      <c r="AK418" s="28">
        <f>IF(AN418=12,J418,0)</f>
        <v>0</v>
      </c>
      <c r="AL418" s="28">
        <f>IF(AN418=21,J418,0)</f>
        <v>0</v>
      </c>
      <c r="AN418" s="28">
        <v>21</v>
      </c>
      <c r="AO418" s="28">
        <f>G418*0</f>
        <v>0</v>
      </c>
      <c r="AP418" s="28">
        <f>G418*(1-0)</f>
        <v>0</v>
      </c>
      <c r="AQ418" s="30" t="s">
        <v>56</v>
      </c>
      <c r="AV418" s="28">
        <f>ROUND(AW418+AX418,2)</f>
        <v>0</v>
      </c>
      <c r="AW418" s="28">
        <f>ROUND(F418*AO418,2)</f>
        <v>0</v>
      </c>
      <c r="AX418" s="28">
        <f>ROUND(F418*AP418,2)</f>
        <v>0</v>
      </c>
      <c r="AY418" s="30" t="s">
        <v>689</v>
      </c>
      <c r="AZ418" s="30" t="s">
        <v>770</v>
      </c>
      <c r="BA418" s="10" t="s">
        <v>725</v>
      </c>
      <c r="BC418" s="28">
        <f>AW418+AX418</f>
        <v>0</v>
      </c>
      <c r="BD418" s="28">
        <f>G418/(100-BE418)*100</f>
        <v>0</v>
      </c>
      <c r="BE418" s="28">
        <v>0</v>
      </c>
      <c r="BF418" s="28">
        <f>418</f>
        <v>418</v>
      </c>
      <c r="BH418" s="28">
        <f>F418*AO418</f>
        <v>0</v>
      </c>
      <c r="BI418" s="28">
        <f>F418*AP418</f>
        <v>0</v>
      </c>
      <c r="BJ418" s="28">
        <f>F418*G418</f>
        <v>0</v>
      </c>
      <c r="BK418" s="28"/>
      <c r="BL418" s="28">
        <v>56</v>
      </c>
      <c r="BW418" s="28">
        <v>21</v>
      </c>
      <c r="BX418" s="4" t="s">
        <v>786</v>
      </c>
    </row>
    <row r="419" spans="1:76" ht="14.4" x14ac:dyDescent="0.3">
      <c r="A419" s="31"/>
      <c r="C419" s="32" t="s">
        <v>751</v>
      </c>
      <c r="D419" s="32" t="s">
        <v>779</v>
      </c>
      <c r="F419" s="33">
        <v>415</v>
      </c>
      <c r="K419" s="34"/>
    </row>
    <row r="420" spans="1:76" ht="14.4" x14ac:dyDescent="0.3">
      <c r="A420" s="31"/>
      <c r="C420" s="32" t="s">
        <v>780</v>
      </c>
      <c r="D420" s="32" t="s">
        <v>781</v>
      </c>
      <c r="F420" s="33">
        <v>165</v>
      </c>
      <c r="K420" s="34"/>
    </row>
    <row r="421" spans="1:76" ht="14.4" x14ac:dyDescent="0.3">
      <c r="A421" s="31"/>
      <c r="C421" s="32" t="s">
        <v>734</v>
      </c>
      <c r="D421" s="32" t="s">
        <v>782</v>
      </c>
      <c r="F421" s="33">
        <v>130</v>
      </c>
      <c r="K421" s="34"/>
    </row>
    <row r="422" spans="1:76" ht="14.4" x14ac:dyDescent="0.3">
      <c r="A422" s="2" t="s">
        <v>787</v>
      </c>
      <c r="B422" s="3" t="s">
        <v>788</v>
      </c>
      <c r="C422" s="75" t="s">
        <v>789</v>
      </c>
      <c r="D422" s="70"/>
      <c r="E422" s="3" t="s">
        <v>103</v>
      </c>
      <c r="F422" s="28">
        <v>788.81</v>
      </c>
      <c r="G422" s="28">
        <v>0</v>
      </c>
      <c r="H422" s="28">
        <f>ROUND(F422*AO422,2)</f>
        <v>0</v>
      </c>
      <c r="I422" s="28">
        <f>ROUND(F422*AP422,2)</f>
        <v>0</v>
      </c>
      <c r="J422" s="28">
        <f>ROUND(F422*G422,2)</f>
        <v>0</v>
      </c>
      <c r="K422" s="29" t="s">
        <v>60</v>
      </c>
      <c r="Z422" s="28">
        <f>ROUND(IF(AQ422="5",BJ422,0),2)</f>
        <v>0</v>
      </c>
      <c r="AB422" s="28">
        <f>ROUND(IF(AQ422="1",BH422,0),2)</f>
        <v>0</v>
      </c>
      <c r="AC422" s="28">
        <f>ROUND(IF(AQ422="1",BI422,0),2)</f>
        <v>0</v>
      </c>
      <c r="AD422" s="28">
        <f>ROUND(IF(AQ422="7",BH422,0),2)</f>
        <v>0</v>
      </c>
      <c r="AE422" s="28">
        <f>ROUND(IF(AQ422="7",BI422,0),2)</f>
        <v>0</v>
      </c>
      <c r="AF422" s="28">
        <f>ROUND(IF(AQ422="2",BH422,0),2)</f>
        <v>0</v>
      </c>
      <c r="AG422" s="28">
        <f>ROUND(IF(AQ422="2",BI422,0),2)</f>
        <v>0</v>
      </c>
      <c r="AH422" s="28">
        <f>ROUND(IF(AQ422="0",BJ422,0),2)</f>
        <v>0</v>
      </c>
      <c r="AI422" s="10" t="s">
        <v>719</v>
      </c>
      <c r="AJ422" s="28">
        <f>IF(AN422=0,J422,0)</f>
        <v>0</v>
      </c>
      <c r="AK422" s="28">
        <f>IF(AN422=12,J422,0)</f>
        <v>0</v>
      </c>
      <c r="AL422" s="28">
        <f>IF(AN422=21,J422,0)</f>
        <v>0</v>
      </c>
      <c r="AN422" s="28">
        <v>21</v>
      </c>
      <c r="AO422" s="28">
        <f>G422*1</f>
        <v>0</v>
      </c>
      <c r="AP422" s="28">
        <f>G422*(1-1)</f>
        <v>0</v>
      </c>
      <c r="AQ422" s="30" t="s">
        <v>56</v>
      </c>
      <c r="AV422" s="28">
        <f>ROUND(AW422+AX422,2)</f>
        <v>0</v>
      </c>
      <c r="AW422" s="28">
        <f>ROUND(F422*AO422,2)</f>
        <v>0</v>
      </c>
      <c r="AX422" s="28">
        <f>ROUND(F422*AP422,2)</f>
        <v>0</v>
      </c>
      <c r="AY422" s="30" t="s">
        <v>689</v>
      </c>
      <c r="AZ422" s="30" t="s">
        <v>770</v>
      </c>
      <c r="BA422" s="10" t="s">
        <v>725</v>
      </c>
      <c r="BC422" s="28">
        <f>AW422+AX422</f>
        <v>0</v>
      </c>
      <c r="BD422" s="28">
        <f>G422/(100-BE422)*100</f>
        <v>0</v>
      </c>
      <c r="BE422" s="28">
        <v>0</v>
      </c>
      <c r="BF422" s="28">
        <f>422</f>
        <v>422</v>
      </c>
      <c r="BH422" s="28">
        <f>F422*AO422</f>
        <v>0</v>
      </c>
      <c r="BI422" s="28">
        <f>F422*AP422</f>
        <v>0</v>
      </c>
      <c r="BJ422" s="28">
        <f>F422*G422</f>
        <v>0</v>
      </c>
      <c r="BK422" s="28"/>
      <c r="BL422" s="28">
        <v>56</v>
      </c>
      <c r="BW422" s="28">
        <v>21</v>
      </c>
      <c r="BX422" s="4" t="s">
        <v>789</v>
      </c>
    </row>
    <row r="423" spans="1:76" ht="14.4" x14ac:dyDescent="0.3">
      <c r="A423" s="31"/>
      <c r="C423" s="32" t="s">
        <v>790</v>
      </c>
      <c r="D423" s="32" t="s">
        <v>791</v>
      </c>
      <c r="F423" s="33">
        <v>781</v>
      </c>
      <c r="K423" s="34"/>
    </row>
    <row r="424" spans="1:76" ht="14.4" x14ac:dyDescent="0.3">
      <c r="A424" s="31"/>
      <c r="C424" s="32" t="s">
        <v>792</v>
      </c>
      <c r="D424" s="32" t="s">
        <v>51</v>
      </c>
      <c r="F424" s="33">
        <v>7.81</v>
      </c>
      <c r="K424" s="34"/>
    </row>
    <row r="425" spans="1:76" ht="105.6" x14ac:dyDescent="0.3">
      <c r="A425" s="31"/>
      <c r="B425" s="35" t="s">
        <v>68</v>
      </c>
      <c r="C425" s="93" t="s">
        <v>793</v>
      </c>
      <c r="D425" s="94"/>
      <c r="E425" s="94"/>
      <c r="F425" s="94"/>
      <c r="G425" s="94"/>
      <c r="H425" s="94"/>
      <c r="I425" s="94"/>
      <c r="J425" s="94"/>
      <c r="K425" s="95"/>
      <c r="BX425" s="36" t="s">
        <v>793</v>
      </c>
    </row>
    <row r="426" spans="1:76" ht="14.4" x14ac:dyDescent="0.3">
      <c r="A426" s="2" t="s">
        <v>794</v>
      </c>
      <c r="B426" s="3" t="s">
        <v>795</v>
      </c>
      <c r="C426" s="75" t="s">
        <v>796</v>
      </c>
      <c r="D426" s="70"/>
      <c r="E426" s="3" t="s">
        <v>103</v>
      </c>
      <c r="F426" s="28">
        <v>106.5</v>
      </c>
      <c r="G426" s="28">
        <v>0</v>
      </c>
      <c r="H426" s="28">
        <f>ROUND(F426*AO426,2)</f>
        <v>0</v>
      </c>
      <c r="I426" s="28">
        <f>ROUND(F426*AP426,2)</f>
        <v>0</v>
      </c>
      <c r="J426" s="28">
        <f>ROUND(F426*G426,2)</f>
        <v>0</v>
      </c>
      <c r="K426" s="29" t="s">
        <v>60</v>
      </c>
      <c r="Z426" s="28">
        <f>ROUND(IF(AQ426="5",BJ426,0),2)</f>
        <v>0</v>
      </c>
      <c r="AB426" s="28">
        <f>ROUND(IF(AQ426="1",BH426,0),2)</f>
        <v>0</v>
      </c>
      <c r="AC426" s="28">
        <f>ROUND(IF(AQ426="1",BI426,0),2)</f>
        <v>0</v>
      </c>
      <c r="AD426" s="28">
        <f>ROUND(IF(AQ426="7",BH426,0),2)</f>
        <v>0</v>
      </c>
      <c r="AE426" s="28">
        <f>ROUND(IF(AQ426="7",BI426,0),2)</f>
        <v>0</v>
      </c>
      <c r="AF426" s="28">
        <f>ROUND(IF(AQ426="2",BH426,0),2)</f>
        <v>0</v>
      </c>
      <c r="AG426" s="28">
        <f>ROUND(IF(AQ426="2",BI426,0),2)</f>
        <v>0</v>
      </c>
      <c r="AH426" s="28">
        <f>ROUND(IF(AQ426="0",BJ426,0),2)</f>
        <v>0</v>
      </c>
      <c r="AI426" s="10" t="s">
        <v>719</v>
      </c>
      <c r="AJ426" s="28">
        <f>IF(AN426=0,J426,0)</f>
        <v>0</v>
      </c>
      <c r="AK426" s="28">
        <f>IF(AN426=12,J426,0)</f>
        <v>0</v>
      </c>
      <c r="AL426" s="28">
        <f>IF(AN426=21,J426,0)</f>
        <v>0</v>
      </c>
      <c r="AN426" s="28">
        <v>21</v>
      </c>
      <c r="AO426" s="28">
        <f>G426*0.818066925</f>
        <v>0</v>
      </c>
      <c r="AP426" s="28">
        <f>G426*(1-0.818066925)</f>
        <v>0</v>
      </c>
      <c r="AQ426" s="30" t="s">
        <v>56</v>
      </c>
      <c r="AV426" s="28">
        <f>ROUND(AW426+AX426,2)</f>
        <v>0</v>
      </c>
      <c r="AW426" s="28">
        <f>ROUND(F426*AO426,2)</f>
        <v>0</v>
      </c>
      <c r="AX426" s="28">
        <f>ROUND(F426*AP426,2)</f>
        <v>0</v>
      </c>
      <c r="AY426" s="30" t="s">
        <v>689</v>
      </c>
      <c r="AZ426" s="30" t="s">
        <v>770</v>
      </c>
      <c r="BA426" s="10" t="s">
        <v>725</v>
      </c>
      <c r="BC426" s="28">
        <f>AW426+AX426</f>
        <v>0</v>
      </c>
      <c r="BD426" s="28">
        <f>G426/(100-BE426)*100</f>
        <v>0</v>
      </c>
      <c r="BE426" s="28">
        <v>0</v>
      </c>
      <c r="BF426" s="28">
        <f>426</f>
        <v>426</v>
      </c>
      <c r="BH426" s="28">
        <f>F426*AO426</f>
        <v>0</v>
      </c>
      <c r="BI426" s="28">
        <f>F426*AP426</f>
        <v>0</v>
      </c>
      <c r="BJ426" s="28">
        <f>F426*G426</f>
        <v>0</v>
      </c>
      <c r="BK426" s="28"/>
      <c r="BL426" s="28">
        <v>56</v>
      </c>
      <c r="BW426" s="28">
        <v>21</v>
      </c>
      <c r="BX426" s="4" t="s">
        <v>796</v>
      </c>
    </row>
    <row r="427" spans="1:76" ht="14.4" x14ac:dyDescent="0.3">
      <c r="A427" s="31"/>
      <c r="C427" s="32" t="s">
        <v>797</v>
      </c>
      <c r="D427" s="32" t="s">
        <v>798</v>
      </c>
      <c r="F427" s="33">
        <v>73.5</v>
      </c>
      <c r="K427" s="34"/>
    </row>
    <row r="428" spans="1:76" ht="14.4" x14ac:dyDescent="0.3">
      <c r="A428" s="31"/>
      <c r="C428" s="32" t="s">
        <v>138</v>
      </c>
      <c r="D428" s="32" t="s">
        <v>755</v>
      </c>
      <c r="F428" s="33">
        <v>9</v>
      </c>
      <c r="K428" s="34"/>
    </row>
    <row r="429" spans="1:76" ht="14.4" x14ac:dyDescent="0.3">
      <c r="A429" s="31"/>
      <c r="C429" s="32" t="s">
        <v>217</v>
      </c>
      <c r="D429" s="32" t="s">
        <v>799</v>
      </c>
      <c r="F429" s="33">
        <v>24</v>
      </c>
      <c r="K429" s="34"/>
    </row>
    <row r="430" spans="1:76" ht="26.4" x14ac:dyDescent="0.3">
      <c r="A430" s="31"/>
      <c r="B430" s="35" t="s">
        <v>68</v>
      </c>
      <c r="C430" s="93" t="s">
        <v>800</v>
      </c>
      <c r="D430" s="94"/>
      <c r="E430" s="94"/>
      <c r="F430" s="94"/>
      <c r="G430" s="94"/>
      <c r="H430" s="94"/>
      <c r="I430" s="94"/>
      <c r="J430" s="94"/>
      <c r="K430" s="95"/>
      <c r="BX430" s="36" t="s">
        <v>800</v>
      </c>
    </row>
    <row r="431" spans="1:76" ht="14.4" x14ac:dyDescent="0.3">
      <c r="A431" s="2" t="s">
        <v>801</v>
      </c>
      <c r="B431" s="3" t="s">
        <v>802</v>
      </c>
      <c r="C431" s="75" t="s">
        <v>803</v>
      </c>
      <c r="D431" s="70"/>
      <c r="E431" s="3" t="s">
        <v>103</v>
      </c>
      <c r="F431" s="28">
        <v>415</v>
      </c>
      <c r="G431" s="28">
        <v>0</v>
      </c>
      <c r="H431" s="28">
        <f>ROUND(F431*AO431,2)</f>
        <v>0</v>
      </c>
      <c r="I431" s="28">
        <f>ROUND(F431*AP431,2)</f>
        <v>0</v>
      </c>
      <c r="J431" s="28">
        <f>ROUND(F431*G431,2)</f>
        <v>0</v>
      </c>
      <c r="K431" s="29" t="s">
        <v>60</v>
      </c>
      <c r="Z431" s="28">
        <f>ROUND(IF(AQ431="5",BJ431,0),2)</f>
        <v>0</v>
      </c>
      <c r="AB431" s="28">
        <f>ROUND(IF(AQ431="1",BH431,0),2)</f>
        <v>0</v>
      </c>
      <c r="AC431" s="28">
        <f>ROUND(IF(AQ431="1",BI431,0),2)</f>
        <v>0</v>
      </c>
      <c r="AD431" s="28">
        <f>ROUND(IF(AQ431="7",BH431,0),2)</f>
        <v>0</v>
      </c>
      <c r="AE431" s="28">
        <f>ROUND(IF(AQ431="7",BI431,0),2)</f>
        <v>0</v>
      </c>
      <c r="AF431" s="28">
        <f>ROUND(IF(AQ431="2",BH431,0),2)</f>
        <v>0</v>
      </c>
      <c r="AG431" s="28">
        <f>ROUND(IF(AQ431="2",BI431,0),2)</f>
        <v>0</v>
      </c>
      <c r="AH431" s="28">
        <f>ROUND(IF(AQ431="0",BJ431,0),2)</f>
        <v>0</v>
      </c>
      <c r="AI431" s="10" t="s">
        <v>719</v>
      </c>
      <c r="AJ431" s="28">
        <f>IF(AN431=0,J431,0)</f>
        <v>0</v>
      </c>
      <c r="AK431" s="28">
        <f>IF(AN431=12,J431,0)</f>
        <v>0</v>
      </c>
      <c r="AL431" s="28">
        <f>IF(AN431=21,J431,0)</f>
        <v>0</v>
      </c>
      <c r="AN431" s="28">
        <v>21</v>
      </c>
      <c r="AO431" s="28">
        <f>G431*0.843307087</f>
        <v>0</v>
      </c>
      <c r="AP431" s="28">
        <f>G431*(1-0.843307087)</f>
        <v>0</v>
      </c>
      <c r="AQ431" s="30" t="s">
        <v>56</v>
      </c>
      <c r="AV431" s="28">
        <f>ROUND(AW431+AX431,2)</f>
        <v>0</v>
      </c>
      <c r="AW431" s="28">
        <f>ROUND(F431*AO431,2)</f>
        <v>0</v>
      </c>
      <c r="AX431" s="28">
        <f>ROUND(F431*AP431,2)</f>
        <v>0</v>
      </c>
      <c r="AY431" s="30" t="s">
        <v>689</v>
      </c>
      <c r="AZ431" s="30" t="s">
        <v>770</v>
      </c>
      <c r="BA431" s="10" t="s">
        <v>725</v>
      </c>
      <c r="BC431" s="28">
        <f>AW431+AX431</f>
        <v>0</v>
      </c>
      <c r="BD431" s="28">
        <f>G431/(100-BE431)*100</f>
        <v>0</v>
      </c>
      <c r="BE431" s="28">
        <v>0</v>
      </c>
      <c r="BF431" s="28">
        <f>431</f>
        <v>431</v>
      </c>
      <c r="BH431" s="28">
        <f>F431*AO431</f>
        <v>0</v>
      </c>
      <c r="BI431" s="28">
        <f>F431*AP431</f>
        <v>0</v>
      </c>
      <c r="BJ431" s="28">
        <f>F431*G431</f>
        <v>0</v>
      </c>
      <c r="BK431" s="28"/>
      <c r="BL431" s="28">
        <v>56</v>
      </c>
      <c r="BW431" s="28">
        <v>21</v>
      </c>
      <c r="BX431" s="4" t="s">
        <v>803</v>
      </c>
    </row>
    <row r="432" spans="1:76" ht="14.4" x14ac:dyDescent="0.3">
      <c r="A432" s="31"/>
      <c r="C432" s="32" t="s">
        <v>751</v>
      </c>
      <c r="D432" s="32" t="s">
        <v>804</v>
      </c>
      <c r="F432" s="33">
        <v>415</v>
      </c>
      <c r="K432" s="34"/>
    </row>
    <row r="433" spans="1:76" ht="26.4" x14ac:dyDescent="0.3">
      <c r="A433" s="31"/>
      <c r="B433" s="35" t="s">
        <v>68</v>
      </c>
      <c r="C433" s="93" t="s">
        <v>805</v>
      </c>
      <c r="D433" s="94"/>
      <c r="E433" s="94"/>
      <c r="F433" s="94"/>
      <c r="G433" s="94"/>
      <c r="H433" s="94"/>
      <c r="I433" s="94"/>
      <c r="J433" s="94"/>
      <c r="K433" s="95"/>
      <c r="BX433" s="36" t="s">
        <v>805</v>
      </c>
    </row>
    <row r="434" spans="1:76" ht="14.4" x14ac:dyDescent="0.3">
      <c r="A434" s="2" t="s">
        <v>806</v>
      </c>
      <c r="B434" s="3" t="s">
        <v>807</v>
      </c>
      <c r="C434" s="75" t="s">
        <v>808</v>
      </c>
      <c r="D434" s="70"/>
      <c r="E434" s="3" t="s">
        <v>103</v>
      </c>
      <c r="F434" s="28">
        <v>40</v>
      </c>
      <c r="G434" s="28">
        <v>0</v>
      </c>
      <c r="H434" s="28">
        <f>ROUND(F434*AO434,2)</f>
        <v>0</v>
      </c>
      <c r="I434" s="28">
        <f>ROUND(F434*AP434,2)</f>
        <v>0</v>
      </c>
      <c r="J434" s="28">
        <f>ROUND(F434*G434,2)</f>
        <v>0</v>
      </c>
      <c r="K434" s="29" t="s">
        <v>60</v>
      </c>
      <c r="Z434" s="28">
        <f>ROUND(IF(AQ434="5",BJ434,0),2)</f>
        <v>0</v>
      </c>
      <c r="AB434" s="28">
        <f>ROUND(IF(AQ434="1",BH434,0),2)</f>
        <v>0</v>
      </c>
      <c r="AC434" s="28">
        <f>ROUND(IF(AQ434="1",BI434,0),2)</f>
        <v>0</v>
      </c>
      <c r="AD434" s="28">
        <f>ROUND(IF(AQ434="7",BH434,0),2)</f>
        <v>0</v>
      </c>
      <c r="AE434" s="28">
        <f>ROUND(IF(AQ434="7",BI434,0),2)</f>
        <v>0</v>
      </c>
      <c r="AF434" s="28">
        <f>ROUND(IF(AQ434="2",BH434,0),2)</f>
        <v>0</v>
      </c>
      <c r="AG434" s="28">
        <f>ROUND(IF(AQ434="2",BI434,0),2)</f>
        <v>0</v>
      </c>
      <c r="AH434" s="28">
        <f>ROUND(IF(AQ434="0",BJ434,0),2)</f>
        <v>0</v>
      </c>
      <c r="AI434" s="10" t="s">
        <v>719</v>
      </c>
      <c r="AJ434" s="28">
        <f>IF(AN434=0,J434,0)</f>
        <v>0</v>
      </c>
      <c r="AK434" s="28">
        <f>IF(AN434=12,J434,0)</f>
        <v>0</v>
      </c>
      <c r="AL434" s="28">
        <f>IF(AN434=21,J434,0)</f>
        <v>0</v>
      </c>
      <c r="AN434" s="28">
        <v>21</v>
      </c>
      <c r="AO434" s="28">
        <f>G434*0.868529909</f>
        <v>0</v>
      </c>
      <c r="AP434" s="28">
        <f>G434*(1-0.868529909)</f>
        <v>0</v>
      </c>
      <c r="AQ434" s="30" t="s">
        <v>56</v>
      </c>
      <c r="AV434" s="28">
        <f>ROUND(AW434+AX434,2)</f>
        <v>0</v>
      </c>
      <c r="AW434" s="28">
        <f>ROUND(F434*AO434,2)</f>
        <v>0</v>
      </c>
      <c r="AX434" s="28">
        <f>ROUND(F434*AP434,2)</f>
        <v>0</v>
      </c>
      <c r="AY434" s="30" t="s">
        <v>689</v>
      </c>
      <c r="AZ434" s="30" t="s">
        <v>770</v>
      </c>
      <c r="BA434" s="10" t="s">
        <v>725</v>
      </c>
      <c r="BC434" s="28">
        <f>AW434+AX434</f>
        <v>0</v>
      </c>
      <c r="BD434" s="28">
        <f>G434/(100-BE434)*100</f>
        <v>0</v>
      </c>
      <c r="BE434" s="28">
        <v>0</v>
      </c>
      <c r="BF434" s="28">
        <f>434</f>
        <v>434</v>
      </c>
      <c r="BH434" s="28">
        <f>F434*AO434</f>
        <v>0</v>
      </c>
      <c r="BI434" s="28">
        <f>F434*AP434</f>
        <v>0</v>
      </c>
      <c r="BJ434" s="28">
        <f>F434*G434</f>
        <v>0</v>
      </c>
      <c r="BK434" s="28"/>
      <c r="BL434" s="28">
        <v>56</v>
      </c>
      <c r="BW434" s="28">
        <v>21</v>
      </c>
      <c r="BX434" s="4" t="s">
        <v>808</v>
      </c>
    </row>
    <row r="435" spans="1:76" ht="13.5" customHeight="1" x14ac:dyDescent="0.3">
      <c r="A435" s="31"/>
      <c r="B435" s="35" t="s">
        <v>105</v>
      </c>
      <c r="C435" s="96" t="s">
        <v>809</v>
      </c>
      <c r="D435" s="97"/>
      <c r="E435" s="97"/>
      <c r="F435" s="97"/>
      <c r="G435" s="97"/>
      <c r="H435" s="97"/>
      <c r="I435" s="97"/>
      <c r="J435" s="97"/>
      <c r="K435" s="98"/>
    </row>
    <row r="436" spans="1:76" ht="14.4" x14ac:dyDescent="0.3">
      <c r="A436" s="31"/>
      <c r="C436" s="32" t="s">
        <v>318</v>
      </c>
      <c r="D436" s="32" t="s">
        <v>810</v>
      </c>
      <c r="F436" s="33">
        <v>40</v>
      </c>
      <c r="K436" s="34"/>
    </row>
    <row r="437" spans="1:76" ht="14.4" x14ac:dyDescent="0.3">
      <c r="A437" s="24" t="s">
        <v>51</v>
      </c>
      <c r="B437" s="25" t="s">
        <v>305</v>
      </c>
      <c r="C437" s="91" t="s">
        <v>306</v>
      </c>
      <c r="D437" s="92"/>
      <c r="E437" s="26" t="s">
        <v>4</v>
      </c>
      <c r="F437" s="26" t="s">
        <v>4</v>
      </c>
      <c r="G437" s="26" t="s">
        <v>4</v>
      </c>
      <c r="H437" s="1">
        <f>SUM(H438:H464)</f>
        <v>0</v>
      </c>
      <c r="I437" s="1">
        <f>SUM(I438:I464)</f>
        <v>0</v>
      </c>
      <c r="J437" s="1">
        <f>SUM(J438:J464)</f>
        <v>0</v>
      </c>
      <c r="K437" s="27" t="s">
        <v>51</v>
      </c>
      <c r="AI437" s="10" t="s">
        <v>719</v>
      </c>
      <c r="AS437" s="1">
        <f>SUM(AJ438:AJ464)</f>
        <v>0</v>
      </c>
      <c r="AT437" s="1">
        <f>SUM(AK438:AK464)</f>
        <v>0</v>
      </c>
      <c r="AU437" s="1">
        <f>SUM(AL438:AL464)</f>
        <v>0</v>
      </c>
    </row>
    <row r="438" spans="1:76" ht="14.4" x14ac:dyDescent="0.3">
      <c r="A438" s="2" t="s">
        <v>811</v>
      </c>
      <c r="B438" s="3" t="s">
        <v>812</v>
      </c>
      <c r="C438" s="75" t="s">
        <v>813</v>
      </c>
      <c r="D438" s="70"/>
      <c r="E438" s="3" t="s">
        <v>103</v>
      </c>
      <c r="F438" s="28">
        <v>351.5</v>
      </c>
      <c r="G438" s="28">
        <v>0</v>
      </c>
      <c r="H438" s="28">
        <f>ROUND(F438*AO438,2)</f>
        <v>0</v>
      </c>
      <c r="I438" s="28">
        <f>ROUND(F438*AP438,2)</f>
        <v>0</v>
      </c>
      <c r="J438" s="28">
        <f>ROUND(F438*G438,2)</f>
        <v>0</v>
      </c>
      <c r="K438" s="29" t="s">
        <v>60</v>
      </c>
      <c r="Z438" s="28">
        <f>ROUND(IF(AQ438="5",BJ438,0),2)</f>
        <v>0</v>
      </c>
      <c r="AB438" s="28">
        <f>ROUND(IF(AQ438="1",BH438,0),2)</f>
        <v>0</v>
      </c>
      <c r="AC438" s="28">
        <f>ROUND(IF(AQ438="1",BI438,0),2)</f>
        <v>0</v>
      </c>
      <c r="AD438" s="28">
        <f>ROUND(IF(AQ438="7",BH438,0),2)</f>
        <v>0</v>
      </c>
      <c r="AE438" s="28">
        <f>ROUND(IF(AQ438="7",BI438,0),2)</f>
        <v>0</v>
      </c>
      <c r="AF438" s="28">
        <f>ROUND(IF(AQ438="2",BH438,0),2)</f>
        <v>0</v>
      </c>
      <c r="AG438" s="28">
        <f>ROUND(IF(AQ438="2",BI438,0),2)</f>
        <v>0</v>
      </c>
      <c r="AH438" s="28">
        <f>ROUND(IF(AQ438="0",BJ438,0),2)</f>
        <v>0</v>
      </c>
      <c r="AI438" s="10" t="s">
        <v>719</v>
      </c>
      <c r="AJ438" s="28">
        <f>IF(AN438=0,J438,0)</f>
        <v>0</v>
      </c>
      <c r="AK438" s="28">
        <f>IF(AN438=12,J438,0)</f>
        <v>0</v>
      </c>
      <c r="AL438" s="28">
        <f>IF(AN438=21,J438,0)</f>
        <v>0</v>
      </c>
      <c r="AN438" s="28">
        <v>21</v>
      </c>
      <c r="AO438" s="28">
        <f>G438*0.195254691</f>
        <v>0</v>
      </c>
      <c r="AP438" s="28">
        <f>G438*(1-0.195254691)</f>
        <v>0</v>
      </c>
      <c r="AQ438" s="30" t="s">
        <v>56</v>
      </c>
      <c r="AV438" s="28">
        <f>ROUND(AW438+AX438,2)</f>
        <v>0</v>
      </c>
      <c r="AW438" s="28">
        <f>ROUND(F438*AO438,2)</f>
        <v>0</v>
      </c>
      <c r="AX438" s="28">
        <f>ROUND(F438*AP438,2)</f>
        <v>0</v>
      </c>
      <c r="AY438" s="30" t="s">
        <v>310</v>
      </c>
      <c r="AZ438" s="30" t="s">
        <v>770</v>
      </c>
      <c r="BA438" s="10" t="s">
        <v>725</v>
      </c>
      <c r="BC438" s="28">
        <f>AW438+AX438</f>
        <v>0</v>
      </c>
      <c r="BD438" s="28">
        <f>G438/(100-BE438)*100</f>
        <v>0</v>
      </c>
      <c r="BE438" s="28">
        <v>0</v>
      </c>
      <c r="BF438" s="28">
        <f>438</f>
        <v>438</v>
      </c>
      <c r="BH438" s="28">
        <f>F438*AO438</f>
        <v>0</v>
      </c>
      <c r="BI438" s="28">
        <f>F438*AP438</f>
        <v>0</v>
      </c>
      <c r="BJ438" s="28">
        <f>F438*G438</f>
        <v>0</v>
      </c>
      <c r="BK438" s="28"/>
      <c r="BL438" s="28">
        <v>59</v>
      </c>
      <c r="BW438" s="28">
        <v>21</v>
      </c>
      <c r="BX438" s="4" t="s">
        <v>813</v>
      </c>
    </row>
    <row r="439" spans="1:76" ht="14.4" x14ac:dyDescent="0.3">
      <c r="A439" s="31"/>
      <c r="C439" s="32" t="s">
        <v>771</v>
      </c>
      <c r="D439" s="32" t="s">
        <v>814</v>
      </c>
      <c r="F439" s="33">
        <v>227</v>
      </c>
      <c r="K439" s="34"/>
    </row>
    <row r="440" spans="1:76" ht="14.4" x14ac:dyDescent="0.3">
      <c r="A440" s="31"/>
      <c r="C440" s="32" t="s">
        <v>185</v>
      </c>
      <c r="D440" s="32" t="s">
        <v>815</v>
      </c>
      <c r="F440" s="33">
        <v>18</v>
      </c>
      <c r="K440" s="34"/>
    </row>
    <row r="441" spans="1:76" ht="14.4" x14ac:dyDescent="0.3">
      <c r="A441" s="31"/>
      <c r="C441" s="32" t="s">
        <v>138</v>
      </c>
      <c r="D441" s="32" t="s">
        <v>755</v>
      </c>
      <c r="F441" s="33">
        <v>9</v>
      </c>
      <c r="K441" s="34"/>
    </row>
    <row r="442" spans="1:76" ht="14.4" x14ac:dyDescent="0.3">
      <c r="A442" s="31"/>
      <c r="C442" s="32" t="s">
        <v>217</v>
      </c>
      <c r="D442" s="32" t="s">
        <v>799</v>
      </c>
      <c r="F442" s="33">
        <v>24</v>
      </c>
      <c r="K442" s="34"/>
    </row>
    <row r="443" spans="1:76" ht="14.4" x14ac:dyDescent="0.3">
      <c r="A443" s="31"/>
      <c r="C443" s="32" t="s">
        <v>797</v>
      </c>
      <c r="D443" s="32" t="s">
        <v>816</v>
      </c>
      <c r="F443" s="33">
        <v>73.5</v>
      </c>
      <c r="K443" s="34"/>
    </row>
    <row r="444" spans="1:76" ht="66" x14ac:dyDescent="0.3">
      <c r="A444" s="31"/>
      <c r="B444" s="35" t="s">
        <v>68</v>
      </c>
      <c r="C444" s="93" t="s">
        <v>817</v>
      </c>
      <c r="D444" s="94"/>
      <c r="E444" s="94"/>
      <c r="F444" s="94"/>
      <c r="G444" s="94"/>
      <c r="H444" s="94"/>
      <c r="I444" s="94"/>
      <c r="J444" s="94"/>
      <c r="K444" s="95"/>
      <c r="BX444" s="36" t="s">
        <v>817</v>
      </c>
    </row>
    <row r="445" spans="1:76" ht="14.4" x14ac:dyDescent="0.3">
      <c r="A445" s="2" t="s">
        <v>818</v>
      </c>
      <c r="B445" s="3" t="s">
        <v>819</v>
      </c>
      <c r="C445" s="75" t="s">
        <v>820</v>
      </c>
      <c r="D445" s="70"/>
      <c r="E445" s="3" t="s">
        <v>103</v>
      </c>
      <c r="F445" s="28">
        <v>60.5</v>
      </c>
      <c r="G445" s="28">
        <v>0</v>
      </c>
      <c r="H445" s="28">
        <f>ROUND(F445*AO445,2)</f>
        <v>0</v>
      </c>
      <c r="I445" s="28">
        <f>ROUND(F445*AP445,2)</f>
        <v>0</v>
      </c>
      <c r="J445" s="28">
        <f>ROUND(F445*G445,2)</f>
        <v>0</v>
      </c>
      <c r="K445" s="29" t="s">
        <v>60</v>
      </c>
      <c r="Z445" s="28">
        <f>ROUND(IF(AQ445="5",BJ445,0),2)</f>
        <v>0</v>
      </c>
      <c r="AB445" s="28">
        <f>ROUND(IF(AQ445="1",BH445,0),2)</f>
        <v>0</v>
      </c>
      <c r="AC445" s="28">
        <f>ROUND(IF(AQ445="1",BI445,0),2)</f>
        <v>0</v>
      </c>
      <c r="AD445" s="28">
        <f>ROUND(IF(AQ445="7",BH445,0),2)</f>
        <v>0</v>
      </c>
      <c r="AE445" s="28">
        <f>ROUND(IF(AQ445="7",BI445,0),2)</f>
        <v>0</v>
      </c>
      <c r="AF445" s="28">
        <f>ROUND(IF(AQ445="2",BH445,0),2)</f>
        <v>0</v>
      </c>
      <c r="AG445" s="28">
        <f>ROUND(IF(AQ445="2",BI445,0),2)</f>
        <v>0</v>
      </c>
      <c r="AH445" s="28">
        <f>ROUND(IF(AQ445="0",BJ445,0),2)</f>
        <v>0</v>
      </c>
      <c r="AI445" s="10" t="s">
        <v>719</v>
      </c>
      <c r="AJ445" s="28">
        <f>IF(AN445=0,J445,0)</f>
        <v>0</v>
      </c>
      <c r="AK445" s="28">
        <f>IF(AN445=12,J445,0)</f>
        <v>0</v>
      </c>
      <c r="AL445" s="28">
        <f>IF(AN445=21,J445,0)</f>
        <v>0</v>
      </c>
      <c r="AN445" s="28">
        <v>21</v>
      </c>
      <c r="AO445" s="28">
        <f>G445*1</f>
        <v>0</v>
      </c>
      <c r="AP445" s="28">
        <f>G445*(1-1)</f>
        <v>0</v>
      </c>
      <c r="AQ445" s="30" t="s">
        <v>56</v>
      </c>
      <c r="AV445" s="28">
        <f>ROUND(AW445+AX445,2)</f>
        <v>0</v>
      </c>
      <c r="AW445" s="28">
        <f>ROUND(F445*AO445,2)</f>
        <v>0</v>
      </c>
      <c r="AX445" s="28">
        <f>ROUND(F445*AP445,2)</f>
        <v>0</v>
      </c>
      <c r="AY445" s="30" t="s">
        <v>310</v>
      </c>
      <c r="AZ445" s="30" t="s">
        <v>770</v>
      </c>
      <c r="BA445" s="10" t="s">
        <v>725</v>
      </c>
      <c r="BC445" s="28">
        <f>AW445+AX445</f>
        <v>0</v>
      </c>
      <c r="BD445" s="28">
        <f>G445/(100-BE445)*100</f>
        <v>0</v>
      </c>
      <c r="BE445" s="28">
        <v>0</v>
      </c>
      <c r="BF445" s="28">
        <f>445</f>
        <v>445</v>
      </c>
      <c r="BH445" s="28">
        <f>F445*AO445</f>
        <v>0</v>
      </c>
      <c r="BI445" s="28">
        <f>F445*AP445</f>
        <v>0</v>
      </c>
      <c r="BJ445" s="28">
        <f>F445*G445</f>
        <v>0</v>
      </c>
      <c r="BK445" s="28"/>
      <c r="BL445" s="28">
        <v>59</v>
      </c>
      <c r="BW445" s="28">
        <v>21</v>
      </c>
      <c r="BX445" s="4" t="s">
        <v>820</v>
      </c>
    </row>
    <row r="446" spans="1:76" ht="14.4" x14ac:dyDescent="0.3">
      <c r="A446" s="31"/>
      <c r="C446" s="32" t="s">
        <v>302</v>
      </c>
      <c r="D446" s="32" t="s">
        <v>821</v>
      </c>
      <c r="F446" s="33">
        <v>37</v>
      </c>
      <c r="K446" s="34"/>
    </row>
    <row r="447" spans="1:76" ht="14.4" x14ac:dyDescent="0.3">
      <c r="A447" s="31"/>
      <c r="C447" s="32" t="s">
        <v>185</v>
      </c>
      <c r="D447" s="32" t="s">
        <v>822</v>
      </c>
      <c r="F447" s="33">
        <v>18</v>
      </c>
      <c r="K447" s="34"/>
    </row>
    <row r="448" spans="1:76" ht="14.4" x14ac:dyDescent="0.3">
      <c r="A448" s="31"/>
      <c r="C448" s="32" t="s">
        <v>823</v>
      </c>
      <c r="D448" s="32" t="s">
        <v>51</v>
      </c>
      <c r="F448" s="33">
        <v>5.5</v>
      </c>
      <c r="K448" s="34"/>
    </row>
    <row r="449" spans="1:76" ht="14.4" x14ac:dyDescent="0.3">
      <c r="A449" s="2" t="s">
        <v>824</v>
      </c>
      <c r="B449" s="3" t="s">
        <v>825</v>
      </c>
      <c r="C449" s="75" t="s">
        <v>826</v>
      </c>
      <c r="D449" s="70"/>
      <c r="E449" s="3" t="s">
        <v>103</v>
      </c>
      <c r="F449" s="28">
        <v>315.7</v>
      </c>
      <c r="G449" s="28">
        <v>0</v>
      </c>
      <c r="H449" s="28">
        <f>ROUND(F449*AO449,2)</f>
        <v>0</v>
      </c>
      <c r="I449" s="28">
        <f>ROUND(F449*AP449,2)</f>
        <v>0</v>
      </c>
      <c r="J449" s="28">
        <f>ROUND(F449*G449,2)</f>
        <v>0</v>
      </c>
      <c r="K449" s="29" t="s">
        <v>60</v>
      </c>
      <c r="Z449" s="28">
        <f>ROUND(IF(AQ449="5",BJ449,0),2)</f>
        <v>0</v>
      </c>
      <c r="AB449" s="28">
        <f>ROUND(IF(AQ449="1",BH449,0),2)</f>
        <v>0</v>
      </c>
      <c r="AC449" s="28">
        <f>ROUND(IF(AQ449="1",BI449,0),2)</f>
        <v>0</v>
      </c>
      <c r="AD449" s="28">
        <f>ROUND(IF(AQ449="7",BH449,0),2)</f>
        <v>0</v>
      </c>
      <c r="AE449" s="28">
        <f>ROUND(IF(AQ449="7",BI449,0),2)</f>
        <v>0</v>
      </c>
      <c r="AF449" s="28">
        <f>ROUND(IF(AQ449="2",BH449,0),2)</f>
        <v>0</v>
      </c>
      <c r="AG449" s="28">
        <f>ROUND(IF(AQ449="2",BI449,0),2)</f>
        <v>0</v>
      </c>
      <c r="AH449" s="28">
        <f>ROUND(IF(AQ449="0",BJ449,0),2)</f>
        <v>0</v>
      </c>
      <c r="AI449" s="10" t="s">
        <v>719</v>
      </c>
      <c r="AJ449" s="28">
        <f>IF(AN449=0,J449,0)</f>
        <v>0</v>
      </c>
      <c r="AK449" s="28">
        <f>IF(AN449=12,J449,0)</f>
        <v>0</v>
      </c>
      <c r="AL449" s="28">
        <f>IF(AN449=21,J449,0)</f>
        <v>0</v>
      </c>
      <c r="AN449" s="28">
        <v>21</v>
      </c>
      <c r="AO449" s="28">
        <f>G449*1</f>
        <v>0</v>
      </c>
      <c r="AP449" s="28">
        <f>G449*(1-1)</f>
        <v>0</v>
      </c>
      <c r="AQ449" s="30" t="s">
        <v>56</v>
      </c>
      <c r="AV449" s="28">
        <f>ROUND(AW449+AX449,2)</f>
        <v>0</v>
      </c>
      <c r="AW449" s="28">
        <f>ROUND(F449*AO449,2)</f>
        <v>0</v>
      </c>
      <c r="AX449" s="28">
        <f>ROUND(F449*AP449,2)</f>
        <v>0</v>
      </c>
      <c r="AY449" s="30" t="s">
        <v>310</v>
      </c>
      <c r="AZ449" s="30" t="s">
        <v>770</v>
      </c>
      <c r="BA449" s="10" t="s">
        <v>725</v>
      </c>
      <c r="BC449" s="28">
        <f>AW449+AX449</f>
        <v>0</v>
      </c>
      <c r="BD449" s="28">
        <f>G449/(100-BE449)*100</f>
        <v>0</v>
      </c>
      <c r="BE449" s="28">
        <v>0</v>
      </c>
      <c r="BF449" s="28">
        <f>449</f>
        <v>449</v>
      </c>
      <c r="BH449" s="28">
        <f>F449*AO449</f>
        <v>0</v>
      </c>
      <c r="BI449" s="28">
        <f>F449*AP449</f>
        <v>0</v>
      </c>
      <c r="BJ449" s="28">
        <f>F449*G449</f>
        <v>0</v>
      </c>
      <c r="BK449" s="28"/>
      <c r="BL449" s="28">
        <v>59</v>
      </c>
      <c r="BW449" s="28">
        <v>21</v>
      </c>
      <c r="BX449" s="4" t="s">
        <v>826</v>
      </c>
    </row>
    <row r="450" spans="1:76" ht="14.4" x14ac:dyDescent="0.3">
      <c r="A450" s="31"/>
      <c r="C450" s="32" t="s">
        <v>827</v>
      </c>
      <c r="D450" s="32" t="s">
        <v>828</v>
      </c>
      <c r="F450" s="33">
        <v>182</v>
      </c>
      <c r="K450" s="34"/>
    </row>
    <row r="451" spans="1:76" ht="14.4" x14ac:dyDescent="0.3">
      <c r="A451" s="31"/>
      <c r="C451" s="32" t="s">
        <v>138</v>
      </c>
      <c r="D451" s="32" t="s">
        <v>755</v>
      </c>
      <c r="F451" s="33">
        <v>9</v>
      </c>
      <c r="K451" s="34"/>
    </row>
    <row r="452" spans="1:76" ht="14.4" x14ac:dyDescent="0.3">
      <c r="A452" s="31"/>
      <c r="C452" s="32" t="s">
        <v>217</v>
      </c>
      <c r="D452" s="32" t="s">
        <v>829</v>
      </c>
      <c r="F452" s="33">
        <v>24</v>
      </c>
      <c r="K452" s="34"/>
    </row>
    <row r="453" spans="1:76" ht="14.4" x14ac:dyDescent="0.3">
      <c r="A453" s="31"/>
      <c r="C453" s="32" t="s">
        <v>503</v>
      </c>
      <c r="D453" s="32" t="s">
        <v>830</v>
      </c>
      <c r="F453" s="33">
        <v>72</v>
      </c>
      <c r="K453" s="34"/>
    </row>
    <row r="454" spans="1:76" ht="14.4" x14ac:dyDescent="0.3">
      <c r="A454" s="31"/>
      <c r="C454" s="32" t="s">
        <v>831</v>
      </c>
      <c r="D454" s="32" t="s">
        <v>51</v>
      </c>
      <c r="F454" s="33">
        <v>28.7</v>
      </c>
      <c r="K454" s="34"/>
    </row>
    <row r="455" spans="1:76" ht="14.4" x14ac:dyDescent="0.3">
      <c r="A455" s="2" t="s">
        <v>832</v>
      </c>
      <c r="B455" s="3" t="s">
        <v>833</v>
      </c>
      <c r="C455" s="75" t="s">
        <v>834</v>
      </c>
      <c r="D455" s="70"/>
      <c r="E455" s="3" t="s">
        <v>103</v>
      </c>
      <c r="F455" s="28">
        <v>1.65</v>
      </c>
      <c r="G455" s="28">
        <v>0</v>
      </c>
      <c r="H455" s="28">
        <f>ROUND(F455*AO455,2)</f>
        <v>0</v>
      </c>
      <c r="I455" s="28">
        <f>ROUND(F455*AP455,2)</f>
        <v>0</v>
      </c>
      <c r="J455" s="28">
        <f>ROUND(F455*G455,2)</f>
        <v>0</v>
      </c>
      <c r="K455" s="29" t="s">
        <v>60</v>
      </c>
      <c r="Z455" s="28">
        <f>ROUND(IF(AQ455="5",BJ455,0),2)</f>
        <v>0</v>
      </c>
      <c r="AB455" s="28">
        <f>ROUND(IF(AQ455="1",BH455,0),2)</f>
        <v>0</v>
      </c>
      <c r="AC455" s="28">
        <f>ROUND(IF(AQ455="1",BI455,0),2)</f>
        <v>0</v>
      </c>
      <c r="AD455" s="28">
        <f>ROUND(IF(AQ455="7",BH455,0),2)</f>
        <v>0</v>
      </c>
      <c r="AE455" s="28">
        <f>ROUND(IF(AQ455="7",BI455,0),2)</f>
        <v>0</v>
      </c>
      <c r="AF455" s="28">
        <f>ROUND(IF(AQ455="2",BH455,0),2)</f>
        <v>0</v>
      </c>
      <c r="AG455" s="28">
        <f>ROUND(IF(AQ455="2",BI455,0),2)</f>
        <v>0</v>
      </c>
      <c r="AH455" s="28">
        <f>ROUND(IF(AQ455="0",BJ455,0),2)</f>
        <v>0</v>
      </c>
      <c r="AI455" s="10" t="s">
        <v>719</v>
      </c>
      <c r="AJ455" s="28">
        <f>IF(AN455=0,J455,0)</f>
        <v>0</v>
      </c>
      <c r="AK455" s="28">
        <f>IF(AN455=12,J455,0)</f>
        <v>0</v>
      </c>
      <c r="AL455" s="28">
        <f>IF(AN455=21,J455,0)</f>
        <v>0</v>
      </c>
      <c r="AN455" s="28">
        <v>21</v>
      </c>
      <c r="AO455" s="28">
        <f>G455*1</f>
        <v>0</v>
      </c>
      <c r="AP455" s="28">
        <f>G455*(1-1)</f>
        <v>0</v>
      </c>
      <c r="AQ455" s="30" t="s">
        <v>56</v>
      </c>
      <c r="AV455" s="28">
        <f>ROUND(AW455+AX455,2)</f>
        <v>0</v>
      </c>
      <c r="AW455" s="28">
        <f>ROUND(F455*AO455,2)</f>
        <v>0</v>
      </c>
      <c r="AX455" s="28">
        <f>ROUND(F455*AP455,2)</f>
        <v>0</v>
      </c>
      <c r="AY455" s="30" t="s">
        <v>310</v>
      </c>
      <c r="AZ455" s="30" t="s">
        <v>770</v>
      </c>
      <c r="BA455" s="10" t="s">
        <v>725</v>
      </c>
      <c r="BC455" s="28">
        <f>AW455+AX455</f>
        <v>0</v>
      </c>
      <c r="BD455" s="28">
        <f>G455/(100-BE455)*100</f>
        <v>0</v>
      </c>
      <c r="BE455" s="28">
        <v>0</v>
      </c>
      <c r="BF455" s="28">
        <f>455</f>
        <v>455</v>
      </c>
      <c r="BH455" s="28">
        <f>F455*AO455</f>
        <v>0</v>
      </c>
      <c r="BI455" s="28">
        <f>F455*AP455</f>
        <v>0</v>
      </c>
      <c r="BJ455" s="28">
        <f>F455*G455</f>
        <v>0</v>
      </c>
      <c r="BK455" s="28"/>
      <c r="BL455" s="28">
        <v>59</v>
      </c>
      <c r="BW455" s="28">
        <v>21</v>
      </c>
      <c r="BX455" s="4" t="s">
        <v>834</v>
      </c>
    </row>
    <row r="456" spans="1:76" ht="14.4" x14ac:dyDescent="0.3">
      <c r="A456" s="31"/>
      <c r="C456" s="32" t="s">
        <v>835</v>
      </c>
      <c r="D456" s="32" t="s">
        <v>816</v>
      </c>
      <c r="F456" s="33">
        <v>1.5</v>
      </c>
      <c r="K456" s="34"/>
    </row>
    <row r="457" spans="1:76" ht="14.4" x14ac:dyDescent="0.3">
      <c r="A457" s="31"/>
      <c r="C457" s="32" t="s">
        <v>836</v>
      </c>
      <c r="D457" s="32" t="s">
        <v>51</v>
      </c>
      <c r="F457" s="33">
        <v>0.15</v>
      </c>
      <c r="K457" s="34"/>
    </row>
    <row r="458" spans="1:76" ht="14.4" x14ac:dyDescent="0.3">
      <c r="A458" s="2" t="s">
        <v>837</v>
      </c>
      <c r="B458" s="3" t="s">
        <v>838</v>
      </c>
      <c r="C458" s="75" t="s">
        <v>839</v>
      </c>
      <c r="D458" s="70"/>
      <c r="E458" s="3" t="s">
        <v>103</v>
      </c>
      <c r="F458" s="28">
        <v>8.8000000000000007</v>
      </c>
      <c r="G458" s="28">
        <v>0</v>
      </c>
      <c r="H458" s="28">
        <f>ROUND(F458*AO458,2)</f>
        <v>0</v>
      </c>
      <c r="I458" s="28">
        <f>ROUND(F458*AP458,2)</f>
        <v>0</v>
      </c>
      <c r="J458" s="28">
        <f>ROUND(F458*G458,2)</f>
        <v>0</v>
      </c>
      <c r="K458" s="29" t="s">
        <v>60</v>
      </c>
      <c r="Z458" s="28">
        <f>ROUND(IF(AQ458="5",BJ458,0),2)</f>
        <v>0</v>
      </c>
      <c r="AB458" s="28">
        <f>ROUND(IF(AQ458="1",BH458,0),2)</f>
        <v>0</v>
      </c>
      <c r="AC458" s="28">
        <f>ROUND(IF(AQ458="1",BI458,0),2)</f>
        <v>0</v>
      </c>
      <c r="AD458" s="28">
        <f>ROUND(IF(AQ458="7",BH458,0),2)</f>
        <v>0</v>
      </c>
      <c r="AE458" s="28">
        <f>ROUND(IF(AQ458="7",BI458,0),2)</f>
        <v>0</v>
      </c>
      <c r="AF458" s="28">
        <f>ROUND(IF(AQ458="2",BH458,0),2)</f>
        <v>0</v>
      </c>
      <c r="AG458" s="28">
        <f>ROUND(IF(AQ458="2",BI458,0),2)</f>
        <v>0</v>
      </c>
      <c r="AH458" s="28">
        <f>ROUND(IF(AQ458="0",BJ458,0),2)</f>
        <v>0</v>
      </c>
      <c r="AI458" s="10" t="s">
        <v>719</v>
      </c>
      <c r="AJ458" s="28">
        <f>IF(AN458=0,J458,0)</f>
        <v>0</v>
      </c>
      <c r="AK458" s="28">
        <f>IF(AN458=12,J458,0)</f>
        <v>0</v>
      </c>
      <c r="AL458" s="28">
        <f>IF(AN458=21,J458,0)</f>
        <v>0</v>
      </c>
      <c r="AN458" s="28">
        <v>21</v>
      </c>
      <c r="AO458" s="28">
        <f>G458*1</f>
        <v>0</v>
      </c>
      <c r="AP458" s="28">
        <f>G458*(1-1)</f>
        <v>0</v>
      </c>
      <c r="AQ458" s="30" t="s">
        <v>56</v>
      </c>
      <c r="AV458" s="28">
        <f>ROUND(AW458+AX458,2)</f>
        <v>0</v>
      </c>
      <c r="AW458" s="28">
        <f>ROUND(F458*AO458,2)</f>
        <v>0</v>
      </c>
      <c r="AX458" s="28">
        <f>ROUND(F458*AP458,2)</f>
        <v>0</v>
      </c>
      <c r="AY458" s="30" t="s">
        <v>310</v>
      </c>
      <c r="AZ458" s="30" t="s">
        <v>770</v>
      </c>
      <c r="BA458" s="10" t="s">
        <v>725</v>
      </c>
      <c r="BC458" s="28">
        <f>AW458+AX458</f>
        <v>0</v>
      </c>
      <c r="BD458" s="28">
        <f>G458/(100-BE458)*100</f>
        <v>0</v>
      </c>
      <c r="BE458" s="28">
        <v>0</v>
      </c>
      <c r="BF458" s="28">
        <f>458</f>
        <v>458</v>
      </c>
      <c r="BH458" s="28">
        <f>F458*AO458</f>
        <v>0</v>
      </c>
      <c r="BI458" s="28">
        <f>F458*AP458</f>
        <v>0</v>
      </c>
      <c r="BJ458" s="28">
        <f>F458*G458</f>
        <v>0</v>
      </c>
      <c r="BK458" s="28"/>
      <c r="BL458" s="28">
        <v>59</v>
      </c>
      <c r="BW458" s="28">
        <v>21</v>
      </c>
      <c r="BX458" s="4" t="s">
        <v>839</v>
      </c>
    </row>
    <row r="459" spans="1:76" ht="14.4" x14ac:dyDescent="0.3">
      <c r="A459" s="31"/>
      <c r="C459" s="32" t="s">
        <v>127</v>
      </c>
      <c r="D459" s="32" t="s">
        <v>840</v>
      </c>
      <c r="F459" s="33">
        <v>8</v>
      </c>
      <c r="K459" s="34"/>
    </row>
    <row r="460" spans="1:76" ht="14.4" x14ac:dyDescent="0.3">
      <c r="A460" s="31"/>
      <c r="C460" s="32" t="s">
        <v>841</v>
      </c>
      <c r="D460" s="32" t="s">
        <v>51</v>
      </c>
      <c r="F460" s="33">
        <v>0.8</v>
      </c>
      <c r="K460" s="34"/>
    </row>
    <row r="461" spans="1:76" ht="14.4" x14ac:dyDescent="0.3">
      <c r="A461" s="2" t="s">
        <v>842</v>
      </c>
      <c r="B461" s="3" t="s">
        <v>843</v>
      </c>
      <c r="C461" s="75" t="s">
        <v>844</v>
      </c>
      <c r="D461" s="70"/>
      <c r="E461" s="3" t="s">
        <v>188</v>
      </c>
      <c r="F461" s="28">
        <v>93</v>
      </c>
      <c r="G461" s="28">
        <v>0</v>
      </c>
      <c r="H461" s="28">
        <f>ROUND(F461*AO461,2)</f>
        <v>0</v>
      </c>
      <c r="I461" s="28">
        <f>ROUND(F461*AP461,2)</f>
        <v>0</v>
      </c>
      <c r="J461" s="28">
        <f>ROUND(F461*G461,2)</f>
        <v>0</v>
      </c>
      <c r="K461" s="29" t="s">
        <v>60</v>
      </c>
      <c r="Z461" s="28">
        <f>ROUND(IF(AQ461="5",BJ461,0),2)</f>
        <v>0</v>
      </c>
      <c r="AB461" s="28">
        <f>ROUND(IF(AQ461="1",BH461,0),2)</f>
        <v>0</v>
      </c>
      <c r="AC461" s="28">
        <f>ROUND(IF(AQ461="1",BI461,0),2)</f>
        <v>0</v>
      </c>
      <c r="AD461" s="28">
        <f>ROUND(IF(AQ461="7",BH461,0),2)</f>
        <v>0</v>
      </c>
      <c r="AE461" s="28">
        <f>ROUND(IF(AQ461="7",BI461,0),2)</f>
        <v>0</v>
      </c>
      <c r="AF461" s="28">
        <f>ROUND(IF(AQ461="2",BH461,0),2)</f>
        <v>0</v>
      </c>
      <c r="AG461" s="28">
        <f>ROUND(IF(AQ461="2",BI461,0),2)</f>
        <v>0</v>
      </c>
      <c r="AH461" s="28">
        <f>ROUND(IF(AQ461="0",BJ461,0),2)</f>
        <v>0</v>
      </c>
      <c r="AI461" s="10" t="s">
        <v>719</v>
      </c>
      <c r="AJ461" s="28">
        <f>IF(AN461=0,J461,0)</f>
        <v>0</v>
      </c>
      <c r="AK461" s="28">
        <f>IF(AN461=12,J461,0)</f>
        <v>0</v>
      </c>
      <c r="AL461" s="28">
        <f>IF(AN461=21,J461,0)</f>
        <v>0</v>
      </c>
      <c r="AN461" s="28">
        <v>21</v>
      </c>
      <c r="AO461" s="28">
        <f>G461*0.055096322</f>
        <v>0</v>
      </c>
      <c r="AP461" s="28">
        <f>G461*(1-0.055096322)</f>
        <v>0</v>
      </c>
      <c r="AQ461" s="30" t="s">
        <v>56</v>
      </c>
      <c r="AV461" s="28">
        <f>ROUND(AW461+AX461,2)</f>
        <v>0</v>
      </c>
      <c r="AW461" s="28">
        <f>ROUND(F461*AO461,2)</f>
        <v>0</v>
      </c>
      <c r="AX461" s="28">
        <f>ROUND(F461*AP461,2)</f>
        <v>0</v>
      </c>
      <c r="AY461" s="30" t="s">
        <v>310</v>
      </c>
      <c r="AZ461" s="30" t="s">
        <v>770</v>
      </c>
      <c r="BA461" s="10" t="s">
        <v>725</v>
      </c>
      <c r="BC461" s="28">
        <f>AW461+AX461</f>
        <v>0</v>
      </c>
      <c r="BD461" s="28">
        <f>G461/(100-BE461)*100</f>
        <v>0</v>
      </c>
      <c r="BE461" s="28">
        <v>0</v>
      </c>
      <c r="BF461" s="28">
        <f>461</f>
        <v>461</v>
      </c>
      <c r="BH461" s="28">
        <f>F461*AO461</f>
        <v>0</v>
      </c>
      <c r="BI461" s="28">
        <f>F461*AP461</f>
        <v>0</v>
      </c>
      <c r="BJ461" s="28">
        <f>F461*G461</f>
        <v>0</v>
      </c>
      <c r="BK461" s="28"/>
      <c r="BL461" s="28">
        <v>59</v>
      </c>
      <c r="BW461" s="28">
        <v>21</v>
      </c>
      <c r="BX461" s="4" t="s">
        <v>844</v>
      </c>
    </row>
    <row r="462" spans="1:76" ht="14.4" x14ac:dyDescent="0.3">
      <c r="A462" s="31"/>
      <c r="C462" s="32" t="s">
        <v>402</v>
      </c>
      <c r="D462" s="32" t="s">
        <v>845</v>
      </c>
      <c r="F462" s="33">
        <v>53</v>
      </c>
      <c r="K462" s="34"/>
    </row>
    <row r="463" spans="1:76" ht="14.4" x14ac:dyDescent="0.3">
      <c r="A463" s="31"/>
      <c r="C463" s="32" t="s">
        <v>318</v>
      </c>
      <c r="D463" s="32" t="s">
        <v>846</v>
      </c>
      <c r="F463" s="33">
        <v>40</v>
      </c>
      <c r="K463" s="34"/>
    </row>
    <row r="464" spans="1:76" ht="14.4" x14ac:dyDescent="0.3">
      <c r="A464" s="2" t="s">
        <v>847</v>
      </c>
      <c r="B464" s="3" t="s">
        <v>848</v>
      </c>
      <c r="C464" s="75" t="s">
        <v>849</v>
      </c>
      <c r="D464" s="70"/>
      <c r="E464" s="3" t="s">
        <v>188</v>
      </c>
      <c r="F464" s="28">
        <v>45</v>
      </c>
      <c r="G464" s="28">
        <v>0</v>
      </c>
      <c r="H464" s="28">
        <f>ROUND(F464*AO464,2)</f>
        <v>0</v>
      </c>
      <c r="I464" s="28">
        <f>ROUND(F464*AP464,2)</f>
        <v>0</v>
      </c>
      <c r="J464" s="28">
        <f>ROUND(F464*G464,2)</f>
        <v>0</v>
      </c>
      <c r="K464" s="29" t="s">
        <v>60</v>
      </c>
      <c r="Z464" s="28">
        <f>ROUND(IF(AQ464="5",BJ464,0),2)</f>
        <v>0</v>
      </c>
      <c r="AB464" s="28">
        <f>ROUND(IF(AQ464="1",BH464,0),2)</f>
        <v>0</v>
      </c>
      <c r="AC464" s="28">
        <f>ROUND(IF(AQ464="1",BI464,0),2)</f>
        <v>0</v>
      </c>
      <c r="AD464" s="28">
        <f>ROUND(IF(AQ464="7",BH464,0),2)</f>
        <v>0</v>
      </c>
      <c r="AE464" s="28">
        <f>ROUND(IF(AQ464="7",BI464,0),2)</f>
        <v>0</v>
      </c>
      <c r="AF464" s="28">
        <f>ROUND(IF(AQ464="2",BH464,0),2)</f>
        <v>0</v>
      </c>
      <c r="AG464" s="28">
        <f>ROUND(IF(AQ464="2",BI464,0),2)</f>
        <v>0</v>
      </c>
      <c r="AH464" s="28">
        <f>ROUND(IF(AQ464="0",BJ464,0),2)</f>
        <v>0</v>
      </c>
      <c r="AI464" s="10" t="s">
        <v>719</v>
      </c>
      <c r="AJ464" s="28">
        <f>IF(AN464=0,J464,0)</f>
        <v>0</v>
      </c>
      <c r="AK464" s="28">
        <f>IF(AN464=12,J464,0)</f>
        <v>0</v>
      </c>
      <c r="AL464" s="28">
        <f>IF(AN464=21,J464,0)</f>
        <v>0</v>
      </c>
      <c r="AN464" s="28">
        <v>21</v>
      </c>
      <c r="AO464" s="28">
        <f>G464*0.873275862</f>
        <v>0</v>
      </c>
      <c r="AP464" s="28">
        <f>G464*(1-0.873275862)</f>
        <v>0</v>
      </c>
      <c r="AQ464" s="30" t="s">
        <v>56</v>
      </c>
      <c r="AV464" s="28">
        <f>ROUND(AW464+AX464,2)</f>
        <v>0</v>
      </c>
      <c r="AW464" s="28">
        <f>ROUND(F464*AO464,2)</f>
        <v>0</v>
      </c>
      <c r="AX464" s="28">
        <f>ROUND(F464*AP464,2)</f>
        <v>0</v>
      </c>
      <c r="AY464" s="30" t="s">
        <v>310</v>
      </c>
      <c r="AZ464" s="30" t="s">
        <v>770</v>
      </c>
      <c r="BA464" s="10" t="s">
        <v>725</v>
      </c>
      <c r="BC464" s="28">
        <f>AW464+AX464</f>
        <v>0</v>
      </c>
      <c r="BD464" s="28">
        <f>G464/(100-BE464)*100</f>
        <v>0</v>
      </c>
      <c r="BE464" s="28">
        <v>0</v>
      </c>
      <c r="BF464" s="28">
        <f>464</f>
        <v>464</v>
      </c>
      <c r="BH464" s="28">
        <f>F464*AO464</f>
        <v>0</v>
      </c>
      <c r="BI464" s="28">
        <f>F464*AP464</f>
        <v>0</v>
      </c>
      <c r="BJ464" s="28">
        <f>F464*G464</f>
        <v>0</v>
      </c>
      <c r="BK464" s="28"/>
      <c r="BL464" s="28">
        <v>59</v>
      </c>
      <c r="BW464" s="28">
        <v>21</v>
      </c>
      <c r="BX464" s="4" t="s">
        <v>849</v>
      </c>
    </row>
    <row r="465" spans="1:76" ht="13.5" customHeight="1" x14ac:dyDescent="0.3">
      <c r="A465" s="31"/>
      <c r="B465" s="35" t="s">
        <v>105</v>
      </c>
      <c r="C465" s="96" t="s">
        <v>850</v>
      </c>
      <c r="D465" s="97"/>
      <c r="E465" s="97"/>
      <c r="F465" s="97"/>
      <c r="G465" s="97"/>
      <c r="H465" s="97"/>
      <c r="I465" s="97"/>
      <c r="J465" s="97"/>
      <c r="K465" s="98"/>
    </row>
    <row r="466" spans="1:76" ht="14.4" x14ac:dyDescent="0.3">
      <c r="A466" s="31"/>
      <c r="B466" s="35" t="s">
        <v>68</v>
      </c>
      <c r="C466" s="93" t="s">
        <v>851</v>
      </c>
      <c r="D466" s="94"/>
      <c r="E466" s="94"/>
      <c r="F466" s="94"/>
      <c r="G466" s="94"/>
      <c r="H466" s="94"/>
      <c r="I466" s="94"/>
      <c r="J466" s="94"/>
      <c r="K466" s="95"/>
      <c r="BX466" s="36" t="s">
        <v>851</v>
      </c>
    </row>
    <row r="467" spans="1:76" ht="14.4" x14ac:dyDescent="0.3">
      <c r="A467" s="24" t="s">
        <v>51</v>
      </c>
      <c r="B467" s="25" t="s">
        <v>452</v>
      </c>
      <c r="C467" s="91" t="s">
        <v>852</v>
      </c>
      <c r="D467" s="92"/>
      <c r="E467" s="26" t="s">
        <v>4</v>
      </c>
      <c r="F467" s="26" t="s">
        <v>4</v>
      </c>
      <c r="G467" s="26" t="s">
        <v>4</v>
      </c>
      <c r="H467" s="1">
        <f>SUM(H468:H468)</f>
        <v>0</v>
      </c>
      <c r="I467" s="1">
        <f>SUM(I468:I468)</f>
        <v>0</v>
      </c>
      <c r="J467" s="1">
        <f>SUM(J468:J468)</f>
        <v>0</v>
      </c>
      <c r="K467" s="27" t="s">
        <v>51</v>
      </c>
      <c r="AI467" s="10" t="s">
        <v>719</v>
      </c>
      <c r="AS467" s="1">
        <f>SUM(AJ468:AJ468)</f>
        <v>0</v>
      </c>
      <c r="AT467" s="1">
        <f>SUM(AK468:AK468)</f>
        <v>0</v>
      </c>
      <c r="AU467" s="1">
        <f>SUM(AL468:AL468)</f>
        <v>0</v>
      </c>
    </row>
    <row r="468" spans="1:76" ht="14.4" x14ac:dyDescent="0.3">
      <c r="A468" s="2" t="s">
        <v>853</v>
      </c>
      <c r="B468" s="3" t="s">
        <v>854</v>
      </c>
      <c r="C468" s="75" t="s">
        <v>855</v>
      </c>
      <c r="D468" s="70"/>
      <c r="E468" s="3" t="s">
        <v>103</v>
      </c>
      <c r="F468" s="28">
        <v>10</v>
      </c>
      <c r="G468" s="28">
        <v>0</v>
      </c>
      <c r="H468" s="28">
        <f>ROUND(F468*AO468,2)</f>
        <v>0</v>
      </c>
      <c r="I468" s="28">
        <f>ROUND(F468*AP468,2)</f>
        <v>0</v>
      </c>
      <c r="J468" s="28">
        <f>ROUND(F468*G468,2)</f>
        <v>0</v>
      </c>
      <c r="K468" s="29" t="s">
        <v>60</v>
      </c>
      <c r="Z468" s="28">
        <f>ROUND(IF(AQ468="5",BJ468,0),2)</f>
        <v>0</v>
      </c>
      <c r="AB468" s="28">
        <f>ROUND(IF(AQ468="1",BH468,0),2)</f>
        <v>0</v>
      </c>
      <c r="AC468" s="28">
        <f>ROUND(IF(AQ468="1",BI468,0),2)</f>
        <v>0</v>
      </c>
      <c r="AD468" s="28">
        <f>ROUND(IF(AQ468="7",BH468,0),2)</f>
        <v>0</v>
      </c>
      <c r="AE468" s="28">
        <f>ROUND(IF(AQ468="7",BI468,0),2)</f>
        <v>0</v>
      </c>
      <c r="AF468" s="28">
        <f>ROUND(IF(AQ468="2",BH468,0),2)</f>
        <v>0</v>
      </c>
      <c r="AG468" s="28">
        <f>ROUND(IF(AQ468="2",BI468,0),2)</f>
        <v>0</v>
      </c>
      <c r="AH468" s="28">
        <f>ROUND(IF(AQ468="0",BJ468,0),2)</f>
        <v>0</v>
      </c>
      <c r="AI468" s="10" t="s">
        <v>719</v>
      </c>
      <c r="AJ468" s="28">
        <f>IF(AN468=0,J468,0)</f>
        <v>0</v>
      </c>
      <c r="AK468" s="28">
        <f>IF(AN468=12,J468,0)</f>
        <v>0</v>
      </c>
      <c r="AL468" s="28">
        <f>IF(AN468=21,J468,0)</f>
        <v>0</v>
      </c>
      <c r="AN468" s="28">
        <v>21</v>
      </c>
      <c r="AO468" s="28">
        <f>G468*0.669208973</f>
        <v>0</v>
      </c>
      <c r="AP468" s="28">
        <f>G468*(1-0.669208973)</f>
        <v>0</v>
      </c>
      <c r="AQ468" s="30" t="s">
        <v>56</v>
      </c>
      <c r="AV468" s="28">
        <f>ROUND(AW468+AX468,2)</f>
        <v>0</v>
      </c>
      <c r="AW468" s="28">
        <f>ROUND(F468*AO468,2)</f>
        <v>0</v>
      </c>
      <c r="AX468" s="28">
        <f>ROUND(F468*AP468,2)</f>
        <v>0</v>
      </c>
      <c r="AY468" s="30" t="s">
        <v>856</v>
      </c>
      <c r="AZ468" s="30" t="s">
        <v>857</v>
      </c>
      <c r="BA468" s="10" t="s">
        <v>725</v>
      </c>
      <c r="BC468" s="28">
        <f>AW468+AX468</f>
        <v>0</v>
      </c>
      <c r="BD468" s="28">
        <f>G468/(100-BE468)*100</f>
        <v>0</v>
      </c>
      <c r="BE468" s="28">
        <v>0</v>
      </c>
      <c r="BF468" s="28">
        <f>468</f>
        <v>468</v>
      </c>
      <c r="BH468" s="28">
        <f>F468*AO468</f>
        <v>0</v>
      </c>
      <c r="BI468" s="28">
        <f>F468*AP468</f>
        <v>0</v>
      </c>
      <c r="BJ468" s="28">
        <f>F468*G468</f>
        <v>0</v>
      </c>
      <c r="BK468" s="28"/>
      <c r="BL468" s="28">
        <v>62</v>
      </c>
      <c r="BW468" s="28">
        <v>21</v>
      </c>
      <c r="BX468" s="4" t="s">
        <v>855</v>
      </c>
    </row>
    <row r="469" spans="1:76" ht="14.4" x14ac:dyDescent="0.3">
      <c r="A469" s="31"/>
      <c r="B469" s="35" t="s">
        <v>68</v>
      </c>
      <c r="C469" s="93" t="s">
        <v>858</v>
      </c>
      <c r="D469" s="94"/>
      <c r="E469" s="94"/>
      <c r="F469" s="94"/>
      <c r="G469" s="94"/>
      <c r="H469" s="94"/>
      <c r="I469" s="94"/>
      <c r="J469" s="94"/>
      <c r="K469" s="95"/>
      <c r="BX469" s="36" t="s">
        <v>858</v>
      </c>
    </row>
    <row r="470" spans="1:76" ht="14.4" x14ac:dyDescent="0.3">
      <c r="A470" s="24" t="s">
        <v>51</v>
      </c>
      <c r="B470" s="25" t="s">
        <v>362</v>
      </c>
      <c r="C470" s="91" t="s">
        <v>363</v>
      </c>
      <c r="D470" s="92"/>
      <c r="E470" s="26" t="s">
        <v>4</v>
      </c>
      <c r="F470" s="26" t="s">
        <v>4</v>
      </c>
      <c r="G470" s="26" t="s">
        <v>4</v>
      </c>
      <c r="H470" s="1">
        <f>SUM(H471:H473)</f>
        <v>0</v>
      </c>
      <c r="I470" s="1">
        <f>SUM(I471:I473)</f>
        <v>0</v>
      </c>
      <c r="J470" s="1">
        <f>SUM(J471:J473)</f>
        <v>0</v>
      </c>
      <c r="K470" s="27" t="s">
        <v>51</v>
      </c>
      <c r="AI470" s="10" t="s">
        <v>719</v>
      </c>
      <c r="AS470" s="1">
        <f>SUM(AJ471:AJ473)</f>
        <v>0</v>
      </c>
      <c r="AT470" s="1">
        <f>SUM(AK471:AK473)</f>
        <v>0</v>
      </c>
      <c r="AU470" s="1">
        <f>SUM(AL471:AL473)</f>
        <v>0</v>
      </c>
    </row>
    <row r="471" spans="1:76" ht="14.4" x14ac:dyDescent="0.3">
      <c r="A471" s="2" t="s">
        <v>859</v>
      </c>
      <c r="B471" s="3" t="s">
        <v>860</v>
      </c>
      <c r="C471" s="75" t="s">
        <v>861</v>
      </c>
      <c r="D471" s="70"/>
      <c r="E471" s="3" t="s">
        <v>103</v>
      </c>
      <c r="F471" s="28">
        <v>45</v>
      </c>
      <c r="G471" s="28">
        <v>0</v>
      </c>
      <c r="H471" s="28">
        <f>ROUND(F471*AO471,2)</f>
        <v>0</v>
      </c>
      <c r="I471" s="28">
        <f>ROUND(F471*AP471,2)</f>
        <v>0</v>
      </c>
      <c r="J471" s="28">
        <f>ROUND(F471*G471,2)</f>
        <v>0</v>
      </c>
      <c r="K471" s="29" t="s">
        <v>60</v>
      </c>
      <c r="Z471" s="28">
        <f>ROUND(IF(AQ471="5",BJ471,0),2)</f>
        <v>0</v>
      </c>
      <c r="AB471" s="28">
        <f>ROUND(IF(AQ471="1",BH471,0),2)</f>
        <v>0</v>
      </c>
      <c r="AC471" s="28">
        <f>ROUND(IF(AQ471="1",BI471,0),2)</f>
        <v>0</v>
      </c>
      <c r="AD471" s="28">
        <f>ROUND(IF(AQ471="7",BH471,0),2)</f>
        <v>0</v>
      </c>
      <c r="AE471" s="28">
        <f>ROUND(IF(AQ471="7",BI471,0),2)</f>
        <v>0</v>
      </c>
      <c r="AF471" s="28">
        <f>ROUND(IF(AQ471="2",BH471,0),2)</f>
        <v>0</v>
      </c>
      <c r="AG471" s="28">
        <f>ROUND(IF(AQ471="2",BI471,0),2)</f>
        <v>0</v>
      </c>
      <c r="AH471" s="28">
        <f>ROUND(IF(AQ471="0",BJ471,0),2)</f>
        <v>0</v>
      </c>
      <c r="AI471" s="10" t="s">
        <v>719</v>
      </c>
      <c r="AJ471" s="28">
        <f>IF(AN471=0,J471,0)</f>
        <v>0</v>
      </c>
      <c r="AK471" s="28">
        <f>IF(AN471=12,J471,0)</f>
        <v>0</v>
      </c>
      <c r="AL471" s="28">
        <f>IF(AN471=21,J471,0)</f>
        <v>0</v>
      </c>
      <c r="AN471" s="28">
        <v>21</v>
      </c>
      <c r="AO471" s="28">
        <f>G471*0.698885246</f>
        <v>0</v>
      </c>
      <c r="AP471" s="28">
        <f>G471*(1-0.698885246)</f>
        <v>0</v>
      </c>
      <c r="AQ471" s="30" t="s">
        <v>118</v>
      </c>
      <c r="AV471" s="28">
        <f>ROUND(AW471+AX471,2)</f>
        <v>0</v>
      </c>
      <c r="AW471" s="28">
        <f>ROUND(F471*AO471,2)</f>
        <v>0</v>
      </c>
      <c r="AX471" s="28">
        <f>ROUND(F471*AP471,2)</f>
        <v>0</v>
      </c>
      <c r="AY471" s="30" t="s">
        <v>367</v>
      </c>
      <c r="AZ471" s="30" t="s">
        <v>862</v>
      </c>
      <c r="BA471" s="10" t="s">
        <v>725</v>
      </c>
      <c r="BC471" s="28">
        <f>AW471+AX471</f>
        <v>0</v>
      </c>
      <c r="BD471" s="28">
        <f>G471/(100-BE471)*100</f>
        <v>0</v>
      </c>
      <c r="BE471" s="28">
        <v>0</v>
      </c>
      <c r="BF471" s="28">
        <f>471</f>
        <v>471</v>
      </c>
      <c r="BH471" s="28">
        <f>F471*AO471</f>
        <v>0</v>
      </c>
      <c r="BI471" s="28">
        <f>F471*AP471</f>
        <v>0</v>
      </c>
      <c r="BJ471" s="28">
        <f>F471*G471</f>
        <v>0</v>
      </c>
      <c r="BK471" s="28"/>
      <c r="BL471" s="28">
        <v>711</v>
      </c>
      <c r="BW471" s="28">
        <v>21</v>
      </c>
      <c r="BX471" s="4" t="s">
        <v>861</v>
      </c>
    </row>
    <row r="472" spans="1:76" ht="13.5" customHeight="1" x14ac:dyDescent="0.3">
      <c r="A472" s="31"/>
      <c r="B472" s="35" t="s">
        <v>105</v>
      </c>
      <c r="C472" s="96" t="s">
        <v>863</v>
      </c>
      <c r="D472" s="97"/>
      <c r="E472" s="97"/>
      <c r="F472" s="97"/>
      <c r="G472" s="97"/>
      <c r="H472" s="97"/>
      <c r="I472" s="97"/>
      <c r="J472" s="97"/>
      <c r="K472" s="98"/>
    </row>
    <row r="473" spans="1:76" ht="14.4" x14ac:dyDescent="0.3">
      <c r="A473" s="2" t="s">
        <v>864</v>
      </c>
      <c r="B473" s="3" t="s">
        <v>865</v>
      </c>
      <c r="C473" s="75" t="s">
        <v>866</v>
      </c>
      <c r="D473" s="70"/>
      <c r="E473" s="3" t="s">
        <v>188</v>
      </c>
      <c r="F473" s="28">
        <v>45</v>
      </c>
      <c r="G473" s="28">
        <v>0</v>
      </c>
      <c r="H473" s="28">
        <f>ROUND(F473*AO473,2)</f>
        <v>0</v>
      </c>
      <c r="I473" s="28">
        <f>ROUND(F473*AP473,2)</f>
        <v>0</v>
      </c>
      <c r="J473" s="28">
        <f>ROUND(F473*G473,2)</f>
        <v>0</v>
      </c>
      <c r="K473" s="29" t="s">
        <v>60</v>
      </c>
      <c r="Z473" s="28">
        <f>ROUND(IF(AQ473="5",BJ473,0),2)</f>
        <v>0</v>
      </c>
      <c r="AB473" s="28">
        <f>ROUND(IF(AQ473="1",BH473,0),2)</f>
        <v>0</v>
      </c>
      <c r="AC473" s="28">
        <f>ROUND(IF(AQ473="1",BI473,0),2)</f>
        <v>0</v>
      </c>
      <c r="AD473" s="28">
        <f>ROUND(IF(AQ473="7",BH473,0),2)</f>
        <v>0</v>
      </c>
      <c r="AE473" s="28">
        <f>ROUND(IF(AQ473="7",BI473,0),2)</f>
        <v>0</v>
      </c>
      <c r="AF473" s="28">
        <f>ROUND(IF(AQ473="2",BH473,0),2)</f>
        <v>0</v>
      </c>
      <c r="AG473" s="28">
        <f>ROUND(IF(AQ473="2",BI473,0),2)</f>
        <v>0</v>
      </c>
      <c r="AH473" s="28">
        <f>ROUND(IF(AQ473="0",BJ473,0),2)</f>
        <v>0</v>
      </c>
      <c r="AI473" s="10" t="s">
        <v>719</v>
      </c>
      <c r="AJ473" s="28">
        <f>IF(AN473=0,J473,0)</f>
        <v>0</v>
      </c>
      <c r="AK473" s="28">
        <f>IF(AN473=12,J473,0)</f>
        <v>0</v>
      </c>
      <c r="AL473" s="28">
        <f>IF(AN473=21,J473,0)</f>
        <v>0</v>
      </c>
      <c r="AN473" s="28">
        <v>21</v>
      </c>
      <c r="AO473" s="28">
        <f>G473*0.740271493</f>
        <v>0</v>
      </c>
      <c r="AP473" s="28">
        <f>G473*(1-0.740271493)</f>
        <v>0</v>
      </c>
      <c r="AQ473" s="30" t="s">
        <v>118</v>
      </c>
      <c r="AV473" s="28">
        <f>ROUND(AW473+AX473,2)</f>
        <v>0</v>
      </c>
      <c r="AW473" s="28">
        <f>ROUND(F473*AO473,2)</f>
        <v>0</v>
      </c>
      <c r="AX473" s="28">
        <f>ROUND(F473*AP473,2)</f>
        <v>0</v>
      </c>
      <c r="AY473" s="30" t="s">
        <v>367</v>
      </c>
      <c r="AZ473" s="30" t="s">
        <v>862</v>
      </c>
      <c r="BA473" s="10" t="s">
        <v>725</v>
      </c>
      <c r="BC473" s="28">
        <f>AW473+AX473</f>
        <v>0</v>
      </c>
      <c r="BD473" s="28">
        <f>G473/(100-BE473)*100</f>
        <v>0</v>
      </c>
      <c r="BE473" s="28">
        <v>0</v>
      </c>
      <c r="BF473" s="28">
        <f>473</f>
        <v>473</v>
      </c>
      <c r="BH473" s="28">
        <f>F473*AO473</f>
        <v>0</v>
      </c>
      <c r="BI473" s="28">
        <f>F473*AP473</f>
        <v>0</v>
      </c>
      <c r="BJ473" s="28">
        <f>F473*G473</f>
        <v>0</v>
      </c>
      <c r="BK473" s="28"/>
      <c r="BL473" s="28">
        <v>711</v>
      </c>
      <c r="BW473" s="28">
        <v>21</v>
      </c>
      <c r="BX473" s="4" t="s">
        <v>866</v>
      </c>
    </row>
    <row r="474" spans="1:76" ht="13.5" customHeight="1" x14ac:dyDescent="0.3">
      <c r="A474" s="31"/>
      <c r="B474" s="35" t="s">
        <v>105</v>
      </c>
      <c r="C474" s="96" t="s">
        <v>867</v>
      </c>
      <c r="D474" s="97"/>
      <c r="E474" s="97"/>
      <c r="F474" s="97"/>
      <c r="G474" s="97"/>
      <c r="H474" s="97"/>
      <c r="I474" s="97"/>
      <c r="J474" s="97"/>
      <c r="K474" s="98"/>
    </row>
    <row r="475" spans="1:76" ht="14.4" x14ac:dyDescent="0.3">
      <c r="A475" s="24" t="s">
        <v>51</v>
      </c>
      <c r="B475" s="25" t="s">
        <v>446</v>
      </c>
      <c r="C475" s="91" t="s">
        <v>447</v>
      </c>
      <c r="D475" s="92"/>
      <c r="E475" s="26" t="s">
        <v>4</v>
      </c>
      <c r="F475" s="26" t="s">
        <v>4</v>
      </c>
      <c r="G475" s="26" t="s">
        <v>4</v>
      </c>
      <c r="H475" s="1">
        <f>SUM(H476:H480)</f>
        <v>0</v>
      </c>
      <c r="I475" s="1">
        <f>SUM(I476:I480)</f>
        <v>0</v>
      </c>
      <c r="J475" s="1">
        <f>SUM(J476:J480)</f>
        <v>0</v>
      </c>
      <c r="K475" s="27" t="s">
        <v>51</v>
      </c>
      <c r="AI475" s="10" t="s">
        <v>719</v>
      </c>
      <c r="AS475" s="1">
        <f>SUM(AJ476:AJ480)</f>
        <v>0</v>
      </c>
      <c r="AT475" s="1">
        <f>SUM(AK476:AK480)</f>
        <v>0</v>
      </c>
      <c r="AU475" s="1">
        <f>SUM(AL476:AL480)</f>
        <v>0</v>
      </c>
    </row>
    <row r="476" spans="1:76" ht="14.4" x14ac:dyDescent="0.3">
      <c r="A476" s="2" t="s">
        <v>868</v>
      </c>
      <c r="B476" s="3" t="s">
        <v>869</v>
      </c>
      <c r="C476" s="75" t="s">
        <v>870</v>
      </c>
      <c r="D476" s="70"/>
      <c r="E476" s="3" t="s">
        <v>188</v>
      </c>
      <c r="F476" s="28">
        <v>4.5</v>
      </c>
      <c r="G476" s="28">
        <v>0</v>
      </c>
      <c r="H476" s="28">
        <f>ROUND(F476*AO476,2)</f>
        <v>0</v>
      </c>
      <c r="I476" s="28">
        <f>ROUND(F476*AP476,2)</f>
        <v>0</v>
      </c>
      <c r="J476" s="28">
        <f>ROUND(F476*G476,2)</f>
        <v>0</v>
      </c>
      <c r="K476" s="29" t="s">
        <v>60</v>
      </c>
      <c r="Z476" s="28">
        <f>ROUND(IF(AQ476="5",BJ476,0),2)</f>
        <v>0</v>
      </c>
      <c r="AB476" s="28">
        <f>ROUND(IF(AQ476="1",BH476,0),2)</f>
        <v>0</v>
      </c>
      <c r="AC476" s="28">
        <f>ROUND(IF(AQ476="1",BI476,0),2)</f>
        <v>0</v>
      </c>
      <c r="AD476" s="28">
        <f>ROUND(IF(AQ476="7",BH476,0),2)</f>
        <v>0</v>
      </c>
      <c r="AE476" s="28">
        <f>ROUND(IF(AQ476="7",BI476,0),2)</f>
        <v>0</v>
      </c>
      <c r="AF476" s="28">
        <f>ROUND(IF(AQ476="2",BH476,0),2)</f>
        <v>0</v>
      </c>
      <c r="AG476" s="28">
        <f>ROUND(IF(AQ476="2",BI476,0),2)</f>
        <v>0</v>
      </c>
      <c r="AH476" s="28">
        <f>ROUND(IF(AQ476="0",BJ476,0),2)</f>
        <v>0</v>
      </c>
      <c r="AI476" s="10" t="s">
        <v>719</v>
      </c>
      <c r="AJ476" s="28">
        <f>IF(AN476=0,J476,0)</f>
        <v>0</v>
      </c>
      <c r="AK476" s="28">
        <f>IF(AN476=12,J476,0)</f>
        <v>0</v>
      </c>
      <c r="AL476" s="28">
        <f>IF(AN476=21,J476,0)</f>
        <v>0</v>
      </c>
      <c r="AN476" s="28">
        <v>21</v>
      </c>
      <c r="AO476" s="28">
        <f>G476*0.866249583</f>
        <v>0</v>
      </c>
      <c r="AP476" s="28">
        <f>G476*(1-0.866249583)</f>
        <v>0</v>
      </c>
      <c r="AQ476" s="30" t="s">
        <v>118</v>
      </c>
      <c r="AV476" s="28">
        <f>ROUND(AW476+AX476,2)</f>
        <v>0</v>
      </c>
      <c r="AW476" s="28">
        <f>ROUND(F476*AO476,2)</f>
        <v>0</v>
      </c>
      <c r="AX476" s="28">
        <f>ROUND(F476*AP476,2)</f>
        <v>0</v>
      </c>
      <c r="AY476" s="30" t="s">
        <v>451</v>
      </c>
      <c r="AZ476" s="30" t="s">
        <v>871</v>
      </c>
      <c r="BA476" s="10" t="s">
        <v>725</v>
      </c>
      <c r="BC476" s="28">
        <f>AW476+AX476</f>
        <v>0</v>
      </c>
      <c r="BD476" s="28">
        <f>G476/(100-BE476)*100</f>
        <v>0</v>
      </c>
      <c r="BE476" s="28">
        <v>0</v>
      </c>
      <c r="BF476" s="28">
        <f>476</f>
        <v>476</v>
      </c>
      <c r="BH476" s="28">
        <f>F476*AO476</f>
        <v>0</v>
      </c>
      <c r="BI476" s="28">
        <f>F476*AP476</f>
        <v>0</v>
      </c>
      <c r="BJ476" s="28">
        <f>F476*G476</f>
        <v>0</v>
      </c>
      <c r="BK476" s="28"/>
      <c r="BL476" s="28">
        <v>767</v>
      </c>
      <c r="BW476" s="28">
        <v>21</v>
      </c>
      <c r="BX476" s="4" t="s">
        <v>870</v>
      </c>
    </row>
    <row r="477" spans="1:76" ht="40.5" customHeight="1" x14ac:dyDescent="0.3">
      <c r="A477" s="31"/>
      <c r="B477" s="35" t="s">
        <v>105</v>
      </c>
      <c r="C477" s="96" t="s">
        <v>872</v>
      </c>
      <c r="D477" s="97"/>
      <c r="E477" s="97"/>
      <c r="F477" s="97"/>
      <c r="G477" s="97"/>
      <c r="H477" s="97"/>
      <c r="I477" s="97"/>
      <c r="J477" s="97"/>
      <c r="K477" s="98"/>
    </row>
    <row r="478" spans="1:76" ht="14.4" x14ac:dyDescent="0.3">
      <c r="A478" s="31"/>
      <c r="C478" s="32" t="s">
        <v>835</v>
      </c>
      <c r="D478" s="32" t="s">
        <v>873</v>
      </c>
      <c r="F478" s="33">
        <v>1.5</v>
      </c>
      <c r="K478" s="34"/>
    </row>
    <row r="479" spans="1:76" ht="14.4" x14ac:dyDescent="0.3">
      <c r="A479" s="31"/>
      <c r="C479" s="32" t="s">
        <v>80</v>
      </c>
      <c r="D479" s="32" t="s">
        <v>874</v>
      </c>
      <c r="F479" s="33">
        <v>3</v>
      </c>
      <c r="K479" s="34"/>
    </row>
    <row r="480" spans="1:76" ht="14.4" x14ac:dyDescent="0.3">
      <c r="A480" s="2" t="s">
        <v>875</v>
      </c>
      <c r="B480" s="3" t="s">
        <v>876</v>
      </c>
      <c r="C480" s="75" t="s">
        <v>877</v>
      </c>
      <c r="D480" s="70"/>
      <c r="E480" s="3" t="s">
        <v>188</v>
      </c>
      <c r="F480" s="28">
        <v>5</v>
      </c>
      <c r="G480" s="28">
        <v>0</v>
      </c>
      <c r="H480" s="28">
        <f>ROUND(F480*AO480,2)</f>
        <v>0</v>
      </c>
      <c r="I480" s="28">
        <f>ROUND(F480*AP480,2)</f>
        <v>0</v>
      </c>
      <c r="J480" s="28">
        <f>ROUND(F480*G480,2)</f>
        <v>0</v>
      </c>
      <c r="K480" s="29" t="s">
        <v>60</v>
      </c>
      <c r="Z480" s="28">
        <f>ROUND(IF(AQ480="5",BJ480,0),2)</f>
        <v>0</v>
      </c>
      <c r="AB480" s="28">
        <f>ROUND(IF(AQ480="1",BH480,0),2)</f>
        <v>0</v>
      </c>
      <c r="AC480" s="28">
        <f>ROUND(IF(AQ480="1",BI480,0),2)</f>
        <v>0</v>
      </c>
      <c r="AD480" s="28">
        <f>ROUND(IF(AQ480="7",BH480,0),2)</f>
        <v>0</v>
      </c>
      <c r="AE480" s="28">
        <f>ROUND(IF(AQ480="7",BI480,0),2)</f>
        <v>0</v>
      </c>
      <c r="AF480" s="28">
        <f>ROUND(IF(AQ480="2",BH480,0),2)</f>
        <v>0</v>
      </c>
      <c r="AG480" s="28">
        <f>ROUND(IF(AQ480="2",BI480,0),2)</f>
        <v>0</v>
      </c>
      <c r="AH480" s="28">
        <f>ROUND(IF(AQ480="0",BJ480,0),2)</f>
        <v>0</v>
      </c>
      <c r="AI480" s="10" t="s">
        <v>719</v>
      </c>
      <c r="AJ480" s="28">
        <f>IF(AN480=0,J480,0)</f>
        <v>0</v>
      </c>
      <c r="AK480" s="28">
        <f>IF(AN480=12,J480,0)</f>
        <v>0</v>
      </c>
      <c r="AL480" s="28">
        <f>IF(AN480=21,J480,0)</f>
        <v>0</v>
      </c>
      <c r="AN480" s="28">
        <v>21</v>
      </c>
      <c r="AO480" s="28">
        <f>G480*0.784173727</f>
        <v>0</v>
      </c>
      <c r="AP480" s="28">
        <f>G480*(1-0.784173727)</f>
        <v>0</v>
      </c>
      <c r="AQ480" s="30" t="s">
        <v>118</v>
      </c>
      <c r="AV480" s="28">
        <f>ROUND(AW480+AX480,2)</f>
        <v>0</v>
      </c>
      <c r="AW480" s="28">
        <f>ROUND(F480*AO480,2)</f>
        <v>0</v>
      </c>
      <c r="AX480" s="28">
        <f>ROUND(F480*AP480,2)</f>
        <v>0</v>
      </c>
      <c r="AY480" s="30" t="s">
        <v>451</v>
      </c>
      <c r="AZ480" s="30" t="s">
        <v>871</v>
      </c>
      <c r="BA480" s="10" t="s">
        <v>725</v>
      </c>
      <c r="BC480" s="28">
        <f>AW480+AX480</f>
        <v>0</v>
      </c>
      <c r="BD480" s="28">
        <f>G480/(100-BE480)*100</f>
        <v>0</v>
      </c>
      <c r="BE480" s="28">
        <v>0</v>
      </c>
      <c r="BF480" s="28">
        <f>480</f>
        <v>480</v>
      </c>
      <c r="BH480" s="28">
        <f>F480*AO480</f>
        <v>0</v>
      </c>
      <c r="BI480" s="28">
        <f>F480*AP480</f>
        <v>0</v>
      </c>
      <c r="BJ480" s="28">
        <f>F480*G480</f>
        <v>0</v>
      </c>
      <c r="BK480" s="28"/>
      <c r="BL480" s="28">
        <v>767</v>
      </c>
      <c r="BW480" s="28">
        <v>21</v>
      </c>
      <c r="BX480" s="4" t="s">
        <v>877</v>
      </c>
    </row>
    <row r="481" spans="1:76" ht="13.5" customHeight="1" x14ac:dyDescent="0.3">
      <c r="A481" s="31"/>
      <c r="B481" s="35" t="s">
        <v>105</v>
      </c>
      <c r="C481" s="96" t="s">
        <v>878</v>
      </c>
      <c r="D481" s="97"/>
      <c r="E481" s="97"/>
      <c r="F481" s="97"/>
      <c r="G481" s="97"/>
      <c r="H481" s="97"/>
      <c r="I481" s="97"/>
      <c r="J481" s="97"/>
      <c r="K481" s="98"/>
    </row>
    <row r="482" spans="1:76" ht="14.4" x14ac:dyDescent="0.3">
      <c r="A482" s="24" t="s">
        <v>51</v>
      </c>
      <c r="B482" s="25" t="s">
        <v>578</v>
      </c>
      <c r="C482" s="91" t="s">
        <v>879</v>
      </c>
      <c r="D482" s="92"/>
      <c r="E482" s="26" t="s">
        <v>4</v>
      </c>
      <c r="F482" s="26" t="s">
        <v>4</v>
      </c>
      <c r="G482" s="26" t="s">
        <v>4</v>
      </c>
      <c r="H482" s="1">
        <f>SUM(H483:H513)</f>
        <v>0</v>
      </c>
      <c r="I482" s="1">
        <f>SUM(I483:I513)</f>
        <v>0</v>
      </c>
      <c r="J482" s="1">
        <f>SUM(J483:J513)</f>
        <v>0</v>
      </c>
      <c r="K482" s="27" t="s">
        <v>51</v>
      </c>
      <c r="AI482" s="10" t="s">
        <v>719</v>
      </c>
      <c r="AS482" s="1">
        <f>SUM(AJ483:AJ513)</f>
        <v>0</v>
      </c>
      <c r="AT482" s="1">
        <f>SUM(AK483:AK513)</f>
        <v>0</v>
      </c>
      <c r="AU482" s="1">
        <f>SUM(AL483:AL513)</f>
        <v>0</v>
      </c>
    </row>
    <row r="483" spans="1:76" ht="14.4" x14ac:dyDescent="0.3">
      <c r="A483" s="2" t="s">
        <v>880</v>
      </c>
      <c r="B483" s="3" t="s">
        <v>881</v>
      </c>
      <c r="C483" s="75" t="s">
        <v>882</v>
      </c>
      <c r="D483" s="70"/>
      <c r="E483" s="3" t="s">
        <v>188</v>
      </c>
      <c r="F483" s="28">
        <v>40</v>
      </c>
      <c r="G483" s="28">
        <v>0</v>
      </c>
      <c r="H483" s="28">
        <f>ROUND(F483*AO483,2)</f>
        <v>0</v>
      </c>
      <c r="I483" s="28">
        <f>ROUND(F483*AP483,2)</f>
        <v>0</v>
      </c>
      <c r="J483" s="28">
        <f>ROUND(F483*G483,2)</f>
        <v>0</v>
      </c>
      <c r="K483" s="29" t="s">
        <v>60</v>
      </c>
      <c r="Z483" s="28">
        <f>ROUND(IF(AQ483="5",BJ483,0),2)</f>
        <v>0</v>
      </c>
      <c r="AB483" s="28">
        <f>ROUND(IF(AQ483="1",BH483,0),2)</f>
        <v>0</v>
      </c>
      <c r="AC483" s="28">
        <f>ROUND(IF(AQ483="1",BI483,0),2)</f>
        <v>0</v>
      </c>
      <c r="AD483" s="28">
        <f>ROUND(IF(AQ483="7",BH483,0),2)</f>
        <v>0</v>
      </c>
      <c r="AE483" s="28">
        <f>ROUND(IF(AQ483="7",BI483,0),2)</f>
        <v>0</v>
      </c>
      <c r="AF483" s="28">
        <f>ROUND(IF(AQ483="2",BH483,0),2)</f>
        <v>0</v>
      </c>
      <c r="AG483" s="28">
        <f>ROUND(IF(AQ483="2",BI483,0),2)</f>
        <v>0</v>
      </c>
      <c r="AH483" s="28">
        <f>ROUND(IF(AQ483="0",BJ483,0),2)</f>
        <v>0</v>
      </c>
      <c r="AI483" s="10" t="s">
        <v>719</v>
      </c>
      <c r="AJ483" s="28">
        <f>IF(AN483=0,J483,0)</f>
        <v>0</v>
      </c>
      <c r="AK483" s="28">
        <f>IF(AN483=12,J483,0)</f>
        <v>0</v>
      </c>
      <c r="AL483" s="28">
        <f>IF(AN483=21,J483,0)</f>
        <v>0</v>
      </c>
      <c r="AN483" s="28">
        <v>21</v>
      </c>
      <c r="AO483" s="28">
        <f>G483*0.823289941</f>
        <v>0</v>
      </c>
      <c r="AP483" s="28">
        <f>G483*(1-0.823289941)</f>
        <v>0</v>
      </c>
      <c r="AQ483" s="30" t="s">
        <v>56</v>
      </c>
      <c r="AV483" s="28">
        <f>ROUND(AW483+AX483,2)</f>
        <v>0</v>
      </c>
      <c r="AW483" s="28">
        <f>ROUND(F483*AO483,2)</f>
        <v>0</v>
      </c>
      <c r="AX483" s="28">
        <f>ROUND(F483*AP483,2)</f>
        <v>0</v>
      </c>
      <c r="AY483" s="30" t="s">
        <v>883</v>
      </c>
      <c r="AZ483" s="30" t="s">
        <v>884</v>
      </c>
      <c r="BA483" s="10" t="s">
        <v>725</v>
      </c>
      <c r="BC483" s="28">
        <f>AW483+AX483</f>
        <v>0</v>
      </c>
      <c r="BD483" s="28">
        <f>G483/(100-BE483)*100</f>
        <v>0</v>
      </c>
      <c r="BE483" s="28">
        <v>0</v>
      </c>
      <c r="BF483" s="28">
        <f>483</f>
        <v>483</v>
      </c>
      <c r="BH483" s="28">
        <f>F483*AO483</f>
        <v>0</v>
      </c>
      <c r="BI483" s="28">
        <f>F483*AP483</f>
        <v>0</v>
      </c>
      <c r="BJ483" s="28">
        <f>F483*G483</f>
        <v>0</v>
      </c>
      <c r="BK483" s="28"/>
      <c r="BL483" s="28">
        <v>91</v>
      </c>
      <c r="BW483" s="28">
        <v>21</v>
      </c>
      <c r="BX483" s="4" t="s">
        <v>882</v>
      </c>
    </row>
    <row r="484" spans="1:76" ht="13.5" customHeight="1" x14ac:dyDescent="0.3">
      <c r="A484" s="31"/>
      <c r="B484" s="35" t="s">
        <v>105</v>
      </c>
      <c r="C484" s="96" t="s">
        <v>885</v>
      </c>
      <c r="D484" s="97"/>
      <c r="E484" s="97"/>
      <c r="F484" s="97"/>
      <c r="G484" s="97"/>
      <c r="H484" s="97"/>
      <c r="I484" s="97"/>
      <c r="J484" s="97"/>
      <c r="K484" s="98"/>
    </row>
    <row r="485" spans="1:76" ht="14.4" x14ac:dyDescent="0.3">
      <c r="A485" s="31"/>
      <c r="B485" s="35" t="s">
        <v>68</v>
      </c>
      <c r="C485" s="93" t="s">
        <v>886</v>
      </c>
      <c r="D485" s="94"/>
      <c r="E485" s="94"/>
      <c r="F485" s="94"/>
      <c r="G485" s="94"/>
      <c r="H485" s="94"/>
      <c r="I485" s="94"/>
      <c r="J485" s="94"/>
      <c r="K485" s="95"/>
      <c r="BX485" s="36" t="s">
        <v>886</v>
      </c>
    </row>
    <row r="486" spans="1:76" ht="14.4" x14ac:dyDescent="0.3">
      <c r="A486" s="2" t="s">
        <v>887</v>
      </c>
      <c r="B486" s="3" t="s">
        <v>888</v>
      </c>
      <c r="C486" s="75" t="s">
        <v>889</v>
      </c>
      <c r="D486" s="70"/>
      <c r="E486" s="3" t="s">
        <v>188</v>
      </c>
      <c r="F486" s="28">
        <v>33</v>
      </c>
      <c r="G486" s="28">
        <v>0</v>
      </c>
      <c r="H486" s="28">
        <f>ROUND(F486*AO486,2)</f>
        <v>0</v>
      </c>
      <c r="I486" s="28">
        <f>ROUND(F486*AP486,2)</f>
        <v>0</v>
      </c>
      <c r="J486" s="28">
        <f>ROUND(F486*G486,2)</f>
        <v>0</v>
      </c>
      <c r="K486" s="29" t="s">
        <v>60</v>
      </c>
      <c r="Z486" s="28">
        <f>ROUND(IF(AQ486="5",BJ486,0),2)</f>
        <v>0</v>
      </c>
      <c r="AB486" s="28">
        <f>ROUND(IF(AQ486="1",BH486,0),2)</f>
        <v>0</v>
      </c>
      <c r="AC486" s="28">
        <f>ROUND(IF(AQ486="1",BI486,0),2)</f>
        <v>0</v>
      </c>
      <c r="AD486" s="28">
        <f>ROUND(IF(AQ486="7",BH486,0),2)</f>
        <v>0</v>
      </c>
      <c r="AE486" s="28">
        <f>ROUND(IF(AQ486="7",BI486,0),2)</f>
        <v>0</v>
      </c>
      <c r="AF486" s="28">
        <f>ROUND(IF(AQ486="2",BH486,0),2)</f>
        <v>0</v>
      </c>
      <c r="AG486" s="28">
        <f>ROUND(IF(AQ486="2",BI486,0),2)</f>
        <v>0</v>
      </c>
      <c r="AH486" s="28">
        <f>ROUND(IF(AQ486="0",BJ486,0),2)</f>
        <v>0</v>
      </c>
      <c r="AI486" s="10" t="s">
        <v>719</v>
      </c>
      <c r="AJ486" s="28">
        <f>IF(AN486=0,J486,0)</f>
        <v>0</v>
      </c>
      <c r="AK486" s="28">
        <f>IF(AN486=12,J486,0)</f>
        <v>0</v>
      </c>
      <c r="AL486" s="28">
        <f>IF(AN486=21,J486,0)</f>
        <v>0</v>
      </c>
      <c r="AN486" s="28">
        <v>21</v>
      </c>
      <c r="AO486" s="28">
        <f>G486*0.773757576</f>
        <v>0</v>
      </c>
      <c r="AP486" s="28">
        <f>G486*(1-0.773757576)</f>
        <v>0</v>
      </c>
      <c r="AQ486" s="30" t="s">
        <v>56</v>
      </c>
      <c r="AV486" s="28">
        <f>ROUND(AW486+AX486,2)</f>
        <v>0</v>
      </c>
      <c r="AW486" s="28">
        <f>ROUND(F486*AO486,2)</f>
        <v>0</v>
      </c>
      <c r="AX486" s="28">
        <f>ROUND(F486*AP486,2)</f>
        <v>0</v>
      </c>
      <c r="AY486" s="30" t="s">
        <v>883</v>
      </c>
      <c r="AZ486" s="30" t="s">
        <v>884</v>
      </c>
      <c r="BA486" s="10" t="s">
        <v>725</v>
      </c>
      <c r="BC486" s="28">
        <f>AW486+AX486</f>
        <v>0</v>
      </c>
      <c r="BD486" s="28">
        <f>G486/(100-BE486)*100</f>
        <v>0</v>
      </c>
      <c r="BE486" s="28">
        <v>0</v>
      </c>
      <c r="BF486" s="28">
        <f>486</f>
        <v>486</v>
      </c>
      <c r="BH486" s="28">
        <f>F486*AO486</f>
        <v>0</v>
      </c>
      <c r="BI486" s="28">
        <f>F486*AP486</f>
        <v>0</v>
      </c>
      <c r="BJ486" s="28">
        <f>F486*G486</f>
        <v>0</v>
      </c>
      <c r="BK486" s="28"/>
      <c r="BL486" s="28">
        <v>91</v>
      </c>
      <c r="BW486" s="28">
        <v>21</v>
      </c>
      <c r="BX486" s="4" t="s">
        <v>889</v>
      </c>
    </row>
    <row r="487" spans="1:76" ht="13.5" customHeight="1" x14ac:dyDescent="0.3">
      <c r="A487" s="31"/>
      <c r="B487" s="35" t="s">
        <v>105</v>
      </c>
      <c r="C487" s="96" t="s">
        <v>890</v>
      </c>
      <c r="D487" s="97"/>
      <c r="E487" s="97"/>
      <c r="F487" s="97"/>
      <c r="G487" s="97"/>
      <c r="H487" s="97"/>
      <c r="I487" s="97"/>
      <c r="J487" s="97"/>
      <c r="K487" s="98"/>
    </row>
    <row r="488" spans="1:76" ht="14.4" x14ac:dyDescent="0.3">
      <c r="A488" s="31"/>
      <c r="B488" s="35" t="s">
        <v>68</v>
      </c>
      <c r="C488" s="93" t="s">
        <v>891</v>
      </c>
      <c r="D488" s="94"/>
      <c r="E488" s="94"/>
      <c r="F488" s="94"/>
      <c r="G488" s="94"/>
      <c r="H488" s="94"/>
      <c r="I488" s="94"/>
      <c r="J488" s="94"/>
      <c r="K488" s="95"/>
      <c r="BX488" s="36" t="s">
        <v>891</v>
      </c>
    </row>
    <row r="489" spans="1:76" ht="14.4" x14ac:dyDescent="0.3">
      <c r="A489" s="2" t="s">
        <v>892</v>
      </c>
      <c r="B489" s="3" t="s">
        <v>893</v>
      </c>
      <c r="C489" s="75" t="s">
        <v>882</v>
      </c>
      <c r="D489" s="70"/>
      <c r="E489" s="3" t="s">
        <v>188</v>
      </c>
      <c r="F489" s="28">
        <v>90</v>
      </c>
      <c r="G489" s="28">
        <v>0</v>
      </c>
      <c r="H489" s="28">
        <f>ROUND(F489*AO489,2)</f>
        <v>0</v>
      </c>
      <c r="I489" s="28">
        <f>ROUND(F489*AP489,2)</f>
        <v>0</v>
      </c>
      <c r="J489" s="28">
        <f>ROUND(F489*G489,2)</f>
        <v>0</v>
      </c>
      <c r="K489" s="29" t="s">
        <v>60</v>
      </c>
      <c r="Z489" s="28">
        <f>ROUND(IF(AQ489="5",BJ489,0),2)</f>
        <v>0</v>
      </c>
      <c r="AB489" s="28">
        <f>ROUND(IF(AQ489="1",BH489,0),2)</f>
        <v>0</v>
      </c>
      <c r="AC489" s="28">
        <f>ROUND(IF(AQ489="1",BI489,0),2)</f>
        <v>0</v>
      </c>
      <c r="AD489" s="28">
        <f>ROUND(IF(AQ489="7",BH489,0),2)</f>
        <v>0</v>
      </c>
      <c r="AE489" s="28">
        <f>ROUND(IF(AQ489="7",BI489,0),2)</f>
        <v>0</v>
      </c>
      <c r="AF489" s="28">
        <f>ROUND(IF(AQ489="2",BH489,0),2)</f>
        <v>0</v>
      </c>
      <c r="AG489" s="28">
        <f>ROUND(IF(AQ489="2",BI489,0),2)</f>
        <v>0</v>
      </c>
      <c r="AH489" s="28">
        <f>ROUND(IF(AQ489="0",BJ489,0),2)</f>
        <v>0</v>
      </c>
      <c r="AI489" s="10" t="s">
        <v>719</v>
      </c>
      <c r="AJ489" s="28">
        <f>IF(AN489=0,J489,0)</f>
        <v>0</v>
      </c>
      <c r="AK489" s="28">
        <f>IF(AN489=12,J489,0)</f>
        <v>0</v>
      </c>
      <c r="AL489" s="28">
        <f>IF(AN489=21,J489,0)</f>
        <v>0</v>
      </c>
      <c r="AN489" s="28">
        <v>21</v>
      </c>
      <c r="AO489" s="28">
        <f>G489*0.726018349</f>
        <v>0</v>
      </c>
      <c r="AP489" s="28">
        <f>G489*(1-0.726018349)</f>
        <v>0</v>
      </c>
      <c r="AQ489" s="30" t="s">
        <v>56</v>
      </c>
      <c r="AV489" s="28">
        <f>ROUND(AW489+AX489,2)</f>
        <v>0</v>
      </c>
      <c r="AW489" s="28">
        <f>ROUND(F489*AO489,2)</f>
        <v>0</v>
      </c>
      <c r="AX489" s="28">
        <f>ROUND(F489*AP489,2)</f>
        <v>0</v>
      </c>
      <c r="AY489" s="30" t="s">
        <v>883</v>
      </c>
      <c r="AZ489" s="30" t="s">
        <v>884</v>
      </c>
      <c r="BA489" s="10" t="s">
        <v>725</v>
      </c>
      <c r="BC489" s="28">
        <f>AW489+AX489</f>
        <v>0</v>
      </c>
      <c r="BD489" s="28">
        <f>G489/(100-BE489)*100</f>
        <v>0</v>
      </c>
      <c r="BE489" s="28">
        <v>0</v>
      </c>
      <c r="BF489" s="28">
        <f>489</f>
        <v>489</v>
      </c>
      <c r="BH489" s="28">
        <f>F489*AO489</f>
        <v>0</v>
      </c>
      <c r="BI489" s="28">
        <f>F489*AP489</f>
        <v>0</v>
      </c>
      <c r="BJ489" s="28">
        <f>F489*G489</f>
        <v>0</v>
      </c>
      <c r="BK489" s="28"/>
      <c r="BL489" s="28">
        <v>91</v>
      </c>
      <c r="BW489" s="28">
        <v>21</v>
      </c>
      <c r="BX489" s="4" t="s">
        <v>882</v>
      </c>
    </row>
    <row r="490" spans="1:76" ht="13.5" customHeight="1" x14ac:dyDescent="0.3">
      <c r="A490" s="31"/>
      <c r="B490" s="35" t="s">
        <v>105</v>
      </c>
      <c r="C490" s="96" t="s">
        <v>894</v>
      </c>
      <c r="D490" s="97"/>
      <c r="E490" s="97"/>
      <c r="F490" s="97"/>
      <c r="G490" s="97"/>
      <c r="H490" s="97"/>
      <c r="I490" s="97"/>
      <c r="J490" s="97"/>
      <c r="K490" s="98"/>
    </row>
    <row r="491" spans="1:76" ht="14.4" x14ac:dyDescent="0.3">
      <c r="A491" s="2" t="s">
        <v>895</v>
      </c>
      <c r="B491" s="3" t="s">
        <v>896</v>
      </c>
      <c r="C491" s="75" t="s">
        <v>897</v>
      </c>
      <c r="D491" s="70"/>
      <c r="E491" s="3" t="s">
        <v>188</v>
      </c>
      <c r="F491" s="28">
        <v>45</v>
      </c>
      <c r="G491" s="28">
        <v>0</v>
      </c>
      <c r="H491" s="28">
        <f>ROUND(F491*AO491,2)</f>
        <v>0</v>
      </c>
      <c r="I491" s="28">
        <f>ROUND(F491*AP491,2)</f>
        <v>0</v>
      </c>
      <c r="J491" s="28">
        <f>ROUND(F491*G491,2)</f>
        <v>0</v>
      </c>
      <c r="K491" s="29" t="s">
        <v>60</v>
      </c>
      <c r="Z491" s="28">
        <f>ROUND(IF(AQ491="5",BJ491,0),2)</f>
        <v>0</v>
      </c>
      <c r="AB491" s="28">
        <f>ROUND(IF(AQ491="1",BH491,0),2)</f>
        <v>0</v>
      </c>
      <c r="AC491" s="28">
        <f>ROUND(IF(AQ491="1",BI491,0),2)</f>
        <v>0</v>
      </c>
      <c r="AD491" s="28">
        <f>ROUND(IF(AQ491="7",BH491,0),2)</f>
        <v>0</v>
      </c>
      <c r="AE491" s="28">
        <f>ROUND(IF(AQ491="7",BI491,0),2)</f>
        <v>0</v>
      </c>
      <c r="AF491" s="28">
        <f>ROUND(IF(AQ491="2",BH491,0),2)</f>
        <v>0</v>
      </c>
      <c r="AG491" s="28">
        <f>ROUND(IF(AQ491="2",BI491,0),2)</f>
        <v>0</v>
      </c>
      <c r="AH491" s="28">
        <f>ROUND(IF(AQ491="0",BJ491,0),2)</f>
        <v>0</v>
      </c>
      <c r="AI491" s="10" t="s">
        <v>719</v>
      </c>
      <c r="AJ491" s="28">
        <f>IF(AN491=0,J491,0)</f>
        <v>0</v>
      </c>
      <c r="AK491" s="28">
        <f>IF(AN491=12,J491,0)</f>
        <v>0</v>
      </c>
      <c r="AL491" s="28">
        <f>IF(AN491=21,J491,0)</f>
        <v>0</v>
      </c>
      <c r="AN491" s="28">
        <v>21</v>
      </c>
      <c r="AO491" s="28">
        <f>G491*0.838323353</f>
        <v>0</v>
      </c>
      <c r="AP491" s="28">
        <f>G491*(1-0.838323353)</f>
        <v>0</v>
      </c>
      <c r="AQ491" s="30" t="s">
        <v>56</v>
      </c>
      <c r="AV491" s="28">
        <f>ROUND(AW491+AX491,2)</f>
        <v>0</v>
      </c>
      <c r="AW491" s="28">
        <f>ROUND(F491*AO491,2)</f>
        <v>0</v>
      </c>
      <c r="AX491" s="28">
        <f>ROUND(F491*AP491,2)</f>
        <v>0</v>
      </c>
      <c r="AY491" s="30" t="s">
        <v>883</v>
      </c>
      <c r="AZ491" s="30" t="s">
        <v>884</v>
      </c>
      <c r="BA491" s="10" t="s">
        <v>725</v>
      </c>
      <c r="BC491" s="28">
        <f>AW491+AX491</f>
        <v>0</v>
      </c>
      <c r="BD491" s="28">
        <f>G491/(100-BE491)*100</f>
        <v>0</v>
      </c>
      <c r="BE491" s="28">
        <v>0</v>
      </c>
      <c r="BF491" s="28">
        <f>491</f>
        <v>491</v>
      </c>
      <c r="BH491" s="28">
        <f>F491*AO491</f>
        <v>0</v>
      </c>
      <c r="BI491" s="28">
        <f>F491*AP491</f>
        <v>0</v>
      </c>
      <c r="BJ491" s="28">
        <f>F491*G491</f>
        <v>0</v>
      </c>
      <c r="BK491" s="28"/>
      <c r="BL491" s="28">
        <v>91</v>
      </c>
      <c r="BW491" s="28">
        <v>21</v>
      </c>
      <c r="BX491" s="4" t="s">
        <v>897</v>
      </c>
    </row>
    <row r="492" spans="1:76" ht="14.4" x14ac:dyDescent="0.3">
      <c r="A492" s="31"/>
      <c r="C492" s="32" t="s">
        <v>279</v>
      </c>
      <c r="D492" s="32" t="s">
        <v>898</v>
      </c>
      <c r="F492" s="33">
        <v>45</v>
      </c>
      <c r="K492" s="34"/>
    </row>
    <row r="493" spans="1:76" ht="14.4" x14ac:dyDescent="0.3">
      <c r="A493" s="2" t="s">
        <v>899</v>
      </c>
      <c r="B493" s="3" t="s">
        <v>900</v>
      </c>
      <c r="C493" s="75" t="s">
        <v>882</v>
      </c>
      <c r="D493" s="70"/>
      <c r="E493" s="3" t="s">
        <v>188</v>
      </c>
      <c r="F493" s="28">
        <v>5</v>
      </c>
      <c r="G493" s="28">
        <v>0</v>
      </c>
      <c r="H493" s="28">
        <f>ROUND(F493*AO493,2)</f>
        <v>0</v>
      </c>
      <c r="I493" s="28">
        <f>ROUND(F493*AP493,2)</f>
        <v>0</v>
      </c>
      <c r="J493" s="28">
        <f>ROUND(F493*G493,2)</f>
        <v>0</v>
      </c>
      <c r="K493" s="29" t="s">
        <v>60</v>
      </c>
      <c r="Z493" s="28">
        <f>ROUND(IF(AQ493="5",BJ493,0),2)</f>
        <v>0</v>
      </c>
      <c r="AB493" s="28">
        <f>ROUND(IF(AQ493="1",BH493,0),2)</f>
        <v>0</v>
      </c>
      <c r="AC493" s="28">
        <f>ROUND(IF(AQ493="1",BI493,0),2)</f>
        <v>0</v>
      </c>
      <c r="AD493" s="28">
        <f>ROUND(IF(AQ493="7",BH493,0),2)</f>
        <v>0</v>
      </c>
      <c r="AE493" s="28">
        <f>ROUND(IF(AQ493="7",BI493,0),2)</f>
        <v>0</v>
      </c>
      <c r="AF493" s="28">
        <f>ROUND(IF(AQ493="2",BH493,0),2)</f>
        <v>0</v>
      </c>
      <c r="AG493" s="28">
        <f>ROUND(IF(AQ493="2",BI493,0),2)</f>
        <v>0</v>
      </c>
      <c r="AH493" s="28">
        <f>ROUND(IF(AQ493="0",BJ493,0),2)</f>
        <v>0</v>
      </c>
      <c r="AI493" s="10" t="s">
        <v>719</v>
      </c>
      <c r="AJ493" s="28">
        <f>IF(AN493=0,J493,0)</f>
        <v>0</v>
      </c>
      <c r="AK493" s="28">
        <f>IF(AN493=12,J493,0)</f>
        <v>0</v>
      </c>
      <c r="AL493" s="28">
        <f>IF(AN493=21,J493,0)</f>
        <v>0</v>
      </c>
      <c r="AN493" s="28">
        <v>21</v>
      </c>
      <c r="AO493" s="28">
        <f>G493*0.596432432</f>
        <v>0</v>
      </c>
      <c r="AP493" s="28">
        <f>G493*(1-0.596432432)</f>
        <v>0</v>
      </c>
      <c r="AQ493" s="30" t="s">
        <v>56</v>
      </c>
      <c r="AV493" s="28">
        <f>ROUND(AW493+AX493,2)</f>
        <v>0</v>
      </c>
      <c r="AW493" s="28">
        <f>ROUND(F493*AO493,2)</f>
        <v>0</v>
      </c>
      <c r="AX493" s="28">
        <f>ROUND(F493*AP493,2)</f>
        <v>0</v>
      </c>
      <c r="AY493" s="30" t="s">
        <v>883</v>
      </c>
      <c r="AZ493" s="30" t="s">
        <v>884</v>
      </c>
      <c r="BA493" s="10" t="s">
        <v>725</v>
      </c>
      <c r="BC493" s="28">
        <f>AW493+AX493</f>
        <v>0</v>
      </c>
      <c r="BD493" s="28">
        <f>G493/(100-BE493)*100</f>
        <v>0</v>
      </c>
      <c r="BE493" s="28">
        <v>0</v>
      </c>
      <c r="BF493" s="28">
        <f>493</f>
        <v>493</v>
      </c>
      <c r="BH493" s="28">
        <f>F493*AO493</f>
        <v>0</v>
      </c>
      <c r="BI493" s="28">
        <f>F493*AP493</f>
        <v>0</v>
      </c>
      <c r="BJ493" s="28">
        <f>F493*G493</f>
        <v>0</v>
      </c>
      <c r="BK493" s="28"/>
      <c r="BL493" s="28">
        <v>91</v>
      </c>
      <c r="BW493" s="28">
        <v>21</v>
      </c>
      <c r="BX493" s="4" t="s">
        <v>882</v>
      </c>
    </row>
    <row r="494" spans="1:76" ht="14.4" x14ac:dyDescent="0.3">
      <c r="A494" s="31"/>
      <c r="C494" s="32" t="s">
        <v>74</v>
      </c>
      <c r="D494" s="32" t="s">
        <v>901</v>
      </c>
      <c r="F494" s="33">
        <v>2</v>
      </c>
      <c r="K494" s="34"/>
    </row>
    <row r="495" spans="1:76" ht="14.4" x14ac:dyDescent="0.3">
      <c r="A495" s="31"/>
      <c r="C495" s="32" t="s">
        <v>80</v>
      </c>
      <c r="D495" s="32" t="s">
        <v>902</v>
      </c>
      <c r="F495" s="33">
        <v>3</v>
      </c>
      <c r="K495" s="34"/>
    </row>
    <row r="496" spans="1:76" ht="14.4" x14ac:dyDescent="0.3">
      <c r="A496" s="31"/>
      <c r="B496" s="35" t="s">
        <v>68</v>
      </c>
      <c r="C496" s="93" t="s">
        <v>891</v>
      </c>
      <c r="D496" s="94"/>
      <c r="E496" s="94"/>
      <c r="F496" s="94"/>
      <c r="G496" s="94"/>
      <c r="H496" s="94"/>
      <c r="I496" s="94"/>
      <c r="J496" s="94"/>
      <c r="K496" s="95"/>
      <c r="BX496" s="36" t="s">
        <v>891</v>
      </c>
    </row>
    <row r="497" spans="1:76" ht="14.4" x14ac:dyDescent="0.3">
      <c r="A497" s="2" t="s">
        <v>903</v>
      </c>
      <c r="B497" s="3" t="s">
        <v>904</v>
      </c>
      <c r="C497" s="75" t="s">
        <v>905</v>
      </c>
      <c r="D497" s="70"/>
      <c r="E497" s="3" t="s">
        <v>293</v>
      </c>
      <c r="F497" s="28">
        <v>3</v>
      </c>
      <c r="G497" s="28">
        <v>0</v>
      </c>
      <c r="H497" s="28">
        <f>ROUND(F497*AO497,2)</f>
        <v>0</v>
      </c>
      <c r="I497" s="28">
        <f>ROUND(F497*AP497,2)</f>
        <v>0</v>
      </c>
      <c r="J497" s="28">
        <f>ROUND(F497*G497,2)</f>
        <v>0</v>
      </c>
      <c r="K497" s="29" t="s">
        <v>60</v>
      </c>
      <c r="Z497" s="28">
        <f>ROUND(IF(AQ497="5",BJ497,0),2)</f>
        <v>0</v>
      </c>
      <c r="AB497" s="28">
        <f>ROUND(IF(AQ497="1",BH497,0),2)</f>
        <v>0</v>
      </c>
      <c r="AC497" s="28">
        <f>ROUND(IF(AQ497="1",BI497,0),2)</f>
        <v>0</v>
      </c>
      <c r="AD497" s="28">
        <f>ROUND(IF(AQ497="7",BH497,0),2)</f>
        <v>0</v>
      </c>
      <c r="AE497" s="28">
        <f>ROUND(IF(AQ497="7",BI497,0),2)</f>
        <v>0</v>
      </c>
      <c r="AF497" s="28">
        <f>ROUND(IF(AQ497="2",BH497,0),2)</f>
        <v>0</v>
      </c>
      <c r="AG497" s="28">
        <f>ROUND(IF(AQ497="2",BI497,0),2)</f>
        <v>0</v>
      </c>
      <c r="AH497" s="28">
        <f>ROUND(IF(AQ497="0",BJ497,0),2)</f>
        <v>0</v>
      </c>
      <c r="AI497" s="10" t="s">
        <v>719</v>
      </c>
      <c r="AJ497" s="28">
        <f>IF(AN497=0,J497,0)</f>
        <v>0</v>
      </c>
      <c r="AK497" s="28">
        <f>IF(AN497=12,J497,0)</f>
        <v>0</v>
      </c>
      <c r="AL497" s="28">
        <f>IF(AN497=21,J497,0)</f>
        <v>0</v>
      </c>
      <c r="AN497" s="28">
        <v>21</v>
      </c>
      <c r="AO497" s="28">
        <f>G497*1</f>
        <v>0</v>
      </c>
      <c r="AP497" s="28">
        <f>G497*(1-1)</f>
        <v>0</v>
      </c>
      <c r="AQ497" s="30" t="s">
        <v>56</v>
      </c>
      <c r="AV497" s="28">
        <f>ROUND(AW497+AX497,2)</f>
        <v>0</v>
      </c>
      <c r="AW497" s="28">
        <f>ROUND(F497*AO497,2)</f>
        <v>0</v>
      </c>
      <c r="AX497" s="28">
        <f>ROUND(F497*AP497,2)</f>
        <v>0</v>
      </c>
      <c r="AY497" s="30" t="s">
        <v>883</v>
      </c>
      <c r="AZ497" s="30" t="s">
        <v>884</v>
      </c>
      <c r="BA497" s="10" t="s">
        <v>725</v>
      </c>
      <c r="BC497" s="28">
        <f>AW497+AX497</f>
        <v>0</v>
      </c>
      <c r="BD497" s="28">
        <f>G497/(100-BE497)*100</f>
        <v>0</v>
      </c>
      <c r="BE497" s="28">
        <v>0</v>
      </c>
      <c r="BF497" s="28">
        <f>497</f>
        <v>497</v>
      </c>
      <c r="BH497" s="28">
        <f>F497*AO497</f>
        <v>0</v>
      </c>
      <c r="BI497" s="28">
        <f>F497*AP497</f>
        <v>0</v>
      </c>
      <c r="BJ497" s="28">
        <f>F497*G497</f>
        <v>0</v>
      </c>
      <c r="BK497" s="28"/>
      <c r="BL497" s="28">
        <v>91</v>
      </c>
      <c r="BW497" s="28">
        <v>21</v>
      </c>
      <c r="BX497" s="4" t="s">
        <v>905</v>
      </c>
    </row>
    <row r="498" spans="1:76" ht="39.6" x14ac:dyDescent="0.3">
      <c r="A498" s="31"/>
      <c r="B498" s="35" t="s">
        <v>68</v>
      </c>
      <c r="C498" s="93" t="s">
        <v>906</v>
      </c>
      <c r="D498" s="94"/>
      <c r="E498" s="94"/>
      <c r="F498" s="94"/>
      <c r="G498" s="94"/>
      <c r="H498" s="94"/>
      <c r="I498" s="94"/>
      <c r="J498" s="94"/>
      <c r="K498" s="95"/>
      <c r="BX498" s="36" t="s">
        <v>906</v>
      </c>
    </row>
    <row r="499" spans="1:76" ht="14.4" x14ac:dyDescent="0.3">
      <c r="A499" s="2" t="s">
        <v>907</v>
      </c>
      <c r="B499" s="3" t="s">
        <v>908</v>
      </c>
      <c r="C499" s="75" t="s">
        <v>909</v>
      </c>
      <c r="D499" s="70"/>
      <c r="E499" s="3" t="s">
        <v>293</v>
      </c>
      <c r="F499" s="28">
        <v>2</v>
      </c>
      <c r="G499" s="28">
        <v>0</v>
      </c>
      <c r="H499" s="28">
        <f>ROUND(F499*AO499,2)</f>
        <v>0</v>
      </c>
      <c r="I499" s="28">
        <f>ROUND(F499*AP499,2)</f>
        <v>0</v>
      </c>
      <c r="J499" s="28">
        <f>ROUND(F499*G499,2)</f>
        <v>0</v>
      </c>
      <c r="K499" s="29" t="s">
        <v>60</v>
      </c>
      <c r="Z499" s="28">
        <f>ROUND(IF(AQ499="5",BJ499,0),2)</f>
        <v>0</v>
      </c>
      <c r="AB499" s="28">
        <f>ROUND(IF(AQ499="1",BH499,0),2)</f>
        <v>0</v>
      </c>
      <c r="AC499" s="28">
        <f>ROUND(IF(AQ499="1",BI499,0),2)</f>
        <v>0</v>
      </c>
      <c r="AD499" s="28">
        <f>ROUND(IF(AQ499="7",BH499,0),2)</f>
        <v>0</v>
      </c>
      <c r="AE499" s="28">
        <f>ROUND(IF(AQ499="7",BI499,0),2)</f>
        <v>0</v>
      </c>
      <c r="AF499" s="28">
        <f>ROUND(IF(AQ499="2",BH499,0),2)</f>
        <v>0</v>
      </c>
      <c r="AG499" s="28">
        <f>ROUND(IF(AQ499="2",BI499,0),2)</f>
        <v>0</v>
      </c>
      <c r="AH499" s="28">
        <f>ROUND(IF(AQ499="0",BJ499,0),2)</f>
        <v>0</v>
      </c>
      <c r="AI499" s="10" t="s">
        <v>719</v>
      </c>
      <c r="AJ499" s="28">
        <f>IF(AN499=0,J499,0)</f>
        <v>0</v>
      </c>
      <c r="AK499" s="28">
        <f>IF(AN499=12,J499,0)</f>
        <v>0</v>
      </c>
      <c r="AL499" s="28">
        <f>IF(AN499=21,J499,0)</f>
        <v>0</v>
      </c>
      <c r="AN499" s="28">
        <v>21</v>
      </c>
      <c r="AO499" s="28">
        <f>G499*1</f>
        <v>0</v>
      </c>
      <c r="AP499" s="28">
        <f>G499*(1-1)</f>
        <v>0</v>
      </c>
      <c r="AQ499" s="30" t="s">
        <v>56</v>
      </c>
      <c r="AV499" s="28">
        <f>ROUND(AW499+AX499,2)</f>
        <v>0</v>
      </c>
      <c r="AW499" s="28">
        <f>ROUND(F499*AO499,2)</f>
        <v>0</v>
      </c>
      <c r="AX499" s="28">
        <f>ROUND(F499*AP499,2)</f>
        <v>0</v>
      </c>
      <c r="AY499" s="30" t="s">
        <v>883</v>
      </c>
      <c r="AZ499" s="30" t="s">
        <v>884</v>
      </c>
      <c r="BA499" s="10" t="s">
        <v>725</v>
      </c>
      <c r="BC499" s="28">
        <f>AW499+AX499</f>
        <v>0</v>
      </c>
      <c r="BD499" s="28">
        <f>G499/(100-BE499)*100</f>
        <v>0</v>
      </c>
      <c r="BE499" s="28">
        <v>0</v>
      </c>
      <c r="BF499" s="28">
        <f>499</f>
        <v>499</v>
      </c>
      <c r="BH499" s="28">
        <f>F499*AO499</f>
        <v>0</v>
      </c>
      <c r="BI499" s="28">
        <f>F499*AP499</f>
        <v>0</v>
      </c>
      <c r="BJ499" s="28">
        <f>F499*G499</f>
        <v>0</v>
      </c>
      <c r="BK499" s="28"/>
      <c r="BL499" s="28">
        <v>91</v>
      </c>
      <c r="BW499" s="28">
        <v>21</v>
      </c>
      <c r="BX499" s="4" t="s">
        <v>909</v>
      </c>
    </row>
    <row r="500" spans="1:76" ht="39.6" x14ac:dyDescent="0.3">
      <c r="A500" s="31"/>
      <c r="B500" s="35" t="s">
        <v>68</v>
      </c>
      <c r="C500" s="93" t="s">
        <v>906</v>
      </c>
      <c r="D500" s="94"/>
      <c r="E500" s="94"/>
      <c r="F500" s="94"/>
      <c r="G500" s="94"/>
      <c r="H500" s="94"/>
      <c r="I500" s="94"/>
      <c r="J500" s="94"/>
      <c r="K500" s="95"/>
      <c r="BX500" s="36" t="s">
        <v>906</v>
      </c>
    </row>
    <row r="501" spans="1:76" ht="14.4" x14ac:dyDescent="0.3">
      <c r="A501" s="2" t="s">
        <v>910</v>
      </c>
      <c r="B501" s="3" t="s">
        <v>911</v>
      </c>
      <c r="C501" s="75" t="s">
        <v>912</v>
      </c>
      <c r="D501" s="70"/>
      <c r="E501" s="3" t="s">
        <v>293</v>
      </c>
      <c r="F501" s="28">
        <v>1</v>
      </c>
      <c r="G501" s="28">
        <v>0</v>
      </c>
      <c r="H501" s="28">
        <f>ROUND(F501*AO501,2)</f>
        <v>0</v>
      </c>
      <c r="I501" s="28">
        <f>ROUND(F501*AP501,2)</f>
        <v>0</v>
      </c>
      <c r="J501" s="28">
        <f>ROUND(F501*G501,2)</f>
        <v>0</v>
      </c>
      <c r="K501" s="29" t="s">
        <v>60</v>
      </c>
      <c r="Z501" s="28">
        <f>ROUND(IF(AQ501="5",BJ501,0),2)</f>
        <v>0</v>
      </c>
      <c r="AB501" s="28">
        <f>ROUND(IF(AQ501="1",BH501,0),2)</f>
        <v>0</v>
      </c>
      <c r="AC501" s="28">
        <f>ROUND(IF(AQ501="1",BI501,0),2)</f>
        <v>0</v>
      </c>
      <c r="AD501" s="28">
        <f>ROUND(IF(AQ501="7",BH501,0),2)</f>
        <v>0</v>
      </c>
      <c r="AE501" s="28">
        <f>ROUND(IF(AQ501="7",BI501,0),2)</f>
        <v>0</v>
      </c>
      <c r="AF501" s="28">
        <f>ROUND(IF(AQ501="2",BH501,0),2)</f>
        <v>0</v>
      </c>
      <c r="AG501" s="28">
        <f>ROUND(IF(AQ501="2",BI501,0),2)</f>
        <v>0</v>
      </c>
      <c r="AH501" s="28">
        <f>ROUND(IF(AQ501="0",BJ501,0),2)</f>
        <v>0</v>
      </c>
      <c r="AI501" s="10" t="s">
        <v>719</v>
      </c>
      <c r="AJ501" s="28">
        <f>IF(AN501=0,J501,0)</f>
        <v>0</v>
      </c>
      <c r="AK501" s="28">
        <f>IF(AN501=12,J501,0)</f>
        <v>0</v>
      </c>
      <c r="AL501" s="28">
        <f>IF(AN501=21,J501,0)</f>
        <v>0</v>
      </c>
      <c r="AN501" s="28">
        <v>21</v>
      </c>
      <c r="AO501" s="28">
        <f>G501*0.627107172</f>
        <v>0</v>
      </c>
      <c r="AP501" s="28">
        <f>G501*(1-0.627107172)</f>
        <v>0</v>
      </c>
      <c r="AQ501" s="30" t="s">
        <v>56</v>
      </c>
      <c r="AV501" s="28">
        <f>ROUND(AW501+AX501,2)</f>
        <v>0</v>
      </c>
      <c r="AW501" s="28">
        <f>ROUND(F501*AO501,2)</f>
        <v>0</v>
      </c>
      <c r="AX501" s="28">
        <f>ROUND(F501*AP501,2)</f>
        <v>0</v>
      </c>
      <c r="AY501" s="30" t="s">
        <v>883</v>
      </c>
      <c r="AZ501" s="30" t="s">
        <v>884</v>
      </c>
      <c r="BA501" s="10" t="s">
        <v>725</v>
      </c>
      <c r="BC501" s="28">
        <f>AW501+AX501</f>
        <v>0</v>
      </c>
      <c r="BD501" s="28">
        <f>G501/(100-BE501)*100</f>
        <v>0</v>
      </c>
      <c r="BE501" s="28">
        <v>0</v>
      </c>
      <c r="BF501" s="28">
        <f>501</f>
        <v>501</v>
      </c>
      <c r="BH501" s="28">
        <f>F501*AO501</f>
        <v>0</v>
      </c>
      <c r="BI501" s="28">
        <f>F501*AP501</f>
        <v>0</v>
      </c>
      <c r="BJ501" s="28">
        <f>F501*G501</f>
        <v>0</v>
      </c>
      <c r="BK501" s="28"/>
      <c r="BL501" s="28">
        <v>91</v>
      </c>
      <c r="BW501" s="28">
        <v>21</v>
      </c>
      <c r="BX501" s="4" t="s">
        <v>912</v>
      </c>
    </row>
    <row r="502" spans="1:76" ht="13.5" customHeight="1" x14ac:dyDescent="0.3">
      <c r="A502" s="31"/>
      <c r="B502" s="35" t="s">
        <v>105</v>
      </c>
      <c r="C502" s="96" t="s">
        <v>913</v>
      </c>
      <c r="D502" s="97"/>
      <c r="E502" s="97"/>
      <c r="F502" s="97"/>
      <c r="G502" s="97"/>
      <c r="H502" s="97"/>
      <c r="I502" s="97"/>
      <c r="J502" s="97"/>
      <c r="K502" s="98"/>
    </row>
    <row r="503" spans="1:76" ht="39.6" x14ac:dyDescent="0.3">
      <c r="A503" s="31"/>
      <c r="B503" s="35" t="s">
        <v>68</v>
      </c>
      <c r="C503" s="93" t="s">
        <v>914</v>
      </c>
      <c r="D503" s="94"/>
      <c r="E503" s="94"/>
      <c r="F503" s="94"/>
      <c r="G503" s="94"/>
      <c r="H503" s="94"/>
      <c r="I503" s="94"/>
      <c r="J503" s="94"/>
      <c r="K503" s="95"/>
      <c r="BX503" s="36" t="s">
        <v>914</v>
      </c>
    </row>
    <row r="504" spans="1:76" ht="14.4" x14ac:dyDescent="0.3">
      <c r="A504" s="2" t="s">
        <v>915</v>
      </c>
      <c r="B504" s="3" t="s">
        <v>916</v>
      </c>
      <c r="C504" s="75" t="s">
        <v>917</v>
      </c>
      <c r="D504" s="70"/>
      <c r="E504" s="3" t="s">
        <v>293</v>
      </c>
      <c r="F504" s="28">
        <v>7</v>
      </c>
      <c r="G504" s="28">
        <v>0</v>
      </c>
      <c r="H504" s="28">
        <f>ROUND(F504*AO504,2)</f>
        <v>0</v>
      </c>
      <c r="I504" s="28">
        <f>ROUND(F504*AP504,2)</f>
        <v>0</v>
      </c>
      <c r="J504" s="28">
        <f>ROUND(F504*G504,2)</f>
        <v>0</v>
      </c>
      <c r="K504" s="29" t="s">
        <v>60</v>
      </c>
      <c r="Z504" s="28">
        <f>ROUND(IF(AQ504="5",BJ504,0),2)</f>
        <v>0</v>
      </c>
      <c r="AB504" s="28">
        <f>ROUND(IF(AQ504="1",BH504,0),2)</f>
        <v>0</v>
      </c>
      <c r="AC504" s="28">
        <f>ROUND(IF(AQ504="1",BI504,0),2)</f>
        <v>0</v>
      </c>
      <c r="AD504" s="28">
        <f>ROUND(IF(AQ504="7",BH504,0),2)</f>
        <v>0</v>
      </c>
      <c r="AE504" s="28">
        <f>ROUND(IF(AQ504="7",BI504,0),2)</f>
        <v>0</v>
      </c>
      <c r="AF504" s="28">
        <f>ROUND(IF(AQ504="2",BH504,0),2)</f>
        <v>0</v>
      </c>
      <c r="AG504" s="28">
        <f>ROUND(IF(AQ504="2",BI504,0),2)</f>
        <v>0</v>
      </c>
      <c r="AH504" s="28">
        <f>ROUND(IF(AQ504="0",BJ504,0),2)</f>
        <v>0</v>
      </c>
      <c r="AI504" s="10" t="s">
        <v>719</v>
      </c>
      <c r="AJ504" s="28">
        <f>IF(AN504=0,J504,0)</f>
        <v>0</v>
      </c>
      <c r="AK504" s="28">
        <f>IF(AN504=12,J504,0)</f>
        <v>0</v>
      </c>
      <c r="AL504" s="28">
        <f>IF(AN504=21,J504,0)</f>
        <v>0</v>
      </c>
      <c r="AN504" s="28">
        <v>21</v>
      </c>
      <c r="AO504" s="28">
        <f>G504*0</f>
        <v>0</v>
      </c>
      <c r="AP504" s="28">
        <f>G504*(1-0)</f>
        <v>0</v>
      </c>
      <c r="AQ504" s="30" t="s">
        <v>56</v>
      </c>
      <c r="AV504" s="28">
        <f>ROUND(AW504+AX504,2)</f>
        <v>0</v>
      </c>
      <c r="AW504" s="28">
        <f>ROUND(F504*AO504,2)</f>
        <v>0</v>
      </c>
      <c r="AX504" s="28">
        <f>ROUND(F504*AP504,2)</f>
        <v>0</v>
      </c>
      <c r="AY504" s="30" t="s">
        <v>883</v>
      </c>
      <c r="AZ504" s="30" t="s">
        <v>884</v>
      </c>
      <c r="BA504" s="10" t="s">
        <v>725</v>
      </c>
      <c r="BC504" s="28">
        <f>AW504+AX504</f>
        <v>0</v>
      </c>
      <c r="BD504" s="28">
        <f>G504/(100-BE504)*100</f>
        <v>0</v>
      </c>
      <c r="BE504" s="28">
        <v>0</v>
      </c>
      <c r="BF504" s="28">
        <f>504</f>
        <v>504</v>
      </c>
      <c r="BH504" s="28">
        <f>F504*AO504</f>
        <v>0</v>
      </c>
      <c r="BI504" s="28">
        <f>F504*AP504</f>
        <v>0</v>
      </c>
      <c r="BJ504" s="28">
        <f>F504*G504</f>
        <v>0</v>
      </c>
      <c r="BK504" s="28"/>
      <c r="BL504" s="28">
        <v>91</v>
      </c>
      <c r="BW504" s="28">
        <v>21</v>
      </c>
      <c r="BX504" s="4" t="s">
        <v>917</v>
      </c>
    </row>
    <row r="505" spans="1:76" ht="14.4" x14ac:dyDescent="0.3">
      <c r="A505" s="31"/>
      <c r="C505" s="32" t="s">
        <v>74</v>
      </c>
      <c r="D505" s="32" t="s">
        <v>918</v>
      </c>
      <c r="F505" s="33">
        <v>2</v>
      </c>
      <c r="K505" s="34"/>
    </row>
    <row r="506" spans="1:76" ht="14.4" x14ac:dyDescent="0.3">
      <c r="A506" s="31"/>
      <c r="C506" s="32" t="s">
        <v>100</v>
      </c>
      <c r="D506" s="32" t="s">
        <v>919</v>
      </c>
      <c r="F506" s="33">
        <v>5</v>
      </c>
      <c r="K506" s="34"/>
    </row>
    <row r="507" spans="1:76" ht="14.4" x14ac:dyDescent="0.3">
      <c r="A507" s="2" t="s">
        <v>920</v>
      </c>
      <c r="B507" s="3" t="s">
        <v>921</v>
      </c>
      <c r="C507" s="75" t="s">
        <v>922</v>
      </c>
      <c r="D507" s="70"/>
      <c r="E507" s="3" t="s">
        <v>293</v>
      </c>
      <c r="F507" s="28">
        <v>1260</v>
      </c>
      <c r="G507" s="28">
        <v>0</v>
      </c>
      <c r="H507" s="28">
        <f>ROUND(F507*AO507,2)</f>
        <v>0</v>
      </c>
      <c r="I507" s="28">
        <f>ROUND(F507*AP507,2)</f>
        <v>0</v>
      </c>
      <c r="J507" s="28">
        <f>ROUND(F507*G507,2)</f>
        <v>0</v>
      </c>
      <c r="K507" s="29" t="s">
        <v>60</v>
      </c>
      <c r="Z507" s="28">
        <f>ROUND(IF(AQ507="5",BJ507,0),2)</f>
        <v>0</v>
      </c>
      <c r="AB507" s="28">
        <f>ROUND(IF(AQ507="1",BH507,0),2)</f>
        <v>0</v>
      </c>
      <c r="AC507" s="28">
        <f>ROUND(IF(AQ507="1",BI507,0),2)</f>
        <v>0</v>
      </c>
      <c r="AD507" s="28">
        <f>ROUND(IF(AQ507="7",BH507,0),2)</f>
        <v>0</v>
      </c>
      <c r="AE507" s="28">
        <f>ROUND(IF(AQ507="7",BI507,0),2)</f>
        <v>0</v>
      </c>
      <c r="AF507" s="28">
        <f>ROUND(IF(AQ507="2",BH507,0),2)</f>
        <v>0</v>
      </c>
      <c r="AG507" s="28">
        <f>ROUND(IF(AQ507="2",BI507,0),2)</f>
        <v>0</v>
      </c>
      <c r="AH507" s="28">
        <f>ROUND(IF(AQ507="0",BJ507,0),2)</f>
        <v>0</v>
      </c>
      <c r="AI507" s="10" t="s">
        <v>719</v>
      </c>
      <c r="AJ507" s="28">
        <f>IF(AN507=0,J507,0)</f>
        <v>0</v>
      </c>
      <c r="AK507" s="28">
        <f>IF(AN507=12,J507,0)</f>
        <v>0</v>
      </c>
      <c r="AL507" s="28">
        <f>IF(AN507=21,J507,0)</f>
        <v>0</v>
      </c>
      <c r="AN507" s="28">
        <v>21</v>
      </c>
      <c r="AO507" s="28">
        <f>G507*0</f>
        <v>0</v>
      </c>
      <c r="AP507" s="28">
        <f>G507*(1-0)</f>
        <v>0</v>
      </c>
      <c r="AQ507" s="30" t="s">
        <v>56</v>
      </c>
      <c r="AV507" s="28">
        <f>ROUND(AW507+AX507,2)</f>
        <v>0</v>
      </c>
      <c r="AW507" s="28">
        <f>ROUND(F507*AO507,2)</f>
        <v>0</v>
      </c>
      <c r="AX507" s="28">
        <f>ROUND(F507*AP507,2)</f>
        <v>0</v>
      </c>
      <c r="AY507" s="30" t="s">
        <v>883</v>
      </c>
      <c r="AZ507" s="30" t="s">
        <v>884</v>
      </c>
      <c r="BA507" s="10" t="s">
        <v>725</v>
      </c>
      <c r="BC507" s="28">
        <f>AW507+AX507</f>
        <v>0</v>
      </c>
      <c r="BD507" s="28">
        <f>G507/(100-BE507)*100</f>
        <v>0</v>
      </c>
      <c r="BE507" s="28">
        <v>0</v>
      </c>
      <c r="BF507" s="28">
        <f>507</f>
        <v>507</v>
      </c>
      <c r="BH507" s="28">
        <f>F507*AO507</f>
        <v>0</v>
      </c>
      <c r="BI507" s="28">
        <f>F507*AP507</f>
        <v>0</v>
      </c>
      <c r="BJ507" s="28">
        <f>F507*G507</f>
        <v>0</v>
      </c>
      <c r="BK507" s="28"/>
      <c r="BL507" s="28">
        <v>91</v>
      </c>
      <c r="BW507" s="28">
        <v>21</v>
      </c>
      <c r="BX507" s="4" t="s">
        <v>922</v>
      </c>
    </row>
    <row r="508" spans="1:76" ht="14.4" x14ac:dyDescent="0.3">
      <c r="A508" s="2" t="s">
        <v>923</v>
      </c>
      <c r="B508" s="3" t="s">
        <v>924</v>
      </c>
      <c r="C508" s="75" t="s">
        <v>925</v>
      </c>
      <c r="D508" s="70"/>
      <c r="E508" s="3" t="s">
        <v>293</v>
      </c>
      <c r="F508" s="28">
        <v>7</v>
      </c>
      <c r="G508" s="28">
        <v>0</v>
      </c>
      <c r="H508" s="28">
        <f>ROUND(F508*AO508,2)</f>
        <v>0</v>
      </c>
      <c r="I508" s="28">
        <f>ROUND(F508*AP508,2)</f>
        <v>0</v>
      </c>
      <c r="J508" s="28">
        <f>ROUND(F508*G508,2)</f>
        <v>0</v>
      </c>
      <c r="K508" s="29" t="s">
        <v>60</v>
      </c>
      <c r="Z508" s="28">
        <f>ROUND(IF(AQ508="5",BJ508,0),2)</f>
        <v>0</v>
      </c>
      <c r="AB508" s="28">
        <f>ROUND(IF(AQ508="1",BH508,0),2)</f>
        <v>0</v>
      </c>
      <c r="AC508" s="28">
        <f>ROUND(IF(AQ508="1",BI508,0),2)</f>
        <v>0</v>
      </c>
      <c r="AD508" s="28">
        <f>ROUND(IF(AQ508="7",BH508,0),2)</f>
        <v>0</v>
      </c>
      <c r="AE508" s="28">
        <f>ROUND(IF(AQ508="7",BI508,0),2)</f>
        <v>0</v>
      </c>
      <c r="AF508" s="28">
        <f>ROUND(IF(AQ508="2",BH508,0),2)</f>
        <v>0</v>
      </c>
      <c r="AG508" s="28">
        <f>ROUND(IF(AQ508="2",BI508,0),2)</f>
        <v>0</v>
      </c>
      <c r="AH508" s="28">
        <f>ROUND(IF(AQ508="0",BJ508,0),2)</f>
        <v>0</v>
      </c>
      <c r="AI508" s="10" t="s">
        <v>719</v>
      </c>
      <c r="AJ508" s="28">
        <f>IF(AN508=0,J508,0)</f>
        <v>0</v>
      </c>
      <c r="AK508" s="28">
        <f>IF(AN508=12,J508,0)</f>
        <v>0</v>
      </c>
      <c r="AL508" s="28">
        <f>IF(AN508=21,J508,0)</f>
        <v>0</v>
      </c>
      <c r="AN508" s="28">
        <v>21</v>
      </c>
      <c r="AO508" s="28">
        <f>G508*0</f>
        <v>0</v>
      </c>
      <c r="AP508" s="28">
        <f>G508*(1-0)</f>
        <v>0</v>
      </c>
      <c r="AQ508" s="30" t="s">
        <v>56</v>
      </c>
      <c r="AV508" s="28">
        <f>ROUND(AW508+AX508,2)</f>
        <v>0</v>
      </c>
      <c r="AW508" s="28">
        <f>ROUND(F508*AO508,2)</f>
        <v>0</v>
      </c>
      <c r="AX508" s="28">
        <f>ROUND(F508*AP508,2)</f>
        <v>0</v>
      </c>
      <c r="AY508" s="30" t="s">
        <v>883</v>
      </c>
      <c r="AZ508" s="30" t="s">
        <v>884</v>
      </c>
      <c r="BA508" s="10" t="s">
        <v>725</v>
      </c>
      <c r="BC508" s="28">
        <f>AW508+AX508</f>
        <v>0</v>
      </c>
      <c r="BD508" s="28">
        <f>G508/(100-BE508)*100</f>
        <v>0</v>
      </c>
      <c r="BE508" s="28">
        <v>0</v>
      </c>
      <c r="BF508" s="28">
        <f>508</f>
        <v>508</v>
      </c>
      <c r="BH508" s="28">
        <f>F508*AO508</f>
        <v>0</v>
      </c>
      <c r="BI508" s="28">
        <f>F508*AP508</f>
        <v>0</v>
      </c>
      <c r="BJ508" s="28">
        <f>F508*G508</f>
        <v>0</v>
      </c>
      <c r="BK508" s="28"/>
      <c r="BL508" s="28">
        <v>91</v>
      </c>
      <c r="BW508" s="28">
        <v>21</v>
      </c>
      <c r="BX508" s="4" t="s">
        <v>925</v>
      </c>
    </row>
    <row r="509" spans="1:76" ht="14.4" x14ac:dyDescent="0.3">
      <c r="A509" s="31"/>
      <c r="C509" s="32" t="s">
        <v>74</v>
      </c>
      <c r="D509" s="32" t="s">
        <v>918</v>
      </c>
      <c r="F509" s="33">
        <v>2</v>
      </c>
      <c r="K509" s="34"/>
    </row>
    <row r="510" spans="1:76" ht="14.4" x14ac:dyDescent="0.3">
      <c r="A510" s="31"/>
      <c r="C510" s="32" t="s">
        <v>100</v>
      </c>
      <c r="D510" s="32" t="s">
        <v>919</v>
      </c>
      <c r="F510" s="33">
        <v>5</v>
      </c>
      <c r="K510" s="34"/>
    </row>
    <row r="511" spans="1:76" ht="14.4" x14ac:dyDescent="0.3">
      <c r="A511" s="2" t="s">
        <v>780</v>
      </c>
      <c r="B511" s="3" t="s">
        <v>926</v>
      </c>
      <c r="C511" s="75" t="s">
        <v>927</v>
      </c>
      <c r="D511" s="70"/>
      <c r="E511" s="3" t="s">
        <v>188</v>
      </c>
      <c r="F511" s="28">
        <v>70</v>
      </c>
      <c r="G511" s="28">
        <v>0</v>
      </c>
      <c r="H511" s="28">
        <f>ROUND(F511*AO511,2)</f>
        <v>0</v>
      </c>
      <c r="I511" s="28">
        <f>ROUND(F511*AP511,2)</f>
        <v>0</v>
      </c>
      <c r="J511" s="28">
        <f>ROUND(F511*G511,2)</f>
        <v>0</v>
      </c>
      <c r="K511" s="29" t="s">
        <v>60</v>
      </c>
      <c r="Z511" s="28">
        <f>ROUND(IF(AQ511="5",BJ511,0),2)</f>
        <v>0</v>
      </c>
      <c r="AB511" s="28">
        <f>ROUND(IF(AQ511="1",BH511,0),2)</f>
        <v>0</v>
      </c>
      <c r="AC511" s="28">
        <f>ROUND(IF(AQ511="1",BI511,0),2)</f>
        <v>0</v>
      </c>
      <c r="AD511" s="28">
        <f>ROUND(IF(AQ511="7",BH511,0),2)</f>
        <v>0</v>
      </c>
      <c r="AE511" s="28">
        <f>ROUND(IF(AQ511="7",BI511,0),2)</f>
        <v>0</v>
      </c>
      <c r="AF511" s="28">
        <f>ROUND(IF(AQ511="2",BH511,0),2)</f>
        <v>0</v>
      </c>
      <c r="AG511" s="28">
        <f>ROUND(IF(AQ511="2",BI511,0),2)</f>
        <v>0</v>
      </c>
      <c r="AH511" s="28">
        <f>ROUND(IF(AQ511="0",BJ511,0),2)</f>
        <v>0</v>
      </c>
      <c r="AI511" s="10" t="s">
        <v>719</v>
      </c>
      <c r="AJ511" s="28">
        <f>IF(AN511=0,J511,0)</f>
        <v>0</v>
      </c>
      <c r="AK511" s="28">
        <f>IF(AN511=12,J511,0)</f>
        <v>0</v>
      </c>
      <c r="AL511" s="28">
        <f>IF(AN511=21,J511,0)</f>
        <v>0</v>
      </c>
      <c r="AN511" s="28">
        <v>21</v>
      </c>
      <c r="AO511" s="28">
        <f>G511*0</f>
        <v>0</v>
      </c>
      <c r="AP511" s="28">
        <f>G511*(1-0)</f>
        <v>0</v>
      </c>
      <c r="AQ511" s="30" t="s">
        <v>56</v>
      </c>
      <c r="AV511" s="28">
        <f>ROUND(AW511+AX511,2)</f>
        <v>0</v>
      </c>
      <c r="AW511" s="28">
        <f>ROUND(F511*AO511,2)</f>
        <v>0</v>
      </c>
      <c r="AX511" s="28">
        <f>ROUND(F511*AP511,2)</f>
        <v>0</v>
      </c>
      <c r="AY511" s="30" t="s">
        <v>883</v>
      </c>
      <c r="AZ511" s="30" t="s">
        <v>884</v>
      </c>
      <c r="BA511" s="10" t="s">
        <v>725</v>
      </c>
      <c r="BC511" s="28">
        <f>AW511+AX511</f>
        <v>0</v>
      </c>
      <c r="BD511" s="28">
        <f>G511/(100-BE511)*100</f>
        <v>0</v>
      </c>
      <c r="BE511" s="28">
        <v>0</v>
      </c>
      <c r="BF511" s="28">
        <f>511</f>
        <v>511</v>
      </c>
      <c r="BH511" s="28">
        <f>F511*AO511</f>
        <v>0</v>
      </c>
      <c r="BI511" s="28">
        <f>F511*AP511</f>
        <v>0</v>
      </c>
      <c r="BJ511" s="28">
        <f>F511*G511</f>
        <v>0</v>
      </c>
      <c r="BK511" s="28"/>
      <c r="BL511" s="28">
        <v>91</v>
      </c>
      <c r="BW511" s="28">
        <v>21</v>
      </c>
      <c r="BX511" s="4" t="s">
        <v>927</v>
      </c>
    </row>
    <row r="512" spans="1:76" ht="26.4" x14ac:dyDescent="0.3">
      <c r="A512" s="2" t="s">
        <v>928</v>
      </c>
      <c r="B512" s="3" t="s">
        <v>929</v>
      </c>
      <c r="C512" s="75" t="s">
        <v>930</v>
      </c>
      <c r="D512" s="70"/>
      <c r="E512" s="3" t="s">
        <v>931</v>
      </c>
      <c r="F512" s="28">
        <v>70</v>
      </c>
      <c r="G512" s="28">
        <v>0</v>
      </c>
      <c r="H512" s="28">
        <f>ROUND(F512*AO512,2)</f>
        <v>0</v>
      </c>
      <c r="I512" s="28">
        <f>ROUND(F512*AP512,2)</f>
        <v>0</v>
      </c>
      <c r="J512" s="28">
        <f>ROUND(F512*G512,2)</f>
        <v>0</v>
      </c>
      <c r="K512" s="29" t="s">
        <v>60</v>
      </c>
      <c r="Z512" s="28">
        <f>ROUND(IF(AQ512="5",BJ512,0),2)</f>
        <v>0</v>
      </c>
      <c r="AB512" s="28">
        <f>ROUND(IF(AQ512="1",BH512,0),2)</f>
        <v>0</v>
      </c>
      <c r="AC512" s="28">
        <f>ROUND(IF(AQ512="1",BI512,0),2)</f>
        <v>0</v>
      </c>
      <c r="AD512" s="28">
        <f>ROUND(IF(AQ512="7",BH512,0),2)</f>
        <v>0</v>
      </c>
      <c r="AE512" s="28">
        <f>ROUND(IF(AQ512="7",BI512,0),2)</f>
        <v>0</v>
      </c>
      <c r="AF512" s="28">
        <f>ROUND(IF(AQ512="2",BH512,0),2)</f>
        <v>0</v>
      </c>
      <c r="AG512" s="28">
        <f>ROUND(IF(AQ512="2",BI512,0),2)</f>
        <v>0</v>
      </c>
      <c r="AH512" s="28">
        <f>ROUND(IF(AQ512="0",BJ512,0),2)</f>
        <v>0</v>
      </c>
      <c r="AI512" s="10" t="s">
        <v>719</v>
      </c>
      <c r="AJ512" s="28">
        <f>IF(AN512=0,J512,0)</f>
        <v>0</v>
      </c>
      <c r="AK512" s="28">
        <f>IF(AN512=12,J512,0)</f>
        <v>0</v>
      </c>
      <c r="AL512" s="28">
        <f>IF(AN512=21,J512,0)</f>
        <v>0</v>
      </c>
      <c r="AN512" s="28">
        <v>21</v>
      </c>
      <c r="AO512" s="28">
        <f>G512*1</f>
        <v>0</v>
      </c>
      <c r="AP512" s="28">
        <f>G512*(1-1)</f>
        <v>0</v>
      </c>
      <c r="AQ512" s="30" t="s">
        <v>56</v>
      </c>
      <c r="AV512" s="28">
        <f>ROUND(AW512+AX512,2)</f>
        <v>0</v>
      </c>
      <c r="AW512" s="28">
        <f>ROUND(F512*AO512,2)</f>
        <v>0</v>
      </c>
      <c r="AX512" s="28">
        <f>ROUND(F512*AP512,2)</f>
        <v>0</v>
      </c>
      <c r="AY512" s="30" t="s">
        <v>883</v>
      </c>
      <c r="AZ512" s="30" t="s">
        <v>884</v>
      </c>
      <c r="BA512" s="10" t="s">
        <v>725</v>
      </c>
      <c r="BC512" s="28">
        <f>AW512+AX512</f>
        <v>0</v>
      </c>
      <c r="BD512" s="28">
        <f>G512/(100-BE512)*100</f>
        <v>0</v>
      </c>
      <c r="BE512" s="28">
        <v>0</v>
      </c>
      <c r="BF512" s="28">
        <f>512</f>
        <v>512</v>
      </c>
      <c r="BH512" s="28">
        <f>F512*AO512</f>
        <v>0</v>
      </c>
      <c r="BI512" s="28">
        <f>F512*AP512</f>
        <v>0</v>
      </c>
      <c r="BJ512" s="28">
        <f>F512*G512</f>
        <v>0</v>
      </c>
      <c r="BK512" s="28"/>
      <c r="BL512" s="28">
        <v>91</v>
      </c>
      <c r="BW512" s="28">
        <v>21</v>
      </c>
      <c r="BX512" s="4" t="s">
        <v>930</v>
      </c>
    </row>
    <row r="513" spans="1:76" ht="14.4" x14ac:dyDescent="0.3">
      <c r="A513" s="2" t="s">
        <v>932</v>
      </c>
      <c r="B513" s="3" t="s">
        <v>933</v>
      </c>
      <c r="C513" s="75" t="s">
        <v>912</v>
      </c>
      <c r="D513" s="70"/>
      <c r="E513" s="3" t="s">
        <v>293</v>
      </c>
      <c r="F513" s="28">
        <v>3</v>
      </c>
      <c r="G513" s="28">
        <v>0</v>
      </c>
      <c r="H513" s="28">
        <f>ROUND(F513*AO513,2)</f>
        <v>0</v>
      </c>
      <c r="I513" s="28">
        <f>ROUND(F513*AP513,2)</f>
        <v>0</v>
      </c>
      <c r="J513" s="28">
        <f>ROUND(F513*G513,2)</f>
        <v>0</v>
      </c>
      <c r="K513" s="29" t="s">
        <v>60</v>
      </c>
      <c r="Z513" s="28">
        <f>ROUND(IF(AQ513="5",BJ513,0),2)</f>
        <v>0</v>
      </c>
      <c r="AB513" s="28">
        <f>ROUND(IF(AQ513="1",BH513,0),2)</f>
        <v>0</v>
      </c>
      <c r="AC513" s="28">
        <f>ROUND(IF(AQ513="1",BI513,0),2)</f>
        <v>0</v>
      </c>
      <c r="AD513" s="28">
        <f>ROUND(IF(AQ513="7",BH513,0),2)</f>
        <v>0</v>
      </c>
      <c r="AE513" s="28">
        <f>ROUND(IF(AQ513="7",BI513,0),2)</f>
        <v>0</v>
      </c>
      <c r="AF513" s="28">
        <f>ROUND(IF(AQ513="2",BH513,0),2)</f>
        <v>0</v>
      </c>
      <c r="AG513" s="28">
        <f>ROUND(IF(AQ513="2",BI513,0),2)</f>
        <v>0</v>
      </c>
      <c r="AH513" s="28">
        <f>ROUND(IF(AQ513="0",BJ513,0),2)</f>
        <v>0</v>
      </c>
      <c r="AI513" s="10" t="s">
        <v>719</v>
      </c>
      <c r="AJ513" s="28">
        <f>IF(AN513=0,J513,0)</f>
        <v>0</v>
      </c>
      <c r="AK513" s="28">
        <f>IF(AN513=12,J513,0)</f>
        <v>0</v>
      </c>
      <c r="AL513" s="28">
        <f>IF(AN513=21,J513,0)</f>
        <v>0</v>
      </c>
      <c r="AN513" s="28">
        <v>21</v>
      </c>
      <c r="AO513" s="28">
        <f>G513*0.815633466</f>
        <v>0</v>
      </c>
      <c r="AP513" s="28">
        <f>G513*(1-0.815633466)</f>
        <v>0</v>
      </c>
      <c r="AQ513" s="30" t="s">
        <v>56</v>
      </c>
      <c r="AV513" s="28">
        <f>ROUND(AW513+AX513,2)</f>
        <v>0</v>
      </c>
      <c r="AW513" s="28">
        <f>ROUND(F513*AO513,2)</f>
        <v>0</v>
      </c>
      <c r="AX513" s="28">
        <f>ROUND(F513*AP513,2)</f>
        <v>0</v>
      </c>
      <c r="AY513" s="30" t="s">
        <v>883</v>
      </c>
      <c r="AZ513" s="30" t="s">
        <v>884</v>
      </c>
      <c r="BA513" s="10" t="s">
        <v>725</v>
      </c>
      <c r="BC513" s="28">
        <f>AW513+AX513</f>
        <v>0</v>
      </c>
      <c r="BD513" s="28">
        <f>G513/(100-BE513)*100</f>
        <v>0</v>
      </c>
      <c r="BE513" s="28">
        <v>0</v>
      </c>
      <c r="BF513" s="28">
        <f>513</f>
        <v>513</v>
      </c>
      <c r="BH513" s="28">
        <f>F513*AO513</f>
        <v>0</v>
      </c>
      <c r="BI513" s="28">
        <f>F513*AP513</f>
        <v>0</v>
      </c>
      <c r="BJ513" s="28">
        <f>F513*G513</f>
        <v>0</v>
      </c>
      <c r="BK513" s="28"/>
      <c r="BL513" s="28">
        <v>91</v>
      </c>
      <c r="BW513" s="28">
        <v>21</v>
      </c>
      <c r="BX513" s="4" t="s">
        <v>912</v>
      </c>
    </row>
    <row r="514" spans="1:76" ht="13.5" customHeight="1" x14ac:dyDescent="0.3">
      <c r="A514" s="31"/>
      <c r="B514" s="35" t="s">
        <v>105</v>
      </c>
      <c r="C514" s="96" t="s">
        <v>934</v>
      </c>
      <c r="D514" s="97"/>
      <c r="E514" s="97"/>
      <c r="F514" s="97"/>
      <c r="G514" s="97"/>
      <c r="H514" s="97"/>
      <c r="I514" s="97"/>
      <c r="J514" s="97"/>
      <c r="K514" s="98"/>
    </row>
    <row r="515" spans="1:76" ht="14.4" x14ac:dyDescent="0.3">
      <c r="A515" s="31"/>
      <c r="C515" s="32" t="s">
        <v>56</v>
      </c>
      <c r="D515" s="32" t="s">
        <v>935</v>
      </c>
      <c r="F515" s="33">
        <v>1</v>
      </c>
      <c r="K515" s="34"/>
    </row>
    <row r="516" spans="1:76" ht="14.4" x14ac:dyDescent="0.3">
      <c r="A516" s="31"/>
      <c r="C516" s="32" t="s">
        <v>56</v>
      </c>
      <c r="D516" s="32" t="s">
        <v>936</v>
      </c>
      <c r="F516" s="33">
        <v>1</v>
      </c>
      <c r="K516" s="34"/>
    </row>
    <row r="517" spans="1:76" ht="14.4" x14ac:dyDescent="0.3">
      <c r="A517" s="31"/>
      <c r="C517" s="32" t="s">
        <v>56</v>
      </c>
      <c r="D517" s="32" t="s">
        <v>937</v>
      </c>
      <c r="F517" s="33">
        <v>1</v>
      </c>
      <c r="K517" s="34"/>
    </row>
    <row r="518" spans="1:76" ht="52.8" x14ac:dyDescent="0.3">
      <c r="A518" s="31"/>
      <c r="B518" s="35" t="s">
        <v>68</v>
      </c>
      <c r="C518" s="93" t="s">
        <v>938</v>
      </c>
      <c r="D518" s="94"/>
      <c r="E518" s="94"/>
      <c r="F518" s="94"/>
      <c r="G518" s="94"/>
      <c r="H518" s="94"/>
      <c r="I518" s="94"/>
      <c r="J518" s="94"/>
      <c r="K518" s="95"/>
      <c r="BX518" s="36" t="s">
        <v>938</v>
      </c>
    </row>
    <row r="519" spans="1:76" ht="14.4" x14ac:dyDescent="0.3">
      <c r="A519" s="24" t="s">
        <v>51</v>
      </c>
      <c r="B519" s="25" t="s">
        <v>587</v>
      </c>
      <c r="C519" s="91" t="s">
        <v>604</v>
      </c>
      <c r="D519" s="92"/>
      <c r="E519" s="26" t="s">
        <v>4</v>
      </c>
      <c r="F519" s="26" t="s">
        <v>4</v>
      </c>
      <c r="G519" s="26" t="s">
        <v>4</v>
      </c>
      <c r="H519" s="1">
        <f>SUM(H520:H520)</f>
        <v>0</v>
      </c>
      <c r="I519" s="1">
        <f>SUM(I520:I520)</f>
        <v>0</v>
      </c>
      <c r="J519" s="1">
        <f>SUM(J520:J520)</f>
        <v>0</v>
      </c>
      <c r="K519" s="27" t="s">
        <v>51</v>
      </c>
      <c r="AI519" s="10" t="s">
        <v>719</v>
      </c>
      <c r="AS519" s="1">
        <f>SUM(AJ520:AJ520)</f>
        <v>0</v>
      </c>
      <c r="AT519" s="1">
        <f>SUM(AK520:AK520)</f>
        <v>0</v>
      </c>
      <c r="AU519" s="1">
        <f>SUM(AL520:AL520)</f>
        <v>0</v>
      </c>
    </row>
    <row r="520" spans="1:76" ht="14.4" x14ac:dyDescent="0.3">
      <c r="A520" s="2" t="s">
        <v>939</v>
      </c>
      <c r="B520" s="3" t="s">
        <v>940</v>
      </c>
      <c r="C520" s="75" t="s">
        <v>941</v>
      </c>
      <c r="D520" s="70"/>
      <c r="E520" s="3" t="s">
        <v>103</v>
      </c>
      <c r="F520" s="28">
        <v>1190</v>
      </c>
      <c r="G520" s="28">
        <v>0</v>
      </c>
      <c r="H520" s="28">
        <f>ROUND(F520*AO520,2)</f>
        <v>0</v>
      </c>
      <c r="I520" s="28">
        <f>ROUND(F520*AP520,2)</f>
        <v>0</v>
      </c>
      <c r="J520" s="28">
        <f>ROUND(F520*G520,2)</f>
        <v>0</v>
      </c>
      <c r="K520" s="29" t="s">
        <v>60</v>
      </c>
      <c r="Z520" s="28">
        <f>ROUND(IF(AQ520="5",BJ520,0),2)</f>
        <v>0</v>
      </c>
      <c r="AB520" s="28">
        <f>ROUND(IF(AQ520="1",BH520,0),2)</f>
        <v>0</v>
      </c>
      <c r="AC520" s="28">
        <f>ROUND(IF(AQ520="1",BI520,0),2)</f>
        <v>0</v>
      </c>
      <c r="AD520" s="28">
        <f>ROUND(IF(AQ520="7",BH520,0),2)</f>
        <v>0</v>
      </c>
      <c r="AE520" s="28">
        <f>ROUND(IF(AQ520="7",BI520,0),2)</f>
        <v>0</v>
      </c>
      <c r="AF520" s="28">
        <f>ROUND(IF(AQ520="2",BH520,0),2)</f>
        <v>0</v>
      </c>
      <c r="AG520" s="28">
        <f>ROUND(IF(AQ520="2",BI520,0),2)</f>
        <v>0</v>
      </c>
      <c r="AH520" s="28">
        <f>ROUND(IF(AQ520="0",BJ520,0),2)</f>
        <v>0</v>
      </c>
      <c r="AI520" s="10" t="s">
        <v>719</v>
      </c>
      <c r="AJ520" s="28">
        <f>IF(AN520=0,J520,0)</f>
        <v>0</v>
      </c>
      <c r="AK520" s="28">
        <f>IF(AN520=12,J520,0)</f>
        <v>0</v>
      </c>
      <c r="AL520" s="28">
        <f>IF(AN520=21,J520,0)</f>
        <v>0</v>
      </c>
      <c r="AN520" s="28">
        <v>21</v>
      </c>
      <c r="AO520" s="28">
        <f>G520*0.922307692</f>
        <v>0</v>
      </c>
      <c r="AP520" s="28">
        <f>G520*(1-0.922307692)</f>
        <v>0</v>
      </c>
      <c r="AQ520" s="30" t="s">
        <v>56</v>
      </c>
      <c r="AV520" s="28">
        <f>ROUND(AW520+AX520,2)</f>
        <v>0</v>
      </c>
      <c r="AW520" s="28">
        <f>ROUND(F520*AO520,2)</f>
        <v>0</v>
      </c>
      <c r="AX520" s="28">
        <f>ROUND(F520*AP520,2)</f>
        <v>0</v>
      </c>
      <c r="AY520" s="30" t="s">
        <v>608</v>
      </c>
      <c r="AZ520" s="30" t="s">
        <v>884</v>
      </c>
      <c r="BA520" s="10" t="s">
        <v>725</v>
      </c>
      <c r="BC520" s="28">
        <f>AW520+AX520</f>
        <v>0</v>
      </c>
      <c r="BD520" s="28">
        <f>G520/(100-BE520)*100</f>
        <v>0</v>
      </c>
      <c r="BE520" s="28">
        <v>0</v>
      </c>
      <c r="BF520" s="28">
        <f>520</f>
        <v>520</v>
      </c>
      <c r="BH520" s="28">
        <f>F520*AO520</f>
        <v>0</v>
      </c>
      <c r="BI520" s="28">
        <f>F520*AP520</f>
        <v>0</v>
      </c>
      <c r="BJ520" s="28">
        <f>F520*G520</f>
        <v>0</v>
      </c>
      <c r="BK520" s="28"/>
      <c r="BL520" s="28">
        <v>93</v>
      </c>
      <c r="BW520" s="28">
        <v>21</v>
      </c>
      <c r="BX520" s="4" t="s">
        <v>941</v>
      </c>
    </row>
    <row r="521" spans="1:76" ht="14.4" x14ac:dyDescent="0.3">
      <c r="A521" s="31"/>
      <c r="C521" s="32" t="s">
        <v>942</v>
      </c>
      <c r="D521" s="32" t="s">
        <v>943</v>
      </c>
      <c r="F521" s="33">
        <v>1190</v>
      </c>
      <c r="K521" s="34"/>
    </row>
    <row r="522" spans="1:76" ht="14.4" x14ac:dyDescent="0.3">
      <c r="A522" s="24" t="s">
        <v>51</v>
      </c>
      <c r="B522" s="25" t="s">
        <v>600</v>
      </c>
      <c r="C522" s="91" t="s">
        <v>623</v>
      </c>
      <c r="D522" s="92"/>
      <c r="E522" s="26" t="s">
        <v>4</v>
      </c>
      <c r="F522" s="26" t="s">
        <v>4</v>
      </c>
      <c r="G522" s="26" t="s">
        <v>4</v>
      </c>
      <c r="H522" s="1">
        <f>SUM(H523:H523)</f>
        <v>0</v>
      </c>
      <c r="I522" s="1">
        <f>SUM(I523:I523)</f>
        <v>0</v>
      </c>
      <c r="J522" s="1">
        <f>SUM(J523:J523)</f>
        <v>0</v>
      </c>
      <c r="K522" s="27" t="s">
        <v>51</v>
      </c>
      <c r="AI522" s="10" t="s">
        <v>719</v>
      </c>
      <c r="AS522" s="1">
        <f>SUM(AJ523:AJ523)</f>
        <v>0</v>
      </c>
      <c r="AT522" s="1">
        <f>SUM(AK523:AK523)</f>
        <v>0</v>
      </c>
      <c r="AU522" s="1">
        <f>SUM(AL523:AL523)</f>
        <v>0</v>
      </c>
    </row>
    <row r="523" spans="1:76" ht="14.4" x14ac:dyDescent="0.3">
      <c r="A523" s="2" t="s">
        <v>944</v>
      </c>
      <c r="B523" s="3" t="s">
        <v>945</v>
      </c>
      <c r="C523" s="75" t="s">
        <v>946</v>
      </c>
      <c r="D523" s="70"/>
      <c r="E523" s="3" t="s">
        <v>293</v>
      </c>
      <c r="F523" s="28">
        <v>1</v>
      </c>
      <c r="G523" s="28">
        <v>0</v>
      </c>
      <c r="H523" s="28">
        <f>ROUND(F523*AO523,2)</f>
        <v>0</v>
      </c>
      <c r="I523" s="28">
        <f>ROUND(F523*AP523,2)</f>
        <v>0</v>
      </c>
      <c r="J523" s="28">
        <f>ROUND(F523*G523,2)</f>
        <v>0</v>
      </c>
      <c r="K523" s="29" t="s">
        <v>60</v>
      </c>
      <c r="Z523" s="28">
        <f>ROUND(IF(AQ523="5",BJ523,0),2)</f>
        <v>0</v>
      </c>
      <c r="AB523" s="28">
        <f>ROUND(IF(AQ523="1",BH523,0),2)</f>
        <v>0</v>
      </c>
      <c r="AC523" s="28">
        <f>ROUND(IF(AQ523="1",BI523,0),2)</f>
        <v>0</v>
      </c>
      <c r="AD523" s="28">
        <f>ROUND(IF(AQ523="7",BH523,0),2)</f>
        <v>0</v>
      </c>
      <c r="AE523" s="28">
        <f>ROUND(IF(AQ523="7",BI523,0),2)</f>
        <v>0</v>
      </c>
      <c r="AF523" s="28">
        <f>ROUND(IF(AQ523="2",BH523,0),2)</f>
        <v>0</v>
      </c>
      <c r="AG523" s="28">
        <f>ROUND(IF(AQ523="2",BI523,0),2)</f>
        <v>0</v>
      </c>
      <c r="AH523" s="28">
        <f>ROUND(IF(AQ523="0",BJ523,0),2)</f>
        <v>0</v>
      </c>
      <c r="AI523" s="10" t="s">
        <v>719</v>
      </c>
      <c r="AJ523" s="28">
        <f>IF(AN523=0,J523,0)</f>
        <v>0</v>
      </c>
      <c r="AK523" s="28">
        <f>IF(AN523=12,J523,0)</f>
        <v>0</v>
      </c>
      <c r="AL523" s="28">
        <f>IF(AN523=21,J523,0)</f>
        <v>0</v>
      </c>
      <c r="AN523" s="28">
        <v>21</v>
      </c>
      <c r="AO523" s="28">
        <f>G523*0</f>
        <v>0</v>
      </c>
      <c r="AP523" s="28">
        <f>G523*(1-0)</f>
        <v>0</v>
      </c>
      <c r="AQ523" s="30" t="s">
        <v>56</v>
      </c>
      <c r="AV523" s="28">
        <f>ROUND(AW523+AX523,2)</f>
        <v>0</v>
      </c>
      <c r="AW523" s="28">
        <f>ROUND(F523*AO523,2)</f>
        <v>0</v>
      </c>
      <c r="AX523" s="28">
        <f>ROUND(F523*AP523,2)</f>
        <v>0</v>
      </c>
      <c r="AY523" s="30" t="s">
        <v>627</v>
      </c>
      <c r="AZ523" s="30" t="s">
        <v>884</v>
      </c>
      <c r="BA523" s="10" t="s">
        <v>725</v>
      </c>
      <c r="BC523" s="28">
        <f>AW523+AX523</f>
        <v>0</v>
      </c>
      <c r="BD523" s="28">
        <f>G523/(100-BE523)*100</f>
        <v>0</v>
      </c>
      <c r="BE523" s="28">
        <v>0</v>
      </c>
      <c r="BF523" s="28">
        <f>523</f>
        <v>523</v>
      </c>
      <c r="BH523" s="28">
        <f>F523*AO523</f>
        <v>0</v>
      </c>
      <c r="BI523" s="28">
        <f>F523*AP523</f>
        <v>0</v>
      </c>
      <c r="BJ523" s="28">
        <f>F523*G523</f>
        <v>0</v>
      </c>
      <c r="BK523" s="28"/>
      <c r="BL523" s="28">
        <v>96</v>
      </c>
      <c r="BW523" s="28">
        <v>21</v>
      </c>
      <c r="BX523" s="4" t="s">
        <v>946</v>
      </c>
    </row>
    <row r="524" spans="1:76" ht="14.4" x14ac:dyDescent="0.3">
      <c r="A524" s="31"/>
      <c r="C524" s="32" t="s">
        <v>56</v>
      </c>
      <c r="D524" s="32" t="s">
        <v>947</v>
      </c>
      <c r="F524" s="33">
        <v>1</v>
      </c>
      <c r="K524" s="34"/>
    </row>
    <row r="525" spans="1:76" ht="14.4" x14ac:dyDescent="0.3">
      <c r="A525" s="24" t="s">
        <v>51</v>
      </c>
      <c r="B525" s="25" t="s">
        <v>948</v>
      </c>
      <c r="C525" s="91" t="s">
        <v>949</v>
      </c>
      <c r="D525" s="92"/>
      <c r="E525" s="26" t="s">
        <v>4</v>
      </c>
      <c r="F525" s="26" t="s">
        <v>4</v>
      </c>
      <c r="G525" s="26" t="s">
        <v>4</v>
      </c>
      <c r="H525" s="1">
        <f>SUM(H526:H526)</f>
        <v>0</v>
      </c>
      <c r="I525" s="1">
        <f>SUM(I526:I526)</f>
        <v>0</v>
      </c>
      <c r="J525" s="1">
        <f>SUM(J526:J526)</f>
        <v>0</v>
      </c>
      <c r="K525" s="27" t="s">
        <v>51</v>
      </c>
      <c r="AI525" s="10" t="s">
        <v>719</v>
      </c>
      <c r="AS525" s="1">
        <f>SUM(AJ526:AJ526)</f>
        <v>0</v>
      </c>
      <c r="AT525" s="1">
        <f>SUM(AK526:AK526)</f>
        <v>0</v>
      </c>
      <c r="AU525" s="1">
        <f>SUM(AL526:AL526)</f>
        <v>0</v>
      </c>
    </row>
    <row r="526" spans="1:76" ht="14.4" x14ac:dyDescent="0.3">
      <c r="A526" s="2" t="s">
        <v>394</v>
      </c>
      <c r="B526" s="3" t="s">
        <v>950</v>
      </c>
      <c r="C526" s="75" t="s">
        <v>951</v>
      </c>
      <c r="D526" s="70"/>
      <c r="E526" s="3" t="s">
        <v>201</v>
      </c>
      <c r="F526" s="28">
        <v>1082.6199999999999</v>
      </c>
      <c r="G526" s="28">
        <v>0</v>
      </c>
      <c r="H526" s="28">
        <f>ROUND(F526*AO526,2)</f>
        <v>0</v>
      </c>
      <c r="I526" s="28">
        <f>ROUND(F526*AP526,2)</f>
        <v>0</v>
      </c>
      <c r="J526" s="28">
        <f>ROUND(F526*G526,2)</f>
        <v>0</v>
      </c>
      <c r="K526" s="29" t="s">
        <v>60</v>
      </c>
      <c r="Z526" s="28">
        <f>ROUND(IF(AQ526="5",BJ526,0),2)</f>
        <v>0</v>
      </c>
      <c r="AB526" s="28">
        <f>ROUND(IF(AQ526="1",BH526,0),2)</f>
        <v>0</v>
      </c>
      <c r="AC526" s="28">
        <f>ROUND(IF(AQ526="1",BI526,0),2)</f>
        <v>0</v>
      </c>
      <c r="AD526" s="28">
        <f>ROUND(IF(AQ526="7",BH526,0),2)</f>
        <v>0</v>
      </c>
      <c r="AE526" s="28">
        <f>ROUND(IF(AQ526="7",BI526,0),2)</f>
        <v>0</v>
      </c>
      <c r="AF526" s="28">
        <f>ROUND(IF(AQ526="2",BH526,0),2)</f>
        <v>0</v>
      </c>
      <c r="AG526" s="28">
        <f>ROUND(IF(AQ526="2",BI526,0),2)</f>
        <v>0</v>
      </c>
      <c r="AH526" s="28">
        <f>ROUND(IF(AQ526="0",BJ526,0),2)</f>
        <v>0</v>
      </c>
      <c r="AI526" s="10" t="s">
        <v>719</v>
      </c>
      <c r="AJ526" s="28">
        <f>IF(AN526=0,J526,0)</f>
        <v>0</v>
      </c>
      <c r="AK526" s="28">
        <f>IF(AN526=12,J526,0)</f>
        <v>0</v>
      </c>
      <c r="AL526" s="28">
        <f>IF(AN526=21,J526,0)</f>
        <v>0</v>
      </c>
      <c r="AN526" s="28">
        <v>21</v>
      </c>
      <c r="AO526" s="28">
        <f>G526*0</f>
        <v>0</v>
      </c>
      <c r="AP526" s="28">
        <f>G526*(1-0)</f>
        <v>0</v>
      </c>
      <c r="AQ526" s="30" t="s">
        <v>100</v>
      </c>
      <c r="AV526" s="28">
        <f>ROUND(AW526+AX526,2)</f>
        <v>0</v>
      </c>
      <c r="AW526" s="28">
        <f>ROUND(F526*AO526,2)</f>
        <v>0</v>
      </c>
      <c r="AX526" s="28">
        <f>ROUND(F526*AP526,2)</f>
        <v>0</v>
      </c>
      <c r="AY526" s="30" t="s">
        <v>952</v>
      </c>
      <c r="AZ526" s="30" t="s">
        <v>884</v>
      </c>
      <c r="BA526" s="10" t="s">
        <v>725</v>
      </c>
      <c r="BC526" s="28">
        <f>AW526+AX526</f>
        <v>0</v>
      </c>
      <c r="BD526" s="28">
        <f>G526/(100-BE526)*100</f>
        <v>0</v>
      </c>
      <c r="BE526" s="28">
        <v>0</v>
      </c>
      <c r="BF526" s="28">
        <f>526</f>
        <v>526</v>
      </c>
      <c r="BH526" s="28">
        <f>F526*AO526</f>
        <v>0</v>
      </c>
      <c r="BI526" s="28">
        <f>F526*AP526</f>
        <v>0</v>
      </c>
      <c r="BJ526" s="28">
        <f>F526*G526</f>
        <v>0</v>
      </c>
      <c r="BK526" s="28"/>
      <c r="BL526" s="28"/>
      <c r="BW526" s="28">
        <v>21</v>
      </c>
      <c r="BX526" s="4" t="s">
        <v>951</v>
      </c>
    </row>
    <row r="527" spans="1:76" ht="14.4" x14ac:dyDescent="0.3">
      <c r="A527" s="24" t="s">
        <v>51</v>
      </c>
      <c r="B527" s="25" t="s">
        <v>953</v>
      </c>
      <c r="C527" s="91" t="s">
        <v>954</v>
      </c>
      <c r="D527" s="92"/>
      <c r="E527" s="26" t="s">
        <v>4</v>
      </c>
      <c r="F527" s="26" t="s">
        <v>4</v>
      </c>
      <c r="G527" s="26" t="s">
        <v>4</v>
      </c>
      <c r="H527" s="1">
        <f>SUM(H528:H532)</f>
        <v>0</v>
      </c>
      <c r="I527" s="1">
        <f>SUM(I528:I532)</f>
        <v>0</v>
      </c>
      <c r="J527" s="1">
        <f>SUM(J528:J532)</f>
        <v>0</v>
      </c>
      <c r="K527" s="27" t="s">
        <v>51</v>
      </c>
      <c r="AI527" s="10" t="s">
        <v>719</v>
      </c>
      <c r="AS527" s="1">
        <f>SUM(AJ528:AJ532)</f>
        <v>0</v>
      </c>
      <c r="AT527" s="1">
        <f>SUM(AK528:AK532)</f>
        <v>0</v>
      </c>
      <c r="AU527" s="1">
        <f>SUM(AL528:AL532)</f>
        <v>0</v>
      </c>
    </row>
    <row r="528" spans="1:76" ht="14.4" x14ac:dyDescent="0.3">
      <c r="A528" s="2" t="s">
        <v>955</v>
      </c>
      <c r="B528" s="3" t="s">
        <v>956</v>
      </c>
      <c r="C528" s="75" t="s">
        <v>957</v>
      </c>
      <c r="D528" s="70"/>
      <c r="E528" s="3" t="s">
        <v>59</v>
      </c>
      <c r="F528" s="28">
        <v>123</v>
      </c>
      <c r="G528" s="28">
        <v>0</v>
      </c>
      <c r="H528" s="28">
        <f>ROUND(F528*AO528,2)</f>
        <v>0</v>
      </c>
      <c r="I528" s="28">
        <f>ROUND(F528*AP528,2)</f>
        <v>0</v>
      </c>
      <c r="J528" s="28">
        <f>ROUND(F528*G528,2)</f>
        <v>0</v>
      </c>
      <c r="K528" s="29" t="s">
        <v>60</v>
      </c>
      <c r="Z528" s="28">
        <f>ROUND(IF(AQ528="5",BJ528,0),2)</f>
        <v>0</v>
      </c>
      <c r="AB528" s="28">
        <f>ROUND(IF(AQ528="1",BH528,0),2)</f>
        <v>0</v>
      </c>
      <c r="AC528" s="28">
        <f>ROUND(IF(AQ528="1",BI528,0),2)</f>
        <v>0</v>
      </c>
      <c r="AD528" s="28">
        <f>ROUND(IF(AQ528="7",BH528,0),2)</f>
        <v>0</v>
      </c>
      <c r="AE528" s="28">
        <f>ROUND(IF(AQ528="7",BI528,0),2)</f>
        <v>0</v>
      </c>
      <c r="AF528" s="28">
        <f>ROUND(IF(AQ528="2",BH528,0),2)</f>
        <v>0</v>
      </c>
      <c r="AG528" s="28">
        <f>ROUND(IF(AQ528="2",BI528,0),2)</f>
        <v>0</v>
      </c>
      <c r="AH528" s="28">
        <f>ROUND(IF(AQ528="0",BJ528,0),2)</f>
        <v>0</v>
      </c>
      <c r="AI528" s="10" t="s">
        <v>719</v>
      </c>
      <c r="AJ528" s="28">
        <f>IF(AN528=0,J528,0)</f>
        <v>0</v>
      </c>
      <c r="AK528" s="28">
        <f>IF(AN528=12,J528,0)</f>
        <v>0</v>
      </c>
      <c r="AL528" s="28">
        <f>IF(AN528=21,J528,0)</f>
        <v>0</v>
      </c>
      <c r="AN528" s="28">
        <v>21</v>
      </c>
      <c r="AO528" s="28">
        <f>G528*0</f>
        <v>0</v>
      </c>
      <c r="AP528" s="28">
        <f>G528*(1-0)</f>
        <v>0</v>
      </c>
      <c r="AQ528" s="30" t="s">
        <v>74</v>
      </c>
      <c r="AV528" s="28">
        <f>ROUND(AW528+AX528,2)</f>
        <v>0</v>
      </c>
      <c r="AW528" s="28">
        <f>ROUND(F528*AO528,2)</f>
        <v>0</v>
      </c>
      <c r="AX528" s="28">
        <f>ROUND(F528*AP528,2)</f>
        <v>0</v>
      </c>
      <c r="AY528" s="30" t="s">
        <v>958</v>
      </c>
      <c r="AZ528" s="30" t="s">
        <v>884</v>
      </c>
      <c r="BA528" s="10" t="s">
        <v>725</v>
      </c>
      <c r="BC528" s="28">
        <f>AW528+AX528</f>
        <v>0</v>
      </c>
      <c r="BD528" s="28">
        <f>G528/(100-BE528)*100</f>
        <v>0</v>
      </c>
      <c r="BE528" s="28">
        <v>0</v>
      </c>
      <c r="BF528" s="28">
        <f>528</f>
        <v>528</v>
      </c>
      <c r="BH528" s="28">
        <f>F528*AO528</f>
        <v>0</v>
      </c>
      <c r="BI528" s="28">
        <f>F528*AP528</f>
        <v>0</v>
      </c>
      <c r="BJ528" s="28">
        <f>F528*G528</f>
        <v>0</v>
      </c>
      <c r="BK528" s="28"/>
      <c r="BL528" s="28"/>
      <c r="BW528" s="28">
        <v>21</v>
      </c>
      <c r="BX528" s="4" t="s">
        <v>957</v>
      </c>
    </row>
    <row r="529" spans="1:76" ht="13.5" customHeight="1" x14ac:dyDescent="0.3">
      <c r="A529" s="31"/>
      <c r="B529" s="35" t="s">
        <v>105</v>
      </c>
      <c r="C529" s="96" t="s">
        <v>959</v>
      </c>
      <c r="D529" s="97"/>
      <c r="E529" s="97"/>
      <c r="F529" s="97"/>
      <c r="G529" s="97"/>
      <c r="H529" s="97"/>
      <c r="I529" s="97"/>
      <c r="J529" s="97"/>
      <c r="K529" s="98"/>
    </row>
    <row r="530" spans="1:76" ht="14.4" x14ac:dyDescent="0.3">
      <c r="A530" s="2" t="s">
        <v>960</v>
      </c>
      <c r="B530" s="3" t="s">
        <v>961</v>
      </c>
      <c r="C530" s="75" t="s">
        <v>962</v>
      </c>
      <c r="D530" s="70"/>
      <c r="E530" s="3" t="s">
        <v>59</v>
      </c>
      <c r="F530" s="28">
        <v>82</v>
      </c>
      <c r="G530" s="28">
        <v>0</v>
      </c>
      <c r="H530" s="28">
        <f>ROUND(F530*AO530,2)</f>
        <v>0</v>
      </c>
      <c r="I530" s="28">
        <f>ROUND(F530*AP530,2)</f>
        <v>0</v>
      </c>
      <c r="J530" s="28">
        <f>ROUND(F530*G530,2)</f>
        <v>0</v>
      </c>
      <c r="K530" s="29" t="s">
        <v>60</v>
      </c>
      <c r="Z530" s="28">
        <f>ROUND(IF(AQ530="5",BJ530,0),2)</f>
        <v>0</v>
      </c>
      <c r="AB530" s="28">
        <f>ROUND(IF(AQ530="1",BH530,0),2)</f>
        <v>0</v>
      </c>
      <c r="AC530" s="28">
        <f>ROUND(IF(AQ530="1",BI530,0),2)</f>
        <v>0</v>
      </c>
      <c r="AD530" s="28">
        <f>ROUND(IF(AQ530="7",BH530,0),2)</f>
        <v>0</v>
      </c>
      <c r="AE530" s="28">
        <f>ROUND(IF(AQ530="7",BI530,0),2)</f>
        <v>0</v>
      </c>
      <c r="AF530" s="28">
        <f>ROUND(IF(AQ530="2",BH530,0),2)</f>
        <v>0</v>
      </c>
      <c r="AG530" s="28">
        <f>ROUND(IF(AQ530="2",BI530,0),2)</f>
        <v>0</v>
      </c>
      <c r="AH530" s="28">
        <f>ROUND(IF(AQ530="0",BJ530,0),2)</f>
        <v>0</v>
      </c>
      <c r="AI530" s="10" t="s">
        <v>719</v>
      </c>
      <c r="AJ530" s="28">
        <f>IF(AN530=0,J530,0)</f>
        <v>0</v>
      </c>
      <c r="AK530" s="28">
        <f>IF(AN530=12,J530,0)</f>
        <v>0</v>
      </c>
      <c r="AL530" s="28">
        <f>IF(AN530=21,J530,0)</f>
        <v>0</v>
      </c>
      <c r="AN530" s="28">
        <v>21</v>
      </c>
      <c r="AO530" s="28">
        <f>G530*1</f>
        <v>0</v>
      </c>
      <c r="AP530" s="28">
        <f>G530*(1-1)</f>
        <v>0</v>
      </c>
      <c r="AQ530" s="30" t="s">
        <v>74</v>
      </c>
      <c r="AV530" s="28">
        <f>ROUND(AW530+AX530,2)</f>
        <v>0</v>
      </c>
      <c r="AW530" s="28">
        <f>ROUND(F530*AO530,2)</f>
        <v>0</v>
      </c>
      <c r="AX530" s="28">
        <f>ROUND(F530*AP530,2)</f>
        <v>0</v>
      </c>
      <c r="AY530" s="30" t="s">
        <v>958</v>
      </c>
      <c r="AZ530" s="30" t="s">
        <v>884</v>
      </c>
      <c r="BA530" s="10" t="s">
        <v>725</v>
      </c>
      <c r="BC530" s="28">
        <f>AW530+AX530</f>
        <v>0</v>
      </c>
      <c r="BD530" s="28">
        <f>G530/(100-BE530)*100</f>
        <v>0</v>
      </c>
      <c r="BE530" s="28">
        <v>0</v>
      </c>
      <c r="BF530" s="28">
        <f>530</f>
        <v>530</v>
      </c>
      <c r="BH530" s="28">
        <f>F530*AO530</f>
        <v>0</v>
      </c>
      <c r="BI530" s="28">
        <f>F530*AP530</f>
        <v>0</v>
      </c>
      <c r="BJ530" s="28">
        <f>F530*G530</f>
        <v>0</v>
      </c>
      <c r="BK530" s="28"/>
      <c r="BL530" s="28"/>
      <c r="BW530" s="28">
        <v>21</v>
      </c>
      <c r="BX530" s="4" t="s">
        <v>962</v>
      </c>
    </row>
    <row r="531" spans="1:76" ht="66" x14ac:dyDescent="0.3">
      <c r="A531" s="31"/>
      <c r="B531" s="35" t="s">
        <v>68</v>
      </c>
      <c r="C531" s="93" t="s">
        <v>963</v>
      </c>
      <c r="D531" s="94"/>
      <c r="E531" s="94"/>
      <c r="F531" s="94"/>
      <c r="G531" s="94"/>
      <c r="H531" s="94"/>
      <c r="I531" s="94"/>
      <c r="J531" s="94"/>
      <c r="K531" s="95"/>
      <c r="BX531" s="36" t="s">
        <v>963</v>
      </c>
    </row>
    <row r="532" spans="1:76" ht="14.4" x14ac:dyDescent="0.3">
      <c r="A532" s="2" t="s">
        <v>964</v>
      </c>
      <c r="B532" s="3" t="s">
        <v>965</v>
      </c>
      <c r="C532" s="75" t="s">
        <v>966</v>
      </c>
      <c r="D532" s="70"/>
      <c r="E532" s="3" t="s">
        <v>201</v>
      </c>
      <c r="F532" s="28">
        <v>94.3</v>
      </c>
      <c r="G532" s="28">
        <v>0</v>
      </c>
      <c r="H532" s="28">
        <f>ROUND(F532*AO532,2)</f>
        <v>0</v>
      </c>
      <c r="I532" s="28">
        <f>ROUND(F532*AP532,2)</f>
        <v>0</v>
      </c>
      <c r="J532" s="28">
        <f>ROUND(F532*G532,2)</f>
        <v>0</v>
      </c>
      <c r="K532" s="29" t="s">
        <v>60</v>
      </c>
      <c r="Z532" s="28">
        <f>ROUND(IF(AQ532="5",BJ532,0),2)</f>
        <v>0</v>
      </c>
      <c r="AB532" s="28">
        <f>ROUND(IF(AQ532="1",BH532,0),2)</f>
        <v>0</v>
      </c>
      <c r="AC532" s="28">
        <f>ROUND(IF(AQ532="1",BI532,0),2)</f>
        <v>0</v>
      </c>
      <c r="AD532" s="28">
        <f>ROUND(IF(AQ532="7",BH532,0),2)</f>
        <v>0</v>
      </c>
      <c r="AE532" s="28">
        <f>ROUND(IF(AQ532="7",BI532,0),2)</f>
        <v>0</v>
      </c>
      <c r="AF532" s="28">
        <f>ROUND(IF(AQ532="2",BH532,0),2)</f>
        <v>0</v>
      </c>
      <c r="AG532" s="28">
        <f>ROUND(IF(AQ532="2",BI532,0),2)</f>
        <v>0</v>
      </c>
      <c r="AH532" s="28">
        <f>ROUND(IF(AQ532="0",BJ532,0),2)</f>
        <v>0</v>
      </c>
      <c r="AI532" s="10" t="s">
        <v>719</v>
      </c>
      <c r="AJ532" s="28">
        <f>IF(AN532=0,J532,0)</f>
        <v>0</v>
      </c>
      <c r="AK532" s="28">
        <f>IF(AN532=12,J532,0)</f>
        <v>0</v>
      </c>
      <c r="AL532" s="28">
        <f>IF(AN532=21,J532,0)</f>
        <v>0</v>
      </c>
      <c r="AN532" s="28">
        <v>21</v>
      </c>
      <c r="AO532" s="28">
        <f>G532*1</f>
        <v>0</v>
      </c>
      <c r="AP532" s="28">
        <f>G532*(1-1)</f>
        <v>0</v>
      </c>
      <c r="AQ532" s="30" t="s">
        <v>74</v>
      </c>
      <c r="AV532" s="28">
        <f>ROUND(AW532+AX532,2)</f>
        <v>0</v>
      </c>
      <c r="AW532" s="28">
        <f>ROUND(F532*AO532,2)</f>
        <v>0</v>
      </c>
      <c r="AX532" s="28">
        <f>ROUND(F532*AP532,2)</f>
        <v>0</v>
      </c>
      <c r="AY532" s="30" t="s">
        <v>958</v>
      </c>
      <c r="AZ532" s="30" t="s">
        <v>884</v>
      </c>
      <c r="BA532" s="10" t="s">
        <v>725</v>
      </c>
      <c r="BC532" s="28">
        <f>AW532+AX532</f>
        <v>0</v>
      </c>
      <c r="BD532" s="28">
        <f>G532/(100-BE532)*100</f>
        <v>0</v>
      </c>
      <c r="BE532" s="28">
        <v>0</v>
      </c>
      <c r="BF532" s="28">
        <f>532</f>
        <v>532</v>
      </c>
      <c r="BH532" s="28">
        <f>F532*AO532</f>
        <v>0</v>
      </c>
      <c r="BI532" s="28">
        <f>F532*AP532</f>
        <v>0</v>
      </c>
      <c r="BJ532" s="28">
        <f>F532*G532</f>
        <v>0</v>
      </c>
      <c r="BK532" s="28"/>
      <c r="BL532" s="28"/>
      <c r="BW532" s="28">
        <v>21</v>
      </c>
      <c r="BX532" s="4" t="s">
        <v>966</v>
      </c>
    </row>
    <row r="533" spans="1:76" ht="14.4" x14ac:dyDescent="0.3">
      <c r="A533" s="31"/>
      <c r="C533" s="32" t="s">
        <v>967</v>
      </c>
      <c r="D533" s="32" t="s">
        <v>51</v>
      </c>
      <c r="F533" s="33">
        <v>94.3</v>
      </c>
      <c r="K533" s="34"/>
    </row>
    <row r="534" spans="1:76" ht="14.4" x14ac:dyDescent="0.3">
      <c r="A534" s="31"/>
      <c r="B534" s="35" t="s">
        <v>68</v>
      </c>
      <c r="C534" s="93" t="s">
        <v>968</v>
      </c>
      <c r="D534" s="94"/>
      <c r="E534" s="94"/>
      <c r="F534" s="94"/>
      <c r="G534" s="94"/>
      <c r="H534" s="94"/>
      <c r="I534" s="94"/>
      <c r="J534" s="94"/>
      <c r="K534" s="95"/>
      <c r="BX534" s="36" t="s">
        <v>968</v>
      </c>
    </row>
    <row r="535" spans="1:76" ht="14.4" x14ac:dyDescent="0.3">
      <c r="A535" s="24" t="s">
        <v>51</v>
      </c>
      <c r="B535" s="25" t="s">
        <v>51</v>
      </c>
      <c r="C535" s="91" t="s">
        <v>969</v>
      </c>
      <c r="D535" s="92"/>
      <c r="E535" s="26" t="s">
        <v>4</v>
      </c>
      <c r="F535" s="26" t="s">
        <v>4</v>
      </c>
      <c r="G535" s="26" t="s">
        <v>4</v>
      </c>
      <c r="H535" s="1">
        <f>H536+H544+H550+H554+H558+H577+H601+H603</f>
        <v>0</v>
      </c>
      <c r="I535" s="1">
        <f>I536+I544+I550+I554+I558+I577+I601+I603</f>
        <v>0</v>
      </c>
      <c r="J535" s="1">
        <f>J536+J544+J550+J554+J558+J577+J601+J603</f>
        <v>0</v>
      </c>
      <c r="K535" s="27" t="s">
        <v>51</v>
      </c>
    </row>
    <row r="536" spans="1:76" ht="14.4" x14ac:dyDescent="0.3">
      <c r="A536" s="24" t="s">
        <v>51</v>
      </c>
      <c r="B536" s="25" t="s">
        <v>148</v>
      </c>
      <c r="C536" s="91" t="s">
        <v>718</v>
      </c>
      <c r="D536" s="92"/>
      <c r="E536" s="26" t="s">
        <v>4</v>
      </c>
      <c r="F536" s="26" t="s">
        <v>4</v>
      </c>
      <c r="G536" s="26" t="s">
        <v>4</v>
      </c>
      <c r="H536" s="1">
        <f>SUM(H537:H540)</f>
        <v>0</v>
      </c>
      <c r="I536" s="1">
        <f>SUM(I537:I540)</f>
        <v>0</v>
      </c>
      <c r="J536" s="1">
        <f>SUM(J537:J540)</f>
        <v>0</v>
      </c>
      <c r="K536" s="27" t="s">
        <v>51</v>
      </c>
      <c r="AI536" s="10" t="s">
        <v>970</v>
      </c>
      <c r="AS536" s="1">
        <f>SUM(AJ537:AJ540)</f>
        <v>0</v>
      </c>
      <c r="AT536" s="1">
        <f>SUM(AK537:AK540)</f>
        <v>0</v>
      </c>
      <c r="AU536" s="1">
        <f>SUM(AL537:AL540)</f>
        <v>0</v>
      </c>
    </row>
    <row r="537" spans="1:76" ht="14.4" x14ac:dyDescent="0.3">
      <c r="A537" s="2" t="s">
        <v>971</v>
      </c>
      <c r="B537" s="3" t="s">
        <v>972</v>
      </c>
      <c r="C537" s="75" t="s">
        <v>973</v>
      </c>
      <c r="D537" s="70"/>
      <c r="E537" s="3" t="s">
        <v>59</v>
      </c>
      <c r="F537" s="28">
        <v>31.4</v>
      </c>
      <c r="G537" s="28">
        <v>0</v>
      </c>
      <c r="H537" s="28">
        <f>ROUND(F537*AO537,2)</f>
        <v>0</v>
      </c>
      <c r="I537" s="28">
        <f>ROUND(F537*AP537,2)</f>
        <v>0</v>
      </c>
      <c r="J537" s="28">
        <f>ROUND(F537*G537,2)</f>
        <v>0</v>
      </c>
      <c r="K537" s="29" t="s">
        <v>60</v>
      </c>
      <c r="Z537" s="28">
        <f>ROUND(IF(AQ537="5",BJ537,0),2)</f>
        <v>0</v>
      </c>
      <c r="AB537" s="28">
        <f>ROUND(IF(AQ537="1",BH537,0),2)</f>
        <v>0</v>
      </c>
      <c r="AC537" s="28">
        <f>ROUND(IF(AQ537="1",BI537,0),2)</f>
        <v>0</v>
      </c>
      <c r="AD537" s="28">
        <f>ROUND(IF(AQ537="7",BH537,0),2)</f>
        <v>0</v>
      </c>
      <c r="AE537" s="28">
        <f>ROUND(IF(AQ537="7",BI537,0),2)</f>
        <v>0</v>
      </c>
      <c r="AF537" s="28">
        <f>ROUND(IF(AQ537="2",BH537,0),2)</f>
        <v>0</v>
      </c>
      <c r="AG537" s="28">
        <f>ROUND(IF(AQ537="2",BI537,0),2)</f>
        <v>0</v>
      </c>
      <c r="AH537" s="28">
        <f>ROUND(IF(AQ537="0",BJ537,0),2)</f>
        <v>0</v>
      </c>
      <c r="AI537" s="10" t="s">
        <v>970</v>
      </c>
      <c r="AJ537" s="28">
        <f>IF(AN537=0,J537,0)</f>
        <v>0</v>
      </c>
      <c r="AK537" s="28">
        <f>IF(AN537=12,J537,0)</f>
        <v>0</v>
      </c>
      <c r="AL537" s="28">
        <f>IF(AN537=21,J537,0)</f>
        <v>0</v>
      </c>
      <c r="AN537" s="28">
        <v>21</v>
      </c>
      <c r="AO537" s="28">
        <f>G537*0</f>
        <v>0</v>
      </c>
      <c r="AP537" s="28">
        <f>G537*(1-0)</f>
        <v>0</v>
      </c>
      <c r="AQ537" s="30" t="s">
        <v>56</v>
      </c>
      <c r="AV537" s="28">
        <f>ROUND(AW537+AX537,2)</f>
        <v>0</v>
      </c>
      <c r="AW537" s="28">
        <f>ROUND(F537*AO537,2)</f>
        <v>0</v>
      </c>
      <c r="AX537" s="28">
        <f>ROUND(F537*AP537,2)</f>
        <v>0</v>
      </c>
      <c r="AY537" s="30" t="s">
        <v>723</v>
      </c>
      <c r="AZ537" s="30" t="s">
        <v>974</v>
      </c>
      <c r="BA537" s="10" t="s">
        <v>975</v>
      </c>
      <c r="BC537" s="28">
        <f>AW537+AX537</f>
        <v>0</v>
      </c>
      <c r="BD537" s="28">
        <f>G537/(100-BE537)*100</f>
        <v>0</v>
      </c>
      <c r="BE537" s="28">
        <v>0</v>
      </c>
      <c r="BF537" s="28">
        <f>537</f>
        <v>537</v>
      </c>
      <c r="BH537" s="28">
        <f>F537*AO537</f>
        <v>0</v>
      </c>
      <c r="BI537" s="28">
        <f>F537*AP537</f>
        <v>0</v>
      </c>
      <c r="BJ537" s="28">
        <f>F537*G537</f>
        <v>0</v>
      </c>
      <c r="BK537" s="28"/>
      <c r="BL537" s="28">
        <v>12</v>
      </c>
      <c r="BW537" s="28">
        <v>21</v>
      </c>
      <c r="BX537" s="4" t="s">
        <v>973</v>
      </c>
    </row>
    <row r="538" spans="1:76" ht="14.4" x14ac:dyDescent="0.3">
      <c r="A538" s="31"/>
      <c r="C538" s="32" t="s">
        <v>66</v>
      </c>
      <c r="D538" s="32" t="s">
        <v>976</v>
      </c>
      <c r="F538" s="33">
        <v>31.2</v>
      </c>
      <c r="K538" s="34"/>
    </row>
    <row r="539" spans="1:76" ht="14.4" x14ac:dyDescent="0.3">
      <c r="A539" s="31"/>
      <c r="C539" s="32" t="s">
        <v>977</v>
      </c>
      <c r="D539" s="32" t="s">
        <v>978</v>
      </c>
      <c r="F539" s="33">
        <v>0.2</v>
      </c>
      <c r="K539" s="34"/>
    </row>
    <row r="540" spans="1:76" ht="14.4" x14ac:dyDescent="0.3">
      <c r="A540" s="2" t="s">
        <v>979</v>
      </c>
      <c r="B540" s="3" t="s">
        <v>980</v>
      </c>
      <c r="C540" s="75" t="s">
        <v>981</v>
      </c>
      <c r="D540" s="70"/>
      <c r="E540" s="3" t="s">
        <v>59</v>
      </c>
      <c r="F540" s="28">
        <v>31.4</v>
      </c>
      <c r="G540" s="28">
        <v>0</v>
      </c>
      <c r="H540" s="28">
        <f>ROUND(F540*AO540,2)</f>
        <v>0</v>
      </c>
      <c r="I540" s="28">
        <f>ROUND(F540*AP540,2)</f>
        <v>0</v>
      </c>
      <c r="J540" s="28">
        <f>ROUND(F540*G540,2)</f>
        <v>0</v>
      </c>
      <c r="K540" s="29" t="s">
        <v>60</v>
      </c>
      <c r="Z540" s="28">
        <f>ROUND(IF(AQ540="5",BJ540,0),2)</f>
        <v>0</v>
      </c>
      <c r="AB540" s="28">
        <f>ROUND(IF(AQ540="1",BH540,0),2)</f>
        <v>0</v>
      </c>
      <c r="AC540" s="28">
        <f>ROUND(IF(AQ540="1",BI540,0),2)</f>
        <v>0</v>
      </c>
      <c r="AD540" s="28">
        <f>ROUND(IF(AQ540="7",BH540,0),2)</f>
        <v>0</v>
      </c>
      <c r="AE540" s="28">
        <f>ROUND(IF(AQ540="7",BI540,0),2)</f>
        <v>0</v>
      </c>
      <c r="AF540" s="28">
        <f>ROUND(IF(AQ540="2",BH540,0),2)</f>
        <v>0</v>
      </c>
      <c r="AG540" s="28">
        <f>ROUND(IF(AQ540="2",BI540,0),2)</f>
        <v>0</v>
      </c>
      <c r="AH540" s="28">
        <f>ROUND(IF(AQ540="0",BJ540,0),2)</f>
        <v>0</v>
      </c>
      <c r="AI540" s="10" t="s">
        <v>970</v>
      </c>
      <c r="AJ540" s="28">
        <f>IF(AN540=0,J540,0)</f>
        <v>0</v>
      </c>
      <c r="AK540" s="28">
        <f>IF(AN540=12,J540,0)</f>
        <v>0</v>
      </c>
      <c r="AL540" s="28">
        <f>IF(AN540=21,J540,0)</f>
        <v>0</v>
      </c>
      <c r="AN540" s="28">
        <v>21</v>
      </c>
      <c r="AO540" s="28">
        <f>G540*0</f>
        <v>0</v>
      </c>
      <c r="AP540" s="28">
        <f>G540*(1-0)</f>
        <v>0</v>
      </c>
      <c r="AQ540" s="30" t="s">
        <v>56</v>
      </c>
      <c r="AV540" s="28">
        <f>ROUND(AW540+AX540,2)</f>
        <v>0</v>
      </c>
      <c r="AW540" s="28">
        <f>ROUND(F540*AO540,2)</f>
        <v>0</v>
      </c>
      <c r="AX540" s="28">
        <f>ROUND(F540*AP540,2)</f>
        <v>0</v>
      </c>
      <c r="AY540" s="30" t="s">
        <v>723</v>
      </c>
      <c r="AZ540" s="30" t="s">
        <v>974</v>
      </c>
      <c r="BA540" s="10" t="s">
        <v>975</v>
      </c>
      <c r="BC540" s="28">
        <f>AW540+AX540</f>
        <v>0</v>
      </c>
      <c r="BD540" s="28">
        <f>G540/(100-BE540)*100</f>
        <v>0</v>
      </c>
      <c r="BE540" s="28">
        <v>0</v>
      </c>
      <c r="BF540" s="28">
        <f>540</f>
        <v>540</v>
      </c>
      <c r="BH540" s="28">
        <f>F540*AO540</f>
        <v>0</v>
      </c>
      <c r="BI540" s="28">
        <f>F540*AP540</f>
        <v>0</v>
      </c>
      <c r="BJ540" s="28">
        <f>F540*G540</f>
        <v>0</v>
      </c>
      <c r="BK540" s="28"/>
      <c r="BL540" s="28">
        <v>12</v>
      </c>
      <c r="BW540" s="28">
        <v>21</v>
      </c>
      <c r="BX540" s="4" t="s">
        <v>981</v>
      </c>
    </row>
    <row r="541" spans="1:76" ht="14.4" x14ac:dyDescent="0.3">
      <c r="A541" s="31"/>
      <c r="C541" s="32" t="s">
        <v>66</v>
      </c>
      <c r="D541" s="32" t="s">
        <v>976</v>
      </c>
      <c r="F541" s="33">
        <v>31.2</v>
      </c>
      <c r="K541" s="34"/>
    </row>
    <row r="542" spans="1:76" ht="14.4" x14ac:dyDescent="0.3">
      <c r="A542" s="31"/>
      <c r="C542" s="32" t="s">
        <v>977</v>
      </c>
      <c r="D542" s="32" t="s">
        <v>982</v>
      </c>
      <c r="F542" s="33">
        <v>0.2</v>
      </c>
      <c r="K542" s="34"/>
    </row>
    <row r="543" spans="1:76" ht="26.4" x14ac:dyDescent="0.3">
      <c r="A543" s="31"/>
      <c r="B543" s="35" t="s">
        <v>68</v>
      </c>
      <c r="C543" s="93" t="s">
        <v>79</v>
      </c>
      <c r="D543" s="94"/>
      <c r="E543" s="94"/>
      <c r="F543" s="94"/>
      <c r="G543" s="94"/>
      <c r="H543" s="94"/>
      <c r="I543" s="94"/>
      <c r="J543" s="94"/>
      <c r="K543" s="95"/>
      <c r="BX543" s="36" t="s">
        <v>79</v>
      </c>
    </row>
    <row r="544" spans="1:76" ht="14.4" x14ac:dyDescent="0.3">
      <c r="A544" s="24" t="s">
        <v>51</v>
      </c>
      <c r="B544" s="25" t="s">
        <v>185</v>
      </c>
      <c r="C544" s="91" t="s">
        <v>191</v>
      </c>
      <c r="D544" s="92"/>
      <c r="E544" s="26" t="s">
        <v>4</v>
      </c>
      <c r="F544" s="26" t="s">
        <v>4</v>
      </c>
      <c r="G544" s="26" t="s">
        <v>4</v>
      </c>
      <c r="H544" s="1">
        <f>SUM(H545:H545)</f>
        <v>0</v>
      </c>
      <c r="I544" s="1">
        <f>SUM(I545:I545)</f>
        <v>0</v>
      </c>
      <c r="J544" s="1">
        <f>SUM(J545:J545)</f>
        <v>0</v>
      </c>
      <c r="K544" s="27" t="s">
        <v>51</v>
      </c>
      <c r="AI544" s="10" t="s">
        <v>970</v>
      </c>
      <c r="AS544" s="1">
        <f>SUM(AJ545:AJ545)</f>
        <v>0</v>
      </c>
      <c r="AT544" s="1">
        <f>SUM(AK545:AK545)</f>
        <v>0</v>
      </c>
      <c r="AU544" s="1">
        <f>SUM(AL545:AL545)</f>
        <v>0</v>
      </c>
    </row>
    <row r="545" spans="1:76" ht="14.4" x14ac:dyDescent="0.3">
      <c r="A545" s="2" t="s">
        <v>983</v>
      </c>
      <c r="B545" s="3" t="s">
        <v>748</v>
      </c>
      <c r="C545" s="75" t="s">
        <v>749</v>
      </c>
      <c r="D545" s="70"/>
      <c r="E545" s="3" t="s">
        <v>103</v>
      </c>
      <c r="F545" s="28">
        <v>122</v>
      </c>
      <c r="G545" s="28">
        <v>0</v>
      </c>
      <c r="H545" s="28">
        <f>ROUND(F545*AO545,2)</f>
        <v>0</v>
      </c>
      <c r="I545" s="28">
        <f>ROUND(F545*AP545,2)</f>
        <v>0</v>
      </c>
      <c r="J545" s="28">
        <f>ROUND(F545*G545,2)</f>
        <v>0</v>
      </c>
      <c r="K545" s="29" t="s">
        <v>60</v>
      </c>
      <c r="Z545" s="28">
        <f>ROUND(IF(AQ545="5",BJ545,0),2)</f>
        <v>0</v>
      </c>
      <c r="AB545" s="28">
        <f>ROUND(IF(AQ545="1",BH545,0),2)</f>
        <v>0</v>
      </c>
      <c r="AC545" s="28">
        <f>ROUND(IF(AQ545="1",BI545,0),2)</f>
        <v>0</v>
      </c>
      <c r="AD545" s="28">
        <f>ROUND(IF(AQ545="7",BH545,0),2)</f>
        <v>0</v>
      </c>
      <c r="AE545" s="28">
        <f>ROUND(IF(AQ545="7",BI545,0),2)</f>
        <v>0</v>
      </c>
      <c r="AF545" s="28">
        <f>ROUND(IF(AQ545="2",BH545,0),2)</f>
        <v>0</v>
      </c>
      <c r="AG545" s="28">
        <f>ROUND(IF(AQ545="2",BI545,0),2)</f>
        <v>0</v>
      </c>
      <c r="AH545" s="28">
        <f>ROUND(IF(AQ545="0",BJ545,0),2)</f>
        <v>0</v>
      </c>
      <c r="AI545" s="10" t="s">
        <v>970</v>
      </c>
      <c r="AJ545" s="28">
        <f>IF(AN545=0,J545,0)</f>
        <v>0</v>
      </c>
      <c r="AK545" s="28">
        <f>IF(AN545=12,J545,0)</f>
        <v>0</v>
      </c>
      <c r="AL545" s="28">
        <f>IF(AN545=21,J545,0)</f>
        <v>0</v>
      </c>
      <c r="AN545" s="28">
        <v>21</v>
      </c>
      <c r="AO545" s="28">
        <f>G545*0</f>
        <v>0</v>
      </c>
      <c r="AP545" s="28">
        <f>G545*(1-0)</f>
        <v>0</v>
      </c>
      <c r="AQ545" s="30" t="s">
        <v>56</v>
      </c>
      <c r="AV545" s="28">
        <f>ROUND(AW545+AX545,2)</f>
        <v>0</v>
      </c>
      <c r="AW545" s="28">
        <f>ROUND(F545*AO545,2)</f>
        <v>0</v>
      </c>
      <c r="AX545" s="28">
        <f>ROUND(F545*AP545,2)</f>
        <v>0</v>
      </c>
      <c r="AY545" s="30" t="s">
        <v>195</v>
      </c>
      <c r="AZ545" s="30" t="s">
        <v>974</v>
      </c>
      <c r="BA545" s="10" t="s">
        <v>975</v>
      </c>
      <c r="BC545" s="28">
        <f>AW545+AX545</f>
        <v>0</v>
      </c>
      <c r="BD545" s="28">
        <f>G545/(100-BE545)*100</f>
        <v>0</v>
      </c>
      <c r="BE545" s="28">
        <v>0</v>
      </c>
      <c r="BF545" s="28">
        <f>545</f>
        <v>545</v>
      </c>
      <c r="BH545" s="28">
        <f>F545*AO545</f>
        <v>0</v>
      </c>
      <c r="BI545" s="28">
        <f>F545*AP545</f>
        <v>0</v>
      </c>
      <c r="BJ545" s="28">
        <f>F545*G545</f>
        <v>0</v>
      </c>
      <c r="BK545" s="28"/>
      <c r="BL545" s="28">
        <v>18</v>
      </c>
      <c r="BW545" s="28">
        <v>21</v>
      </c>
      <c r="BX545" s="4" t="s">
        <v>749</v>
      </c>
    </row>
    <row r="546" spans="1:76" ht="14.4" x14ac:dyDescent="0.3">
      <c r="A546" s="31"/>
      <c r="C546" s="32" t="s">
        <v>640</v>
      </c>
      <c r="D546" s="32" t="s">
        <v>976</v>
      </c>
      <c r="F546" s="33">
        <v>104</v>
      </c>
      <c r="K546" s="34"/>
    </row>
    <row r="547" spans="1:76" ht="14.4" x14ac:dyDescent="0.3">
      <c r="A547" s="31"/>
      <c r="C547" s="32" t="s">
        <v>98</v>
      </c>
      <c r="D547" s="32" t="s">
        <v>984</v>
      </c>
      <c r="F547" s="33">
        <v>15</v>
      </c>
      <c r="K547" s="34"/>
    </row>
    <row r="548" spans="1:76" ht="14.4" x14ac:dyDescent="0.3">
      <c r="A548" s="31"/>
      <c r="C548" s="32" t="s">
        <v>80</v>
      </c>
      <c r="D548" s="32" t="s">
        <v>985</v>
      </c>
      <c r="F548" s="33">
        <v>3</v>
      </c>
      <c r="K548" s="34"/>
    </row>
    <row r="549" spans="1:76" ht="14.4" x14ac:dyDescent="0.3">
      <c r="A549" s="31"/>
      <c r="B549" s="35" t="s">
        <v>68</v>
      </c>
      <c r="C549" s="93" t="s">
        <v>757</v>
      </c>
      <c r="D549" s="94"/>
      <c r="E549" s="94"/>
      <c r="F549" s="94"/>
      <c r="G549" s="94"/>
      <c r="H549" s="94"/>
      <c r="I549" s="94"/>
      <c r="J549" s="94"/>
      <c r="K549" s="95"/>
      <c r="BX549" s="36" t="s">
        <v>757</v>
      </c>
    </row>
    <row r="550" spans="1:76" ht="14.4" x14ac:dyDescent="0.3">
      <c r="A550" s="24" t="s">
        <v>51</v>
      </c>
      <c r="B550" s="25" t="s">
        <v>202</v>
      </c>
      <c r="C550" s="91" t="s">
        <v>203</v>
      </c>
      <c r="D550" s="92"/>
      <c r="E550" s="26" t="s">
        <v>4</v>
      </c>
      <c r="F550" s="26" t="s">
        <v>4</v>
      </c>
      <c r="G550" s="26" t="s">
        <v>4</v>
      </c>
      <c r="H550" s="1">
        <f>SUM(H551:H551)</f>
        <v>0</v>
      </c>
      <c r="I550" s="1">
        <f>SUM(I551:I551)</f>
        <v>0</v>
      </c>
      <c r="J550" s="1">
        <f>SUM(J551:J551)</f>
        <v>0</v>
      </c>
      <c r="K550" s="27" t="s">
        <v>51</v>
      </c>
      <c r="AI550" s="10" t="s">
        <v>970</v>
      </c>
      <c r="AS550" s="1">
        <f>SUM(AJ551:AJ551)</f>
        <v>0</v>
      </c>
      <c r="AT550" s="1">
        <f>SUM(AK551:AK551)</f>
        <v>0</v>
      </c>
      <c r="AU550" s="1">
        <f>SUM(AL551:AL551)</f>
        <v>0</v>
      </c>
    </row>
    <row r="551" spans="1:76" ht="14.4" x14ac:dyDescent="0.3">
      <c r="A551" s="2" t="s">
        <v>986</v>
      </c>
      <c r="B551" s="3" t="s">
        <v>987</v>
      </c>
      <c r="C551" s="75" t="s">
        <v>988</v>
      </c>
      <c r="D551" s="70"/>
      <c r="E551" s="3" t="s">
        <v>188</v>
      </c>
      <c r="F551" s="28">
        <v>20</v>
      </c>
      <c r="G551" s="28">
        <v>0</v>
      </c>
      <c r="H551" s="28">
        <f>ROUND(F551*AO551,2)</f>
        <v>0</v>
      </c>
      <c r="I551" s="28">
        <f>ROUND(F551*AP551,2)</f>
        <v>0</v>
      </c>
      <c r="J551" s="28">
        <f>ROUND(F551*G551,2)</f>
        <v>0</v>
      </c>
      <c r="K551" s="29" t="s">
        <v>60</v>
      </c>
      <c r="Z551" s="28">
        <f>ROUND(IF(AQ551="5",BJ551,0),2)</f>
        <v>0</v>
      </c>
      <c r="AB551" s="28">
        <f>ROUND(IF(AQ551="1",BH551,0),2)</f>
        <v>0</v>
      </c>
      <c r="AC551" s="28">
        <f>ROUND(IF(AQ551="1",BI551,0),2)</f>
        <v>0</v>
      </c>
      <c r="AD551" s="28">
        <f>ROUND(IF(AQ551="7",BH551,0),2)</f>
        <v>0</v>
      </c>
      <c r="AE551" s="28">
        <f>ROUND(IF(AQ551="7",BI551,0),2)</f>
        <v>0</v>
      </c>
      <c r="AF551" s="28">
        <f>ROUND(IF(AQ551="2",BH551,0),2)</f>
        <v>0</v>
      </c>
      <c r="AG551" s="28">
        <f>ROUND(IF(AQ551="2",BI551,0),2)</f>
        <v>0</v>
      </c>
      <c r="AH551" s="28">
        <f>ROUND(IF(AQ551="0",BJ551,0),2)</f>
        <v>0</v>
      </c>
      <c r="AI551" s="10" t="s">
        <v>970</v>
      </c>
      <c r="AJ551" s="28">
        <f>IF(AN551=0,J551,0)</f>
        <v>0</v>
      </c>
      <c r="AK551" s="28">
        <f>IF(AN551=12,J551,0)</f>
        <v>0</v>
      </c>
      <c r="AL551" s="28">
        <f>IF(AN551=21,J551,0)</f>
        <v>0</v>
      </c>
      <c r="AN551" s="28">
        <v>21</v>
      </c>
      <c r="AO551" s="28">
        <f>G551*0.684015484</f>
        <v>0</v>
      </c>
      <c r="AP551" s="28">
        <f>G551*(1-0.684015484)</f>
        <v>0</v>
      </c>
      <c r="AQ551" s="30" t="s">
        <v>56</v>
      </c>
      <c r="AV551" s="28">
        <f>ROUND(AW551+AX551,2)</f>
        <v>0</v>
      </c>
      <c r="AW551" s="28">
        <f>ROUND(F551*AO551,2)</f>
        <v>0</v>
      </c>
      <c r="AX551" s="28">
        <f>ROUND(F551*AP551,2)</f>
        <v>0</v>
      </c>
      <c r="AY551" s="30" t="s">
        <v>206</v>
      </c>
      <c r="AZ551" s="30" t="s">
        <v>989</v>
      </c>
      <c r="BA551" s="10" t="s">
        <v>975</v>
      </c>
      <c r="BC551" s="28">
        <f>AW551+AX551</f>
        <v>0</v>
      </c>
      <c r="BD551" s="28">
        <f>G551/(100-BE551)*100</f>
        <v>0</v>
      </c>
      <c r="BE551" s="28">
        <v>0</v>
      </c>
      <c r="BF551" s="28">
        <f>551</f>
        <v>551</v>
      </c>
      <c r="BH551" s="28">
        <f>F551*AO551</f>
        <v>0</v>
      </c>
      <c r="BI551" s="28">
        <f>F551*AP551</f>
        <v>0</v>
      </c>
      <c r="BJ551" s="28">
        <f>F551*G551</f>
        <v>0</v>
      </c>
      <c r="BK551" s="28"/>
      <c r="BL551" s="28">
        <v>21</v>
      </c>
      <c r="BW551" s="28">
        <v>21</v>
      </c>
      <c r="BX551" s="4" t="s">
        <v>988</v>
      </c>
    </row>
    <row r="552" spans="1:76" ht="13.5" customHeight="1" x14ac:dyDescent="0.3">
      <c r="A552" s="31"/>
      <c r="B552" s="35" t="s">
        <v>105</v>
      </c>
      <c r="C552" s="96" t="s">
        <v>990</v>
      </c>
      <c r="D552" s="97"/>
      <c r="E552" s="97"/>
      <c r="F552" s="97"/>
      <c r="G552" s="97"/>
      <c r="H552" s="97"/>
      <c r="I552" s="97"/>
      <c r="J552" s="97"/>
      <c r="K552" s="98"/>
    </row>
    <row r="553" spans="1:76" ht="52.8" x14ac:dyDescent="0.3">
      <c r="A553" s="31"/>
      <c r="B553" s="35" t="s">
        <v>68</v>
      </c>
      <c r="C553" s="93" t="s">
        <v>991</v>
      </c>
      <c r="D553" s="94"/>
      <c r="E553" s="94"/>
      <c r="F553" s="94"/>
      <c r="G553" s="94"/>
      <c r="H553" s="94"/>
      <c r="I553" s="94"/>
      <c r="J553" s="94"/>
      <c r="K553" s="95"/>
      <c r="BX553" s="36" t="s">
        <v>991</v>
      </c>
    </row>
    <row r="554" spans="1:76" ht="14.4" x14ac:dyDescent="0.3">
      <c r="A554" s="24" t="s">
        <v>51</v>
      </c>
      <c r="B554" s="25" t="s">
        <v>336</v>
      </c>
      <c r="C554" s="91" t="s">
        <v>758</v>
      </c>
      <c r="D554" s="92"/>
      <c r="E554" s="26" t="s">
        <v>4</v>
      </c>
      <c r="F554" s="26" t="s">
        <v>4</v>
      </c>
      <c r="G554" s="26" t="s">
        <v>4</v>
      </c>
      <c r="H554" s="1">
        <f>SUM(H555:H555)</f>
        <v>0</v>
      </c>
      <c r="I554" s="1">
        <f>SUM(I555:I555)</f>
        <v>0</v>
      </c>
      <c r="J554" s="1">
        <f>SUM(J555:J555)</f>
        <v>0</v>
      </c>
      <c r="K554" s="27" t="s">
        <v>51</v>
      </c>
      <c r="AI554" s="10" t="s">
        <v>970</v>
      </c>
      <c r="AS554" s="1">
        <f>SUM(AJ555:AJ555)</f>
        <v>0</v>
      </c>
      <c r="AT554" s="1">
        <f>SUM(AK555:AK555)</f>
        <v>0</v>
      </c>
      <c r="AU554" s="1">
        <f>SUM(AL555:AL555)</f>
        <v>0</v>
      </c>
    </row>
    <row r="555" spans="1:76" ht="14.4" x14ac:dyDescent="0.3">
      <c r="A555" s="2" t="s">
        <v>992</v>
      </c>
      <c r="B555" s="3" t="s">
        <v>993</v>
      </c>
      <c r="C555" s="75" t="s">
        <v>994</v>
      </c>
      <c r="D555" s="70"/>
      <c r="E555" s="3" t="s">
        <v>762</v>
      </c>
      <c r="F555" s="28">
        <v>2.6</v>
      </c>
      <c r="G555" s="28">
        <v>0</v>
      </c>
      <c r="H555" s="28">
        <f>ROUND(F555*AO555,2)</f>
        <v>0</v>
      </c>
      <c r="I555" s="28">
        <f>ROUND(F555*AP555,2)</f>
        <v>0</v>
      </c>
      <c r="J555" s="28">
        <f>ROUND(F555*G555,2)</f>
        <v>0</v>
      </c>
      <c r="K555" s="29" t="s">
        <v>60</v>
      </c>
      <c r="Z555" s="28">
        <f>ROUND(IF(AQ555="5",BJ555,0),2)</f>
        <v>0</v>
      </c>
      <c r="AB555" s="28">
        <f>ROUND(IF(AQ555="1",BH555,0),2)</f>
        <v>0</v>
      </c>
      <c r="AC555" s="28">
        <f>ROUND(IF(AQ555="1",BI555,0),2)</f>
        <v>0</v>
      </c>
      <c r="AD555" s="28">
        <f>ROUND(IF(AQ555="7",BH555,0),2)</f>
        <v>0</v>
      </c>
      <c r="AE555" s="28">
        <f>ROUND(IF(AQ555="7",BI555,0),2)</f>
        <v>0</v>
      </c>
      <c r="AF555" s="28">
        <f>ROUND(IF(AQ555="2",BH555,0),2)</f>
        <v>0</v>
      </c>
      <c r="AG555" s="28">
        <f>ROUND(IF(AQ555="2",BI555,0),2)</f>
        <v>0</v>
      </c>
      <c r="AH555" s="28">
        <f>ROUND(IF(AQ555="0",BJ555,0),2)</f>
        <v>0</v>
      </c>
      <c r="AI555" s="10" t="s">
        <v>970</v>
      </c>
      <c r="AJ555" s="28">
        <f>IF(AN555=0,J555,0)</f>
        <v>0</v>
      </c>
      <c r="AK555" s="28">
        <f>IF(AN555=12,J555,0)</f>
        <v>0</v>
      </c>
      <c r="AL555" s="28">
        <f>IF(AN555=21,J555,0)</f>
        <v>0</v>
      </c>
      <c r="AN555" s="28">
        <v>21</v>
      </c>
      <c r="AO555" s="28">
        <f>G555*0.571568305</f>
        <v>0</v>
      </c>
      <c r="AP555" s="28">
        <f>G555*(1-0.571568305)</f>
        <v>0</v>
      </c>
      <c r="AQ555" s="30" t="s">
        <v>56</v>
      </c>
      <c r="AV555" s="28">
        <f>ROUND(AW555+AX555,2)</f>
        <v>0</v>
      </c>
      <c r="AW555" s="28">
        <f>ROUND(F555*AO555,2)</f>
        <v>0</v>
      </c>
      <c r="AX555" s="28">
        <f>ROUND(F555*AP555,2)</f>
        <v>0</v>
      </c>
      <c r="AY555" s="30" t="s">
        <v>763</v>
      </c>
      <c r="AZ555" s="30" t="s">
        <v>995</v>
      </c>
      <c r="BA555" s="10" t="s">
        <v>975</v>
      </c>
      <c r="BC555" s="28">
        <f>AW555+AX555</f>
        <v>0</v>
      </c>
      <c r="BD555" s="28">
        <f>G555/(100-BE555)*100</f>
        <v>0</v>
      </c>
      <c r="BE555" s="28">
        <v>0</v>
      </c>
      <c r="BF555" s="28">
        <f>555</f>
        <v>555</v>
      </c>
      <c r="BH555" s="28">
        <f>F555*AO555</f>
        <v>0</v>
      </c>
      <c r="BI555" s="28">
        <f>F555*AP555</f>
        <v>0</v>
      </c>
      <c r="BJ555" s="28">
        <f>F555*G555</f>
        <v>0</v>
      </c>
      <c r="BK555" s="28"/>
      <c r="BL555" s="28">
        <v>43</v>
      </c>
      <c r="BW555" s="28">
        <v>21</v>
      </c>
      <c r="BX555" s="4" t="s">
        <v>994</v>
      </c>
    </row>
    <row r="556" spans="1:76" ht="13.5" customHeight="1" x14ac:dyDescent="0.3">
      <c r="A556" s="31"/>
      <c r="B556" s="35" t="s">
        <v>105</v>
      </c>
      <c r="C556" s="96" t="s">
        <v>996</v>
      </c>
      <c r="D556" s="97"/>
      <c r="E556" s="97"/>
      <c r="F556" s="97"/>
      <c r="G556" s="97"/>
      <c r="H556" s="97"/>
      <c r="I556" s="97"/>
      <c r="J556" s="97"/>
      <c r="K556" s="98"/>
    </row>
    <row r="557" spans="1:76" ht="14.4" x14ac:dyDescent="0.3">
      <c r="A557" s="31"/>
      <c r="B557" s="35" t="s">
        <v>68</v>
      </c>
      <c r="C557" s="93" t="s">
        <v>997</v>
      </c>
      <c r="D557" s="94"/>
      <c r="E557" s="94"/>
      <c r="F557" s="94"/>
      <c r="G557" s="94"/>
      <c r="H557" s="94"/>
      <c r="I557" s="94"/>
      <c r="J557" s="94"/>
      <c r="K557" s="95"/>
      <c r="BX557" s="36" t="s">
        <v>997</v>
      </c>
    </row>
    <row r="558" spans="1:76" ht="14.4" x14ac:dyDescent="0.3">
      <c r="A558" s="24" t="s">
        <v>51</v>
      </c>
      <c r="B558" s="25" t="s">
        <v>414</v>
      </c>
      <c r="C558" s="91" t="s">
        <v>685</v>
      </c>
      <c r="D558" s="92"/>
      <c r="E558" s="26" t="s">
        <v>4</v>
      </c>
      <c r="F558" s="26" t="s">
        <v>4</v>
      </c>
      <c r="G558" s="26" t="s">
        <v>4</v>
      </c>
      <c r="H558" s="1">
        <f>SUM(H559:H573)</f>
        <v>0</v>
      </c>
      <c r="I558" s="1">
        <f>SUM(I559:I573)</f>
        <v>0</v>
      </c>
      <c r="J558" s="1">
        <f>SUM(J559:J573)</f>
        <v>0</v>
      </c>
      <c r="K558" s="27" t="s">
        <v>51</v>
      </c>
      <c r="AI558" s="10" t="s">
        <v>970</v>
      </c>
      <c r="AS558" s="1">
        <f>SUM(AJ559:AJ573)</f>
        <v>0</v>
      </c>
      <c r="AT558" s="1">
        <f>SUM(AK559:AK573)</f>
        <v>0</v>
      </c>
      <c r="AU558" s="1">
        <f>SUM(AL559:AL573)</f>
        <v>0</v>
      </c>
    </row>
    <row r="559" spans="1:76" ht="14.4" x14ac:dyDescent="0.3">
      <c r="A559" s="2" t="s">
        <v>998</v>
      </c>
      <c r="B559" s="3" t="s">
        <v>999</v>
      </c>
      <c r="C559" s="75" t="s">
        <v>1000</v>
      </c>
      <c r="D559" s="70"/>
      <c r="E559" s="3" t="s">
        <v>103</v>
      </c>
      <c r="F559" s="28">
        <v>90</v>
      </c>
      <c r="G559" s="28">
        <v>0</v>
      </c>
      <c r="H559" s="28">
        <f>ROUND(F559*AO559,2)</f>
        <v>0</v>
      </c>
      <c r="I559" s="28">
        <f>ROUND(F559*AP559,2)</f>
        <v>0</v>
      </c>
      <c r="J559" s="28">
        <f>ROUND(F559*G559,2)</f>
        <v>0</v>
      </c>
      <c r="K559" s="29" t="s">
        <v>60</v>
      </c>
      <c r="Z559" s="28">
        <f>ROUND(IF(AQ559="5",BJ559,0),2)</f>
        <v>0</v>
      </c>
      <c r="AB559" s="28">
        <f>ROUND(IF(AQ559="1",BH559,0),2)</f>
        <v>0</v>
      </c>
      <c r="AC559" s="28">
        <f>ROUND(IF(AQ559="1",BI559,0),2)</f>
        <v>0</v>
      </c>
      <c r="AD559" s="28">
        <f>ROUND(IF(AQ559="7",BH559,0),2)</f>
        <v>0</v>
      </c>
      <c r="AE559" s="28">
        <f>ROUND(IF(AQ559="7",BI559,0),2)</f>
        <v>0</v>
      </c>
      <c r="AF559" s="28">
        <f>ROUND(IF(AQ559="2",BH559,0),2)</f>
        <v>0</v>
      </c>
      <c r="AG559" s="28">
        <f>ROUND(IF(AQ559="2",BI559,0),2)</f>
        <v>0</v>
      </c>
      <c r="AH559" s="28">
        <f>ROUND(IF(AQ559="0",BJ559,0),2)</f>
        <v>0</v>
      </c>
      <c r="AI559" s="10" t="s">
        <v>970</v>
      </c>
      <c r="AJ559" s="28">
        <f>IF(AN559=0,J559,0)</f>
        <v>0</v>
      </c>
      <c r="AK559" s="28">
        <f>IF(AN559=12,J559,0)</f>
        <v>0</v>
      </c>
      <c r="AL559" s="28">
        <f>IF(AN559=21,J559,0)</f>
        <v>0</v>
      </c>
      <c r="AN559" s="28">
        <v>21</v>
      </c>
      <c r="AO559" s="28">
        <f>G559*0.916937698</f>
        <v>0</v>
      </c>
      <c r="AP559" s="28">
        <f>G559*(1-0.916937698)</f>
        <v>0</v>
      </c>
      <c r="AQ559" s="30" t="s">
        <v>56</v>
      </c>
      <c r="AV559" s="28">
        <f>ROUND(AW559+AX559,2)</f>
        <v>0</v>
      </c>
      <c r="AW559" s="28">
        <f>ROUND(F559*AO559,2)</f>
        <v>0</v>
      </c>
      <c r="AX559" s="28">
        <f>ROUND(F559*AP559,2)</f>
        <v>0</v>
      </c>
      <c r="AY559" s="30" t="s">
        <v>689</v>
      </c>
      <c r="AZ559" s="30" t="s">
        <v>1001</v>
      </c>
      <c r="BA559" s="10" t="s">
        <v>975</v>
      </c>
      <c r="BC559" s="28">
        <f>AW559+AX559</f>
        <v>0</v>
      </c>
      <c r="BD559" s="28">
        <f>G559/(100-BE559)*100</f>
        <v>0</v>
      </c>
      <c r="BE559" s="28">
        <v>0</v>
      </c>
      <c r="BF559" s="28">
        <f>559</f>
        <v>559</v>
      </c>
      <c r="BH559" s="28">
        <f>F559*AO559</f>
        <v>0</v>
      </c>
      <c r="BI559" s="28">
        <f>F559*AP559</f>
        <v>0</v>
      </c>
      <c r="BJ559" s="28">
        <f>F559*G559</f>
        <v>0</v>
      </c>
      <c r="BK559" s="28"/>
      <c r="BL559" s="28">
        <v>56</v>
      </c>
      <c r="BW559" s="28">
        <v>21</v>
      </c>
      <c r="BX559" s="4" t="s">
        <v>1000</v>
      </c>
    </row>
    <row r="560" spans="1:76" ht="14.4" x14ac:dyDescent="0.3">
      <c r="A560" s="31"/>
      <c r="C560" s="32" t="s">
        <v>196</v>
      </c>
      <c r="D560" s="32" t="s">
        <v>1002</v>
      </c>
      <c r="F560" s="33">
        <v>90</v>
      </c>
      <c r="K560" s="34"/>
    </row>
    <row r="561" spans="1:76" ht="14.4" x14ac:dyDescent="0.3">
      <c r="A561" s="2" t="s">
        <v>1003</v>
      </c>
      <c r="B561" s="3" t="s">
        <v>1004</v>
      </c>
      <c r="C561" s="75" t="s">
        <v>1005</v>
      </c>
      <c r="D561" s="70"/>
      <c r="E561" s="3" t="s">
        <v>103</v>
      </c>
      <c r="F561" s="28">
        <v>104</v>
      </c>
      <c r="G561" s="28">
        <v>0</v>
      </c>
      <c r="H561" s="28">
        <f>ROUND(F561*AO561,2)</f>
        <v>0</v>
      </c>
      <c r="I561" s="28">
        <f>ROUND(F561*AP561,2)</f>
        <v>0</v>
      </c>
      <c r="J561" s="28">
        <f>ROUND(F561*G561,2)</f>
        <v>0</v>
      </c>
      <c r="K561" s="29" t="s">
        <v>60</v>
      </c>
      <c r="Z561" s="28">
        <f>ROUND(IF(AQ561="5",BJ561,0),2)</f>
        <v>0</v>
      </c>
      <c r="AB561" s="28">
        <f>ROUND(IF(AQ561="1",BH561,0),2)</f>
        <v>0</v>
      </c>
      <c r="AC561" s="28">
        <f>ROUND(IF(AQ561="1",BI561,0),2)</f>
        <v>0</v>
      </c>
      <c r="AD561" s="28">
        <f>ROUND(IF(AQ561="7",BH561,0),2)</f>
        <v>0</v>
      </c>
      <c r="AE561" s="28">
        <f>ROUND(IF(AQ561="7",BI561,0),2)</f>
        <v>0</v>
      </c>
      <c r="AF561" s="28">
        <f>ROUND(IF(AQ561="2",BH561,0),2)</f>
        <v>0</v>
      </c>
      <c r="AG561" s="28">
        <f>ROUND(IF(AQ561="2",BI561,0),2)</f>
        <v>0</v>
      </c>
      <c r="AH561" s="28">
        <f>ROUND(IF(AQ561="0",BJ561,0),2)</f>
        <v>0</v>
      </c>
      <c r="AI561" s="10" t="s">
        <v>970</v>
      </c>
      <c r="AJ561" s="28">
        <f>IF(AN561=0,J561,0)</f>
        <v>0</v>
      </c>
      <c r="AK561" s="28">
        <f>IF(AN561=12,J561,0)</f>
        <v>0</v>
      </c>
      <c r="AL561" s="28">
        <f>IF(AN561=21,J561,0)</f>
        <v>0</v>
      </c>
      <c r="AN561" s="28">
        <v>21</v>
      </c>
      <c r="AO561" s="28">
        <f>G561*0.82474359</f>
        <v>0</v>
      </c>
      <c r="AP561" s="28">
        <f>G561*(1-0.82474359)</f>
        <v>0</v>
      </c>
      <c r="AQ561" s="30" t="s">
        <v>56</v>
      </c>
      <c r="AV561" s="28">
        <f>ROUND(AW561+AX561,2)</f>
        <v>0</v>
      </c>
      <c r="AW561" s="28">
        <f>ROUND(F561*AO561,2)</f>
        <v>0</v>
      </c>
      <c r="AX561" s="28">
        <f>ROUND(F561*AP561,2)</f>
        <v>0</v>
      </c>
      <c r="AY561" s="30" t="s">
        <v>689</v>
      </c>
      <c r="AZ561" s="30" t="s">
        <v>1001</v>
      </c>
      <c r="BA561" s="10" t="s">
        <v>975</v>
      </c>
      <c r="BC561" s="28">
        <f>AW561+AX561</f>
        <v>0</v>
      </c>
      <c r="BD561" s="28">
        <f>G561/(100-BE561)*100</f>
        <v>0</v>
      </c>
      <c r="BE561" s="28">
        <v>0</v>
      </c>
      <c r="BF561" s="28">
        <f>561</f>
        <v>561</v>
      </c>
      <c r="BH561" s="28">
        <f>F561*AO561</f>
        <v>0</v>
      </c>
      <c r="BI561" s="28">
        <f>F561*AP561</f>
        <v>0</v>
      </c>
      <c r="BJ561" s="28">
        <f>F561*G561</f>
        <v>0</v>
      </c>
      <c r="BK561" s="28"/>
      <c r="BL561" s="28">
        <v>56</v>
      </c>
      <c r="BW561" s="28">
        <v>21</v>
      </c>
      <c r="BX561" s="4" t="s">
        <v>1005</v>
      </c>
    </row>
    <row r="562" spans="1:76" ht="14.4" x14ac:dyDescent="0.3">
      <c r="A562" s="31"/>
      <c r="C562" s="32" t="s">
        <v>640</v>
      </c>
      <c r="D562" s="32" t="s">
        <v>976</v>
      </c>
      <c r="F562" s="33">
        <v>104</v>
      </c>
      <c r="K562" s="34"/>
    </row>
    <row r="563" spans="1:76" ht="26.4" x14ac:dyDescent="0.3">
      <c r="A563" s="31"/>
      <c r="B563" s="35" t="s">
        <v>68</v>
      </c>
      <c r="C563" s="93" t="s">
        <v>1006</v>
      </c>
      <c r="D563" s="94"/>
      <c r="E563" s="94"/>
      <c r="F563" s="94"/>
      <c r="G563" s="94"/>
      <c r="H563" s="94"/>
      <c r="I563" s="94"/>
      <c r="J563" s="94"/>
      <c r="K563" s="95"/>
      <c r="BX563" s="36" t="s">
        <v>1006</v>
      </c>
    </row>
    <row r="564" spans="1:76" ht="14.4" x14ac:dyDescent="0.3">
      <c r="A564" s="2" t="s">
        <v>1007</v>
      </c>
      <c r="B564" s="3" t="s">
        <v>777</v>
      </c>
      <c r="C564" s="75" t="s">
        <v>1008</v>
      </c>
      <c r="D564" s="70"/>
      <c r="E564" s="3" t="s">
        <v>103</v>
      </c>
      <c r="F564" s="28">
        <v>104</v>
      </c>
      <c r="G564" s="28">
        <v>0</v>
      </c>
      <c r="H564" s="28">
        <f>ROUND(F564*AO564,2)</f>
        <v>0</v>
      </c>
      <c r="I564" s="28">
        <f>ROUND(F564*AP564,2)</f>
        <v>0</v>
      </c>
      <c r="J564" s="28">
        <f>ROUND(F564*G564,2)</f>
        <v>0</v>
      </c>
      <c r="K564" s="29" t="s">
        <v>60</v>
      </c>
      <c r="Z564" s="28">
        <f>ROUND(IF(AQ564="5",BJ564,0),2)</f>
        <v>0</v>
      </c>
      <c r="AB564" s="28">
        <f>ROUND(IF(AQ564="1",BH564,0),2)</f>
        <v>0</v>
      </c>
      <c r="AC564" s="28">
        <f>ROUND(IF(AQ564="1",BI564,0),2)</f>
        <v>0</v>
      </c>
      <c r="AD564" s="28">
        <f>ROUND(IF(AQ564="7",BH564,0),2)</f>
        <v>0</v>
      </c>
      <c r="AE564" s="28">
        <f>ROUND(IF(AQ564="7",BI564,0),2)</f>
        <v>0</v>
      </c>
      <c r="AF564" s="28">
        <f>ROUND(IF(AQ564="2",BH564,0),2)</f>
        <v>0</v>
      </c>
      <c r="AG564" s="28">
        <f>ROUND(IF(AQ564="2",BI564,0),2)</f>
        <v>0</v>
      </c>
      <c r="AH564" s="28">
        <f>ROUND(IF(AQ564="0",BJ564,0),2)</f>
        <v>0</v>
      </c>
      <c r="AI564" s="10" t="s">
        <v>970</v>
      </c>
      <c r="AJ564" s="28">
        <f>IF(AN564=0,J564,0)</f>
        <v>0</v>
      </c>
      <c r="AK564" s="28">
        <f>IF(AN564=12,J564,0)</f>
        <v>0</v>
      </c>
      <c r="AL564" s="28">
        <f>IF(AN564=21,J564,0)</f>
        <v>0</v>
      </c>
      <c r="AN564" s="28">
        <v>21</v>
      </c>
      <c r="AO564" s="28">
        <f>G564*0.846008772</f>
        <v>0</v>
      </c>
      <c r="AP564" s="28">
        <f>G564*(1-0.846008772)</f>
        <v>0</v>
      </c>
      <c r="AQ564" s="30" t="s">
        <v>56</v>
      </c>
      <c r="AV564" s="28">
        <f>ROUND(AW564+AX564,2)</f>
        <v>0</v>
      </c>
      <c r="AW564" s="28">
        <f>ROUND(F564*AO564,2)</f>
        <v>0</v>
      </c>
      <c r="AX564" s="28">
        <f>ROUND(F564*AP564,2)</f>
        <v>0</v>
      </c>
      <c r="AY564" s="30" t="s">
        <v>689</v>
      </c>
      <c r="AZ564" s="30" t="s">
        <v>1001</v>
      </c>
      <c r="BA564" s="10" t="s">
        <v>975</v>
      </c>
      <c r="BC564" s="28">
        <f>AW564+AX564</f>
        <v>0</v>
      </c>
      <c r="BD564" s="28">
        <f>G564/(100-BE564)*100</f>
        <v>0</v>
      </c>
      <c r="BE564" s="28">
        <v>0</v>
      </c>
      <c r="BF564" s="28">
        <f>564</f>
        <v>564</v>
      </c>
      <c r="BH564" s="28">
        <f>F564*AO564</f>
        <v>0</v>
      </c>
      <c r="BI564" s="28">
        <f>F564*AP564</f>
        <v>0</v>
      </c>
      <c r="BJ564" s="28">
        <f>F564*G564</f>
        <v>0</v>
      </c>
      <c r="BK564" s="28"/>
      <c r="BL564" s="28">
        <v>56</v>
      </c>
      <c r="BW564" s="28">
        <v>21</v>
      </c>
      <c r="BX564" s="4" t="s">
        <v>1008</v>
      </c>
    </row>
    <row r="565" spans="1:76" ht="14.4" x14ac:dyDescent="0.3">
      <c r="A565" s="31"/>
      <c r="C565" s="32" t="s">
        <v>640</v>
      </c>
      <c r="D565" s="32" t="s">
        <v>1009</v>
      </c>
      <c r="F565" s="33">
        <v>104</v>
      </c>
      <c r="K565" s="34"/>
    </row>
    <row r="566" spans="1:76" ht="26.4" x14ac:dyDescent="0.3">
      <c r="A566" s="31"/>
      <c r="B566" s="35" t="s">
        <v>68</v>
      </c>
      <c r="C566" s="93" t="s">
        <v>783</v>
      </c>
      <c r="D566" s="94"/>
      <c r="E566" s="94"/>
      <c r="F566" s="94"/>
      <c r="G566" s="94"/>
      <c r="H566" s="94"/>
      <c r="I566" s="94"/>
      <c r="J566" s="94"/>
      <c r="K566" s="95"/>
      <c r="BX566" s="36" t="s">
        <v>783</v>
      </c>
    </row>
    <row r="567" spans="1:76" ht="14.4" x14ac:dyDescent="0.3">
      <c r="A567" s="2" t="s">
        <v>827</v>
      </c>
      <c r="B567" s="3" t="s">
        <v>785</v>
      </c>
      <c r="C567" s="75" t="s">
        <v>786</v>
      </c>
      <c r="D567" s="70"/>
      <c r="E567" s="3" t="s">
        <v>103</v>
      </c>
      <c r="F567" s="28">
        <v>104</v>
      </c>
      <c r="G567" s="28">
        <v>0</v>
      </c>
      <c r="H567" s="28">
        <f>ROUND(F567*AO567,2)</f>
        <v>0</v>
      </c>
      <c r="I567" s="28">
        <f>ROUND(F567*AP567,2)</f>
        <v>0</v>
      </c>
      <c r="J567" s="28">
        <f>ROUND(F567*G567,2)</f>
        <v>0</v>
      </c>
      <c r="K567" s="29" t="s">
        <v>60</v>
      </c>
      <c r="Z567" s="28">
        <f>ROUND(IF(AQ567="5",BJ567,0),2)</f>
        <v>0</v>
      </c>
      <c r="AB567" s="28">
        <f>ROUND(IF(AQ567="1",BH567,0),2)</f>
        <v>0</v>
      </c>
      <c r="AC567" s="28">
        <f>ROUND(IF(AQ567="1",BI567,0),2)</f>
        <v>0</v>
      </c>
      <c r="AD567" s="28">
        <f>ROUND(IF(AQ567="7",BH567,0),2)</f>
        <v>0</v>
      </c>
      <c r="AE567" s="28">
        <f>ROUND(IF(AQ567="7",BI567,0),2)</f>
        <v>0</v>
      </c>
      <c r="AF567" s="28">
        <f>ROUND(IF(AQ567="2",BH567,0),2)</f>
        <v>0</v>
      </c>
      <c r="AG567" s="28">
        <f>ROUND(IF(AQ567="2",BI567,0),2)</f>
        <v>0</v>
      </c>
      <c r="AH567" s="28">
        <f>ROUND(IF(AQ567="0",BJ567,0),2)</f>
        <v>0</v>
      </c>
      <c r="AI567" s="10" t="s">
        <v>970</v>
      </c>
      <c r="AJ567" s="28">
        <f>IF(AN567=0,J567,0)</f>
        <v>0</v>
      </c>
      <c r="AK567" s="28">
        <f>IF(AN567=12,J567,0)</f>
        <v>0</v>
      </c>
      <c r="AL567" s="28">
        <f>IF(AN567=21,J567,0)</f>
        <v>0</v>
      </c>
      <c r="AN567" s="28">
        <v>21</v>
      </c>
      <c r="AO567" s="28">
        <f>G567*0</f>
        <v>0</v>
      </c>
      <c r="AP567" s="28">
        <f>G567*(1-0)</f>
        <v>0</v>
      </c>
      <c r="AQ567" s="30" t="s">
        <v>56</v>
      </c>
      <c r="AV567" s="28">
        <f>ROUND(AW567+AX567,2)</f>
        <v>0</v>
      </c>
      <c r="AW567" s="28">
        <f>ROUND(F567*AO567,2)</f>
        <v>0</v>
      </c>
      <c r="AX567" s="28">
        <f>ROUND(F567*AP567,2)</f>
        <v>0</v>
      </c>
      <c r="AY567" s="30" t="s">
        <v>689</v>
      </c>
      <c r="AZ567" s="30" t="s">
        <v>1001</v>
      </c>
      <c r="BA567" s="10" t="s">
        <v>975</v>
      </c>
      <c r="BC567" s="28">
        <f>AW567+AX567</f>
        <v>0</v>
      </c>
      <c r="BD567" s="28">
        <f>G567/(100-BE567)*100</f>
        <v>0</v>
      </c>
      <c r="BE567" s="28">
        <v>0</v>
      </c>
      <c r="BF567" s="28">
        <f>567</f>
        <v>567</v>
      </c>
      <c r="BH567" s="28">
        <f>F567*AO567</f>
        <v>0</v>
      </c>
      <c r="BI567" s="28">
        <f>F567*AP567</f>
        <v>0</v>
      </c>
      <c r="BJ567" s="28">
        <f>F567*G567</f>
        <v>0</v>
      </c>
      <c r="BK567" s="28"/>
      <c r="BL567" s="28">
        <v>56</v>
      </c>
      <c r="BW567" s="28">
        <v>21</v>
      </c>
      <c r="BX567" s="4" t="s">
        <v>786</v>
      </c>
    </row>
    <row r="568" spans="1:76" ht="14.4" x14ac:dyDescent="0.3">
      <c r="A568" s="31"/>
      <c r="C568" s="32" t="s">
        <v>640</v>
      </c>
      <c r="D568" s="32" t="s">
        <v>1010</v>
      </c>
      <c r="F568" s="33">
        <v>104</v>
      </c>
      <c r="K568" s="34"/>
    </row>
    <row r="569" spans="1:76" ht="14.4" x14ac:dyDescent="0.3">
      <c r="A569" s="2" t="s">
        <v>1011</v>
      </c>
      <c r="B569" s="3" t="s">
        <v>788</v>
      </c>
      <c r="C569" s="75" t="s">
        <v>1012</v>
      </c>
      <c r="D569" s="70"/>
      <c r="E569" s="3" t="s">
        <v>103</v>
      </c>
      <c r="F569" s="28">
        <v>114.4</v>
      </c>
      <c r="G569" s="28">
        <v>0</v>
      </c>
      <c r="H569" s="28">
        <f>ROUND(F569*AO569,2)</f>
        <v>0</v>
      </c>
      <c r="I569" s="28">
        <f>ROUND(F569*AP569,2)</f>
        <v>0</v>
      </c>
      <c r="J569" s="28">
        <f>ROUND(F569*G569,2)</f>
        <v>0</v>
      </c>
      <c r="K569" s="29" t="s">
        <v>60</v>
      </c>
      <c r="Z569" s="28">
        <f>ROUND(IF(AQ569="5",BJ569,0),2)</f>
        <v>0</v>
      </c>
      <c r="AB569" s="28">
        <f>ROUND(IF(AQ569="1",BH569,0),2)</f>
        <v>0</v>
      </c>
      <c r="AC569" s="28">
        <f>ROUND(IF(AQ569="1",BI569,0),2)</f>
        <v>0</v>
      </c>
      <c r="AD569" s="28">
        <f>ROUND(IF(AQ569="7",BH569,0),2)</f>
        <v>0</v>
      </c>
      <c r="AE569" s="28">
        <f>ROUND(IF(AQ569="7",BI569,0),2)</f>
        <v>0</v>
      </c>
      <c r="AF569" s="28">
        <f>ROUND(IF(AQ569="2",BH569,0),2)</f>
        <v>0</v>
      </c>
      <c r="AG569" s="28">
        <f>ROUND(IF(AQ569="2",BI569,0),2)</f>
        <v>0</v>
      </c>
      <c r="AH569" s="28">
        <f>ROUND(IF(AQ569="0",BJ569,0),2)</f>
        <v>0</v>
      </c>
      <c r="AI569" s="10" t="s">
        <v>970</v>
      </c>
      <c r="AJ569" s="28">
        <f>IF(AN569=0,J569,0)</f>
        <v>0</v>
      </c>
      <c r="AK569" s="28">
        <f>IF(AN569=12,J569,0)</f>
        <v>0</v>
      </c>
      <c r="AL569" s="28">
        <f>IF(AN569=21,J569,0)</f>
        <v>0</v>
      </c>
      <c r="AN569" s="28">
        <v>21</v>
      </c>
      <c r="AO569" s="28">
        <f>G569*1</f>
        <v>0</v>
      </c>
      <c r="AP569" s="28">
        <f>G569*(1-1)</f>
        <v>0</v>
      </c>
      <c r="AQ569" s="30" t="s">
        <v>56</v>
      </c>
      <c r="AV569" s="28">
        <f>ROUND(AW569+AX569,2)</f>
        <v>0</v>
      </c>
      <c r="AW569" s="28">
        <f>ROUND(F569*AO569,2)</f>
        <v>0</v>
      </c>
      <c r="AX569" s="28">
        <f>ROUND(F569*AP569,2)</f>
        <v>0</v>
      </c>
      <c r="AY569" s="30" t="s">
        <v>689</v>
      </c>
      <c r="AZ569" s="30" t="s">
        <v>1001</v>
      </c>
      <c r="BA569" s="10" t="s">
        <v>975</v>
      </c>
      <c r="BC569" s="28">
        <f>AW569+AX569</f>
        <v>0</v>
      </c>
      <c r="BD569" s="28">
        <f>G569/(100-BE569)*100</f>
        <v>0</v>
      </c>
      <c r="BE569" s="28">
        <v>0</v>
      </c>
      <c r="BF569" s="28">
        <f>569</f>
        <v>569</v>
      </c>
      <c r="BH569" s="28">
        <f>F569*AO569</f>
        <v>0</v>
      </c>
      <c r="BI569" s="28">
        <f>F569*AP569</f>
        <v>0</v>
      </c>
      <c r="BJ569" s="28">
        <f>F569*G569</f>
        <v>0</v>
      </c>
      <c r="BK569" s="28"/>
      <c r="BL569" s="28">
        <v>56</v>
      </c>
      <c r="BW569" s="28">
        <v>21</v>
      </c>
      <c r="BX569" s="4" t="s">
        <v>1012</v>
      </c>
    </row>
    <row r="570" spans="1:76" ht="14.4" x14ac:dyDescent="0.3">
      <c r="A570" s="31"/>
      <c r="C570" s="32" t="s">
        <v>640</v>
      </c>
      <c r="D570" s="32" t="s">
        <v>976</v>
      </c>
      <c r="F570" s="33">
        <v>104</v>
      </c>
      <c r="K570" s="34"/>
    </row>
    <row r="571" spans="1:76" ht="14.4" x14ac:dyDescent="0.3">
      <c r="A571" s="31"/>
      <c r="C571" s="32" t="s">
        <v>1013</v>
      </c>
      <c r="D571" s="32" t="s">
        <v>51</v>
      </c>
      <c r="F571" s="33">
        <v>10.4</v>
      </c>
      <c r="K571" s="34"/>
    </row>
    <row r="572" spans="1:76" ht="105.6" x14ac:dyDescent="0.3">
      <c r="A572" s="31"/>
      <c r="B572" s="35" t="s">
        <v>68</v>
      </c>
      <c r="C572" s="93" t="s">
        <v>1014</v>
      </c>
      <c r="D572" s="94"/>
      <c r="E572" s="94"/>
      <c r="F572" s="94"/>
      <c r="G572" s="94"/>
      <c r="H572" s="94"/>
      <c r="I572" s="94"/>
      <c r="J572" s="94"/>
      <c r="K572" s="95"/>
      <c r="BX572" s="36" t="s">
        <v>1014</v>
      </c>
    </row>
    <row r="573" spans="1:76" ht="14.4" x14ac:dyDescent="0.3">
      <c r="A573" s="2" t="s">
        <v>1015</v>
      </c>
      <c r="B573" s="3" t="s">
        <v>795</v>
      </c>
      <c r="C573" s="75" t="s">
        <v>796</v>
      </c>
      <c r="D573" s="70"/>
      <c r="E573" s="3" t="s">
        <v>103</v>
      </c>
      <c r="F573" s="28">
        <v>13</v>
      </c>
      <c r="G573" s="28">
        <v>0</v>
      </c>
      <c r="H573" s="28">
        <f>ROUND(F573*AO573,2)</f>
        <v>0</v>
      </c>
      <c r="I573" s="28">
        <f>ROUND(F573*AP573,2)</f>
        <v>0</v>
      </c>
      <c r="J573" s="28">
        <f>ROUND(F573*G573,2)</f>
        <v>0</v>
      </c>
      <c r="K573" s="29" t="s">
        <v>60</v>
      </c>
      <c r="Z573" s="28">
        <f>ROUND(IF(AQ573="5",BJ573,0),2)</f>
        <v>0</v>
      </c>
      <c r="AB573" s="28">
        <f>ROUND(IF(AQ573="1",BH573,0),2)</f>
        <v>0</v>
      </c>
      <c r="AC573" s="28">
        <f>ROUND(IF(AQ573="1",BI573,0),2)</f>
        <v>0</v>
      </c>
      <c r="AD573" s="28">
        <f>ROUND(IF(AQ573="7",BH573,0),2)</f>
        <v>0</v>
      </c>
      <c r="AE573" s="28">
        <f>ROUND(IF(AQ573="7",BI573,0),2)</f>
        <v>0</v>
      </c>
      <c r="AF573" s="28">
        <f>ROUND(IF(AQ573="2",BH573,0),2)</f>
        <v>0</v>
      </c>
      <c r="AG573" s="28">
        <f>ROUND(IF(AQ573="2",BI573,0),2)</f>
        <v>0</v>
      </c>
      <c r="AH573" s="28">
        <f>ROUND(IF(AQ573="0",BJ573,0),2)</f>
        <v>0</v>
      </c>
      <c r="AI573" s="10" t="s">
        <v>970</v>
      </c>
      <c r="AJ573" s="28">
        <f>IF(AN573=0,J573,0)</f>
        <v>0</v>
      </c>
      <c r="AK573" s="28">
        <f>IF(AN573=12,J573,0)</f>
        <v>0</v>
      </c>
      <c r="AL573" s="28">
        <f>IF(AN573=21,J573,0)</f>
        <v>0</v>
      </c>
      <c r="AN573" s="28">
        <v>21</v>
      </c>
      <c r="AO573" s="28">
        <f>G573*0.818080203</f>
        <v>0</v>
      </c>
      <c r="AP573" s="28">
        <f>G573*(1-0.818080203)</f>
        <v>0</v>
      </c>
      <c r="AQ573" s="30" t="s">
        <v>56</v>
      </c>
      <c r="AV573" s="28">
        <f>ROUND(AW573+AX573,2)</f>
        <v>0</v>
      </c>
      <c r="AW573" s="28">
        <f>ROUND(F573*AO573,2)</f>
        <v>0</v>
      </c>
      <c r="AX573" s="28">
        <f>ROUND(F573*AP573,2)</f>
        <v>0</v>
      </c>
      <c r="AY573" s="30" t="s">
        <v>689</v>
      </c>
      <c r="AZ573" s="30" t="s">
        <v>1001</v>
      </c>
      <c r="BA573" s="10" t="s">
        <v>975</v>
      </c>
      <c r="BC573" s="28">
        <f>AW573+AX573</f>
        <v>0</v>
      </c>
      <c r="BD573" s="28">
        <f>G573/(100-BE573)*100</f>
        <v>0</v>
      </c>
      <c r="BE573" s="28">
        <v>0</v>
      </c>
      <c r="BF573" s="28">
        <f>573</f>
        <v>573</v>
      </c>
      <c r="BH573" s="28">
        <f>F573*AO573</f>
        <v>0</v>
      </c>
      <c r="BI573" s="28">
        <f>F573*AP573</f>
        <v>0</v>
      </c>
      <c r="BJ573" s="28">
        <f>F573*G573</f>
        <v>0</v>
      </c>
      <c r="BK573" s="28"/>
      <c r="BL573" s="28">
        <v>56</v>
      </c>
      <c r="BW573" s="28">
        <v>21</v>
      </c>
      <c r="BX573" s="4" t="s">
        <v>796</v>
      </c>
    </row>
    <row r="574" spans="1:76" ht="14.4" x14ac:dyDescent="0.3">
      <c r="A574" s="31"/>
      <c r="C574" s="32" t="s">
        <v>135</v>
      </c>
      <c r="D574" s="32" t="s">
        <v>798</v>
      </c>
      <c r="F574" s="33">
        <v>10</v>
      </c>
      <c r="K574" s="34"/>
    </row>
    <row r="575" spans="1:76" ht="14.4" x14ac:dyDescent="0.3">
      <c r="A575" s="31"/>
      <c r="C575" s="32" t="s">
        <v>80</v>
      </c>
      <c r="D575" s="32" t="s">
        <v>985</v>
      </c>
      <c r="F575" s="33">
        <v>3</v>
      </c>
      <c r="K575" s="34"/>
    </row>
    <row r="576" spans="1:76" ht="26.4" x14ac:dyDescent="0.3">
      <c r="A576" s="31"/>
      <c r="B576" s="35" t="s">
        <v>68</v>
      </c>
      <c r="C576" s="93" t="s">
        <v>800</v>
      </c>
      <c r="D576" s="94"/>
      <c r="E576" s="94"/>
      <c r="F576" s="94"/>
      <c r="G576" s="94"/>
      <c r="H576" s="94"/>
      <c r="I576" s="94"/>
      <c r="J576" s="94"/>
      <c r="K576" s="95"/>
      <c r="BX576" s="36" t="s">
        <v>800</v>
      </c>
    </row>
    <row r="577" spans="1:76" ht="14.4" x14ac:dyDescent="0.3">
      <c r="A577" s="24" t="s">
        <v>51</v>
      </c>
      <c r="B577" s="25" t="s">
        <v>305</v>
      </c>
      <c r="C577" s="91" t="s">
        <v>306</v>
      </c>
      <c r="D577" s="92"/>
      <c r="E577" s="26" t="s">
        <v>4</v>
      </c>
      <c r="F577" s="26" t="s">
        <v>4</v>
      </c>
      <c r="G577" s="26" t="s">
        <v>4</v>
      </c>
      <c r="H577" s="1">
        <f>SUM(H578:H597)</f>
        <v>0</v>
      </c>
      <c r="I577" s="1">
        <f>SUM(I578:I597)</f>
        <v>0</v>
      </c>
      <c r="J577" s="1">
        <f>SUM(J578:J597)</f>
        <v>0</v>
      </c>
      <c r="K577" s="27" t="s">
        <v>51</v>
      </c>
      <c r="AI577" s="10" t="s">
        <v>970</v>
      </c>
      <c r="AS577" s="1">
        <f>SUM(AJ578:AJ597)</f>
        <v>0</v>
      </c>
      <c r="AT577" s="1">
        <f>SUM(AK578:AK597)</f>
        <v>0</v>
      </c>
      <c r="AU577" s="1">
        <f>SUM(AL578:AL597)</f>
        <v>0</v>
      </c>
    </row>
    <row r="578" spans="1:76" ht="14.4" x14ac:dyDescent="0.3">
      <c r="A578" s="2" t="s">
        <v>405</v>
      </c>
      <c r="B578" s="3" t="s">
        <v>812</v>
      </c>
      <c r="C578" s="75" t="s">
        <v>813</v>
      </c>
      <c r="D578" s="70"/>
      <c r="E578" s="3" t="s">
        <v>103</v>
      </c>
      <c r="F578" s="28">
        <v>90</v>
      </c>
      <c r="G578" s="28">
        <v>0</v>
      </c>
      <c r="H578" s="28">
        <f>ROUND(F578*AO578,2)</f>
        <v>0</v>
      </c>
      <c r="I578" s="28">
        <f>ROUND(F578*AP578,2)</f>
        <v>0</v>
      </c>
      <c r="J578" s="28">
        <f>ROUND(F578*G578,2)</f>
        <v>0</v>
      </c>
      <c r="K578" s="29" t="s">
        <v>60</v>
      </c>
      <c r="Z578" s="28">
        <f>ROUND(IF(AQ578="5",BJ578,0),2)</f>
        <v>0</v>
      </c>
      <c r="AB578" s="28">
        <f>ROUND(IF(AQ578="1",BH578,0),2)</f>
        <v>0</v>
      </c>
      <c r="AC578" s="28">
        <f>ROUND(IF(AQ578="1",BI578,0),2)</f>
        <v>0</v>
      </c>
      <c r="AD578" s="28">
        <f>ROUND(IF(AQ578="7",BH578,0),2)</f>
        <v>0</v>
      </c>
      <c r="AE578" s="28">
        <f>ROUND(IF(AQ578="7",BI578,0),2)</f>
        <v>0</v>
      </c>
      <c r="AF578" s="28">
        <f>ROUND(IF(AQ578="2",BH578,0),2)</f>
        <v>0</v>
      </c>
      <c r="AG578" s="28">
        <f>ROUND(IF(AQ578="2",BI578,0),2)</f>
        <v>0</v>
      </c>
      <c r="AH578" s="28">
        <f>ROUND(IF(AQ578="0",BJ578,0),2)</f>
        <v>0</v>
      </c>
      <c r="AI578" s="10" t="s">
        <v>970</v>
      </c>
      <c r="AJ578" s="28">
        <f>IF(AN578=0,J578,0)</f>
        <v>0</v>
      </c>
      <c r="AK578" s="28">
        <f>IF(AN578=12,J578,0)</f>
        <v>0</v>
      </c>
      <c r="AL578" s="28">
        <f>IF(AN578=21,J578,0)</f>
        <v>0</v>
      </c>
      <c r="AN578" s="28">
        <v>21</v>
      </c>
      <c r="AO578" s="28">
        <f>G578*0.195254731</f>
        <v>0</v>
      </c>
      <c r="AP578" s="28">
        <f>G578*(1-0.195254731)</f>
        <v>0</v>
      </c>
      <c r="AQ578" s="30" t="s">
        <v>56</v>
      </c>
      <c r="AV578" s="28">
        <f>ROUND(AW578+AX578,2)</f>
        <v>0</v>
      </c>
      <c r="AW578" s="28">
        <f>ROUND(F578*AO578,2)</f>
        <v>0</v>
      </c>
      <c r="AX578" s="28">
        <f>ROUND(F578*AP578,2)</f>
        <v>0</v>
      </c>
      <c r="AY578" s="30" t="s">
        <v>310</v>
      </c>
      <c r="AZ578" s="30" t="s">
        <v>1001</v>
      </c>
      <c r="BA578" s="10" t="s">
        <v>975</v>
      </c>
      <c r="BC578" s="28">
        <f>AW578+AX578</f>
        <v>0</v>
      </c>
      <c r="BD578" s="28">
        <f>G578/(100-BE578)*100</f>
        <v>0</v>
      </c>
      <c r="BE578" s="28">
        <v>0</v>
      </c>
      <c r="BF578" s="28">
        <f>578</f>
        <v>578</v>
      </c>
      <c r="BH578" s="28">
        <f>F578*AO578</f>
        <v>0</v>
      </c>
      <c r="BI578" s="28">
        <f>F578*AP578</f>
        <v>0</v>
      </c>
      <c r="BJ578" s="28">
        <f>F578*G578</f>
        <v>0</v>
      </c>
      <c r="BK578" s="28"/>
      <c r="BL578" s="28">
        <v>59</v>
      </c>
      <c r="BW578" s="28">
        <v>21</v>
      </c>
      <c r="BX578" s="4" t="s">
        <v>813</v>
      </c>
    </row>
    <row r="579" spans="1:76" ht="14.4" x14ac:dyDescent="0.3">
      <c r="A579" s="31"/>
      <c r="C579" s="32" t="s">
        <v>196</v>
      </c>
      <c r="D579" s="32" t="s">
        <v>976</v>
      </c>
      <c r="F579" s="33">
        <v>90</v>
      </c>
      <c r="K579" s="34"/>
    </row>
    <row r="580" spans="1:76" ht="66" x14ac:dyDescent="0.3">
      <c r="A580" s="31"/>
      <c r="B580" s="35" t="s">
        <v>68</v>
      </c>
      <c r="C580" s="93" t="s">
        <v>817</v>
      </c>
      <c r="D580" s="94"/>
      <c r="E580" s="94"/>
      <c r="F580" s="94"/>
      <c r="G580" s="94"/>
      <c r="H580" s="94"/>
      <c r="I580" s="94"/>
      <c r="J580" s="94"/>
      <c r="K580" s="95"/>
      <c r="BX580" s="36" t="s">
        <v>817</v>
      </c>
    </row>
    <row r="581" spans="1:76" ht="14.4" x14ac:dyDescent="0.3">
      <c r="A581" s="2" t="s">
        <v>1016</v>
      </c>
      <c r="B581" s="3" t="s">
        <v>1017</v>
      </c>
      <c r="C581" s="75" t="s">
        <v>1018</v>
      </c>
      <c r="D581" s="70"/>
      <c r="E581" s="3" t="s">
        <v>103</v>
      </c>
      <c r="F581" s="28">
        <v>99</v>
      </c>
      <c r="G581" s="28">
        <v>0</v>
      </c>
      <c r="H581" s="28">
        <f>ROUND(F581*AO581,2)</f>
        <v>0</v>
      </c>
      <c r="I581" s="28">
        <f>ROUND(F581*AP581,2)</f>
        <v>0</v>
      </c>
      <c r="J581" s="28">
        <f>ROUND(F581*G581,2)</f>
        <v>0</v>
      </c>
      <c r="K581" s="29" t="s">
        <v>60</v>
      </c>
      <c r="Z581" s="28">
        <f>ROUND(IF(AQ581="5",BJ581,0),2)</f>
        <v>0</v>
      </c>
      <c r="AB581" s="28">
        <f>ROUND(IF(AQ581="1",BH581,0),2)</f>
        <v>0</v>
      </c>
      <c r="AC581" s="28">
        <f>ROUND(IF(AQ581="1",BI581,0),2)</f>
        <v>0</v>
      </c>
      <c r="AD581" s="28">
        <f>ROUND(IF(AQ581="7",BH581,0),2)</f>
        <v>0</v>
      </c>
      <c r="AE581" s="28">
        <f>ROUND(IF(AQ581="7",BI581,0),2)</f>
        <v>0</v>
      </c>
      <c r="AF581" s="28">
        <f>ROUND(IF(AQ581="2",BH581,0),2)</f>
        <v>0</v>
      </c>
      <c r="AG581" s="28">
        <f>ROUND(IF(AQ581="2",BI581,0),2)</f>
        <v>0</v>
      </c>
      <c r="AH581" s="28">
        <f>ROUND(IF(AQ581="0",BJ581,0),2)</f>
        <v>0</v>
      </c>
      <c r="AI581" s="10" t="s">
        <v>970</v>
      </c>
      <c r="AJ581" s="28">
        <f>IF(AN581=0,J581,0)</f>
        <v>0</v>
      </c>
      <c r="AK581" s="28">
        <f>IF(AN581=12,J581,0)</f>
        <v>0</v>
      </c>
      <c r="AL581" s="28">
        <f>IF(AN581=21,J581,0)</f>
        <v>0</v>
      </c>
      <c r="AN581" s="28">
        <v>21</v>
      </c>
      <c r="AO581" s="28">
        <f>G581*1</f>
        <v>0</v>
      </c>
      <c r="AP581" s="28">
        <f>G581*(1-1)</f>
        <v>0</v>
      </c>
      <c r="AQ581" s="30" t="s">
        <v>56</v>
      </c>
      <c r="AV581" s="28">
        <f>ROUND(AW581+AX581,2)</f>
        <v>0</v>
      </c>
      <c r="AW581" s="28">
        <f>ROUND(F581*AO581,2)</f>
        <v>0</v>
      </c>
      <c r="AX581" s="28">
        <f>ROUND(F581*AP581,2)</f>
        <v>0</v>
      </c>
      <c r="AY581" s="30" t="s">
        <v>310</v>
      </c>
      <c r="AZ581" s="30" t="s">
        <v>1001</v>
      </c>
      <c r="BA581" s="10" t="s">
        <v>975</v>
      </c>
      <c r="BC581" s="28">
        <f>AW581+AX581</f>
        <v>0</v>
      </c>
      <c r="BD581" s="28">
        <f>G581/(100-BE581)*100</f>
        <v>0</v>
      </c>
      <c r="BE581" s="28">
        <v>0</v>
      </c>
      <c r="BF581" s="28">
        <f>581</f>
        <v>581</v>
      </c>
      <c r="BH581" s="28">
        <f>F581*AO581</f>
        <v>0</v>
      </c>
      <c r="BI581" s="28">
        <f>F581*AP581</f>
        <v>0</v>
      </c>
      <c r="BJ581" s="28">
        <f>F581*G581</f>
        <v>0</v>
      </c>
      <c r="BK581" s="28"/>
      <c r="BL581" s="28">
        <v>59</v>
      </c>
      <c r="BW581" s="28">
        <v>21</v>
      </c>
      <c r="BX581" s="4" t="s">
        <v>1018</v>
      </c>
    </row>
    <row r="582" spans="1:76" ht="14.4" x14ac:dyDescent="0.3">
      <c r="A582" s="31"/>
      <c r="C582" s="32" t="s">
        <v>196</v>
      </c>
      <c r="D582" s="32" t="s">
        <v>976</v>
      </c>
      <c r="F582" s="33">
        <v>90</v>
      </c>
      <c r="K582" s="34"/>
    </row>
    <row r="583" spans="1:76" ht="14.4" x14ac:dyDescent="0.3">
      <c r="A583" s="31"/>
      <c r="C583" s="32" t="s">
        <v>1019</v>
      </c>
      <c r="D583" s="32" t="s">
        <v>51</v>
      </c>
      <c r="F583" s="33">
        <v>9</v>
      </c>
      <c r="K583" s="34"/>
    </row>
    <row r="584" spans="1:76" ht="14.4" x14ac:dyDescent="0.3">
      <c r="A584" s="31"/>
      <c r="B584" s="35" t="s">
        <v>68</v>
      </c>
      <c r="C584" s="93" t="s">
        <v>1020</v>
      </c>
      <c r="D584" s="94"/>
      <c r="E584" s="94"/>
      <c r="F584" s="94"/>
      <c r="G584" s="94"/>
      <c r="H584" s="94"/>
      <c r="I584" s="94"/>
      <c r="J584" s="94"/>
      <c r="K584" s="95"/>
      <c r="BX584" s="36" t="s">
        <v>1020</v>
      </c>
    </row>
    <row r="585" spans="1:76" ht="14.4" x14ac:dyDescent="0.3">
      <c r="A585" s="2" t="s">
        <v>1021</v>
      </c>
      <c r="B585" s="3" t="s">
        <v>843</v>
      </c>
      <c r="C585" s="75" t="s">
        <v>844</v>
      </c>
      <c r="D585" s="70"/>
      <c r="E585" s="3" t="s">
        <v>188</v>
      </c>
      <c r="F585" s="28">
        <v>29</v>
      </c>
      <c r="G585" s="28">
        <v>0</v>
      </c>
      <c r="H585" s="28">
        <f>ROUND(F585*AO585,2)</f>
        <v>0</v>
      </c>
      <c r="I585" s="28">
        <f>ROUND(F585*AP585,2)</f>
        <v>0</v>
      </c>
      <c r="J585" s="28">
        <f>ROUND(F585*G585,2)</f>
        <v>0</v>
      </c>
      <c r="K585" s="29" t="s">
        <v>60</v>
      </c>
      <c r="Z585" s="28">
        <f>ROUND(IF(AQ585="5",BJ585,0),2)</f>
        <v>0</v>
      </c>
      <c r="AB585" s="28">
        <f>ROUND(IF(AQ585="1",BH585,0),2)</f>
        <v>0</v>
      </c>
      <c r="AC585" s="28">
        <f>ROUND(IF(AQ585="1",BI585,0),2)</f>
        <v>0</v>
      </c>
      <c r="AD585" s="28">
        <f>ROUND(IF(AQ585="7",BH585,0),2)</f>
        <v>0</v>
      </c>
      <c r="AE585" s="28">
        <f>ROUND(IF(AQ585="7",BI585,0),2)</f>
        <v>0</v>
      </c>
      <c r="AF585" s="28">
        <f>ROUND(IF(AQ585="2",BH585,0),2)</f>
        <v>0</v>
      </c>
      <c r="AG585" s="28">
        <f>ROUND(IF(AQ585="2",BI585,0),2)</f>
        <v>0</v>
      </c>
      <c r="AH585" s="28">
        <f>ROUND(IF(AQ585="0",BJ585,0),2)</f>
        <v>0</v>
      </c>
      <c r="AI585" s="10" t="s">
        <v>970</v>
      </c>
      <c r="AJ585" s="28">
        <f>IF(AN585=0,J585,0)</f>
        <v>0</v>
      </c>
      <c r="AK585" s="28">
        <f>IF(AN585=12,J585,0)</f>
        <v>0</v>
      </c>
      <c r="AL585" s="28">
        <f>IF(AN585=21,J585,0)</f>
        <v>0</v>
      </c>
      <c r="AN585" s="28">
        <v>21</v>
      </c>
      <c r="AO585" s="28">
        <f>G585*0.055096322</f>
        <v>0</v>
      </c>
      <c r="AP585" s="28">
        <f>G585*(1-0.055096322)</f>
        <v>0</v>
      </c>
      <c r="AQ585" s="30" t="s">
        <v>56</v>
      </c>
      <c r="AV585" s="28">
        <f>ROUND(AW585+AX585,2)</f>
        <v>0</v>
      </c>
      <c r="AW585" s="28">
        <f>ROUND(F585*AO585,2)</f>
        <v>0</v>
      </c>
      <c r="AX585" s="28">
        <f>ROUND(F585*AP585,2)</f>
        <v>0</v>
      </c>
      <c r="AY585" s="30" t="s">
        <v>310</v>
      </c>
      <c r="AZ585" s="30" t="s">
        <v>1001</v>
      </c>
      <c r="BA585" s="10" t="s">
        <v>975</v>
      </c>
      <c r="BC585" s="28">
        <f>AW585+AX585</f>
        <v>0</v>
      </c>
      <c r="BD585" s="28">
        <f>G585/(100-BE585)*100</f>
        <v>0</v>
      </c>
      <c r="BE585" s="28">
        <v>0</v>
      </c>
      <c r="BF585" s="28">
        <f>585</f>
        <v>585</v>
      </c>
      <c r="BH585" s="28">
        <f>F585*AO585</f>
        <v>0</v>
      </c>
      <c r="BI585" s="28">
        <f>F585*AP585</f>
        <v>0</v>
      </c>
      <c r="BJ585" s="28">
        <f>F585*G585</f>
        <v>0</v>
      </c>
      <c r="BK585" s="28"/>
      <c r="BL585" s="28">
        <v>59</v>
      </c>
      <c r="BW585" s="28">
        <v>21</v>
      </c>
      <c r="BX585" s="4" t="s">
        <v>844</v>
      </c>
    </row>
    <row r="586" spans="1:76" ht="14.4" x14ac:dyDescent="0.3">
      <c r="A586" s="31"/>
      <c r="C586" s="32" t="s">
        <v>261</v>
      </c>
      <c r="D586" s="32" t="s">
        <v>976</v>
      </c>
      <c r="F586" s="33">
        <v>29</v>
      </c>
      <c r="K586" s="34"/>
    </row>
    <row r="587" spans="1:76" ht="14.4" x14ac:dyDescent="0.3">
      <c r="A587" s="2" t="s">
        <v>1022</v>
      </c>
      <c r="B587" s="3" t="s">
        <v>1023</v>
      </c>
      <c r="C587" s="75" t="s">
        <v>1024</v>
      </c>
      <c r="D587" s="70"/>
      <c r="E587" s="3" t="s">
        <v>188</v>
      </c>
      <c r="F587" s="28">
        <v>10</v>
      </c>
      <c r="G587" s="28">
        <v>0</v>
      </c>
      <c r="H587" s="28">
        <f>ROUND(F587*AO587,2)</f>
        <v>0</v>
      </c>
      <c r="I587" s="28">
        <f>ROUND(F587*AP587,2)</f>
        <v>0</v>
      </c>
      <c r="J587" s="28">
        <f>ROUND(F587*G587,2)</f>
        <v>0</v>
      </c>
      <c r="K587" s="29" t="s">
        <v>60</v>
      </c>
      <c r="Z587" s="28">
        <f>ROUND(IF(AQ587="5",BJ587,0),2)</f>
        <v>0</v>
      </c>
      <c r="AB587" s="28">
        <f>ROUND(IF(AQ587="1",BH587,0),2)</f>
        <v>0</v>
      </c>
      <c r="AC587" s="28">
        <f>ROUND(IF(AQ587="1",BI587,0),2)</f>
        <v>0</v>
      </c>
      <c r="AD587" s="28">
        <f>ROUND(IF(AQ587="7",BH587,0),2)</f>
        <v>0</v>
      </c>
      <c r="AE587" s="28">
        <f>ROUND(IF(AQ587="7",BI587,0),2)</f>
        <v>0</v>
      </c>
      <c r="AF587" s="28">
        <f>ROUND(IF(AQ587="2",BH587,0),2)</f>
        <v>0</v>
      </c>
      <c r="AG587" s="28">
        <f>ROUND(IF(AQ587="2",BI587,0),2)</f>
        <v>0</v>
      </c>
      <c r="AH587" s="28">
        <f>ROUND(IF(AQ587="0",BJ587,0),2)</f>
        <v>0</v>
      </c>
      <c r="AI587" s="10" t="s">
        <v>970</v>
      </c>
      <c r="AJ587" s="28">
        <f>IF(AN587=0,J587,0)</f>
        <v>0</v>
      </c>
      <c r="AK587" s="28">
        <f>IF(AN587=12,J587,0)</f>
        <v>0</v>
      </c>
      <c r="AL587" s="28">
        <f>IF(AN587=21,J587,0)</f>
        <v>0</v>
      </c>
      <c r="AN587" s="28">
        <v>21</v>
      </c>
      <c r="AO587" s="28">
        <f>G587*0.053195815</f>
        <v>0</v>
      </c>
      <c r="AP587" s="28">
        <f>G587*(1-0.053195815)</f>
        <v>0</v>
      </c>
      <c r="AQ587" s="30" t="s">
        <v>56</v>
      </c>
      <c r="AV587" s="28">
        <f>ROUND(AW587+AX587,2)</f>
        <v>0</v>
      </c>
      <c r="AW587" s="28">
        <f>ROUND(F587*AO587,2)</f>
        <v>0</v>
      </c>
      <c r="AX587" s="28">
        <f>ROUND(F587*AP587,2)</f>
        <v>0</v>
      </c>
      <c r="AY587" s="30" t="s">
        <v>310</v>
      </c>
      <c r="AZ587" s="30" t="s">
        <v>1001</v>
      </c>
      <c r="BA587" s="10" t="s">
        <v>975</v>
      </c>
      <c r="BC587" s="28">
        <f>AW587+AX587</f>
        <v>0</v>
      </c>
      <c r="BD587" s="28">
        <f>G587/(100-BE587)*100</f>
        <v>0</v>
      </c>
      <c r="BE587" s="28">
        <v>0</v>
      </c>
      <c r="BF587" s="28">
        <f>587</f>
        <v>587</v>
      </c>
      <c r="BH587" s="28">
        <f>F587*AO587</f>
        <v>0</v>
      </c>
      <c r="BI587" s="28">
        <f>F587*AP587</f>
        <v>0</v>
      </c>
      <c r="BJ587" s="28">
        <f>F587*G587</f>
        <v>0</v>
      </c>
      <c r="BK587" s="28"/>
      <c r="BL587" s="28">
        <v>59</v>
      </c>
      <c r="BW587" s="28">
        <v>21</v>
      </c>
      <c r="BX587" s="4" t="s">
        <v>1024</v>
      </c>
    </row>
    <row r="588" spans="1:76" ht="14.4" x14ac:dyDescent="0.3">
      <c r="A588" s="31"/>
      <c r="C588" s="32" t="s">
        <v>135</v>
      </c>
      <c r="D588" s="32" t="s">
        <v>1025</v>
      </c>
      <c r="F588" s="33">
        <v>10</v>
      </c>
      <c r="K588" s="34"/>
    </row>
    <row r="589" spans="1:76" ht="14.4" x14ac:dyDescent="0.3">
      <c r="A589" s="2" t="s">
        <v>1026</v>
      </c>
      <c r="B589" s="3" t="s">
        <v>1027</v>
      </c>
      <c r="C589" s="75" t="s">
        <v>1028</v>
      </c>
      <c r="D589" s="70"/>
      <c r="E589" s="3" t="s">
        <v>103</v>
      </c>
      <c r="F589" s="28">
        <v>10</v>
      </c>
      <c r="G589" s="28">
        <v>0</v>
      </c>
      <c r="H589" s="28">
        <f>ROUND(F589*AO589,2)</f>
        <v>0</v>
      </c>
      <c r="I589" s="28">
        <f>ROUND(F589*AP589,2)</f>
        <v>0</v>
      </c>
      <c r="J589" s="28">
        <f>ROUND(F589*G589,2)</f>
        <v>0</v>
      </c>
      <c r="K589" s="29" t="s">
        <v>60</v>
      </c>
      <c r="Z589" s="28">
        <f>ROUND(IF(AQ589="5",BJ589,0),2)</f>
        <v>0</v>
      </c>
      <c r="AB589" s="28">
        <f>ROUND(IF(AQ589="1",BH589,0),2)</f>
        <v>0</v>
      </c>
      <c r="AC589" s="28">
        <f>ROUND(IF(AQ589="1",BI589,0),2)</f>
        <v>0</v>
      </c>
      <c r="AD589" s="28">
        <f>ROUND(IF(AQ589="7",BH589,0),2)</f>
        <v>0</v>
      </c>
      <c r="AE589" s="28">
        <f>ROUND(IF(AQ589="7",BI589,0),2)</f>
        <v>0</v>
      </c>
      <c r="AF589" s="28">
        <f>ROUND(IF(AQ589="2",BH589,0),2)</f>
        <v>0</v>
      </c>
      <c r="AG589" s="28">
        <f>ROUND(IF(AQ589="2",BI589,0),2)</f>
        <v>0</v>
      </c>
      <c r="AH589" s="28">
        <f>ROUND(IF(AQ589="0",BJ589,0),2)</f>
        <v>0</v>
      </c>
      <c r="AI589" s="10" t="s">
        <v>970</v>
      </c>
      <c r="AJ589" s="28">
        <f>IF(AN589=0,J589,0)</f>
        <v>0</v>
      </c>
      <c r="AK589" s="28">
        <f>IF(AN589=12,J589,0)</f>
        <v>0</v>
      </c>
      <c r="AL589" s="28">
        <f>IF(AN589=21,J589,0)</f>
        <v>0</v>
      </c>
      <c r="AN589" s="28">
        <v>21</v>
      </c>
      <c r="AO589" s="28">
        <f>G589*0.170541401</f>
        <v>0</v>
      </c>
      <c r="AP589" s="28">
        <f>G589*(1-0.170541401)</f>
        <v>0</v>
      </c>
      <c r="AQ589" s="30" t="s">
        <v>56</v>
      </c>
      <c r="AV589" s="28">
        <f>ROUND(AW589+AX589,2)</f>
        <v>0</v>
      </c>
      <c r="AW589" s="28">
        <f>ROUND(F589*AO589,2)</f>
        <v>0</v>
      </c>
      <c r="AX589" s="28">
        <f>ROUND(F589*AP589,2)</f>
        <v>0</v>
      </c>
      <c r="AY589" s="30" t="s">
        <v>310</v>
      </c>
      <c r="AZ589" s="30" t="s">
        <v>1001</v>
      </c>
      <c r="BA589" s="10" t="s">
        <v>975</v>
      </c>
      <c r="BC589" s="28">
        <f>AW589+AX589</f>
        <v>0</v>
      </c>
      <c r="BD589" s="28">
        <f>G589/(100-BE589)*100</f>
        <v>0</v>
      </c>
      <c r="BE589" s="28">
        <v>0</v>
      </c>
      <c r="BF589" s="28">
        <f>589</f>
        <v>589</v>
      </c>
      <c r="BH589" s="28">
        <f>F589*AO589</f>
        <v>0</v>
      </c>
      <c r="BI589" s="28">
        <f>F589*AP589</f>
        <v>0</v>
      </c>
      <c r="BJ589" s="28">
        <f>F589*G589</f>
        <v>0</v>
      </c>
      <c r="BK589" s="28"/>
      <c r="BL589" s="28">
        <v>59</v>
      </c>
      <c r="BW589" s="28">
        <v>21</v>
      </c>
      <c r="BX589" s="4" t="s">
        <v>1028</v>
      </c>
    </row>
    <row r="590" spans="1:76" ht="14.4" x14ac:dyDescent="0.3">
      <c r="A590" s="31"/>
      <c r="C590" s="32" t="s">
        <v>135</v>
      </c>
      <c r="D590" s="32" t="s">
        <v>1029</v>
      </c>
      <c r="F590" s="33">
        <v>10</v>
      </c>
      <c r="K590" s="34"/>
    </row>
    <row r="591" spans="1:76" ht="66" x14ac:dyDescent="0.3">
      <c r="A591" s="31"/>
      <c r="B591" s="35" t="s">
        <v>68</v>
      </c>
      <c r="C591" s="93" t="s">
        <v>1030</v>
      </c>
      <c r="D591" s="94"/>
      <c r="E591" s="94"/>
      <c r="F591" s="94"/>
      <c r="G591" s="94"/>
      <c r="H591" s="94"/>
      <c r="I591" s="94"/>
      <c r="J591" s="94"/>
      <c r="K591" s="95"/>
      <c r="BX591" s="36" t="s">
        <v>1030</v>
      </c>
    </row>
    <row r="592" spans="1:76" ht="14.4" x14ac:dyDescent="0.3">
      <c r="A592" s="2" t="s">
        <v>1031</v>
      </c>
      <c r="B592" s="3" t="s">
        <v>1032</v>
      </c>
      <c r="C592" s="75" t="s">
        <v>1033</v>
      </c>
      <c r="D592" s="70"/>
      <c r="E592" s="3" t="s">
        <v>103</v>
      </c>
      <c r="F592" s="28">
        <v>11</v>
      </c>
      <c r="G592" s="28">
        <v>0</v>
      </c>
      <c r="H592" s="28">
        <f>ROUND(F592*AO592,2)</f>
        <v>0</v>
      </c>
      <c r="I592" s="28">
        <f>ROUND(F592*AP592,2)</f>
        <v>0</v>
      </c>
      <c r="J592" s="28">
        <f>ROUND(F592*G592,2)</f>
        <v>0</v>
      </c>
      <c r="K592" s="29" t="s">
        <v>60</v>
      </c>
      <c r="Z592" s="28">
        <f>ROUND(IF(AQ592="5",BJ592,0),2)</f>
        <v>0</v>
      </c>
      <c r="AB592" s="28">
        <f>ROUND(IF(AQ592="1",BH592,0),2)</f>
        <v>0</v>
      </c>
      <c r="AC592" s="28">
        <f>ROUND(IF(AQ592="1",BI592,0),2)</f>
        <v>0</v>
      </c>
      <c r="AD592" s="28">
        <f>ROUND(IF(AQ592="7",BH592,0),2)</f>
        <v>0</v>
      </c>
      <c r="AE592" s="28">
        <f>ROUND(IF(AQ592="7",BI592,0),2)</f>
        <v>0</v>
      </c>
      <c r="AF592" s="28">
        <f>ROUND(IF(AQ592="2",BH592,0),2)</f>
        <v>0</v>
      </c>
      <c r="AG592" s="28">
        <f>ROUND(IF(AQ592="2",BI592,0),2)</f>
        <v>0</v>
      </c>
      <c r="AH592" s="28">
        <f>ROUND(IF(AQ592="0",BJ592,0),2)</f>
        <v>0</v>
      </c>
      <c r="AI592" s="10" t="s">
        <v>970</v>
      </c>
      <c r="AJ592" s="28">
        <f>IF(AN592=0,J592,0)</f>
        <v>0</v>
      </c>
      <c r="AK592" s="28">
        <f>IF(AN592=12,J592,0)</f>
        <v>0</v>
      </c>
      <c r="AL592" s="28">
        <f>IF(AN592=21,J592,0)</f>
        <v>0</v>
      </c>
      <c r="AN592" s="28">
        <v>21</v>
      </c>
      <c r="AO592" s="28">
        <f>G592*1</f>
        <v>0</v>
      </c>
      <c r="AP592" s="28">
        <f>G592*(1-1)</f>
        <v>0</v>
      </c>
      <c r="AQ592" s="30" t="s">
        <v>56</v>
      </c>
      <c r="AV592" s="28">
        <f>ROUND(AW592+AX592,2)</f>
        <v>0</v>
      </c>
      <c r="AW592" s="28">
        <f>ROUND(F592*AO592,2)</f>
        <v>0</v>
      </c>
      <c r="AX592" s="28">
        <f>ROUND(F592*AP592,2)</f>
        <v>0</v>
      </c>
      <c r="AY592" s="30" t="s">
        <v>310</v>
      </c>
      <c r="AZ592" s="30" t="s">
        <v>1001</v>
      </c>
      <c r="BA592" s="10" t="s">
        <v>975</v>
      </c>
      <c r="BC592" s="28">
        <f>AW592+AX592</f>
        <v>0</v>
      </c>
      <c r="BD592" s="28">
        <f>G592/(100-BE592)*100</f>
        <v>0</v>
      </c>
      <c r="BE592" s="28">
        <v>0</v>
      </c>
      <c r="BF592" s="28">
        <f>592</f>
        <v>592</v>
      </c>
      <c r="BH592" s="28">
        <f>F592*AO592</f>
        <v>0</v>
      </c>
      <c r="BI592" s="28">
        <f>F592*AP592</f>
        <v>0</v>
      </c>
      <c r="BJ592" s="28">
        <f>F592*G592</f>
        <v>0</v>
      </c>
      <c r="BK592" s="28"/>
      <c r="BL592" s="28">
        <v>59</v>
      </c>
      <c r="BW592" s="28">
        <v>21</v>
      </c>
      <c r="BX592" s="4" t="s">
        <v>1033</v>
      </c>
    </row>
    <row r="593" spans="1:76" ht="14.4" x14ac:dyDescent="0.3">
      <c r="A593" s="31"/>
      <c r="C593" s="32" t="s">
        <v>135</v>
      </c>
      <c r="D593" s="32" t="s">
        <v>51</v>
      </c>
      <c r="F593" s="33">
        <v>10</v>
      </c>
      <c r="K593" s="34"/>
    </row>
    <row r="594" spans="1:76" ht="14.4" x14ac:dyDescent="0.3">
      <c r="A594" s="31"/>
      <c r="C594" s="32" t="s">
        <v>1034</v>
      </c>
      <c r="D594" s="32" t="s">
        <v>51</v>
      </c>
      <c r="F594" s="33">
        <v>1</v>
      </c>
      <c r="K594" s="34"/>
    </row>
    <row r="595" spans="1:76" ht="14.4" x14ac:dyDescent="0.3">
      <c r="A595" s="2" t="s">
        <v>1035</v>
      </c>
      <c r="B595" s="3" t="s">
        <v>1036</v>
      </c>
      <c r="C595" s="75" t="s">
        <v>1037</v>
      </c>
      <c r="D595" s="70"/>
      <c r="E595" s="3" t="s">
        <v>103</v>
      </c>
      <c r="F595" s="28">
        <v>3</v>
      </c>
      <c r="G595" s="28">
        <v>0</v>
      </c>
      <c r="H595" s="28">
        <f>ROUND(F595*AO595,2)</f>
        <v>0</v>
      </c>
      <c r="I595" s="28">
        <f>ROUND(F595*AP595,2)</f>
        <v>0</v>
      </c>
      <c r="J595" s="28">
        <f>ROUND(F595*G595,2)</f>
        <v>0</v>
      </c>
      <c r="K595" s="29" t="s">
        <v>60</v>
      </c>
      <c r="Z595" s="28">
        <f>ROUND(IF(AQ595="5",BJ595,0),2)</f>
        <v>0</v>
      </c>
      <c r="AB595" s="28">
        <f>ROUND(IF(AQ595="1",BH595,0),2)</f>
        <v>0</v>
      </c>
      <c r="AC595" s="28">
        <f>ROUND(IF(AQ595="1",BI595,0),2)</f>
        <v>0</v>
      </c>
      <c r="AD595" s="28">
        <f>ROUND(IF(AQ595="7",BH595,0),2)</f>
        <v>0</v>
      </c>
      <c r="AE595" s="28">
        <f>ROUND(IF(AQ595="7",BI595,0),2)</f>
        <v>0</v>
      </c>
      <c r="AF595" s="28">
        <f>ROUND(IF(AQ595="2",BH595,0),2)</f>
        <v>0</v>
      </c>
      <c r="AG595" s="28">
        <f>ROUND(IF(AQ595="2",BI595,0),2)</f>
        <v>0</v>
      </c>
      <c r="AH595" s="28">
        <f>ROUND(IF(AQ595="0",BJ595,0),2)</f>
        <v>0</v>
      </c>
      <c r="AI595" s="10" t="s">
        <v>970</v>
      </c>
      <c r="AJ595" s="28">
        <f>IF(AN595=0,J595,0)</f>
        <v>0</v>
      </c>
      <c r="AK595" s="28">
        <f>IF(AN595=12,J595,0)</f>
        <v>0</v>
      </c>
      <c r="AL595" s="28">
        <f>IF(AN595=21,J595,0)</f>
        <v>0</v>
      </c>
      <c r="AN595" s="28">
        <v>21</v>
      </c>
      <c r="AO595" s="28">
        <f>G595*0.121659664</f>
        <v>0</v>
      </c>
      <c r="AP595" s="28">
        <f>G595*(1-0.121659664)</f>
        <v>0</v>
      </c>
      <c r="AQ595" s="30" t="s">
        <v>56</v>
      </c>
      <c r="AV595" s="28">
        <f>ROUND(AW595+AX595,2)</f>
        <v>0</v>
      </c>
      <c r="AW595" s="28">
        <f>ROUND(F595*AO595,2)</f>
        <v>0</v>
      </c>
      <c r="AX595" s="28">
        <f>ROUND(F595*AP595,2)</f>
        <v>0</v>
      </c>
      <c r="AY595" s="30" t="s">
        <v>310</v>
      </c>
      <c r="AZ595" s="30" t="s">
        <v>1001</v>
      </c>
      <c r="BA595" s="10" t="s">
        <v>975</v>
      </c>
      <c r="BC595" s="28">
        <f>AW595+AX595</f>
        <v>0</v>
      </c>
      <c r="BD595" s="28">
        <f>G595/(100-BE595)*100</f>
        <v>0</v>
      </c>
      <c r="BE595" s="28">
        <v>0</v>
      </c>
      <c r="BF595" s="28">
        <f>595</f>
        <v>595</v>
      </c>
      <c r="BH595" s="28">
        <f>F595*AO595</f>
        <v>0</v>
      </c>
      <c r="BI595" s="28">
        <f>F595*AP595</f>
        <v>0</v>
      </c>
      <c r="BJ595" s="28">
        <f>F595*G595</f>
        <v>0</v>
      </c>
      <c r="BK595" s="28"/>
      <c r="BL595" s="28">
        <v>59</v>
      </c>
      <c r="BW595" s="28">
        <v>21</v>
      </c>
      <c r="BX595" s="4" t="s">
        <v>1037</v>
      </c>
    </row>
    <row r="596" spans="1:76" ht="14.4" x14ac:dyDescent="0.3">
      <c r="A596" s="31"/>
      <c r="C596" s="32" t="s">
        <v>80</v>
      </c>
      <c r="D596" s="32" t="s">
        <v>1038</v>
      </c>
      <c r="F596" s="33">
        <v>3</v>
      </c>
      <c r="K596" s="34"/>
    </row>
    <row r="597" spans="1:76" ht="14.4" x14ac:dyDescent="0.3">
      <c r="A597" s="2" t="s">
        <v>1039</v>
      </c>
      <c r="B597" s="3" t="s">
        <v>1040</v>
      </c>
      <c r="C597" s="75" t="s">
        <v>1041</v>
      </c>
      <c r="D597" s="70"/>
      <c r="E597" s="3" t="s">
        <v>103</v>
      </c>
      <c r="F597" s="28">
        <v>3.45</v>
      </c>
      <c r="G597" s="28">
        <v>0</v>
      </c>
      <c r="H597" s="28">
        <f>ROUND(F597*AO597,2)</f>
        <v>0</v>
      </c>
      <c r="I597" s="28">
        <f>ROUND(F597*AP597,2)</f>
        <v>0</v>
      </c>
      <c r="J597" s="28">
        <f>ROUND(F597*G597,2)</f>
        <v>0</v>
      </c>
      <c r="K597" s="29" t="s">
        <v>60</v>
      </c>
      <c r="Z597" s="28">
        <f>ROUND(IF(AQ597="5",BJ597,0),2)</f>
        <v>0</v>
      </c>
      <c r="AB597" s="28">
        <f>ROUND(IF(AQ597="1",BH597,0),2)</f>
        <v>0</v>
      </c>
      <c r="AC597" s="28">
        <f>ROUND(IF(AQ597="1",BI597,0),2)</f>
        <v>0</v>
      </c>
      <c r="AD597" s="28">
        <f>ROUND(IF(AQ597="7",BH597,0),2)</f>
        <v>0</v>
      </c>
      <c r="AE597" s="28">
        <f>ROUND(IF(AQ597="7",BI597,0),2)</f>
        <v>0</v>
      </c>
      <c r="AF597" s="28">
        <f>ROUND(IF(AQ597="2",BH597,0),2)</f>
        <v>0</v>
      </c>
      <c r="AG597" s="28">
        <f>ROUND(IF(AQ597="2",BI597,0),2)</f>
        <v>0</v>
      </c>
      <c r="AH597" s="28">
        <f>ROUND(IF(AQ597="0",BJ597,0),2)</f>
        <v>0</v>
      </c>
      <c r="AI597" s="10" t="s">
        <v>970</v>
      </c>
      <c r="AJ597" s="28">
        <f>IF(AN597=0,J597,0)</f>
        <v>0</v>
      </c>
      <c r="AK597" s="28">
        <f>IF(AN597=12,J597,0)</f>
        <v>0</v>
      </c>
      <c r="AL597" s="28">
        <f>IF(AN597=21,J597,0)</f>
        <v>0</v>
      </c>
      <c r="AN597" s="28">
        <v>21</v>
      </c>
      <c r="AO597" s="28">
        <f>G597*1</f>
        <v>0</v>
      </c>
      <c r="AP597" s="28">
        <f>G597*(1-1)</f>
        <v>0</v>
      </c>
      <c r="AQ597" s="30" t="s">
        <v>56</v>
      </c>
      <c r="AV597" s="28">
        <f>ROUND(AW597+AX597,2)</f>
        <v>0</v>
      </c>
      <c r="AW597" s="28">
        <f>ROUND(F597*AO597,2)</f>
        <v>0</v>
      </c>
      <c r="AX597" s="28">
        <f>ROUND(F597*AP597,2)</f>
        <v>0</v>
      </c>
      <c r="AY597" s="30" t="s">
        <v>310</v>
      </c>
      <c r="AZ597" s="30" t="s">
        <v>1001</v>
      </c>
      <c r="BA597" s="10" t="s">
        <v>975</v>
      </c>
      <c r="BC597" s="28">
        <f>AW597+AX597</f>
        <v>0</v>
      </c>
      <c r="BD597" s="28">
        <f>G597/(100-BE597)*100</f>
        <v>0</v>
      </c>
      <c r="BE597" s="28">
        <v>0</v>
      </c>
      <c r="BF597" s="28">
        <f>597</f>
        <v>597</v>
      </c>
      <c r="BH597" s="28">
        <f>F597*AO597</f>
        <v>0</v>
      </c>
      <c r="BI597" s="28">
        <f>F597*AP597</f>
        <v>0</v>
      </c>
      <c r="BJ597" s="28">
        <f>F597*G597</f>
        <v>0</v>
      </c>
      <c r="BK597" s="28"/>
      <c r="BL597" s="28">
        <v>59</v>
      </c>
      <c r="BW597" s="28">
        <v>21</v>
      </c>
      <c r="BX597" s="4" t="s">
        <v>1041</v>
      </c>
    </row>
    <row r="598" spans="1:76" ht="14.4" x14ac:dyDescent="0.3">
      <c r="A598" s="31"/>
      <c r="C598" s="32" t="s">
        <v>80</v>
      </c>
      <c r="D598" s="32" t="s">
        <v>51</v>
      </c>
      <c r="F598" s="33">
        <v>3</v>
      </c>
      <c r="K598" s="34"/>
    </row>
    <row r="599" spans="1:76" ht="14.4" x14ac:dyDescent="0.3">
      <c r="A599" s="31"/>
      <c r="C599" s="32" t="s">
        <v>1042</v>
      </c>
      <c r="D599" s="32" t="s">
        <v>51</v>
      </c>
      <c r="F599" s="33">
        <v>0.45</v>
      </c>
      <c r="K599" s="34"/>
    </row>
    <row r="600" spans="1:76" ht="26.4" x14ac:dyDescent="0.3">
      <c r="A600" s="31"/>
      <c r="B600" s="35" t="s">
        <v>68</v>
      </c>
      <c r="C600" s="93" t="s">
        <v>1043</v>
      </c>
      <c r="D600" s="94"/>
      <c r="E600" s="94"/>
      <c r="F600" s="94"/>
      <c r="G600" s="94"/>
      <c r="H600" s="94"/>
      <c r="I600" s="94"/>
      <c r="J600" s="94"/>
      <c r="K600" s="95"/>
      <c r="BX600" s="36" t="s">
        <v>1043</v>
      </c>
    </row>
    <row r="601" spans="1:76" ht="14.4" x14ac:dyDescent="0.3">
      <c r="A601" s="24" t="s">
        <v>51</v>
      </c>
      <c r="B601" s="25" t="s">
        <v>948</v>
      </c>
      <c r="C601" s="91" t="s">
        <v>949</v>
      </c>
      <c r="D601" s="92"/>
      <c r="E601" s="26" t="s">
        <v>4</v>
      </c>
      <c r="F601" s="26" t="s">
        <v>4</v>
      </c>
      <c r="G601" s="26" t="s">
        <v>4</v>
      </c>
      <c r="H601" s="1">
        <f>SUM(H602:H602)</f>
        <v>0</v>
      </c>
      <c r="I601" s="1">
        <f>SUM(I602:I602)</f>
        <v>0</v>
      </c>
      <c r="J601" s="1">
        <f>SUM(J602:J602)</f>
        <v>0</v>
      </c>
      <c r="K601" s="27" t="s">
        <v>51</v>
      </c>
      <c r="AI601" s="10" t="s">
        <v>970</v>
      </c>
      <c r="AS601" s="1">
        <f>SUM(AJ602:AJ602)</f>
        <v>0</v>
      </c>
      <c r="AT601" s="1">
        <f>SUM(AK602:AK602)</f>
        <v>0</v>
      </c>
      <c r="AU601" s="1">
        <f>SUM(AL602:AL602)</f>
        <v>0</v>
      </c>
    </row>
    <row r="602" spans="1:76" ht="14.4" x14ac:dyDescent="0.3">
      <c r="A602" s="2" t="s">
        <v>1044</v>
      </c>
      <c r="B602" s="3" t="s">
        <v>950</v>
      </c>
      <c r="C602" s="75" t="s">
        <v>951</v>
      </c>
      <c r="D602" s="70"/>
      <c r="E602" s="3" t="s">
        <v>201</v>
      </c>
      <c r="F602" s="28">
        <v>185.39</v>
      </c>
      <c r="G602" s="28">
        <v>0</v>
      </c>
      <c r="H602" s="28">
        <f>ROUND(F602*AO602,2)</f>
        <v>0</v>
      </c>
      <c r="I602" s="28">
        <f>ROUND(F602*AP602,2)</f>
        <v>0</v>
      </c>
      <c r="J602" s="28">
        <f>ROUND(F602*G602,2)</f>
        <v>0</v>
      </c>
      <c r="K602" s="29" t="s">
        <v>60</v>
      </c>
      <c r="Z602" s="28">
        <f>ROUND(IF(AQ602="5",BJ602,0),2)</f>
        <v>0</v>
      </c>
      <c r="AB602" s="28">
        <f>ROUND(IF(AQ602="1",BH602,0),2)</f>
        <v>0</v>
      </c>
      <c r="AC602" s="28">
        <f>ROUND(IF(AQ602="1",BI602,0),2)</f>
        <v>0</v>
      </c>
      <c r="AD602" s="28">
        <f>ROUND(IF(AQ602="7",BH602,0),2)</f>
        <v>0</v>
      </c>
      <c r="AE602" s="28">
        <f>ROUND(IF(AQ602="7",BI602,0),2)</f>
        <v>0</v>
      </c>
      <c r="AF602" s="28">
        <f>ROUND(IF(AQ602="2",BH602,0),2)</f>
        <v>0</v>
      </c>
      <c r="AG602" s="28">
        <f>ROUND(IF(AQ602="2",BI602,0),2)</f>
        <v>0</v>
      </c>
      <c r="AH602" s="28">
        <f>ROUND(IF(AQ602="0",BJ602,0),2)</f>
        <v>0</v>
      </c>
      <c r="AI602" s="10" t="s">
        <v>970</v>
      </c>
      <c r="AJ602" s="28">
        <f>IF(AN602=0,J602,0)</f>
        <v>0</v>
      </c>
      <c r="AK602" s="28">
        <f>IF(AN602=12,J602,0)</f>
        <v>0</v>
      </c>
      <c r="AL602" s="28">
        <f>IF(AN602=21,J602,0)</f>
        <v>0</v>
      </c>
      <c r="AN602" s="28">
        <v>21</v>
      </c>
      <c r="AO602" s="28">
        <f>G602*0</f>
        <v>0</v>
      </c>
      <c r="AP602" s="28">
        <f>G602*(1-0)</f>
        <v>0</v>
      </c>
      <c r="AQ602" s="30" t="s">
        <v>100</v>
      </c>
      <c r="AV602" s="28">
        <f>ROUND(AW602+AX602,2)</f>
        <v>0</v>
      </c>
      <c r="AW602" s="28">
        <f>ROUND(F602*AO602,2)</f>
        <v>0</v>
      </c>
      <c r="AX602" s="28">
        <f>ROUND(F602*AP602,2)</f>
        <v>0</v>
      </c>
      <c r="AY602" s="30" t="s">
        <v>952</v>
      </c>
      <c r="AZ602" s="30" t="s">
        <v>1045</v>
      </c>
      <c r="BA602" s="10" t="s">
        <v>975</v>
      </c>
      <c r="BC602" s="28">
        <f>AW602+AX602</f>
        <v>0</v>
      </c>
      <c r="BD602" s="28">
        <f>G602/(100-BE602)*100</f>
        <v>0</v>
      </c>
      <c r="BE602" s="28">
        <v>0</v>
      </c>
      <c r="BF602" s="28">
        <f>602</f>
        <v>602</v>
      </c>
      <c r="BH602" s="28">
        <f>F602*AO602</f>
        <v>0</v>
      </c>
      <c r="BI602" s="28">
        <f>F602*AP602</f>
        <v>0</v>
      </c>
      <c r="BJ602" s="28">
        <f>F602*G602</f>
        <v>0</v>
      </c>
      <c r="BK602" s="28"/>
      <c r="BL602" s="28"/>
      <c r="BW602" s="28">
        <v>21</v>
      </c>
      <c r="BX602" s="4" t="s">
        <v>951</v>
      </c>
    </row>
    <row r="603" spans="1:76" ht="14.4" x14ac:dyDescent="0.3">
      <c r="A603" s="24" t="s">
        <v>51</v>
      </c>
      <c r="B603" s="25" t="s">
        <v>953</v>
      </c>
      <c r="C603" s="91" t="s">
        <v>954</v>
      </c>
      <c r="D603" s="92"/>
      <c r="E603" s="26" t="s">
        <v>4</v>
      </c>
      <c r="F603" s="26" t="s">
        <v>4</v>
      </c>
      <c r="G603" s="26" t="s">
        <v>4</v>
      </c>
      <c r="H603" s="1">
        <f>SUM(H604:H604)</f>
        <v>0</v>
      </c>
      <c r="I603" s="1">
        <f>SUM(I604:I604)</f>
        <v>0</v>
      </c>
      <c r="J603" s="1">
        <f>SUM(J604:J604)</f>
        <v>0</v>
      </c>
      <c r="K603" s="27" t="s">
        <v>51</v>
      </c>
      <c r="AI603" s="10" t="s">
        <v>970</v>
      </c>
      <c r="AS603" s="1">
        <f>SUM(AJ604:AJ604)</f>
        <v>0</v>
      </c>
      <c r="AT603" s="1">
        <f>SUM(AK604:AK604)</f>
        <v>0</v>
      </c>
      <c r="AU603" s="1">
        <f>SUM(AL604:AL604)</f>
        <v>0</v>
      </c>
    </row>
    <row r="604" spans="1:76" ht="14.4" x14ac:dyDescent="0.3">
      <c r="A604" s="2" t="s">
        <v>1046</v>
      </c>
      <c r="B604" s="3" t="s">
        <v>1047</v>
      </c>
      <c r="C604" s="75" t="s">
        <v>1048</v>
      </c>
      <c r="D604" s="70"/>
      <c r="E604" s="3" t="s">
        <v>188</v>
      </c>
      <c r="F604" s="28">
        <v>67</v>
      </c>
      <c r="G604" s="28">
        <v>0</v>
      </c>
      <c r="H604" s="28">
        <f>ROUND(F604*AO604,2)</f>
        <v>0</v>
      </c>
      <c r="I604" s="28">
        <f>ROUND(F604*AP604,2)</f>
        <v>0</v>
      </c>
      <c r="J604" s="28">
        <f>ROUND(F604*G604,2)</f>
        <v>0</v>
      </c>
      <c r="K604" s="29" t="s">
        <v>60</v>
      </c>
      <c r="Z604" s="28">
        <f>ROUND(IF(AQ604="5",BJ604,0),2)</f>
        <v>0</v>
      </c>
      <c r="AB604" s="28">
        <f>ROUND(IF(AQ604="1",BH604,0),2)</f>
        <v>0</v>
      </c>
      <c r="AC604" s="28">
        <f>ROUND(IF(AQ604="1",BI604,0),2)</f>
        <v>0</v>
      </c>
      <c r="AD604" s="28">
        <f>ROUND(IF(AQ604="7",BH604,0),2)</f>
        <v>0</v>
      </c>
      <c r="AE604" s="28">
        <f>ROUND(IF(AQ604="7",BI604,0),2)</f>
        <v>0</v>
      </c>
      <c r="AF604" s="28">
        <f>ROUND(IF(AQ604="2",BH604,0),2)</f>
        <v>0</v>
      </c>
      <c r="AG604" s="28">
        <f>ROUND(IF(AQ604="2",BI604,0),2)</f>
        <v>0</v>
      </c>
      <c r="AH604" s="28">
        <f>ROUND(IF(AQ604="0",BJ604,0),2)</f>
        <v>0</v>
      </c>
      <c r="AI604" s="10" t="s">
        <v>970</v>
      </c>
      <c r="AJ604" s="28">
        <f>IF(AN604=0,J604,0)</f>
        <v>0</v>
      </c>
      <c r="AK604" s="28">
        <f>IF(AN604=12,J604,0)</f>
        <v>0</v>
      </c>
      <c r="AL604" s="28">
        <f>IF(AN604=21,J604,0)</f>
        <v>0</v>
      </c>
      <c r="AN604" s="28">
        <v>21</v>
      </c>
      <c r="AO604" s="28">
        <f>G604*0.546875</f>
        <v>0</v>
      </c>
      <c r="AP604" s="28">
        <f>G604*(1-0.546875)</f>
        <v>0</v>
      </c>
      <c r="AQ604" s="30" t="s">
        <v>74</v>
      </c>
      <c r="AV604" s="28">
        <f>ROUND(AW604+AX604,2)</f>
        <v>0</v>
      </c>
      <c r="AW604" s="28">
        <f>ROUND(F604*AO604,2)</f>
        <v>0</v>
      </c>
      <c r="AX604" s="28">
        <f>ROUND(F604*AP604,2)</f>
        <v>0</v>
      </c>
      <c r="AY604" s="30" t="s">
        <v>958</v>
      </c>
      <c r="AZ604" s="30" t="s">
        <v>1045</v>
      </c>
      <c r="BA604" s="10" t="s">
        <v>975</v>
      </c>
      <c r="BC604" s="28">
        <f>AW604+AX604</f>
        <v>0</v>
      </c>
      <c r="BD604" s="28">
        <f>G604/(100-BE604)*100</f>
        <v>0</v>
      </c>
      <c r="BE604" s="28">
        <v>0</v>
      </c>
      <c r="BF604" s="28">
        <f>604</f>
        <v>604</v>
      </c>
      <c r="BH604" s="28">
        <f>F604*AO604</f>
        <v>0</v>
      </c>
      <c r="BI604" s="28">
        <f>F604*AP604</f>
        <v>0</v>
      </c>
      <c r="BJ604" s="28">
        <f>F604*G604</f>
        <v>0</v>
      </c>
      <c r="BK604" s="28"/>
      <c r="BL604" s="28"/>
      <c r="BW604" s="28">
        <v>21</v>
      </c>
      <c r="BX604" s="4" t="s">
        <v>1048</v>
      </c>
    </row>
    <row r="605" spans="1:76" ht="14.4" x14ac:dyDescent="0.3">
      <c r="A605" s="24" t="s">
        <v>51</v>
      </c>
      <c r="B605" s="25" t="s">
        <v>51</v>
      </c>
      <c r="C605" s="91" t="s">
        <v>1049</v>
      </c>
      <c r="D605" s="92"/>
      <c r="E605" s="26" t="s">
        <v>4</v>
      </c>
      <c r="F605" s="26" t="s">
        <v>4</v>
      </c>
      <c r="G605" s="26" t="s">
        <v>4</v>
      </c>
      <c r="H605" s="1">
        <f>H606+H613+H616+H620+H622+H636+H657+H668+H680+H684+H702+H712+H761+H764+H773+H831+H847+H866+H870</f>
        <v>0</v>
      </c>
      <c r="I605" s="1">
        <f>I606+I613+I616+I620+I622+I636+I657+I668+I680+I684+I702+I712+I761+I764+I773+I831+I847+I866+I870</f>
        <v>0</v>
      </c>
      <c r="J605" s="1">
        <f>J606+J613+J616+J620+J622+J636+J657+J668+J680+J684+J702+J712+J761+J764+J773+J831+J847+J866+J870</f>
        <v>0</v>
      </c>
      <c r="K605" s="27" t="s">
        <v>51</v>
      </c>
    </row>
    <row r="606" spans="1:76" ht="14.4" x14ac:dyDescent="0.3">
      <c r="A606" s="24" t="s">
        <v>51</v>
      </c>
      <c r="B606" s="25" t="s">
        <v>53</v>
      </c>
      <c r="C606" s="91" t="s">
        <v>54</v>
      </c>
      <c r="D606" s="92"/>
      <c r="E606" s="26" t="s">
        <v>4</v>
      </c>
      <c r="F606" s="26" t="s">
        <v>4</v>
      </c>
      <c r="G606" s="26" t="s">
        <v>4</v>
      </c>
      <c r="H606" s="1">
        <f>SUM(H607:H607)</f>
        <v>0</v>
      </c>
      <c r="I606" s="1">
        <f>SUM(I607:I607)</f>
        <v>0</v>
      </c>
      <c r="J606" s="1">
        <f>SUM(J607:J607)</f>
        <v>0</v>
      </c>
      <c r="K606" s="27" t="s">
        <v>51</v>
      </c>
      <c r="AI606" s="10" t="s">
        <v>1050</v>
      </c>
      <c r="AS606" s="1">
        <f>SUM(AJ607:AJ607)</f>
        <v>0</v>
      </c>
      <c r="AT606" s="1">
        <f>SUM(AK607:AK607)</f>
        <v>0</v>
      </c>
      <c r="AU606" s="1">
        <f>SUM(AL607:AL607)</f>
        <v>0</v>
      </c>
    </row>
    <row r="607" spans="1:76" ht="14.4" x14ac:dyDescent="0.3">
      <c r="A607" s="2" t="s">
        <v>1051</v>
      </c>
      <c r="B607" s="3" t="s">
        <v>1052</v>
      </c>
      <c r="C607" s="75" t="s">
        <v>1053</v>
      </c>
      <c r="D607" s="70"/>
      <c r="E607" s="3" t="s">
        <v>59</v>
      </c>
      <c r="F607" s="28">
        <v>5.01</v>
      </c>
      <c r="G607" s="28">
        <v>0</v>
      </c>
      <c r="H607" s="28">
        <f>ROUND(F607*AO607,2)</f>
        <v>0</v>
      </c>
      <c r="I607" s="28">
        <f>ROUND(F607*AP607,2)</f>
        <v>0</v>
      </c>
      <c r="J607" s="28">
        <f>ROUND(F607*G607,2)</f>
        <v>0</v>
      </c>
      <c r="K607" s="29" t="s">
        <v>60</v>
      </c>
      <c r="Z607" s="28">
        <f>ROUND(IF(AQ607="5",BJ607,0),2)</f>
        <v>0</v>
      </c>
      <c r="AB607" s="28">
        <f>ROUND(IF(AQ607="1",BH607,0),2)</f>
        <v>0</v>
      </c>
      <c r="AC607" s="28">
        <f>ROUND(IF(AQ607="1",BI607,0),2)</f>
        <v>0</v>
      </c>
      <c r="AD607" s="28">
        <f>ROUND(IF(AQ607="7",BH607,0),2)</f>
        <v>0</v>
      </c>
      <c r="AE607" s="28">
        <f>ROUND(IF(AQ607="7",BI607,0),2)</f>
        <v>0</v>
      </c>
      <c r="AF607" s="28">
        <f>ROUND(IF(AQ607="2",BH607,0),2)</f>
        <v>0</v>
      </c>
      <c r="AG607" s="28">
        <f>ROUND(IF(AQ607="2",BI607,0),2)</f>
        <v>0</v>
      </c>
      <c r="AH607" s="28">
        <f>ROUND(IF(AQ607="0",BJ607,0),2)</f>
        <v>0</v>
      </c>
      <c r="AI607" s="10" t="s">
        <v>1050</v>
      </c>
      <c r="AJ607" s="28">
        <f>IF(AN607=0,J607,0)</f>
        <v>0</v>
      </c>
      <c r="AK607" s="28">
        <f>IF(AN607=12,J607,0)</f>
        <v>0</v>
      </c>
      <c r="AL607" s="28">
        <f>IF(AN607=21,J607,0)</f>
        <v>0</v>
      </c>
      <c r="AN607" s="28">
        <v>21</v>
      </c>
      <c r="AO607" s="28">
        <f>G607*0</f>
        <v>0</v>
      </c>
      <c r="AP607" s="28">
        <f>G607*(1-0)</f>
        <v>0</v>
      </c>
      <c r="AQ607" s="30" t="s">
        <v>56</v>
      </c>
      <c r="AV607" s="28">
        <f>ROUND(AW607+AX607,2)</f>
        <v>0</v>
      </c>
      <c r="AW607" s="28">
        <f>ROUND(F607*AO607,2)</f>
        <v>0</v>
      </c>
      <c r="AX607" s="28">
        <f>ROUND(F607*AP607,2)</f>
        <v>0</v>
      </c>
      <c r="AY607" s="30" t="s">
        <v>61</v>
      </c>
      <c r="AZ607" s="30" t="s">
        <v>1054</v>
      </c>
      <c r="BA607" s="10" t="s">
        <v>1055</v>
      </c>
      <c r="BC607" s="28">
        <f>AW607+AX607</f>
        <v>0</v>
      </c>
      <c r="BD607" s="28">
        <f>G607/(100-BE607)*100</f>
        <v>0</v>
      </c>
      <c r="BE607" s="28">
        <v>0</v>
      </c>
      <c r="BF607" s="28">
        <f>607</f>
        <v>607</v>
      </c>
      <c r="BH607" s="28">
        <f>F607*AO607</f>
        <v>0</v>
      </c>
      <c r="BI607" s="28">
        <f>F607*AP607</f>
        <v>0</v>
      </c>
      <c r="BJ607" s="28">
        <f>F607*G607</f>
        <v>0</v>
      </c>
      <c r="BK607" s="28"/>
      <c r="BL607" s="28">
        <v>13</v>
      </c>
      <c r="BW607" s="28">
        <v>21</v>
      </c>
      <c r="BX607" s="4" t="s">
        <v>1053</v>
      </c>
    </row>
    <row r="608" spans="1:76" ht="13.5" customHeight="1" x14ac:dyDescent="0.3">
      <c r="A608" s="31"/>
      <c r="B608" s="35" t="s">
        <v>105</v>
      </c>
      <c r="C608" s="96" t="s">
        <v>1056</v>
      </c>
      <c r="D608" s="97"/>
      <c r="E608" s="97"/>
      <c r="F608" s="97"/>
      <c r="G608" s="97"/>
      <c r="H608" s="97"/>
      <c r="I608" s="97"/>
      <c r="J608" s="97"/>
      <c r="K608" s="98"/>
    </row>
    <row r="609" spans="1:76" ht="14.4" x14ac:dyDescent="0.3">
      <c r="A609" s="31"/>
      <c r="C609" s="32" t="s">
        <v>1057</v>
      </c>
      <c r="D609" s="32" t="s">
        <v>51</v>
      </c>
      <c r="F609" s="33">
        <v>0.63</v>
      </c>
      <c r="K609" s="34"/>
    </row>
    <row r="610" spans="1:76" ht="14.4" x14ac:dyDescent="0.3">
      <c r="A610" s="31"/>
      <c r="C610" s="32" t="s">
        <v>1058</v>
      </c>
      <c r="D610" s="32" t="s">
        <v>51</v>
      </c>
      <c r="F610" s="33">
        <v>0.56399999999999995</v>
      </c>
      <c r="K610" s="34"/>
    </row>
    <row r="611" spans="1:76" ht="14.4" x14ac:dyDescent="0.3">
      <c r="A611" s="31"/>
      <c r="C611" s="32" t="s">
        <v>1059</v>
      </c>
      <c r="D611" s="32" t="s">
        <v>51</v>
      </c>
      <c r="F611" s="33">
        <v>0.51200000000000001</v>
      </c>
      <c r="K611" s="34"/>
    </row>
    <row r="612" spans="1:76" ht="14.4" x14ac:dyDescent="0.3">
      <c r="A612" s="31"/>
      <c r="C612" s="32" t="s">
        <v>1060</v>
      </c>
      <c r="D612" s="32" t="s">
        <v>1061</v>
      </c>
      <c r="F612" s="33">
        <v>3.3</v>
      </c>
      <c r="K612" s="34"/>
    </row>
    <row r="613" spans="1:76" ht="14.4" x14ac:dyDescent="0.3">
      <c r="A613" s="24" t="s">
        <v>51</v>
      </c>
      <c r="B613" s="25" t="s">
        <v>116</v>
      </c>
      <c r="C613" s="91" t="s">
        <v>117</v>
      </c>
      <c r="D613" s="92"/>
      <c r="E613" s="26" t="s">
        <v>4</v>
      </c>
      <c r="F613" s="26" t="s">
        <v>4</v>
      </c>
      <c r="G613" s="26" t="s">
        <v>4</v>
      </c>
      <c r="H613" s="1">
        <f>SUM(H614:H614)</f>
        <v>0</v>
      </c>
      <c r="I613" s="1">
        <f>SUM(I614:I614)</f>
        <v>0</v>
      </c>
      <c r="J613" s="1">
        <f>SUM(J614:J614)</f>
        <v>0</v>
      </c>
      <c r="K613" s="27" t="s">
        <v>51</v>
      </c>
      <c r="AI613" s="10" t="s">
        <v>1050</v>
      </c>
      <c r="AS613" s="1">
        <f>SUM(AJ614:AJ614)</f>
        <v>0</v>
      </c>
      <c r="AT613" s="1">
        <f>SUM(AK614:AK614)</f>
        <v>0</v>
      </c>
      <c r="AU613" s="1">
        <f>SUM(AL614:AL614)</f>
        <v>0</v>
      </c>
    </row>
    <row r="614" spans="1:76" ht="14.4" x14ac:dyDescent="0.3">
      <c r="A614" s="2" t="s">
        <v>1062</v>
      </c>
      <c r="B614" s="3" t="s">
        <v>1063</v>
      </c>
      <c r="C614" s="75" t="s">
        <v>1064</v>
      </c>
      <c r="D614" s="70"/>
      <c r="E614" s="3" t="s">
        <v>59</v>
      </c>
      <c r="F614" s="28">
        <v>60.12</v>
      </c>
      <c r="G614" s="28">
        <v>0</v>
      </c>
      <c r="H614" s="28">
        <f>ROUND(F614*AO614,2)</f>
        <v>0</v>
      </c>
      <c r="I614" s="28">
        <f>ROUND(F614*AP614,2)</f>
        <v>0</v>
      </c>
      <c r="J614" s="28">
        <f>ROUND(F614*G614,2)</f>
        <v>0</v>
      </c>
      <c r="K614" s="29" t="s">
        <v>60</v>
      </c>
      <c r="Z614" s="28">
        <f>ROUND(IF(AQ614="5",BJ614,0),2)</f>
        <v>0</v>
      </c>
      <c r="AB614" s="28">
        <f>ROUND(IF(AQ614="1",BH614,0),2)</f>
        <v>0</v>
      </c>
      <c r="AC614" s="28">
        <f>ROUND(IF(AQ614="1",BI614,0),2)</f>
        <v>0</v>
      </c>
      <c r="AD614" s="28">
        <f>ROUND(IF(AQ614="7",BH614,0),2)</f>
        <v>0</v>
      </c>
      <c r="AE614" s="28">
        <f>ROUND(IF(AQ614="7",BI614,0),2)</f>
        <v>0</v>
      </c>
      <c r="AF614" s="28">
        <f>ROUND(IF(AQ614="2",BH614,0),2)</f>
        <v>0</v>
      </c>
      <c r="AG614" s="28">
        <f>ROUND(IF(AQ614="2",BI614,0),2)</f>
        <v>0</v>
      </c>
      <c r="AH614" s="28">
        <f>ROUND(IF(AQ614="0",BJ614,0),2)</f>
        <v>0</v>
      </c>
      <c r="AI614" s="10" t="s">
        <v>1050</v>
      </c>
      <c r="AJ614" s="28">
        <f>IF(AN614=0,J614,0)</f>
        <v>0</v>
      </c>
      <c r="AK614" s="28">
        <f>IF(AN614=12,J614,0)</f>
        <v>0</v>
      </c>
      <c r="AL614" s="28">
        <f>IF(AN614=21,J614,0)</f>
        <v>0</v>
      </c>
      <c r="AN614" s="28">
        <v>21</v>
      </c>
      <c r="AO614" s="28">
        <f>G614*0</f>
        <v>0</v>
      </c>
      <c r="AP614" s="28">
        <f>G614*(1-0)</f>
        <v>0</v>
      </c>
      <c r="AQ614" s="30" t="s">
        <v>56</v>
      </c>
      <c r="AV614" s="28">
        <f>ROUND(AW614+AX614,2)</f>
        <v>0</v>
      </c>
      <c r="AW614" s="28">
        <f>ROUND(F614*AO614,2)</f>
        <v>0</v>
      </c>
      <c r="AX614" s="28">
        <f>ROUND(F614*AP614,2)</f>
        <v>0</v>
      </c>
      <c r="AY614" s="30" t="s">
        <v>121</v>
      </c>
      <c r="AZ614" s="30" t="s">
        <v>1054</v>
      </c>
      <c r="BA614" s="10" t="s">
        <v>1055</v>
      </c>
      <c r="BC614" s="28">
        <f>AW614+AX614</f>
        <v>0</v>
      </c>
      <c r="BD614" s="28">
        <f>G614/(100-BE614)*100</f>
        <v>0</v>
      </c>
      <c r="BE614" s="28">
        <v>0</v>
      </c>
      <c r="BF614" s="28">
        <f>614</f>
        <v>614</v>
      </c>
      <c r="BH614" s="28">
        <f>F614*AO614</f>
        <v>0</v>
      </c>
      <c r="BI614" s="28">
        <f>F614*AP614</f>
        <v>0</v>
      </c>
      <c r="BJ614" s="28">
        <f>F614*G614</f>
        <v>0</v>
      </c>
      <c r="BK614" s="28"/>
      <c r="BL614" s="28">
        <v>16</v>
      </c>
      <c r="BW614" s="28">
        <v>21</v>
      </c>
      <c r="BX614" s="4" t="s">
        <v>1064</v>
      </c>
    </row>
    <row r="615" spans="1:76" ht="14.4" x14ac:dyDescent="0.3">
      <c r="A615" s="31"/>
      <c r="C615" s="32" t="s">
        <v>1065</v>
      </c>
      <c r="D615" s="32" t="s">
        <v>1066</v>
      </c>
      <c r="F615" s="33">
        <v>60.12</v>
      </c>
      <c r="K615" s="34"/>
    </row>
    <row r="616" spans="1:76" ht="14.4" x14ac:dyDescent="0.3">
      <c r="A616" s="24" t="s">
        <v>51</v>
      </c>
      <c r="B616" s="25" t="s">
        <v>185</v>
      </c>
      <c r="C616" s="91" t="s">
        <v>191</v>
      </c>
      <c r="D616" s="92"/>
      <c r="E616" s="26" t="s">
        <v>4</v>
      </c>
      <c r="F616" s="26" t="s">
        <v>4</v>
      </c>
      <c r="G616" s="26" t="s">
        <v>4</v>
      </c>
      <c r="H616" s="1">
        <f>SUM(H617:H617)</f>
        <v>0</v>
      </c>
      <c r="I616" s="1">
        <f>SUM(I617:I617)</f>
        <v>0</v>
      </c>
      <c r="J616" s="1">
        <f>SUM(J617:J617)</f>
        <v>0</v>
      </c>
      <c r="K616" s="27" t="s">
        <v>51</v>
      </c>
      <c r="AI616" s="10" t="s">
        <v>1050</v>
      </c>
      <c r="AS616" s="1">
        <f>SUM(AJ617:AJ617)</f>
        <v>0</v>
      </c>
      <c r="AT616" s="1">
        <f>SUM(AK617:AK617)</f>
        <v>0</v>
      </c>
      <c r="AU616" s="1">
        <f>SUM(AL617:AL617)</f>
        <v>0</v>
      </c>
    </row>
    <row r="617" spans="1:76" ht="14.4" x14ac:dyDescent="0.3">
      <c r="A617" s="2" t="s">
        <v>1067</v>
      </c>
      <c r="B617" s="3" t="s">
        <v>1068</v>
      </c>
      <c r="C617" s="75" t="s">
        <v>1069</v>
      </c>
      <c r="D617" s="70"/>
      <c r="E617" s="3" t="s">
        <v>103</v>
      </c>
      <c r="F617" s="28">
        <v>28.84</v>
      </c>
      <c r="G617" s="28">
        <v>0</v>
      </c>
      <c r="H617" s="28">
        <f>ROUND(F617*AO617,2)</f>
        <v>0</v>
      </c>
      <c r="I617" s="28">
        <f>ROUND(F617*AP617,2)</f>
        <v>0</v>
      </c>
      <c r="J617" s="28">
        <f>ROUND(F617*G617,2)</f>
        <v>0</v>
      </c>
      <c r="K617" s="29" t="s">
        <v>60</v>
      </c>
      <c r="Z617" s="28">
        <f>ROUND(IF(AQ617="5",BJ617,0),2)</f>
        <v>0</v>
      </c>
      <c r="AB617" s="28">
        <f>ROUND(IF(AQ617="1",BH617,0),2)</f>
        <v>0</v>
      </c>
      <c r="AC617" s="28">
        <f>ROUND(IF(AQ617="1",BI617,0),2)</f>
        <v>0</v>
      </c>
      <c r="AD617" s="28">
        <f>ROUND(IF(AQ617="7",BH617,0),2)</f>
        <v>0</v>
      </c>
      <c r="AE617" s="28">
        <f>ROUND(IF(AQ617="7",BI617,0),2)</f>
        <v>0</v>
      </c>
      <c r="AF617" s="28">
        <f>ROUND(IF(AQ617="2",BH617,0),2)</f>
        <v>0</v>
      </c>
      <c r="AG617" s="28">
        <f>ROUND(IF(AQ617="2",BI617,0),2)</f>
        <v>0</v>
      </c>
      <c r="AH617" s="28">
        <f>ROUND(IF(AQ617="0",BJ617,0),2)</f>
        <v>0</v>
      </c>
      <c r="AI617" s="10" t="s">
        <v>1050</v>
      </c>
      <c r="AJ617" s="28">
        <f>IF(AN617=0,J617,0)</f>
        <v>0</v>
      </c>
      <c r="AK617" s="28">
        <f>IF(AN617=12,J617,0)</f>
        <v>0</v>
      </c>
      <c r="AL617" s="28">
        <f>IF(AN617=21,J617,0)</f>
        <v>0</v>
      </c>
      <c r="AN617" s="28">
        <v>21</v>
      </c>
      <c r="AO617" s="28">
        <f>G617*0.015552773</f>
        <v>0</v>
      </c>
      <c r="AP617" s="28">
        <f>G617*(1-0.015552773)</f>
        <v>0</v>
      </c>
      <c r="AQ617" s="30" t="s">
        <v>56</v>
      </c>
      <c r="AV617" s="28">
        <f>ROUND(AW617+AX617,2)</f>
        <v>0</v>
      </c>
      <c r="AW617" s="28">
        <f>ROUND(F617*AO617,2)</f>
        <v>0</v>
      </c>
      <c r="AX617" s="28">
        <f>ROUND(F617*AP617,2)</f>
        <v>0</v>
      </c>
      <c r="AY617" s="30" t="s">
        <v>195</v>
      </c>
      <c r="AZ617" s="30" t="s">
        <v>1054</v>
      </c>
      <c r="BA617" s="10" t="s">
        <v>1055</v>
      </c>
      <c r="BC617" s="28">
        <f>AW617+AX617</f>
        <v>0</v>
      </c>
      <c r="BD617" s="28">
        <f>G617/(100-BE617)*100</f>
        <v>0</v>
      </c>
      <c r="BE617" s="28">
        <v>0</v>
      </c>
      <c r="BF617" s="28">
        <f>617</f>
        <v>617</v>
      </c>
      <c r="BH617" s="28">
        <f>F617*AO617</f>
        <v>0</v>
      </c>
      <c r="BI617" s="28">
        <f>F617*AP617</f>
        <v>0</v>
      </c>
      <c r="BJ617" s="28">
        <f>F617*G617</f>
        <v>0</v>
      </c>
      <c r="BK617" s="28"/>
      <c r="BL617" s="28">
        <v>18</v>
      </c>
      <c r="BW617" s="28">
        <v>21</v>
      </c>
      <c r="BX617" s="4" t="s">
        <v>1069</v>
      </c>
    </row>
    <row r="618" spans="1:76" ht="13.5" customHeight="1" x14ac:dyDescent="0.3">
      <c r="A618" s="31"/>
      <c r="B618" s="35" t="s">
        <v>105</v>
      </c>
      <c r="C618" s="96" t="s">
        <v>1070</v>
      </c>
      <c r="D618" s="97"/>
      <c r="E618" s="97"/>
      <c r="F618" s="97"/>
      <c r="G618" s="97"/>
      <c r="H618" s="97"/>
      <c r="I618" s="97"/>
      <c r="J618" s="97"/>
      <c r="K618" s="98"/>
    </row>
    <row r="619" spans="1:76" ht="14.4" x14ac:dyDescent="0.3">
      <c r="A619" s="31"/>
      <c r="C619" s="32" t="s">
        <v>1071</v>
      </c>
      <c r="D619" s="32" t="s">
        <v>51</v>
      </c>
      <c r="F619" s="33">
        <v>28.8401</v>
      </c>
      <c r="K619" s="34"/>
    </row>
    <row r="620" spans="1:76" ht="14.4" x14ac:dyDescent="0.3">
      <c r="A620" s="24" t="s">
        <v>51</v>
      </c>
      <c r="B620" s="25" t="s">
        <v>192</v>
      </c>
      <c r="C620" s="91" t="s">
        <v>1072</v>
      </c>
      <c r="D620" s="92"/>
      <c r="E620" s="26" t="s">
        <v>4</v>
      </c>
      <c r="F620" s="26" t="s">
        <v>4</v>
      </c>
      <c r="G620" s="26" t="s">
        <v>4</v>
      </c>
      <c r="H620" s="1">
        <f>SUM(H621:H621)</f>
        <v>0</v>
      </c>
      <c r="I620" s="1">
        <f>SUM(I621:I621)</f>
        <v>0</v>
      </c>
      <c r="J620" s="1">
        <f>SUM(J621:J621)</f>
        <v>0</v>
      </c>
      <c r="K620" s="27" t="s">
        <v>51</v>
      </c>
      <c r="AI620" s="10" t="s">
        <v>1050</v>
      </c>
      <c r="AS620" s="1">
        <f>SUM(AJ621:AJ621)</f>
        <v>0</v>
      </c>
      <c r="AT620" s="1">
        <f>SUM(AK621:AK621)</f>
        <v>0</v>
      </c>
      <c r="AU620" s="1">
        <f>SUM(AL621:AL621)</f>
        <v>0</v>
      </c>
    </row>
    <row r="621" spans="1:76" ht="14.4" x14ac:dyDescent="0.3">
      <c r="A621" s="2" t="s">
        <v>1073</v>
      </c>
      <c r="B621" s="3" t="s">
        <v>149</v>
      </c>
      <c r="C621" s="75" t="s">
        <v>150</v>
      </c>
      <c r="D621" s="70"/>
      <c r="E621" s="3" t="s">
        <v>59</v>
      </c>
      <c r="F621" s="28">
        <v>5.01</v>
      </c>
      <c r="G621" s="28">
        <v>0</v>
      </c>
      <c r="H621" s="28">
        <f>ROUND(F621*AO621,2)</f>
        <v>0</v>
      </c>
      <c r="I621" s="28">
        <f>ROUND(F621*AP621,2)</f>
        <v>0</v>
      </c>
      <c r="J621" s="28">
        <f>ROUND(F621*G621,2)</f>
        <v>0</v>
      </c>
      <c r="K621" s="29" t="s">
        <v>60</v>
      </c>
      <c r="Z621" s="28">
        <f>ROUND(IF(AQ621="5",BJ621,0),2)</f>
        <v>0</v>
      </c>
      <c r="AB621" s="28">
        <f>ROUND(IF(AQ621="1",BH621,0),2)</f>
        <v>0</v>
      </c>
      <c r="AC621" s="28">
        <f>ROUND(IF(AQ621="1",BI621,0),2)</f>
        <v>0</v>
      </c>
      <c r="AD621" s="28">
        <f>ROUND(IF(AQ621="7",BH621,0),2)</f>
        <v>0</v>
      </c>
      <c r="AE621" s="28">
        <f>ROUND(IF(AQ621="7",BI621,0),2)</f>
        <v>0</v>
      </c>
      <c r="AF621" s="28">
        <f>ROUND(IF(AQ621="2",BH621,0),2)</f>
        <v>0</v>
      </c>
      <c r="AG621" s="28">
        <f>ROUND(IF(AQ621="2",BI621,0),2)</f>
        <v>0</v>
      </c>
      <c r="AH621" s="28">
        <f>ROUND(IF(AQ621="0",BJ621,0),2)</f>
        <v>0</v>
      </c>
      <c r="AI621" s="10" t="s">
        <v>1050</v>
      </c>
      <c r="AJ621" s="28">
        <f>IF(AN621=0,J621,0)</f>
        <v>0</v>
      </c>
      <c r="AK621" s="28">
        <f>IF(AN621=12,J621,0)</f>
        <v>0</v>
      </c>
      <c r="AL621" s="28">
        <f>IF(AN621=21,J621,0)</f>
        <v>0</v>
      </c>
      <c r="AN621" s="28">
        <v>21</v>
      </c>
      <c r="AO621" s="28">
        <f>G621*0</f>
        <v>0</v>
      </c>
      <c r="AP621" s="28">
        <f>G621*(1-0)</f>
        <v>0</v>
      </c>
      <c r="AQ621" s="30" t="s">
        <v>56</v>
      </c>
      <c r="AV621" s="28">
        <f>ROUND(AW621+AX621,2)</f>
        <v>0</v>
      </c>
      <c r="AW621" s="28">
        <f>ROUND(F621*AO621,2)</f>
        <v>0</v>
      </c>
      <c r="AX621" s="28">
        <f>ROUND(F621*AP621,2)</f>
        <v>0</v>
      </c>
      <c r="AY621" s="30" t="s">
        <v>1074</v>
      </c>
      <c r="AZ621" s="30" t="s">
        <v>1054</v>
      </c>
      <c r="BA621" s="10" t="s">
        <v>1055</v>
      </c>
      <c r="BC621" s="28">
        <f>AW621+AX621</f>
        <v>0</v>
      </c>
      <c r="BD621" s="28">
        <f>G621/(100-BE621)*100</f>
        <v>0</v>
      </c>
      <c r="BE621" s="28">
        <v>0</v>
      </c>
      <c r="BF621" s="28">
        <f>621</f>
        <v>621</v>
      </c>
      <c r="BH621" s="28">
        <f>F621*AO621</f>
        <v>0</v>
      </c>
      <c r="BI621" s="28">
        <f>F621*AP621</f>
        <v>0</v>
      </c>
      <c r="BJ621" s="28">
        <f>F621*G621</f>
        <v>0</v>
      </c>
      <c r="BK621" s="28"/>
      <c r="BL621" s="28">
        <v>19</v>
      </c>
      <c r="BW621" s="28">
        <v>21</v>
      </c>
      <c r="BX621" s="4" t="s">
        <v>150</v>
      </c>
    </row>
    <row r="622" spans="1:76" ht="14.4" x14ac:dyDescent="0.3">
      <c r="A622" s="24" t="s">
        <v>51</v>
      </c>
      <c r="B622" s="25" t="s">
        <v>229</v>
      </c>
      <c r="C622" s="91" t="s">
        <v>230</v>
      </c>
      <c r="D622" s="92"/>
      <c r="E622" s="26" t="s">
        <v>4</v>
      </c>
      <c r="F622" s="26" t="s">
        <v>4</v>
      </c>
      <c r="G622" s="26" t="s">
        <v>4</v>
      </c>
      <c r="H622" s="1">
        <f>SUM(H623:H635)</f>
        <v>0</v>
      </c>
      <c r="I622" s="1">
        <f>SUM(I623:I635)</f>
        <v>0</v>
      </c>
      <c r="J622" s="1">
        <f>SUM(J623:J635)</f>
        <v>0</v>
      </c>
      <c r="K622" s="27" t="s">
        <v>51</v>
      </c>
      <c r="AI622" s="10" t="s">
        <v>1050</v>
      </c>
      <c r="AS622" s="1">
        <f>SUM(AJ623:AJ635)</f>
        <v>0</v>
      </c>
      <c r="AT622" s="1">
        <f>SUM(AK623:AK635)</f>
        <v>0</v>
      </c>
      <c r="AU622" s="1">
        <f>SUM(AL623:AL635)</f>
        <v>0</v>
      </c>
    </row>
    <row r="623" spans="1:76" ht="14.4" x14ac:dyDescent="0.3">
      <c r="A623" s="2" t="s">
        <v>1075</v>
      </c>
      <c r="B623" s="3" t="s">
        <v>1076</v>
      </c>
      <c r="C623" s="75" t="s">
        <v>1077</v>
      </c>
      <c r="D623" s="70"/>
      <c r="E623" s="3" t="s">
        <v>59</v>
      </c>
      <c r="F623" s="28">
        <v>1.43</v>
      </c>
      <c r="G623" s="28">
        <v>0</v>
      </c>
      <c r="H623" s="28">
        <f>ROUND(F623*AO623,2)</f>
        <v>0</v>
      </c>
      <c r="I623" s="28">
        <f>ROUND(F623*AP623,2)</f>
        <v>0</v>
      </c>
      <c r="J623" s="28">
        <f>ROUND(F623*G623,2)</f>
        <v>0</v>
      </c>
      <c r="K623" s="29" t="s">
        <v>60</v>
      </c>
      <c r="Z623" s="28">
        <f>ROUND(IF(AQ623="5",BJ623,0),2)</f>
        <v>0</v>
      </c>
      <c r="AB623" s="28">
        <f>ROUND(IF(AQ623="1",BH623,0),2)</f>
        <v>0</v>
      </c>
      <c r="AC623" s="28">
        <f>ROUND(IF(AQ623="1",BI623,0),2)</f>
        <v>0</v>
      </c>
      <c r="AD623" s="28">
        <f>ROUND(IF(AQ623="7",BH623,0),2)</f>
        <v>0</v>
      </c>
      <c r="AE623" s="28">
        <f>ROUND(IF(AQ623="7",BI623,0),2)</f>
        <v>0</v>
      </c>
      <c r="AF623" s="28">
        <f>ROUND(IF(AQ623="2",BH623,0),2)</f>
        <v>0</v>
      </c>
      <c r="AG623" s="28">
        <f>ROUND(IF(AQ623="2",BI623,0),2)</f>
        <v>0</v>
      </c>
      <c r="AH623" s="28">
        <f>ROUND(IF(AQ623="0",BJ623,0),2)</f>
        <v>0</v>
      </c>
      <c r="AI623" s="10" t="s">
        <v>1050</v>
      </c>
      <c r="AJ623" s="28">
        <f>IF(AN623=0,J623,0)</f>
        <v>0</v>
      </c>
      <c r="AK623" s="28">
        <f>IF(AN623=12,J623,0)</f>
        <v>0</v>
      </c>
      <c r="AL623" s="28">
        <f>IF(AN623=21,J623,0)</f>
        <v>0</v>
      </c>
      <c r="AN623" s="28">
        <v>21</v>
      </c>
      <c r="AO623" s="28">
        <f>G623*0.90239344</f>
        <v>0</v>
      </c>
      <c r="AP623" s="28">
        <f>G623*(1-0.90239344)</f>
        <v>0</v>
      </c>
      <c r="AQ623" s="30" t="s">
        <v>56</v>
      </c>
      <c r="AV623" s="28">
        <f>ROUND(AW623+AX623,2)</f>
        <v>0</v>
      </c>
      <c r="AW623" s="28">
        <f>ROUND(F623*AO623,2)</f>
        <v>0</v>
      </c>
      <c r="AX623" s="28">
        <f>ROUND(F623*AP623,2)</f>
        <v>0</v>
      </c>
      <c r="AY623" s="30" t="s">
        <v>234</v>
      </c>
      <c r="AZ623" s="30" t="s">
        <v>1078</v>
      </c>
      <c r="BA623" s="10" t="s">
        <v>1055</v>
      </c>
      <c r="BC623" s="28">
        <f>AW623+AX623</f>
        <v>0</v>
      </c>
      <c r="BD623" s="28">
        <f>G623/(100-BE623)*100</f>
        <v>0</v>
      </c>
      <c r="BE623" s="28">
        <v>0</v>
      </c>
      <c r="BF623" s="28">
        <f>623</f>
        <v>623</v>
      </c>
      <c r="BH623" s="28">
        <f>F623*AO623</f>
        <v>0</v>
      </c>
      <c r="BI623" s="28">
        <f>F623*AP623</f>
        <v>0</v>
      </c>
      <c r="BJ623" s="28">
        <f>F623*G623</f>
        <v>0</v>
      </c>
      <c r="BK623" s="28"/>
      <c r="BL623" s="28">
        <v>27</v>
      </c>
      <c r="BW623" s="28">
        <v>21</v>
      </c>
      <c r="BX623" s="4" t="s">
        <v>1077</v>
      </c>
    </row>
    <row r="624" spans="1:76" ht="14.4" x14ac:dyDescent="0.3">
      <c r="A624" s="31"/>
      <c r="C624" s="32" t="s">
        <v>1079</v>
      </c>
      <c r="D624" s="32" t="s">
        <v>51</v>
      </c>
      <c r="F624" s="33">
        <v>0.72</v>
      </c>
      <c r="K624" s="34"/>
    </row>
    <row r="625" spans="1:76" ht="14.4" x14ac:dyDescent="0.3">
      <c r="A625" s="31"/>
      <c r="C625" s="32" t="s">
        <v>1080</v>
      </c>
      <c r="D625" s="32" t="s">
        <v>51</v>
      </c>
      <c r="F625" s="33">
        <v>0.70499999999999996</v>
      </c>
      <c r="K625" s="34"/>
    </row>
    <row r="626" spans="1:76" ht="14.4" x14ac:dyDescent="0.3">
      <c r="A626" s="2" t="s">
        <v>1081</v>
      </c>
      <c r="B626" s="3" t="s">
        <v>1082</v>
      </c>
      <c r="C626" s="75" t="s">
        <v>1083</v>
      </c>
      <c r="D626" s="70"/>
      <c r="E626" s="3" t="s">
        <v>103</v>
      </c>
      <c r="F626" s="28">
        <v>0.95</v>
      </c>
      <c r="G626" s="28">
        <v>0</v>
      </c>
      <c r="H626" s="28">
        <f>ROUND(F626*AO626,2)</f>
        <v>0</v>
      </c>
      <c r="I626" s="28">
        <f>ROUND(F626*AP626,2)</f>
        <v>0</v>
      </c>
      <c r="J626" s="28">
        <f>ROUND(F626*G626,2)</f>
        <v>0</v>
      </c>
      <c r="K626" s="29" t="s">
        <v>60</v>
      </c>
      <c r="Z626" s="28">
        <f>ROUND(IF(AQ626="5",BJ626,0),2)</f>
        <v>0</v>
      </c>
      <c r="AB626" s="28">
        <f>ROUND(IF(AQ626="1",BH626,0),2)</f>
        <v>0</v>
      </c>
      <c r="AC626" s="28">
        <f>ROUND(IF(AQ626="1",BI626,0),2)</f>
        <v>0</v>
      </c>
      <c r="AD626" s="28">
        <f>ROUND(IF(AQ626="7",BH626,0),2)</f>
        <v>0</v>
      </c>
      <c r="AE626" s="28">
        <f>ROUND(IF(AQ626="7",BI626,0),2)</f>
        <v>0</v>
      </c>
      <c r="AF626" s="28">
        <f>ROUND(IF(AQ626="2",BH626,0),2)</f>
        <v>0</v>
      </c>
      <c r="AG626" s="28">
        <f>ROUND(IF(AQ626="2",BI626,0),2)</f>
        <v>0</v>
      </c>
      <c r="AH626" s="28">
        <f>ROUND(IF(AQ626="0",BJ626,0),2)</f>
        <v>0</v>
      </c>
      <c r="AI626" s="10" t="s">
        <v>1050</v>
      </c>
      <c r="AJ626" s="28">
        <f>IF(AN626=0,J626,0)</f>
        <v>0</v>
      </c>
      <c r="AK626" s="28">
        <f>IF(AN626=12,J626,0)</f>
        <v>0</v>
      </c>
      <c r="AL626" s="28">
        <f>IF(AN626=21,J626,0)</f>
        <v>0</v>
      </c>
      <c r="AN626" s="28">
        <v>21</v>
      </c>
      <c r="AO626" s="28">
        <f>G626*0.322432702</f>
        <v>0</v>
      </c>
      <c r="AP626" s="28">
        <f>G626*(1-0.322432702)</f>
        <v>0</v>
      </c>
      <c r="AQ626" s="30" t="s">
        <v>56</v>
      </c>
      <c r="AV626" s="28">
        <f>ROUND(AW626+AX626,2)</f>
        <v>0</v>
      </c>
      <c r="AW626" s="28">
        <f>ROUND(F626*AO626,2)</f>
        <v>0</v>
      </c>
      <c r="AX626" s="28">
        <f>ROUND(F626*AP626,2)</f>
        <v>0</v>
      </c>
      <c r="AY626" s="30" t="s">
        <v>234</v>
      </c>
      <c r="AZ626" s="30" t="s">
        <v>1078</v>
      </c>
      <c r="BA626" s="10" t="s">
        <v>1055</v>
      </c>
      <c r="BC626" s="28">
        <f>AW626+AX626</f>
        <v>0</v>
      </c>
      <c r="BD626" s="28">
        <f>G626/(100-BE626)*100</f>
        <v>0</v>
      </c>
      <c r="BE626" s="28">
        <v>0</v>
      </c>
      <c r="BF626" s="28">
        <f>626</f>
        <v>626</v>
      </c>
      <c r="BH626" s="28">
        <f>F626*AO626</f>
        <v>0</v>
      </c>
      <c r="BI626" s="28">
        <f>F626*AP626</f>
        <v>0</v>
      </c>
      <c r="BJ626" s="28">
        <f>F626*G626</f>
        <v>0</v>
      </c>
      <c r="BK626" s="28"/>
      <c r="BL626" s="28">
        <v>27</v>
      </c>
      <c r="BW626" s="28">
        <v>21</v>
      </c>
      <c r="BX626" s="4" t="s">
        <v>1083</v>
      </c>
    </row>
    <row r="627" spans="1:76" ht="14.4" x14ac:dyDescent="0.3">
      <c r="A627" s="31"/>
      <c r="C627" s="32" t="s">
        <v>1084</v>
      </c>
      <c r="D627" s="32" t="s">
        <v>51</v>
      </c>
      <c r="F627" s="33">
        <v>0.36</v>
      </c>
      <c r="K627" s="34"/>
    </row>
    <row r="628" spans="1:76" ht="14.4" x14ac:dyDescent="0.3">
      <c r="A628" s="31"/>
      <c r="C628" s="32" t="s">
        <v>1085</v>
      </c>
      <c r="D628" s="32" t="s">
        <v>51</v>
      </c>
      <c r="F628" s="33">
        <v>0.59</v>
      </c>
      <c r="K628" s="34"/>
    </row>
    <row r="629" spans="1:76" ht="14.4" x14ac:dyDescent="0.3">
      <c r="A629" s="2" t="s">
        <v>1086</v>
      </c>
      <c r="B629" s="3" t="s">
        <v>1087</v>
      </c>
      <c r="C629" s="75" t="s">
        <v>1088</v>
      </c>
      <c r="D629" s="70"/>
      <c r="E629" s="3" t="s">
        <v>103</v>
      </c>
      <c r="F629" s="28">
        <v>0.95</v>
      </c>
      <c r="G629" s="28">
        <v>0</v>
      </c>
      <c r="H629" s="28">
        <f>ROUND(F629*AO629,2)</f>
        <v>0</v>
      </c>
      <c r="I629" s="28">
        <f>ROUND(F629*AP629,2)</f>
        <v>0</v>
      </c>
      <c r="J629" s="28">
        <f>ROUND(F629*G629,2)</f>
        <v>0</v>
      </c>
      <c r="K629" s="29" t="s">
        <v>60</v>
      </c>
      <c r="Z629" s="28">
        <f>ROUND(IF(AQ629="5",BJ629,0),2)</f>
        <v>0</v>
      </c>
      <c r="AB629" s="28">
        <f>ROUND(IF(AQ629="1",BH629,0),2)</f>
        <v>0</v>
      </c>
      <c r="AC629" s="28">
        <f>ROUND(IF(AQ629="1",BI629,0),2)</f>
        <v>0</v>
      </c>
      <c r="AD629" s="28">
        <f>ROUND(IF(AQ629="7",BH629,0),2)</f>
        <v>0</v>
      </c>
      <c r="AE629" s="28">
        <f>ROUND(IF(AQ629="7",BI629,0),2)</f>
        <v>0</v>
      </c>
      <c r="AF629" s="28">
        <f>ROUND(IF(AQ629="2",BH629,0),2)</f>
        <v>0</v>
      </c>
      <c r="AG629" s="28">
        <f>ROUND(IF(AQ629="2",BI629,0),2)</f>
        <v>0</v>
      </c>
      <c r="AH629" s="28">
        <f>ROUND(IF(AQ629="0",BJ629,0),2)</f>
        <v>0</v>
      </c>
      <c r="AI629" s="10" t="s">
        <v>1050</v>
      </c>
      <c r="AJ629" s="28">
        <f>IF(AN629=0,J629,0)</f>
        <v>0</v>
      </c>
      <c r="AK629" s="28">
        <f>IF(AN629=12,J629,0)</f>
        <v>0</v>
      </c>
      <c r="AL629" s="28">
        <f>IF(AN629=21,J629,0)</f>
        <v>0</v>
      </c>
      <c r="AN629" s="28">
        <v>21</v>
      </c>
      <c r="AO629" s="28">
        <f>G629*0</f>
        <v>0</v>
      </c>
      <c r="AP629" s="28">
        <f>G629*(1-0)</f>
        <v>0</v>
      </c>
      <c r="AQ629" s="30" t="s">
        <v>56</v>
      </c>
      <c r="AV629" s="28">
        <f>ROUND(AW629+AX629,2)</f>
        <v>0</v>
      </c>
      <c r="AW629" s="28">
        <f>ROUND(F629*AO629,2)</f>
        <v>0</v>
      </c>
      <c r="AX629" s="28">
        <f>ROUND(F629*AP629,2)</f>
        <v>0</v>
      </c>
      <c r="AY629" s="30" t="s">
        <v>234</v>
      </c>
      <c r="AZ629" s="30" t="s">
        <v>1078</v>
      </c>
      <c r="BA629" s="10" t="s">
        <v>1055</v>
      </c>
      <c r="BC629" s="28">
        <f>AW629+AX629</f>
        <v>0</v>
      </c>
      <c r="BD629" s="28">
        <f>G629/(100-BE629)*100</f>
        <v>0</v>
      </c>
      <c r="BE629" s="28">
        <v>0</v>
      </c>
      <c r="BF629" s="28">
        <f>629</f>
        <v>629</v>
      </c>
      <c r="BH629" s="28">
        <f>F629*AO629</f>
        <v>0</v>
      </c>
      <c r="BI629" s="28">
        <f>F629*AP629</f>
        <v>0</v>
      </c>
      <c r="BJ629" s="28">
        <f>F629*G629</f>
        <v>0</v>
      </c>
      <c r="BK629" s="28"/>
      <c r="BL629" s="28">
        <v>27</v>
      </c>
      <c r="BW629" s="28">
        <v>21</v>
      </c>
      <c r="BX629" s="4" t="s">
        <v>1088</v>
      </c>
    </row>
    <row r="630" spans="1:76" ht="14.4" x14ac:dyDescent="0.3">
      <c r="A630" s="2" t="s">
        <v>1089</v>
      </c>
      <c r="B630" s="3" t="s">
        <v>1090</v>
      </c>
      <c r="C630" s="75" t="s">
        <v>1091</v>
      </c>
      <c r="D630" s="70"/>
      <c r="E630" s="3" t="s">
        <v>59</v>
      </c>
      <c r="F630" s="28">
        <v>4.5199999999999996</v>
      </c>
      <c r="G630" s="28">
        <v>0</v>
      </c>
      <c r="H630" s="28">
        <f>ROUND(F630*AO630,2)</f>
        <v>0</v>
      </c>
      <c r="I630" s="28">
        <f>ROUND(F630*AP630,2)</f>
        <v>0</v>
      </c>
      <c r="J630" s="28">
        <f>ROUND(F630*G630,2)</f>
        <v>0</v>
      </c>
      <c r="K630" s="29" t="s">
        <v>60</v>
      </c>
      <c r="Z630" s="28">
        <f>ROUND(IF(AQ630="5",BJ630,0),2)</f>
        <v>0</v>
      </c>
      <c r="AB630" s="28">
        <f>ROUND(IF(AQ630="1",BH630,0),2)</f>
        <v>0</v>
      </c>
      <c r="AC630" s="28">
        <f>ROUND(IF(AQ630="1",BI630,0),2)</f>
        <v>0</v>
      </c>
      <c r="AD630" s="28">
        <f>ROUND(IF(AQ630="7",BH630,0),2)</f>
        <v>0</v>
      </c>
      <c r="AE630" s="28">
        <f>ROUND(IF(AQ630="7",BI630,0),2)</f>
        <v>0</v>
      </c>
      <c r="AF630" s="28">
        <f>ROUND(IF(AQ630="2",BH630,0),2)</f>
        <v>0</v>
      </c>
      <c r="AG630" s="28">
        <f>ROUND(IF(AQ630="2",BI630,0),2)</f>
        <v>0</v>
      </c>
      <c r="AH630" s="28">
        <f>ROUND(IF(AQ630="0",BJ630,0),2)</f>
        <v>0</v>
      </c>
      <c r="AI630" s="10" t="s">
        <v>1050</v>
      </c>
      <c r="AJ630" s="28">
        <f>IF(AN630=0,J630,0)</f>
        <v>0</v>
      </c>
      <c r="AK630" s="28">
        <f>IF(AN630=12,J630,0)</f>
        <v>0</v>
      </c>
      <c r="AL630" s="28">
        <f>IF(AN630=21,J630,0)</f>
        <v>0</v>
      </c>
      <c r="AN630" s="28">
        <v>21</v>
      </c>
      <c r="AO630" s="28">
        <f>G630*0.902392804</f>
        <v>0</v>
      </c>
      <c r="AP630" s="28">
        <f>G630*(1-0.902392804)</f>
        <v>0</v>
      </c>
      <c r="AQ630" s="30" t="s">
        <v>56</v>
      </c>
      <c r="AV630" s="28">
        <f>ROUND(AW630+AX630,2)</f>
        <v>0</v>
      </c>
      <c r="AW630" s="28">
        <f>ROUND(F630*AO630,2)</f>
        <v>0</v>
      </c>
      <c r="AX630" s="28">
        <f>ROUND(F630*AP630,2)</f>
        <v>0</v>
      </c>
      <c r="AY630" s="30" t="s">
        <v>234</v>
      </c>
      <c r="AZ630" s="30" t="s">
        <v>1078</v>
      </c>
      <c r="BA630" s="10" t="s">
        <v>1055</v>
      </c>
      <c r="BC630" s="28">
        <f>AW630+AX630</f>
        <v>0</v>
      </c>
      <c r="BD630" s="28">
        <f>G630/(100-BE630)*100</f>
        <v>0</v>
      </c>
      <c r="BE630" s="28">
        <v>0</v>
      </c>
      <c r="BF630" s="28">
        <f>630</f>
        <v>630</v>
      </c>
      <c r="BH630" s="28">
        <f>F630*AO630</f>
        <v>0</v>
      </c>
      <c r="BI630" s="28">
        <f>F630*AP630</f>
        <v>0</v>
      </c>
      <c r="BJ630" s="28">
        <f>F630*G630</f>
        <v>0</v>
      </c>
      <c r="BK630" s="28"/>
      <c r="BL630" s="28">
        <v>27</v>
      </c>
      <c r="BW630" s="28">
        <v>21</v>
      </c>
      <c r="BX630" s="4" t="s">
        <v>1091</v>
      </c>
    </row>
    <row r="631" spans="1:76" ht="14.4" x14ac:dyDescent="0.3">
      <c r="A631" s="31"/>
      <c r="C631" s="32" t="s">
        <v>1092</v>
      </c>
      <c r="D631" s="32" t="s">
        <v>51</v>
      </c>
      <c r="F631" s="33">
        <v>1.216</v>
      </c>
      <c r="K631" s="34"/>
    </row>
    <row r="632" spans="1:76" ht="14.4" x14ac:dyDescent="0.3">
      <c r="A632" s="31"/>
      <c r="C632" s="32" t="s">
        <v>1060</v>
      </c>
      <c r="D632" s="32" t="s">
        <v>1093</v>
      </c>
      <c r="F632" s="33">
        <v>3.3</v>
      </c>
      <c r="K632" s="34"/>
    </row>
    <row r="633" spans="1:76" ht="14.4" x14ac:dyDescent="0.3">
      <c r="A633" s="2" t="s">
        <v>1094</v>
      </c>
      <c r="B633" s="3" t="s">
        <v>1095</v>
      </c>
      <c r="C633" s="75" t="s">
        <v>1096</v>
      </c>
      <c r="D633" s="70"/>
      <c r="E633" s="3" t="s">
        <v>103</v>
      </c>
      <c r="F633" s="28">
        <v>3.52</v>
      </c>
      <c r="G633" s="28">
        <v>0</v>
      </c>
      <c r="H633" s="28">
        <f>ROUND(F633*AO633,2)</f>
        <v>0</v>
      </c>
      <c r="I633" s="28">
        <f>ROUND(F633*AP633,2)</f>
        <v>0</v>
      </c>
      <c r="J633" s="28">
        <f>ROUND(F633*G633,2)</f>
        <v>0</v>
      </c>
      <c r="K633" s="29" t="s">
        <v>60</v>
      </c>
      <c r="Z633" s="28">
        <f>ROUND(IF(AQ633="5",BJ633,0),2)</f>
        <v>0</v>
      </c>
      <c r="AB633" s="28">
        <f>ROUND(IF(AQ633="1",BH633,0),2)</f>
        <v>0</v>
      </c>
      <c r="AC633" s="28">
        <f>ROUND(IF(AQ633="1",BI633,0),2)</f>
        <v>0</v>
      </c>
      <c r="AD633" s="28">
        <f>ROUND(IF(AQ633="7",BH633,0),2)</f>
        <v>0</v>
      </c>
      <c r="AE633" s="28">
        <f>ROUND(IF(AQ633="7",BI633,0),2)</f>
        <v>0</v>
      </c>
      <c r="AF633" s="28">
        <f>ROUND(IF(AQ633="2",BH633,0),2)</f>
        <v>0</v>
      </c>
      <c r="AG633" s="28">
        <f>ROUND(IF(AQ633="2",BI633,0),2)</f>
        <v>0</v>
      </c>
      <c r="AH633" s="28">
        <f>ROUND(IF(AQ633="0",BJ633,0),2)</f>
        <v>0</v>
      </c>
      <c r="AI633" s="10" t="s">
        <v>1050</v>
      </c>
      <c r="AJ633" s="28">
        <f>IF(AN633=0,J633,0)</f>
        <v>0</v>
      </c>
      <c r="AK633" s="28">
        <f>IF(AN633=12,J633,0)</f>
        <v>0</v>
      </c>
      <c r="AL633" s="28">
        <f>IF(AN633=21,J633,0)</f>
        <v>0</v>
      </c>
      <c r="AN633" s="28">
        <v>21</v>
      </c>
      <c r="AO633" s="28">
        <f>G633*0.335356758</f>
        <v>0</v>
      </c>
      <c r="AP633" s="28">
        <f>G633*(1-0.335356758)</f>
        <v>0</v>
      </c>
      <c r="AQ633" s="30" t="s">
        <v>56</v>
      </c>
      <c r="AV633" s="28">
        <f>ROUND(AW633+AX633,2)</f>
        <v>0</v>
      </c>
      <c r="AW633" s="28">
        <f>ROUND(F633*AO633,2)</f>
        <v>0</v>
      </c>
      <c r="AX633" s="28">
        <f>ROUND(F633*AP633,2)</f>
        <v>0</v>
      </c>
      <c r="AY633" s="30" t="s">
        <v>234</v>
      </c>
      <c r="AZ633" s="30" t="s">
        <v>1078</v>
      </c>
      <c r="BA633" s="10" t="s">
        <v>1055</v>
      </c>
      <c r="BC633" s="28">
        <f>AW633+AX633</f>
        <v>0</v>
      </c>
      <c r="BD633" s="28">
        <f>G633/(100-BE633)*100</f>
        <v>0</v>
      </c>
      <c r="BE633" s="28">
        <v>0</v>
      </c>
      <c r="BF633" s="28">
        <f>633</f>
        <v>633</v>
      </c>
      <c r="BH633" s="28">
        <f>F633*AO633</f>
        <v>0</v>
      </c>
      <c r="BI633" s="28">
        <f>F633*AP633</f>
        <v>0</v>
      </c>
      <c r="BJ633" s="28">
        <f>F633*G633</f>
        <v>0</v>
      </c>
      <c r="BK633" s="28"/>
      <c r="BL633" s="28">
        <v>27</v>
      </c>
      <c r="BW633" s="28">
        <v>21</v>
      </c>
      <c r="BX633" s="4" t="s">
        <v>1096</v>
      </c>
    </row>
    <row r="634" spans="1:76" ht="14.4" x14ac:dyDescent="0.3">
      <c r="A634" s="31"/>
      <c r="C634" s="32" t="s">
        <v>1097</v>
      </c>
      <c r="D634" s="32" t="s">
        <v>51</v>
      </c>
      <c r="F634" s="33">
        <v>3.52</v>
      </c>
      <c r="K634" s="34"/>
    </row>
    <row r="635" spans="1:76" ht="14.4" x14ac:dyDescent="0.3">
      <c r="A635" s="2" t="s">
        <v>1098</v>
      </c>
      <c r="B635" s="3" t="s">
        <v>1099</v>
      </c>
      <c r="C635" s="75" t="s">
        <v>1100</v>
      </c>
      <c r="D635" s="70"/>
      <c r="E635" s="3" t="s">
        <v>103</v>
      </c>
      <c r="F635" s="28">
        <v>3.52</v>
      </c>
      <c r="G635" s="28">
        <v>0</v>
      </c>
      <c r="H635" s="28">
        <f>ROUND(F635*AO635,2)</f>
        <v>0</v>
      </c>
      <c r="I635" s="28">
        <f>ROUND(F635*AP635,2)</f>
        <v>0</v>
      </c>
      <c r="J635" s="28">
        <f>ROUND(F635*G635,2)</f>
        <v>0</v>
      </c>
      <c r="K635" s="29" t="s">
        <v>60</v>
      </c>
      <c r="Z635" s="28">
        <f>ROUND(IF(AQ635="5",BJ635,0),2)</f>
        <v>0</v>
      </c>
      <c r="AB635" s="28">
        <f>ROUND(IF(AQ635="1",BH635,0),2)</f>
        <v>0</v>
      </c>
      <c r="AC635" s="28">
        <f>ROUND(IF(AQ635="1",BI635,0),2)</f>
        <v>0</v>
      </c>
      <c r="AD635" s="28">
        <f>ROUND(IF(AQ635="7",BH635,0),2)</f>
        <v>0</v>
      </c>
      <c r="AE635" s="28">
        <f>ROUND(IF(AQ635="7",BI635,0),2)</f>
        <v>0</v>
      </c>
      <c r="AF635" s="28">
        <f>ROUND(IF(AQ635="2",BH635,0),2)</f>
        <v>0</v>
      </c>
      <c r="AG635" s="28">
        <f>ROUND(IF(AQ635="2",BI635,0),2)</f>
        <v>0</v>
      </c>
      <c r="AH635" s="28">
        <f>ROUND(IF(AQ635="0",BJ635,0),2)</f>
        <v>0</v>
      </c>
      <c r="AI635" s="10" t="s">
        <v>1050</v>
      </c>
      <c r="AJ635" s="28">
        <f>IF(AN635=0,J635,0)</f>
        <v>0</v>
      </c>
      <c r="AK635" s="28">
        <f>IF(AN635=12,J635,0)</f>
        <v>0</v>
      </c>
      <c r="AL635" s="28">
        <f>IF(AN635=21,J635,0)</f>
        <v>0</v>
      </c>
      <c r="AN635" s="28">
        <v>21</v>
      </c>
      <c r="AO635" s="28">
        <f>G635*0</f>
        <v>0</v>
      </c>
      <c r="AP635" s="28">
        <f>G635*(1-0)</f>
        <v>0</v>
      </c>
      <c r="AQ635" s="30" t="s">
        <v>56</v>
      </c>
      <c r="AV635" s="28">
        <f>ROUND(AW635+AX635,2)</f>
        <v>0</v>
      </c>
      <c r="AW635" s="28">
        <f>ROUND(F635*AO635,2)</f>
        <v>0</v>
      </c>
      <c r="AX635" s="28">
        <f>ROUND(F635*AP635,2)</f>
        <v>0</v>
      </c>
      <c r="AY635" s="30" t="s">
        <v>234</v>
      </c>
      <c r="AZ635" s="30" t="s">
        <v>1078</v>
      </c>
      <c r="BA635" s="10" t="s">
        <v>1055</v>
      </c>
      <c r="BC635" s="28">
        <f>AW635+AX635</f>
        <v>0</v>
      </c>
      <c r="BD635" s="28">
        <f>G635/(100-BE635)*100</f>
        <v>0</v>
      </c>
      <c r="BE635" s="28">
        <v>0</v>
      </c>
      <c r="BF635" s="28">
        <f>635</f>
        <v>635</v>
      </c>
      <c r="BH635" s="28">
        <f>F635*AO635</f>
        <v>0</v>
      </c>
      <c r="BI635" s="28">
        <f>F635*AP635</f>
        <v>0</v>
      </c>
      <c r="BJ635" s="28">
        <f>F635*G635</f>
        <v>0</v>
      </c>
      <c r="BK635" s="28"/>
      <c r="BL635" s="28">
        <v>27</v>
      </c>
      <c r="BW635" s="28">
        <v>21</v>
      </c>
      <c r="BX635" s="4" t="s">
        <v>1100</v>
      </c>
    </row>
    <row r="636" spans="1:76" ht="14.4" x14ac:dyDescent="0.3">
      <c r="A636" s="24" t="s">
        <v>51</v>
      </c>
      <c r="B636" s="25" t="s">
        <v>240</v>
      </c>
      <c r="C636" s="91" t="s">
        <v>241</v>
      </c>
      <c r="D636" s="92"/>
      <c r="E636" s="26" t="s">
        <v>4</v>
      </c>
      <c r="F636" s="26" t="s">
        <v>4</v>
      </c>
      <c r="G636" s="26" t="s">
        <v>4</v>
      </c>
      <c r="H636" s="1">
        <f>SUM(H637:H656)</f>
        <v>0</v>
      </c>
      <c r="I636" s="1">
        <f>SUM(I637:I656)</f>
        <v>0</v>
      </c>
      <c r="J636" s="1">
        <f>SUM(J637:J656)</f>
        <v>0</v>
      </c>
      <c r="K636" s="27" t="s">
        <v>51</v>
      </c>
      <c r="AI636" s="10" t="s">
        <v>1050</v>
      </c>
      <c r="AS636" s="1">
        <f>SUM(AJ637:AJ656)</f>
        <v>0</v>
      </c>
      <c r="AT636" s="1">
        <f>SUM(AK637:AK656)</f>
        <v>0</v>
      </c>
      <c r="AU636" s="1">
        <f>SUM(AL637:AL656)</f>
        <v>0</v>
      </c>
    </row>
    <row r="637" spans="1:76" ht="14.4" x14ac:dyDescent="0.3">
      <c r="A637" s="2" t="s">
        <v>1101</v>
      </c>
      <c r="B637" s="3" t="s">
        <v>1102</v>
      </c>
      <c r="C637" s="75" t="s">
        <v>1103</v>
      </c>
      <c r="D637" s="70"/>
      <c r="E637" s="3" t="s">
        <v>59</v>
      </c>
      <c r="F637" s="28">
        <v>12.29</v>
      </c>
      <c r="G637" s="28">
        <v>0</v>
      </c>
      <c r="H637" s="28">
        <f>ROUND(F637*AO637,2)</f>
        <v>0</v>
      </c>
      <c r="I637" s="28">
        <f>ROUND(F637*AP637,2)</f>
        <v>0</v>
      </c>
      <c r="J637" s="28">
        <f>ROUND(F637*G637,2)</f>
        <v>0</v>
      </c>
      <c r="K637" s="29" t="s">
        <v>60</v>
      </c>
      <c r="Z637" s="28">
        <f>ROUND(IF(AQ637="5",BJ637,0),2)</f>
        <v>0</v>
      </c>
      <c r="AB637" s="28">
        <f>ROUND(IF(AQ637="1",BH637,0),2)</f>
        <v>0</v>
      </c>
      <c r="AC637" s="28">
        <f>ROUND(IF(AQ637="1",BI637,0),2)</f>
        <v>0</v>
      </c>
      <c r="AD637" s="28">
        <f>ROUND(IF(AQ637="7",BH637,0),2)</f>
        <v>0</v>
      </c>
      <c r="AE637" s="28">
        <f>ROUND(IF(AQ637="7",BI637,0),2)</f>
        <v>0</v>
      </c>
      <c r="AF637" s="28">
        <f>ROUND(IF(AQ637="2",BH637,0),2)</f>
        <v>0</v>
      </c>
      <c r="AG637" s="28">
        <f>ROUND(IF(AQ637="2",BI637,0),2)</f>
        <v>0</v>
      </c>
      <c r="AH637" s="28">
        <f>ROUND(IF(AQ637="0",BJ637,0),2)</f>
        <v>0</v>
      </c>
      <c r="AI637" s="10" t="s">
        <v>1050</v>
      </c>
      <c r="AJ637" s="28">
        <f>IF(AN637=0,J637,0)</f>
        <v>0</v>
      </c>
      <c r="AK637" s="28">
        <f>IF(AN637=12,J637,0)</f>
        <v>0</v>
      </c>
      <c r="AL637" s="28">
        <f>IF(AN637=21,J637,0)</f>
        <v>0</v>
      </c>
      <c r="AN637" s="28">
        <v>21</v>
      </c>
      <c r="AO637" s="28">
        <f>G637*0.85102268</f>
        <v>0</v>
      </c>
      <c r="AP637" s="28">
        <f>G637*(1-0.85102268)</f>
        <v>0</v>
      </c>
      <c r="AQ637" s="30" t="s">
        <v>56</v>
      </c>
      <c r="AV637" s="28">
        <f>ROUND(AW637+AX637,2)</f>
        <v>0</v>
      </c>
      <c r="AW637" s="28">
        <f>ROUND(F637*AO637,2)</f>
        <v>0</v>
      </c>
      <c r="AX637" s="28">
        <f>ROUND(F637*AP637,2)</f>
        <v>0</v>
      </c>
      <c r="AY637" s="30" t="s">
        <v>244</v>
      </c>
      <c r="AZ637" s="30" t="s">
        <v>1104</v>
      </c>
      <c r="BA637" s="10" t="s">
        <v>1055</v>
      </c>
      <c r="BC637" s="28">
        <f>AW637+AX637</f>
        <v>0</v>
      </c>
      <c r="BD637" s="28">
        <f>G637/(100-BE637)*100</f>
        <v>0</v>
      </c>
      <c r="BE637" s="28">
        <v>0</v>
      </c>
      <c r="BF637" s="28">
        <f>637</f>
        <v>637</v>
      </c>
      <c r="BH637" s="28">
        <f>F637*AO637</f>
        <v>0</v>
      </c>
      <c r="BI637" s="28">
        <f>F637*AP637</f>
        <v>0</v>
      </c>
      <c r="BJ637" s="28">
        <f>F637*G637</f>
        <v>0</v>
      </c>
      <c r="BK637" s="28"/>
      <c r="BL637" s="28">
        <v>31</v>
      </c>
      <c r="BW637" s="28">
        <v>21</v>
      </c>
      <c r="BX637" s="4" t="s">
        <v>1103</v>
      </c>
    </row>
    <row r="638" spans="1:76" ht="14.4" x14ac:dyDescent="0.3">
      <c r="A638" s="31"/>
      <c r="C638" s="32" t="s">
        <v>1105</v>
      </c>
      <c r="D638" s="32" t="s">
        <v>51</v>
      </c>
      <c r="F638" s="33">
        <v>4.032</v>
      </c>
      <c r="K638" s="34"/>
    </row>
    <row r="639" spans="1:76" ht="14.4" x14ac:dyDescent="0.3">
      <c r="A639" s="31"/>
      <c r="C639" s="32" t="s">
        <v>1106</v>
      </c>
      <c r="D639" s="32" t="s">
        <v>51</v>
      </c>
      <c r="F639" s="33">
        <v>0.30249999999999999</v>
      </c>
      <c r="K639" s="34"/>
    </row>
    <row r="640" spans="1:76" ht="14.4" x14ac:dyDescent="0.3">
      <c r="A640" s="31"/>
      <c r="C640" s="32" t="s">
        <v>1107</v>
      </c>
      <c r="D640" s="32" t="s">
        <v>51</v>
      </c>
      <c r="F640" s="33">
        <v>2.25</v>
      </c>
      <c r="K640" s="34"/>
    </row>
    <row r="641" spans="1:76" ht="14.4" x14ac:dyDescent="0.3">
      <c r="A641" s="31"/>
      <c r="C641" s="32" t="s">
        <v>1108</v>
      </c>
      <c r="D641" s="32" t="s">
        <v>51</v>
      </c>
      <c r="F641" s="33">
        <v>0.221</v>
      </c>
      <c r="K641" s="34"/>
    </row>
    <row r="642" spans="1:76" ht="14.4" x14ac:dyDescent="0.3">
      <c r="A642" s="31"/>
      <c r="C642" s="32" t="s">
        <v>1109</v>
      </c>
      <c r="D642" s="32" t="s">
        <v>51</v>
      </c>
      <c r="F642" s="33">
        <v>1.075</v>
      </c>
      <c r="K642" s="34"/>
    </row>
    <row r="643" spans="1:76" ht="14.4" x14ac:dyDescent="0.3">
      <c r="A643" s="31"/>
      <c r="C643" s="32" t="s">
        <v>1110</v>
      </c>
      <c r="D643" s="32" t="s">
        <v>51</v>
      </c>
      <c r="F643" s="33">
        <v>0.58125000000000004</v>
      </c>
      <c r="K643" s="34"/>
    </row>
    <row r="644" spans="1:76" ht="14.4" x14ac:dyDescent="0.3">
      <c r="A644" s="31"/>
      <c r="C644" s="32" t="s">
        <v>1111</v>
      </c>
      <c r="D644" s="32" t="s">
        <v>51</v>
      </c>
      <c r="F644" s="33">
        <v>3.8250000000000002</v>
      </c>
      <c r="K644" s="34"/>
    </row>
    <row r="645" spans="1:76" ht="14.4" x14ac:dyDescent="0.3">
      <c r="A645" s="2" t="s">
        <v>1112</v>
      </c>
      <c r="B645" s="3" t="s">
        <v>1113</v>
      </c>
      <c r="C645" s="75" t="s">
        <v>1114</v>
      </c>
      <c r="D645" s="70"/>
      <c r="E645" s="3" t="s">
        <v>103</v>
      </c>
      <c r="F645" s="28">
        <v>86.89</v>
      </c>
      <c r="G645" s="28">
        <v>0</v>
      </c>
      <c r="H645" s="28">
        <f>ROUND(F645*AO645,2)</f>
        <v>0</v>
      </c>
      <c r="I645" s="28">
        <f>ROUND(F645*AP645,2)</f>
        <v>0</v>
      </c>
      <c r="J645" s="28">
        <f>ROUND(F645*G645,2)</f>
        <v>0</v>
      </c>
      <c r="K645" s="29" t="s">
        <v>60</v>
      </c>
      <c r="Z645" s="28">
        <f>ROUND(IF(AQ645="5",BJ645,0),2)</f>
        <v>0</v>
      </c>
      <c r="AB645" s="28">
        <f>ROUND(IF(AQ645="1",BH645,0),2)</f>
        <v>0</v>
      </c>
      <c r="AC645" s="28">
        <f>ROUND(IF(AQ645="1",BI645,0),2)</f>
        <v>0</v>
      </c>
      <c r="AD645" s="28">
        <f>ROUND(IF(AQ645="7",BH645,0),2)</f>
        <v>0</v>
      </c>
      <c r="AE645" s="28">
        <f>ROUND(IF(AQ645="7",BI645,0),2)</f>
        <v>0</v>
      </c>
      <c r="AF645" s="28">
        <f>ROUND(IF(AQ645="2",BH645,0),2)</f>
        <v>0</v>
      </c>
      <c r="AG645" s="28">
        <f>ROUND(IF(AQ645="2",BI645,0),2)</f>
        <v>0</v>
      </c>
      <c r="AH645" s="28">
        <f>ROUND(IF(AQ645="0",BJ645,0),2)</f>
        <v>0</v>
      </c>
      <c r="AI645" s="10" t="s">
        <v>1050</v>
      </c>
      <c r="AJ645" s="28">
        <f>IF(AN645=0,J645,0)</f>
        <v>0</v>
      </c>
      <c r="AK645" s="28">
        <f>IF(AN645=12,J645,0)</f>
        <v>0</v>
      </c>
      <c r="AL645" s="28">
        <f>IF(AN645=21,J645,0)</f>
        <v>0</v>
      </c>
      <c r="AN645" s="28">
        <v>21</v>
      </c>
      <c r="AO645" s="28">
        <f>G645*0.445901873</f>
        <v>0</v>
      </c>
      <c r="AP645" s="28">
        <f>G645*(1-0.445901873)</f>
        <v>0</v>
      </c>
      <c r="AQ645" s="30" t="s">
        <v>56</v>
      </c>
      <c r="AV645" s="28">
        <f>ROUND(AW645+AX645,2)</f>
        <v>0</v>
      </c>
      <c r="AW645" s="28">
        <f>ROUND(F645*AO645,2)</f>
        <v>0</v>
      </c>
      <c r="AX645" s="28">
        <f>ROUND(F645*AP645,2)</f>
        <v>0</v>
      </c>
      <c r="AY645" s="30" t="s">
        <v>244</v>
      </c>
      <c r="AZ645" s="30" t="s">
        <v>1104</v>
      </c>
      <c r="BA645" s="10" t="s">
        <v>1055</v>
      </c>
      <c r="BC645" s="28">
        <f>AW645+AX645</f>
        <v>0</v>
      </c>
      <c r="BD645" s="28">
        <f>G645/(100-BE645)*100</f>
        <v>0</v>
      </c>
      <c r="BE645" s="28">
        <v>0</v>
      </c>
      <c r="BF645" s="28">
        <f>645</f>
        <v>645</v>
      </c>
      <c r="BH645" s="28">
        <f>F645*AO645</f>
        <v>0</v>
      </c>
      <c r="BI645" s="28">
        <f>F645*AP645</f>
        <v>0</v>
      </c>
      <c r="BJ645" s="28">
        <f>F645*G645</f>
        <v>0</v>
      </c>
      <c r="BK645" s="28"/>
      <c r="BL645" s="28">
        <v>31</v>
      </c>
      <c r="BW645" s="28">
        <v>21</v>
      </c>
      <c r="BX645" s="4" t="s">
        <v>1114</v>
      </c>
    </row>
    <row r="646" spans="1:76" ht="14.4" x14ac:dyDescent="0.3">
      <c r="A646" s="31"/>
      <c r="C646" s="32" t="s">
        <v>1115</v>
      </c>
      <c r="D646" s="32" t="s">
        <v>51</v>
      </c>
      <c r="F646" s="33">
        <v>13.65</v>
      </c>
      <c r="K646" s="34"/>
    </row>
    <row r="647" spans="1:76" ht="14.4" x14ac:dyDescent="0.3">
      <c r="A647" s="31"/>
      <c r="C647" s="32" t="s">
        <v>1116</v>
      </c>
      <c r="D647" s="32" t="s">
        <v>51</v>
      </c>
      <c r="F647" s="33">
        <v>3.0249999999999999</v>
      </c>
      <c r="K647" s="34"/>
    </row>
    <row r="648" spans="1:76" ht="14.4" x14ac:dyDescent="0.3">
      <c r="A648" s="31"/>
      <c r="C648" s="32" t="s">
        <v>1117</v>
      </c>
      <c r="D648" s="32" t="s">
        <v>51</v>
      </c>
      <c r="F648" s="33">
        <v>24.3</v>
      </c>
      <c r="K648" s="34"/>
    </row>
    <row r="649" spans="1:76" ht="14.4" x14ac:dyDescent="0.3">
      <c r="A649" s="31"/>
      <c r="C649" s="32" t="s">
        <v>1118</v>
      </c>
      <c r="D649" s="32" t="s">
        <v>51</v>
      </c>
      <c r="F649" s="33">
        <v>2.34</v>
      </c>
      <c r="K649" s="34"/>
    </row>
    <row r="650" spans="1:76" ht="14.4" x14ac:dyDescent="0.3">
      <c r="A650" s="31"/>
      <c r="C650" s="32" t="s">
        <v>1119</v>
      </c>
      <c r="D650" s="32" t="s">
        <v>51</v>
      </c>
      <c r="F650" s="33">
        <v>11.75</v>
      </c>
      <c r="K650" s="34"/>
    </row>
    <row r="651" spans="1:76" ht="14.4" x14ac:dyDescent="0.3">
      <c r="A651" s="31"/>
      <c r="C651" s="32" t="s">
        <v>1120</v>
      </c>
      <c r="D651" s="32" t="s">
        <v>51</v>
      </c>
      <c r="F651" s="33">
        <v>5.0250000000000004</v>
      </c>
      <c r="K651" s="34"/>
    </row>
    <row r="652" spans="1:76" ht="14.4" x14ac:dyDescent="0.3">
      <c r="A652" s="31"/>
      <c r="C652" s="32" t="s">
        <v>1121</v>
      </c>
      <c r="D652" s="32" t="s">
        <v>51</v>
      </c>
      <c r="F652" s="33">
        <v>26.8</v>
      </c>
      <c r="K652" s="34"/>
    </row>
    <row r="653" spans="1:76" ht="14.4" x14ac:dyDescent="0.3">
      <c r="A653" s="2" t="s">
        <v>1122</v>
      </c>
      <c r="B653" s="3" t="s">
        <v>1123</v>
      </c>
      <c r="C653" s="75" t="s">
        <v>1124</v>
      </c>
      <c r="D653" s="70"/>
      <c r="E653" s="3" t="s">
        <v>103</v>
      </c>
      <c r="F653" s="28">
        <v>86.89</v>
      </c>
      <c r="G653" s="28">
        <v>0</v>
      </c>
      <c r="H653" s="28">
        <f>ROUND(F653*AO653,2)</f>
        <v>0</v>
      </c>
      <c r="I653" s="28">
        <f>ROUND(F653*AP653,2)</f>
        <v>0</v>
      </c>
      <c r="J653" s="28">
        <f>ROUND(F653*G653,2)</f>
        <v>0</v>
      </c>
      <c r="K653" s="29" t="s">
        <v>60</v>
      </c>
      <c r="Z653" s="28">
        <f>ROUND(IF(AQ653="5",BJ653,0),2)</f>
        <v>0</v>
      </c>
      <c r="AB653" s="28">
        <f>ROUND(IF(AQ653="1",BH653,0),2)</f>
        <v>0</v>
      </c>
      <c r="AC653" s="28">
        <f>ROUND(IF(AQ653="1",BI653,0),2)</f>
        <v>0</v>
      </c>
      <c r="AD653" s="28">
        <f>ROUND(IF(AQ653="7",BH653,0),2)</f>
        <v>0</v>
      </c>
      <c r="AE653" s="28">
        <f>ROUND(IF(AQ653="7",BI653,0),2)</f>
        <v>0</v>
      </c>
      <c r="AF653" s="28">
        <f>ROUND(IF(AQ653="2",BH653,0),2)</f>
        <v>0</v>
      </c>
      <c r="AG653" s="28">
        <f>ROUND(IF(AQ653="2",BI653,0),2)</f>
        <v>0</v>
      </c>
      <c r="AH653" s="28">
        <f>ROUND(IF(AQ653="0",BJ653,0),2)</f>
        <v>0</v>
      </c>
      <c r="AI653" s="10" t="s">
        <v>1050</v>
      </c>
      <c r="AJ653" s="28">
        <f>IF(AN653=0,J653,0)</f>
        <v>0</v>
      </c>
      <c r="AK653" s="28">
        <f>IF(AN653=12,J653,0)</f>
        <v>0</v>
      </c>
      <c r="AL653" s="28">
        <f>IF(AN653=21,J653,0)</f>
        <v>0</v>
      </c>
      <c r="AN653" s="28">
        <v>21</v>
      </c>
      <c r="AO653" s="28">
        <f>G653*0</f>
        <v>0</v>
      </c>
      <c r="AP653" s="28">
        <f>G653*(1-0)</f>
        <v>0</v>
      </c>
      <c r="AQ653" s="30" t="s">
        <v>56</v>
      </c>
      <c r="AV653" s="28">
        <f>ROUND(AW653+AX653,2)</f>
        <v>0</v>
      </c>
      <c r="AW653" s="28">
        <f>ROUND(F653*AO653,2)</f>
        <v>0</v>
      </c>
      <c r="AX653" s="28">
        <f>ROUND(F653*AP653,2)</f>
        <v>0</v>
      </c>
      <c r="AY653" s="30" t="s">
        <v>244</v>
      </c>
      <c r="AZ653" s="30" t="s">
        <v>1104</v>
      </c>
      <c r="BA653" s="10" t="s">
        <v>1055</v>
      </c>
      <c r="BC653" s="28">
        <f>AW653+AX653</f>
        <v>0</v>
      </c>
      <c r="BD653" s="28">
        <f>G653/(100-BE653)*100</f>
        <v>0</v>
      </c>
      <c r="BE653" s="28">
        <v>0</v>
      </c>
      <c r="BF653" s="28">
        <f>653</f>
        <v>653</v>
      </c>
      <c r="BH653" s="28">
        <f>F653*AO653</f>
        <v>0</v>
      </c>
      <c r="BI653" s="28">
        <f>F653*AP653</f>
        <v>0</v>
      </c>
      <c r="BJ653" s="28">
        <f>F653*G653</f>
        <v>0</v>
      </c>
      <c r="BK653" s="28"/>
      <c r="BL653" s="28">
        <v>31</v>
      </c>
      <c r="BW653" s="28">
        <v>21</v>
      </c>
      <c r="BX653" s="4" t="s">
        <v>1124</v>
      </c>
    </row>
    <row r="654" spans="1:76" ht="14.4" x14ac:dyDescent="0.3">
      <c r="A654" s="2" t="s">
        <v>1125</v>
      </c>
      <c r="B654" s="3" t="s">
        <v>1126</v>
      </c>
      <c r="C654" s="75" t="s">
        <v>1127</v>
      </c>
      <c r="D654" s="70"/>
      <c r="E654" s="3" t="s">
        <v>201</v>
      </c>
      <c r="F654" s="28">
        <v>1.23</v>
      </c>
      <c r="G654" s="28">
        <v>0</v>
      </c>
      <c r="H654" s="28">
        <f>ROUND(F654*AO654,2)</f>
        <v>0</v>
      </c>
      <c r="I654" s="28">
        <f>ROUND(F654*AP654,2)</f>
        <v>0</v>
      </c>
      <c r="J654" s="28">
        <f>ROUND(F654*G654,2)</f>
        <v>0</v>
      </c>
      <c r="K654" s="29" t="s">
        <v>60</v>
      </c>
      <c r="Z654" s="28">
        <f>ROUND(IF(AQ654="5",BJ654,0),2)</f>
        <v>0</v>
      </c>
      <c r="AB654" s="28">
        <f>ROUND(IF(AQ654="1",BH654,0),2)</f>
        <v>0</v>
      </c>
      <c r="AC654" s="28">
        <f>ROUND(IF(AQ654="1",BI654,0),2)</f>
        <v>0</v>
      </c>
      <c r="AD654" s="28">
        <f>ROUND(IF(AQ654="7",BH654,0),2)</f>
        <v>0</v>
      </c>
      <c r="AE654" s="28">
        <f>ROUND(IF(AQ654="7",BI654,0),2)</f>
        <v>0</v>
      </c>
      <c r="AF654" s="28">
        <f>ROUND(IF(AQ654="2",BH654,0),2)</f>
        <v>0</v>
      </c>
      <c r="AG654" s="28">
        <f>ROUND(IF(AQ654="2",BI654,0),2)</f>
        <v>0</v>
      </c>
      <c r="AH654" s="28">
        <f>ROUND(IF(AQ654="0",BJ654,0),2)</f>
        <v>0</v>
      </c>
      <c r="AI654" s="10" t="s">
        <v>1050</v>
      </c>
      <c r="AJ654" s="28">
        <f>IF(AN654=0,J654,0)</f>
        <v>0</v>
      </c>
      <c r="AK654" s="28">
        <f>IF(AN654=12,J654,0)</f>
        <v>0</v>
      </c>
      <c r="AL654" s="28">
        <f>IF(AN654=21,J654,0)</f>
        <v>0</v>
      </c>
      <c r="AN654" s="28">
        <v>21</v>
      </c>
      <c r="AO654" s="28">
        <f>G654*0.721133909</f>
        <v>0</v>
      </c>
      <c r="AP654" s="28">
        <f>G654*(1-0.721133909)</f>
        <v>0</v>
      </c>
      <c r="AQ654" s="30" t="s">
        <v>56</v>
      </c>
      <c r="AV654" s="28">
        <f>ROUND(AW654+AX654,2)</f>
        <v>0</v>
      </c>
      <c r="AW654" s="28">
        <f>ROUND(F654*AO654,2)</f>
        <v>0</v>
      </c>
      <c r="AX654" s="28">
        <f>ROUND(F654*AP654,2)</f>
        <v>0</v>
      </c>
      <c r="AY654" s="30" t="s">
        <v>244</v>
      </c>
      <c r="AZ654" s="30" t="s">
        <v>1104</v>
      </c>
      <c r="BA654" s="10" t="s">
        <v>1055</v>
      </c>
      <c r="BC654" s="28">
        <f>AW654+AX654</f>
        <v>0</v>
      </c>
      <c r="BD654" s="28">
        <f>G654/(100-BE654)*100</f>
        <v>0</v>
      </c>
      <c r="BE654" s="28">
        <v>0</v>
      </c>
      <c r="BF654" s="28">
        <f>654</f>
        <v>654</v>
      </c>
      <c r="BH654" s="28">
        <f>F654*AO654</f>
        <v>0</v>
      </c>
      <c r="BI654" s="28">
        <f>F654*AP654</f>
        <v>0</v>
      </c>
      <c r="BJ654" s="28">
        <f>F654*G654</f>
        <v>0</v>
      </c>
      <c r="BK654" s="28"/>
      <c r="BL654" s="28">
        <v>31</v>
      </c>
      <c r="BW654" s="28">
        <v>21</v>
      </c>
      <c r="BX654" s="4" t="s">
        <v>1127</v>
      </c>
    </row>
    <row r="655" spans="1:76" ht="14.4" x14ac:dyDescent="0.3">
      <c r="A655" s="31"/>
      <c r="C655" s="32" t="s">
        <v>1128</v>
      </c>
      <c r="D655" s="32" t="s">
        <v>51</v>
      </c>
      <c r="F655" s="33">
        <v>1.2286699999999999</v>
      </c>
      <c r="K655" s="34"/>
    </row>
    <row r="656" spans="1:76" ht="14.4" x14ac:dyDescent="0.3">
      <c r="A656" s="2" t="s">
        <v>1129</v>
      </c>
      <c r="B656" s="3" t="s">
        <v>1130</v>
      </c>
      <c r="C656" s="75" t="s">
        <v>1131</v>
      </c>
      <c r="D656" s="70"/>
      <c r="E656" s="3" t="s">
        <v>293</v>
      </c>
      <c r="F656" s="28">
        <v>2</v>
      </c>
      <c r="G656" s="28">
        <v>0</v>
      </c>
      <c r="H656" s="28">
        <f>ROUND(F656*AO656,2)</f>
        <v>0</v>
      </c>
      <c r="I656" s="28">
        <f>ROUND(F656*AP656,2)</f>
        <v>0</v>
      </c>
      <c r="J656" s="28">
        <f>ROUND(F656*G656,2)</f>
        <v>0</v>
      </c>
      <c r="K656" s="29" t="s">
        <v>60</v>
      </c>
      <c r="Z656" s="28">
        <f>ROUND(IF(AQ656="5",BJ656,0),2)</f>
        <v>0</v>
      </c>
      <c r="AB656" s="28">
        <f>ROUND(IF(AQ656="1",BH656,0),2)</f>
        <v>0</v>
      </c>
      <c r="AC656" s="28">
        <f>ROUND(IF(AQ656="1",BI656,0),2)</f>
        <v>0</v>
      </c>
      <c r="AD656" s="28">
        <f>ROUND(IF(AQ656="7",BH656,0),2)</f>
        <v>0</v>
      </c>
      <c r="AE656" s="28">
        <f>ROUND(IF(AQ656="7",BI656,0),2)</f>
        <v>0</v>
      </c>
      <c r="AF656" s="28">
        <f>ROUND(IF(AQ656="2",BH656,0),2)</f>
        <v>0</v>
      </c>
      <c r="AG656" s="28">
        <f>ROUND(IF(AQ656="2",BI656,0),2)</f>
        <v>0</v>
      </c>
      <c r="AH656" s="28">
        <f>ROUND(IF(AQ656="0",BJ656,0),2)</f>
        <v>0</v>
      </c>
      <c r="AI656" s="10" t="s">
        <v>1050</v>
      </c>
      <c r="AJ656" s="28">
        <f>IF(AN656=0,J656,0)</f>
        <v>0</v>
      </c>
      <c r="AK656" s="28">
        <f>IF(AN656=12,J656,0)</f>
        <v>0</v>
      </c>
      <c r="AL656" s="28">
        <f>IF(AN656=21,J656,0)</f>
        <v>0</v>
      </c>
      <c r="AN656" s="28">
        <v>21</v>
      </c>
      <c r="AO656" s="28">
        <f>G656*0</f>
        <v>0</v>
      </c>
      <c r="AP656" s="28">
        <f>G656*(1-0)</f>
        <v>0</v>
      </c>
      <c r="AQ656" s="30" t="s">
        <v>56</v>
      </c>
      <c r="AV656" s="28">
        <f>ROUND(AW656+AX656,2)</f>
        <v>0</v>
      </c>
      <c r="AW656" s="28">
        <f>ROUND(F656*AO656,2)</f>
        <v>0</v>
      </c>
      <c r="AX656" s="28">
        <f>ROUND(F656*AP656,2)</f>
        <v>0</v>
      </c>
      <c r="AY656" s="30" t="s">
        <v>244</v>
      </c>
      <c r="AZ656" s="30" t="s">
        <v>1104</v>
      </c>
      <c r="BA656" s="10" t="s">
        <v>1055</v>
      </c>
      <c r="BC656" s="28">
        <f>AW656+AX656</f>
        <v>0</v>
      </c>
      <c r="BD656" s="28">
        <f>G656/(100-BE656)*100</f>
        <v>0</v>
      </c>
      <c r="BE656" s="28">
        <v>0</v>
      </c>
      <c r="BF656" s="28">
        <f>656</f>
        <v>656</v>
      </c>
      <c r="BH656" s="28">
        <f>F656*AO656</f>
        <v>0</v>
      </c>
      <c r="BI656" s="28">
        <f>F656*AP656</f>
        <v>0</v>
      </c>
      <c r="BJ656" s="28">
        <f>F656*G656</f>
        <v>0</v>
      </c>
      <c r="BK656" s="28"/>
      <c r="BL656" s="28">
        <v>31</v>
      </c>
      <c r="BW656" s="28">
        <v>21</v>
      </c>
      <c r="BX656" s="4" t="s">
        <v>1131</v>
      </c>
    </row>
    <row r="657" spans="1:76" ht="14.4" x14ac:dyDescent="0.3">
      <c r="A657" s="24" t="s">
        <v>51</v>
      </c>
      <c r="B657" s="25" t="s">
        <v>307</v>
      </c>
      <c r="C657" s="91" t="s">
        <v>1132</v>
      </c>
      <c r="D657" s="92"/>
      <c r="E657" s="26" t="s">
        <v>4</v>
      </c>
      <c r="F657" s="26" t="s">
        <v>4</v>
      </c>
      <c r="G657" s="26" t="s">
        <v>4</v>
      </c>
      <c r="H657" s="1">
        <f>SUM(H658:H665)</f>
        <v>0</v>
      </c>
      <c r="I657" s="1">
        <f>SUM(I658:I665)</f>
        <v>0</v>
      </c>
      <c r="J657" s="1">
        <f>SUM(J658:J665)</f>
        <v>0</v>
      </c>
      <c r="K657" s="27" t="s">
        <v>51</v>
      </c>
      <c r="AI657" s="10" t="s">
        <v>1050</v>
      </c>
      <c r="AS657" s="1">
        <f>SUM(AJ658:AJ665)</f>
        <v>0</v>
      </c>
      <c r="AT657" s="1">
        <f>SUM(AK658:AK665)</f>
        <v>0</v>
      </c>
      <c r="AU657" s="1">
        <f>SUM(AL658:AL665)</f>
        <v>0</v>
      </c>
    </row>
    <row r="658" spans="1:76" ht="14.4" x14ac:dyDescent="0.3">
      <c r="A658" s="2" t="s">
        <v>1133</v>
      </c>
      <c r="B658" s="3" t="s">
        <v>1134</v>
      </c>
      <c r="C658" s="75" t="s">
        <v>1135</v>
      </c>
      <c r="D658" s="70"/>
      <c r="E658" s="3" t="s">
        <v>293</v>
      </c>
      <c r="F658" s="28">
        <v>332</v>
      </c>
      <c r="G658" s="28">
        <v>0</v>
      </c>
      <c r="H658" s="28">
        <f>ROUND(F658*AO658,2)</f>
        <v>0</v>
      </c>
      <c r="I658" s="28">
        <f>ROUND(F658*AP658,2)</f>
        <v>0</v>
      </c>
      <c r="J658" s="28">
        <f>ROUND(F658*G658,2)</f>
        <v>0</v>
      </c>
      <c r="K658" s="29" t="s">
        <v>60</v>
      </c>
      <c r="Z658" s="28">
        <f>ROUND(IF(AQ658="5",BJ658,0),2)</f>
        <v>0</v>
      </c>
      <c r="AB658" s="28">
        <f>ROUND(IF(AQ658="1",BH658,0),2)</f>
        <v>0</v>
      </c>
      <c r="AC658" s="28">
        <f>ROUND(IF(AQ658="1",BI658,0),2)</f>
        <v>0</v>
      </c>
      <c r="AD658" s="28">
        <f>ROUND(IF(AQ658="7",BH658,0),2)</f>
        <v>0</v>
      </c>
      <c r="AE658" s="28">
        <f>ROUND(IF(AQ658="7",BI658,0),2)</f>
        <v>0</v>
      </c>
      <c r="AF658" s="28">
        <f>ROUND(IF(AQ658="2",BH658,0),2)</f>
        <v>0</v>
      </c>
      <c r="AG658" s="28">
        <f>ROUND(IF(AQ658="2",BI658,0),2)</f>
        <v>0</v>
      </c>
      <c r="AH658" s="28">
        <f>ROUND(IF(AQ658="0",BJ658,0),2)</f>
        <v>0</v>
      </c>
      <c r="AI658" s="10" t="s">
        <v>1050</v>
      </c>
      <c r="AJ658" s="28">
        <f>IF(AN658=0,J658,0)</f>
        <v>0</v>
      </c>
      <c r="AK658" s="28">
        <f>IF(AN658=12,J658,0)</f>
        <v>0</v>
      </c>
      <c r="AL658" s="28">
        <f>IF(AN658=21,J658,0)</f>
        <v>0</v>
      </c>
      <c r="AN658" s="28">
        <v>21</v>
      </c>
      <c r="AO658" s="28">
        <f>G658*0.116236162</f>
        <v>0</v>
      </c>
      <c r="AP658" s="28">
        <f>G658*(1-0.116236162)</f>
        <v>0</v>
      </c>
      <c r="AQ658" s="30" t="s">
        <v>56</v>
      </c>
      <c r="AV658" s="28">
        <f>ROUND(AW658+AX658,2)</f>
        <v>0</v>
      </c>
      <c r="AW658" s="28">
        <f>ROUND(F658*AO658,2)</f>
        <v>0</v>
      </c>
      <c r="AX658" s="28">
        <f>ROUND(F658*AP658,2)</f>
        <v>0</v>
      </c>
      <c r="AY658" s="30" t="s">
        <v>1136</v>
      </c>
      <c r="AZ658" s="30" t="s">
        <v>1104</v>
      </c>
      <c r="BA658" s="10" t="s">
        <v>1055</v>
      </c>
      <c r="BC658" s="28">
        <f>AW658+AX658</f>
        <v>0</v>
      </c>
      <c r="BD658" s="28">
        <f>G658/(100-BE658)*100</f>
        <v>0</v>
      </c>
      <c r="BE658" s="28">
        <v>0</v>
      </c>
      <c r="BF658" s="28">
        <f>658</f>
        <v>658</v>
      </c>
      <c r="BH658" s="28">
        <f>F658*AO658</f>
        <v>0</v>
      </c>
      <c r="BI658" s="28">
        <f>F658*AP658</f>
        <v>0</v>
      </c>
      <c r="BJ658" s="28">
        <f>F658*G658</f>
        <v>0</v>
      </c>
      <c r="BK658" s="28"/>
      <c r="BL658" s="28">
        <v>38</v>
      </c>
      <c r="BW658" s="28">
        <v>21</v>
      </c>
      <c r="BX658" s="4" t="s">
        <v>1135</v>
      </c>
    </row>
    <row r="659" spans="1:76" ht="14.4" x14ac:dyDescent="0.3">
      <c r="A659" s="31"/>
      <c r="C659" s="32" t="s">
        <v>1137</v>
      </c>
      <c r="D659" s="32" t="s">
        <v>51</v>
      </c>
      <c r="F659" s="33">
        <v>153.6</v>
      </c>
      <c r="K659" s="34"/>
    </row>
    <row r="660" spans="1:76" ht="14.4" x14ac:dyDescent="0.3">
      <c r="A660" s="31"/>
      <c r="C660" s="32" t="s">
        <v>1138</v>
      </c>
      <c r="D660" s="32" t="s">
        <v>51</v>
      </c>
      <c r="F660" s="33">
        <v>48.4</v>
      </c>
      <c r="K660" s="34"/>
    </row>
    <row r="661" spans="1:76" ht="14.4" x14ac:dyDescent="0.3">
      <c r="A661" s="31"/>
      <c r="C661" s="32" t="s">
        <v>1139</v>
      </c>
      <c r="D661" s="32" t="s">
        <v>51</v>
      </c>
      <c r="F661" s="33">
        <v>36</v>
      </c>
      <c r="K661" s="34"/>
    </row>
    <row r="662" spans="1:76" ht="14.4" x14ac:dyDescent="0.3">
      <c r="A662" s="31"/>
      <c r="C662" s="32" t="s">
        <v>1140</v>
      </c>
      <c r="D662" s="32" t="s">
        <v>51</v>
      </c>
      <c r="F662" s="33">
        <v>24.4</v>
      </c>
      <c r="K662" s="34"/>
    </row>
    <row r="663" spans="1:76" ht="14.4" x14ac:dyDescent="0.3">
      <c r="A663" s="31"/>
      <c r="C663" s="32" t="s">
        <v>1141</v>
      </c>
      <c r="D663" s="32" t="s">
        <v>51</v>
      </c>
      <c r="F663" s="33">
        <v>68</v>
      </c>
      <c r="K663" s="34"/>
    </row>
    <row r="664" spans="1:76" ht="14.4" x14ac:dyDescent="0.3">
      <c r="A664" s="31"/>
      <c r="C664" s="32" t="s">
        <v>1142</v>
      </c>
      <c r="D664" s="32" t="s">
        <v>51</v>
      </c>
      <c r="F664" s="33">
        <v>332</v>
      </c>
      <c r="K664" s="34"/>
    </row>
    <row r="665" spans="1:76" ht="14.4" x14ac:dyDescent="0.3">
      <c r="A665" s="2" t="s">
        <v>1143</v>
      </c>
      <c r="B665" s="3" t="s">
        <v>1144</v>
      </c>
      <c r="C665" s="75" t="s">
        <v>1145</v>
      </c>
      <c r="D665" s="70"/>
      <c r="E665" s="3" t="s">
        <v>201</v>
      </c>
      <c r="F665" s="28">
        <v>0.15</v>
      </c>
      <c r="G665" s="28">
        <v>0</v>
      </c>
      <c r="H665" s="28">
        <f>ROUND(F665*AO665,2)</f>
        <v>0</v>
      </c>
      <c r="I665" s="28">
        <f>ROUND(F665*AP665,2)</f>
        <v>0</v>
      </c>
      <c r="J665" s="28">
        <f>ROUND(F665*G665,2)</f>
        <v>0</v>
      </c>
      <c r="K665" s="29" t="s">
        <v>60</v>
      </c>
      <c r="Z665" s="28">
        <f>ROUND(IF(AQ665="5",BJ665,0),2)</f>
        <v>0</v>
      </c>
      <c r="AB665" s="28">
        <f>ROUND(IF(AQ665="1",BH665,0),2)</f>
        <v>0</v>
      </c>
      <c r="AC665" s="28">
        <f>ROUND(IF(AQ665="1",BI665,0),2)</f>
        <v>0</v>
      </c>
      <c r="AD665" s="28">
        <f>ROUND(IF(AQ665="7",BH665,0),2)</f>
        <v>0</v>
      </c>
      <c r="AE665" s="28">
        <f>ROUND(IF(AQ665="7",BI665,0),2)</f>
        <v>0</v>
      </c>
      <c r="AF665" s="28">
        <f>ROUND(IF(AQ665="2",BH665,0),2)</f>
        <v>0</v>
      </c>
      <c r="AG665" s="28">
        <f>ROUND(IF(AQ665="2",BI665,0),2)</f>
        <v>0</v>
      </c>
      <c r="AH665" s="28">
        <f>ROUND(IF(AQ665="0",BJ665,0),2)</f>
        <v>0</v>
      </c>
      <c r="AI665" s="10" t="s">
        <v>1050</v>
      </c>
      <c r="AJ665" s="28">
        <f>IF(AN665=0,J665,0)</f>
        <v>0</v>
      </c>
      <c r="AK665" s="28">
        <f>IF(AN665=12,J665,0)</f>
        <v>0</v>
      </c>
      <c r="AL665" s="28">
        <f>IF(AN665=21,J665,0)</f>
        <v>0</v>
      </c>
      <c r="AN665" s="28">
        <v>21</v>
      </c>
      <c r="AO665" s="28">
        <f>G665*1</f>
        <v>0</v>
      </c>
      <c r="AP665" s="28">
        <f>G665*(1-1)</f>
        <v>0</v>
      </c>
      <c r="AQ665" s="30" t="s">
        <v>56</v>
      </c>
      <c r="AV665" s="28">
        <f>ROUND(AW665+AX665,2)</f>
        <v>0</v>
      </c>
      <c r="AW665" s="28">
        <f>ROUND(F665*AO665,2)</f>
        <v>0</v>
      </c>
      <c r="AX665" s="28">
        <f>ROUND(F665*AP665,2)</f>
        <v>0</v>
      </c>
      <c r="AY665" s="30" t="s">
        <v>1136</v>
      </c>
      <c r="AZ665" s="30" t="s">
        <v>1104</v>
      </c>
      <c r="BA665" s="10" t="s">
        <v>1055</v>
      </c>
      <c r="BC665" s="28">
        <f>AW665+AX665</f>
        <v>0</v>
      </c>
      <c r="BD665" s="28">
        <f>G665/(100-BE665)*100</f>
        <v>0</v>
      </c>
      <c r="BE665" s="28">
        <v>0</v>
      </c>
      <c r="BF665" s="28">
        <f>665</f>
        <v>665</v>
      </c>
      <c r="BH665" s="28">
        <f>F665*AO665</f>
        <v>0</v>
      </c>
      <c r="BI665" s="28">
        <f>F665*AP665</f>
        <v>0</v>
      </c>
      <c r="BJ665" s="28">
        <f>F665*G665</f>
        <v>0</v>
      </c>
      <c r="BK665" s="28"/>
      <c r="BL665" s="28">
        <v>38</v>
      </c>
      <c r="BW665" s="28">
        <v>21</v>
      </c>
      <c r="BX665" s="4" t="s">
        <v>1145</v>
      </c>
    </row>
    <row r="666" spans="1:76" ht="14.4" x14ac:dyDescent="0.3">
      <c r="A666" s="31"/>
      <c r="C666" s="32" t="s">
        <v>1146</v>
      </c>
      <c r="D666" s="32" t="s">
        <v>1147</v>
      </c>
      <c r="F666" s="33">
        <v>0.15</v>
      </c>
      <c r="K666" s="34"/>
    </row>
    <row r="667" spans="1:76" ht="26.4" x14ac:dyDescent="0.3">
      <c r="A667" s="31"/>
      <c r="B667" s="35" t="s">
        <v>68</v>
      </c>
      <c r="C667" s="93" t="s">
        <v>1148</v>
      </c>
      <c r="D667" s="94"/>
      <c r="E667" s="94"/>
      <c r="F667" s="94"/>
      <c r="G667" s="94"/>
      <c r="H667" s="94"/>
      <c r="I667" s="94"/>
      <c r="J667" s="94"/>
      <c r="K667" s="95"/>
      <c r="BX667" s="36" t="s">
        <v>1148</v>
      </c>
    </row>
    <row r="668" spans="1:76" ht="14.4" x14ac:dyDescent="0.3">
      <c r="A668" s="24" t="s">
        <v>51</v>
      </c>
      <c r="B668" s="25" t="s">
        <v>326</v>
      </c>
      <c r="C668" s="91" t="s">
        <v>327</v>
      </c>
      <c r="D668" s="92"/>
      <c r="E668" s="26" t="s">
        <v>4</v>
      </c>
      <c r="F668" s="26" t="s">
        <v>4</v>
      </c>
      <c r="G668" s="26" t="s">
        <v>4</v>
      </c>
      <c r="H668" s="1">
        <f>SUM(H669:H677)</f>
        <v>0</v>
      </c>
      <c r="I668" s="1">
        <f>SUM(I669:I677)</f>
        <v>0</v>
      </c>
      <c r="J668" s="1">
        <f>SUM(J669:J677)</f>
        <v>0</v>
      </c>
      <c r="K668" s="27" t="s">
        <v>51</v>
      </c>
      <c r="AI668" s="10" t="s">
        <v>1050</v>
      </c>
      <c r="AS668" s="1">
        <f>SUM(AJ669:AJ677)</f>
        <v>0</v>
      </c>
      <c r="AT668" s="1">
        <f>SUM(AK669:AK677)</f>
        <v>0</v>
      </c>
      <c r="AU668" s="1">
        <f>SUM(AL669:AL677)</f>
        <v>0</v>
      </c>
    </row>
    <row r="669" spans="1:76" ht="14.4" x14ac:dyDescent="0.3">
      <c r="A669" s="2" t="s">
        <v>1149</v>
      </c>
      <c r="B669" s="3" t="s">
        <v>1150</v>
      </c>
      <c r="C669" s="75" t="s">
        <v>1151</v>
      </c>
      <c r="D669" s="70"/>
      <c r="E669" s="3" t="s">
        <v>59</v>
      </c>
      <c r="F669" s="28">
        <v>2.86</v>
      </c>
      <c r="G669" s="28">
        <v>0</v>
      </c>
      <c r="H669" s="28">
        <f>ROUND(F669*AO669,2)</f>
        <v>0</v>
      </c>
      <c r="I669" s="28">
        <f>ROUND(F669*AP669,2)</f>
        <v>0</v>
      </c>
      <c r="J669" s="28">
        <f>ROUND(F669*G669,2)</f>
        <v>0</v>
      </c>
      <c r="K669" s="29" t="s">
        <v>60</v>
      </c>
      <c r="Z669" s="28">
        <f>ROUND(IF(AQ669="5",BJ669,0),2)</f>
        <v>0</v>
      </c>
      <c r="AB669" s="28">
        <f>ROUND(IF(AQ669="1",BH669,0),2)</f>
        <v>0</v>
      </c>
      <c r="AC669" s="28">
        <f>ROUND(IF(AQ669="1",BI669,0),2)</f>
        <v>0</v>
      </c>
      <c r="AD669" s="28">
        <f>ROUND(IF(AQ669="7",BH669,0),2)</f>
        <v>0</v>
      </c>
      <c r="AE669" s="28">
        <f>ROUND(IF(AQ669="7",BI669,0),2)</f>
        <v>0</v>
      </c>
      <c r="AF669" s="28">
        <f>ROUND(IF(AQ669="2",BH669,0),2)</f>
        <v>0</v>
      </c>
      <c r="AG669" s="28">
        <f>ROUND(IF(AQ669="2",BI669,0),2)</f>
        <v>0</v>
      </c>
      <c r="AH669" s="28">
        <f>ROUND(IF(AQ669="0",BJ669,0),2)</f>
        <v>0</v>
      </c>
      <c r="AI669" s="10" t="s">
        <v>1050</v>
      </c>
      <c r="AJ669" s="28">
        <f>IF(AN669=0,J669,0)</f>
        <v>0</v>
      </c>
      <c r="AK669" s="28">
        <f>IF(AN669=12,J669,0)</f>
        <v>0</v>
      </c>
      <c r="AL669" s="28">
        <f>IF(AN669=21,J669,0)</f>
        <v>0</v>
      </c>
      <c r="AN669" s="28">
        <v>21</v>
      </c>
      <c r="AO669" s="28">
        <f>G669*0</f>
        <v>0</v>
      </c>
      <c r="AP669" s="28">
        <f>G669*(1-0)</f>
        <v>0</v>
      </c>
      <c r="AQ669" s="30" t="s">
        <v>56</v>
      </c>
      <c r="AV669" s="28">
        <f>ROUND(AW669+AX669,2)</f>
        <v>0</v>
      </c>
      <c r="AW669" s="28">
        <f>ROUND(F669*AO669,2)</f>
        <v>0</v>
      </c>
      <c r="AX669" s="28">
        <f>ROUND(F669*AP669,2)</f>
        <v>0</v>
      </c>
      <c r="AY669" s="30" t="s">
        <v>331</v>
      </c>
      <c r="AZ669" s="30" t="s">
        <v>1152</v>
      </c>
      <c r="BA669" s="10" t="s">
        <v>1055</v>
      </c>
      <c r="BC669" s="28">
        <f>AW669+AX669</f>
        <v>0</v>
      </c>
      <c r="BD669" s="28">
        <f>G669/(100-BE669)*100</f>
        <v>0</v>
      </c>
      <c r="BE669" s="28">
        <v>0</v>
      </c>
      <c r="BF669" s="28">
        <f>669</f>
        <v>669</v>
      </c>
      <c r="BH669" s="28">
        <f>F669*AO669</f>
        <v>0</v>
      </c>
      <c r="BI669" s="28">
        <f>F669*AP669</f>
        <v>0</v>
      </c>
      <c r="BJ669" s="28">
        <f>F669*G669</f>
        <v>0</v>
      </c>
      <c r="BK669" s="28"/>
      <c r="BL669" s="28">
        <v>63</v>
      </c>
      <c r="BW669" s="28">
        <v>21</v>
      </c>
      <c r="BX669" s="4" t="s">
        <v>1151</v>
      </c>
    </row>
    <row r="670" spans="1:76" ht="14.4" x14ac:dyDescent="0.3">
      <c r="A670" s="31"/>
      <c r="C670" s="32" t="s">
        <v>1153</v>
      </c>
      <c r="D670" s="32" t="s">
        <v>51</v>
      </c>
      <c r="F670" s="33">
        <v>2.30721</v>
      </c>
      <c r="K670" s="34"/>
    </row>
    <row r="671" spans="1:76" ht="14.4" x14ac:dyDescent="0.3">
      <c r="A671" s="31"/>
      <c r="C671" s="32" t="s">
        <v>1154</v>
      </c>
      <c r="D671" s="32" t="s">
        <v>51</v>
      </c>
      <c r="F671" s="33">
        <v>0.30099999999999999</v>
      </c>
      <c r="K671" s="34"/>
    </row>
    <row r="672" spans="1:76" ht="14.4" x14ac:dyDescent="0.3">
      <c r="A672" s="31"/>
      <c r="C672" s="32" t="s">
        <v>1155</v>
      </c>
      <c r="D672" s="32" t="s">
        <v>1156</v>
      </c>
      <c r="F672" s="33">
        <v>0.25</v>
      </c>
      <c r="K672" s="34"/>
    </row>
    <row r="673" spans="1:76" ht="14.4" x14ac:dyDescent="0.3">
      <c r="A673" s="2" t="s">
        <v>1157</v>
      </c>
      <c r="B673" s="3" t="s">
        <v>1158</v>
      </c>
      <c r="C673" s="75" t="s">
        <v>1159</v>
      </c>
      <c r="D673" s="70"/>
      <c r="E673" s="3" t="s">
        <v>59</v>
      </c>
      <c r="F673" s="28">
        <v>2.81</v>
      </c>
      <c r="G673" s="28">
        <v>0</v>
      </c>
      <c r="H673" s="28">
        <f>ROUND(F673*AO673,2)</f>
        <v>0</v>
      </c>
      <c r="I673" s="28">
        <f>ROUND(F673*AP673,2)</f>
        <v>0</v>
      </c>
      <c r="J673" s="28">
        <f>ROUND(F673*G673,2)</f>
        <v>0</v>
      </c>
      <c r="K673" s="29" t="s">
        <v>60</v>
      </c>
      <c r="Z673" s="28">
        <f>ROUND(IF(AQ673="5",BJ673,0),2)</f>
        <v>0</v>
      </c>
      <c r="AB673" s="28">
        <f>ROUND(IF(AQ673="1",BH673,0),2)</f>
        <v>0</v>
      </c>
      <c r="AC673" s="28">
        <f>ROUND(IF(AQ673="1",BI673,0),2)</f>
        <v>0</v>
      </c>
      <c r="AD673" s="28">
        <f>ROUND(IF(AQ673="7",BH673,0),2)</f>
        <v>0</v>
      </c>
      <c r="AE673" s="28">
        <f>ROUND(IF(AQ673="7",BI673,0),2)</f>
        <v>0</v>
      </c>
      <c r="AF673" s="28">
        <f>ROUND(IF(AQ673="2",BH673,0),2)</f>
        <v>0</v>
      </c>
      <c r="AG673" s="28">
        <f>ROUND(IF(AQ673="2",BI673,0),2)</f>
        <v>0</v>
      </c>
      <c r="AH673" s="28">
        <f>ROUND(IF(AQ673="0",BJ673,0),2)</f>
        <v>0</v>
      </c>
      <c r="AI673" s="10" t="s">
        <v>1050</v>
      </c>
      <c r="AJ673" s="28">
        <f>IF(AN673=0,J673,0)</f>
        <v>0</v>
      </c>
      <c r="AK673" s="28">
        <f>IF(AN673=12,J673,0)</f>
        <v>0</v>
      </c>
      <c r="AL673" s="28">
        <f>IF(AN673=21,J673,0)</f>
        <v>0</v>
      </c>
      <c r="AN673" s="28">
        <v>21</v>
      </c>
      <c r="AO673" s="28">
        <f>G673*1</f>
        <v>0</v>
      </c>
      <c r="AP673" s="28">
        <f>G673*(1-1)</f>
        <v>0</v>
      </c>
      <c r="AQ673" s="30" t="s">
        <v>56</v>
      </c>
      <c r="AV673" s="28">
        <f>ROUND(AW673+AX673,2)</f>
        <v>0</v>
      </c>
      <c r="AW673" s="28">
        <f>ROUND(F673*AO673,2)</f>
        <v>0</v>
      </c>
      <c r="AX673" s="28">
        <f>ROUND(F673*AP673,2)</f>
        <v>0</v>
      </c>
      <c r="AY673" s="30" t="s">
        <v>331</v>
      </c>
      <c r="AZ673" s="30" t="s">
        <v>1152</v>
      </c>
      <c r="BA673" s="10" t="s">
        <v>1055</v>
      </c>
      <c r="BC673" s="28">
        <f>AW673+AX673</f>
        <v>0</v>
      </c>
      <c r="BD673" s="28">
        <f>G673/(100-BE673)*100</f>
        <v>0</v>
      </c>
      <c r="BE673" s="28">
        <v>0</v>
      </c>
      <c r="BF673" s="28">
        <f>673</f>
        <v>673</v>
      </c>
      <c r="BH673" s="28">
        <f>F673*AO673</f>
        <v>0</v>
      </c>
      <c r="BI673" s="28">
        <f>F673*AP673</f>
        <v>0</v>
      </c>
      <c r="BJ673" s="28">
        <f>F673*G673</f>
        <v>0</v>
      </c>
      <c r="BK673" s="28"/>
      <c r="BL673" s="28">
        <v>63</v>
      </c>
      <c r="BW673" s="28">
        <v>21</v>
      </c>
      <c r="BX673" s="4" t="s">
        <v>1159</v>
      </c>
    </row>
    <row r="674" spans="1:76" ht="14.4" x14ac:dyDescent="0.3">
      <c r="A674" s="31"/>
      <c r="C674" s="32" t="s">
        <v>1160</v>
      </c>
      <c r="D674" s="32" t="s">
        <v>1161</v>
      </c>
      <c r="F674" s="33">
        <v>2.54</v>
      </c>
      <c r="K674" s="34"/>
    </row>
    <row r="675" spans="1:76" ht="14.4" x14ac:dyDescent="0.3">
      <c r="A675" s="31"/>
      <c r="C675" s="32" t="s">
        <v>1162</v>
      </c>
      <c r="D675" s="32" t="s">
        <v>1163</v>
      </c>
      <c r="F675" s="33">
        <v>0.27</v>
      </c>
      <c r="K675" s="34"/>
    </row>
    <row r="676" spans="1:76" ht="52.8" x14ac:dyDescent="0.3">
      <c r="A676" s="31"/>
      <c r="B676" s="35" t="s">
        <v>68</v>
      </c>
      <c r="C676" s="93" t="s">
        <v>1164</v>
      </c>
      <c r="D676" s="94"/>
      <c r="E676" s="94"/>
      <c r="F676" s="94"/>
      <c r="G676" s="94"/>
      <c r="H676" s="94"/>
      <c r="I676" s="94"/>
      <c r="J676" s="94"/>
      <c r="K676" s="95"/>
      <c r="BX676" s="36" t="s">
        <v>1164</v>
      </c>
    </row>
    <row r="677" spans="1:76" ht="14.4" x14ac:dyDescent="0.3">
      <c r="A677" s="2" t="s">
        <v>1165</v>
      </c>
      <c r="B677" s="3" t="s">
        <v>1166</v>
      </c>
      <c r="C677" s="75" t="s">
        <v>1167</v>
      </c>
      <c r="D677" s="70"/>
      <c r="E677" s="3" t="s">
        <v>59</v>
      </c>
      <c r="F677" s="28">
        <v>0.32</v>
      </c>
      <c r="G677" s="28">
        <v>0</v>
      </c>
      <c r="H677" s="28">
        <f>ROUND(F677*AO677,2)</f>
        <v>0</v>
      </c>
      <c r="I677" s="28">
        <f>ROUND(F677*AP677,2)</f>
        <v>0</v>
      </c>
      <c r="J677" s="28">
        <f>ROUND(F677*G677,2)</f>
        <v>0</v>
      </c>
      <c r="K677" s="29" t="s">
        <v>60</v>
      </c>
      <c r="Z677" s="28">
        <f>ROUND(IF(AQ677="5",BJ677,0),2)</f>
        <v>0</v>
      </c>
      <c r="AB677" s="28">
        <f>ROUND(IF(AQ677="1",BH677,0),2)</f>
        <v>0</v>
      </c>
      <c r="AC677" s="28">
        <f>ROUND(IF(AQ677="1",BI677,0),2)</f>
        <v>0</v>
      </c>
      <c r="AD677" s="28">
        <f>ROUND(IF(AQ677="7",BH677,0),2)</f>
        <v>0</v>
      </c>
      <c r="AE677" s="28">
        <f>ROUND(IF(AQ677="7",BI677,0),2)</f>
        <v>0</v>
      </c>
      <c r="AF677" s="28">
        <f>ROUND(IF(AQ677="2",BH677,0),2)</f>
        <v>0</v>
      </c>
      <c r="AG677" s="28">
        <f>ROUND(IF(AQ677="2",BI677,0),2)</f>
        <v>0</v>
      </c>
      <c r="AH677" s="28">
        <f>ROUND(IF(AQ677="0",BJ677,0),2)</f>
        <v>0</v>
      </c>
      <c r="AI677" s="10" t="s">
        <v>1050</v>
      </c>
      <c r="AJ677" s="28">
        <f>IF(AN677=0,J677,0)</f>
        <v>0</v>
      </c>
      <c r="AK677" s="28">
        <f>IF(AN677=12,J677,0)</f>
        <v>0</v>
      </c>
      <c r="AL677" s="28">
        <f>IF(AN677=21,J677,0)</f>
        <v>0</v>
      </c>
      <c r="AN677" s="28">
        <v>21</v>
      </c>
      <c r="AO677" s="28">
        <f>G677*1</f>
        <v>0</v>
      </c>
      <c r="AP677" s="28">
        <f>G677*(1-1)</f>
        <v>0</v>
      </c>
      <c r="AQ677" s="30" t="s">
        <v>56</v>
      </c>
      <c r="AV677" s="28">
        <f>ROUND(AW677+AX677,2)</f>
        <v>0</v>
      </c>
      <c r="AW677" s="28">
        <f>ROUND(F677*AO677,2)</f>
        <v>0</v>
      </c>
      <c r="AX677" s="28">
        <f>ROUND(F677*AP677,2)</f>
        <v>0</v>
      </c>
      <c r="AY677" s="30" t="s">
        <v>331</v>
      </c>
      <c r="AZ677" s="30" t="s">
        <v>1152</v>
      </c>
      <c r="BA677" s="10" t="s">
        <v>1055</v>
      </c>
      <c r="BC677" s="28">
        <f>AW677+AX677</f>
        <v>0</v>
      </c>
      <c r="BD677" s="28">
        <f>G677/(100-BE677)*100</f>
        <v>0</v>
      </c>
      <c r="BE677" s="28">
        <v>0</v>
      </c>
      <c r="BF677" s="28">
        <f>677</f>
        <v>677</v>
      </c>
      <c r="BH677" s="28">
        <f>F677*AO677</f>
        <v>0</v>
      </c>
      <c r="BI677" s="28">
        <f>F677*AP677</f>
        <v>0</v>
      </c>
      <c r="BJ677" s="28">
        <f>F677*G677</f>
        <v>0</v>
      </c>
      <c r="BK677" s="28"/>
      <c r="BL677" s="28">
        <v>63</v>
      </c>
      <c r="BW677" s="28">
        <v>21</v>
      </c>
      <c r="BX677" s="4" t="s">
        <v>1167</v>
      </c>
    </row>
    <row r="678" spans="1:76" ht="14.4" x14ac:dyDescent="0.3">
      <c r="A678" s="31"/>
      <c r="C678" s="32" t="s">
        <v>1168</v>
      </c>
      <c r="D678" s="32" t="s">
        <v>1169</v>
      </c>
      <c r="F678" s="33">
        <v>0.32</v>
      </c>
      <c r="K678" s="34"/>
    </row>
    <row r="679" spans="1:76" ht="26.4" x14ac:dyDescent="0.3">
      <c r="A679" s="31"/>
      <c r="B679" s="35" t="s">
        <v>68</v>
      </c>
      <c r="C679" s="93" t="s">
        <v>1170</v>
      </c>
      <c r="D679" s="94"/>
      <c r="E679" s="94"/>
      <c r="F679" s="94"/>
      <c r="G679" s="94"/>
      <c r="H679" s="94"/>
      <c r="I679" s="94"/>
      <c r="J679" s="94"/>
      <c r="K679" s="95"/>
      <c r="BX679" s="36" t="s">
        <v>1170</v>
      </c>
    </row>
    <row r="680" spans="1:76" ht="14.4" x14ac:dyDescent="0.3">
      <c r="A680" s="24" t="s">
        <v>51</v>
      </c>
      <c r="B680" s="25" t="s">
        <v>362</v>
      </c>
      <c r="C680" s="91" t="s">
        <v>363</v>
      </c>
      <c r="D680" s="92"/>
      <c r="E680" s="26" t="s">
        <v>4</v>
      </c>
      <c r="F680" s="26" t="s">
        <v>4</v>
      </c>
      <c r="G680" s="26" t="s">
        <v>4</v>
      </c>
      <c r="H680" s="1">
        <f>SUM(H681:H681)</f>
        <v>0</v>
      </c>
      <c r="I680" s="1">
        <f>SUM(I681:I681)</f>
        <v>0</v>
      </c>
      <c r="J680" s="1">
        <f>SUM(J681:J681)</f>
        <v>0</v>
      </c>
      <c r="K680" s="27" t="s">
        <v>51</v>
      </c>
      <c r="AI680" s="10" t="s">
        <v>1050</v>
      </c>
      <c r="AS680" s="1">
        <f>SUM(AJ681:AJ681)</f>
        <v>0</v>
      </c>
      <c r="AT680" s="1">
        <f>SUM(AK681:AK681)</f>
        <v>0</v>
      </c>
      <c r="AU680" s="1">
        <f>SUM(AL681:AL681)</f>
        <v>0</v>
      </c>
    </row>
    <row r="681" spans="1:76" ht="14.4" x14ac:dyDescent="0.3">
      <c r="A681" s="2" t="s">
        <v>1171</v>
      </c>
      <c r="B681" s="3" t="s">
        <v>1172</v>
      </c>
      <c r="C681" s="75" t="s">
        <v>1173</v>
      </c>
      <c r="D681" s="70"/>
      <c r="E681" s="3" t="s">
        <v>103</v>
      </c>
      <c r="F681" s="28">
        <v>35.65</v>
      </c>
      <c r="G681" s="28">
        <v>0</v>
      </c>
      <c r="H681" s="28">
        <f>ROUND(F681*AO681,2)</f>
        <v>0</v>
      </c>
      <c r="I681" s="28">
        <f>ROUND(F681*AP681,2)</f>
        <v>0</v>
      </c>
      <c r="J681" s="28">
        <f>ROUND(F681*G681,2)</f>
        <v>0</v>
      </c>
      <c r="K681" s="29" t="s">
        <v>60</v>
      </c>
      <c r="Z681" s="28">
        <f>ROUND(IF(AQ681="5",BJ681,0),2)</f>
        <v>0</v>
      </c>
      <c r="AB681" s="28">
        <f>ROUND(IF(AQ681="1",BH681,0),2)</f>
        <v>0</v>
      </c>
      <c r="AC681" s="28">
        <f>ROUND(IF(AQ681="1",BI681,0),2)</f>
        <v>0</v>
      </c>
      <c r="AD681" s="28">
        <f>ROUND(IF(AQ681="7",BH681,0),2)</f>
        <v>0</v>
      </c>
      <c r="AE681" s="28">
        <f>ROUND(IF(AQ681="7",BI681,0),2)</f>
        <v>0</v>
      </c>
      <c r="AF681" s="28">
        <f>ROUND(IF(AQ681="2",BH681,0),2)</f>
        <v>0</v>
      </c>
      <c r="AG681" s="28">
        <f>ROUND(IF(AQ681="2",BI681,0),2)</f>
        <v>0</v>
      </c>
      <c r="AH681" s="28">
        <f>ROUND(IF(AQ681="0",BJ681,0),2)</f>
        <v>0</v>
      </c>
      <c r="AI681" s="10" t="s">
        <v>1050</v>
      </c>
      <c r="AJ681" s="28">
        <f>IF(AN681=0,J681,0)</f>
        <v>0</v>
      </c>
      <c r="AK681" s="28">
        <f>IF(AN681=12,J681,0)</f>
        <v>0</v>
      </c>
      <c r="AL681" s="28">
        <f>IF(AN681=21,J681,0)</f>
        <v>0</v>
      </c>
      <c r="AN681" s="28">
        <v>21</v>
      </c>
      <c r="AO681" s="28">
        <f>G681*0</f>
        <v>0</v>
      </c>
      <c r="AP681" s="28">
        <f>G681*(1-0)</f>
        <v>0</v>
      </c>
      <c r="AQ681" s="30" t="s">
        <v>118</v>
      </c>
      <c r="AV681" s="28">
        <f>ROUND(AW681+AX681,2)</f>
        <v>0</v>
      </c>
      <c r="AW681" s="28">
        <f>ROUND(F681*AO681,2)</f>
        <v>0</v>
      </c>
      <c r="AX681" s="28">
        <f>ROUND(F681*AP681,2)</f>
        <v>0</v>
      </c>
      <c r="AY681" s="30" t="s">
        <v>367</v>
      </c>
      <c r="AZ681" s="30" t="s">
        <v>1174</v>
      </c>
      <c r="BA681" s="10" t="s">
        <v>1055</v>
      </c>
      <c r="BC681" s="28">
        <f>AW681+AX681</f>
        <v>0</v>
      </c>
      <c r="BD681" s="28">
        <f>G681/(100-BE681)*100</f>
        <v>0</v>
      </c>
      <c r="BE681" s="28">
        <v>0</v>
      </c>
      <c r="BF681" s="28">
        <f>681</f>
        <v>681</v>
      </c>
      <c r="BH681" s="28">
        <f>F681*AO681</f>
        <v>0</v>
      </c>
      <c r="BI681" s="28">
        <f>F681*AP681</f>
        <v>0</v>
      </c>
      <c r="BJ681" s="28">
        <f>F681*G681</f>
        <v>0</v>
      </c>
      <c r="BK681" s="28"/>
      <c r="BL681" s="28">
        <v>711</v>
      </c>
      <c r="BW681" s="28">
        <v>21</v>
      </c>
      <c r="BX681" s="4" t="s">
        <v>1173</v>
      </c>
    </row>
    <row r="682" spans="1:76" ht="14.4" x14ac:dyDescent="0.3">
      <c r="A682" s="31"/>
      <c r="C682" s="32" t="s">
        <v>1175</v>
      </c>
      <c r="D682" s="32" t="s">
        <v>1176</v>
      </c>
      <c r="F682" s="33">
        <v>32.549999999999997</v>
      </c>
      <c r="K682" s="34"/>
    </row>
    <row r="683" spans="1:76" ht="14.4" x14ac:dyDescent="0.3">
      <c r="A683" s="31"/>
      <c r="C683" s="32" t="s">
        <v>1177</v>
      </c>
      <c r="D683" s="32" t="s">
        <v>1178</v>
      </c>
      <c r="F683" s="33">
        <v>3.1</v>
      </c>
      <c r="K683" s="34"/>
    </row>
    <row r="684" spans="1:76" ht="14.4" x14ac:dyDescent="0.3">
      <c r="A684" s="24" t="s">
        <v>51</v>
      </c>
      <c r="B684" s="25" t="s">
        <v>1179</v>
      </c>
      <c r="C684" s="91" t="s">
        <v>1180</v>
      </c>
      <c r="D684" s="92"/>
      <c r="E684" s="26" t="s">
        <v>4</v>
      </c>
      <c r="F684" s="26" t="s">
        <v>4</v>
      </c>
      <c r="G684" s="26" t="s">
        <v>4</v>
      </c>
      <c r="H684" s="1">
        <f>SUM(H685:H698)</f>
        <v>0</v>
      </c>
      <c r="I684" s="1">
        <f>SUM(I685:I698)</f>
        <v>0</v>
      </c>
      <c r="J684" s="1">
        <f>SUM(J685:J698)</f>
        <v>0</v>
      </c>
      <c r="K684" s="27" t="s">
        <v>51</v>
      </c>
      <c r="AI684" s="10" t="s">
        <v>1050</v>
      </c>
      <c r="AS684" s="1">
        <f>SUM(AJ685:AJ698)</f>
        <v>0</v>
      </c>
      <c r="AT684" s="1">
        <f>SUM(AK685:AK698)</f>
        <v>0</v>
      </c>
      <c r="AU684" s="1">
        <f>SUM(AL685:AL698)</f>
        <v>0</v>
      </c>
    </row>
    <row r="685" spans="1:76" ht="14.4" x14ac:dyDescent="0.3">
      <c r="A685" s="2" t="s">
        <v>1181</v>
      </c>
      <c r="B685" s="3" t="s">
        <v>1182</v>
      </c>
      <c r="C685" s="75" t="s">
        <v>1183</v>
      </c>
      <c r="D685" s="70"/>
      <c r="E685" s="3" t="s">
        <v>188</v>
      </c>
      <c r="F685" s="28">
        <v>11.7</v>
      </c>
      <c r="G685" s="28">
        <v>0</v>
      </c>
      <c r="H685" s="28">
        <f>ROUND(F685*AO685,2)</f>
        <v>0</v>
      </c>
      <c r="I685" s="28">
        <f>ROUND(F685*AP685,2)</f>
        <v>0</v>
      </c>
      <c r="J685" s="28">
        <f>ROUND(F685*G685,2)</f>
        <v>0</v>
      </c>
      <c r="K685" s="29" t="s">
        <v>60</v>
      </c>
      <c r="Z685" s="28">
        <f>ROUND(IF(AQ685="5",BJ685,0),2)</f>
        <v>0</v>
      </c>
      <c r="AB685" s="28">
        <f>ROUND(IF(AQ685="1",BH685,0),2)</f>
        <v>0</v>
      </c>
      <c r="AC685" s="28">
        <f>ROUND(IF(AQ685="1",BI685,0),2)</f>
        <v>0</v>
      </c>
      <c r="AD685" s="28">
        <f>ROUND(IF(AQ685="7",BH685,0),2)</f>
        <v>0</v>
      </c>
      <c r="AE685" s="28">
        <f>ROUND(IF(AQ685="7",BI685,0),2)</f>
        <v>0</v>
      </c>
      <c r="AF685" s="28">
        <f>ROUND(IF(AQ685="2",BH685,0),2)</f>
        <v>0</v>
      </c>
      <c r="AG685" s="28">
        <f>ROUND(IF(AQ685="2",BI685,0),2)</f>
        <v>0</v>
      </c>
      <c r="AH685" s="28">
        <f>ROUND(IF(AQ685="0",BJ685,0),2)</f>
        <v>0</v>
      </c>
      <c r="AI685" s="10" t="s">
        <v>1050</v>
      </c>
      <c r="AJ685" s="28">
        <f>IF(AN685=0,J685,0)</f>
        <v>0</v>
      </c>
      <c r="AK685" s="28">
        <f>IF(AN685=12,J685,0)</f>
        <v>0</v>
      </c>
      <c r="AL685" s="28">
        <f>IF(AN685=21,J685,0)</f>
        <v>0</v>
      </c>
      <c r="AN685" s="28">
        <v>21</v>
      </c>
      <c r="AO685" s="28">
        <f>G685*0.540824854</f>
        <v>0</v>
      </c>
      <c r="AP685" s="28">
        <f>G685*(1-0.540824854)</f>
        <v>0</v>
      </c>
      <c r="AQ685" s="30" t="s">
        <v>118</v>
      </c>
      <c r="AV685" s="28">
        <f>ROUND(AW685+AX685,2)</f>
        <v>0</v>
      </c>
      <c r="AW685" s="28">
        <f>ROUND(F685*AO685,2)</f>
        <v>0</v>
      </c>
      <c r="AX685" s="28">
        <f>ROUND(F685*AP685,2)</f>
        <v>0</v>
      </c>
      <c r="AY685" s="30" t="s">
        <v>1184</v>
      </c>
      <c r="AZ685" s="30" t="s">
        <v>1174</v>
      </c>
      <c r="BA685" s="10" t="s">
        <v>1055</v>
      </c>
      <c r="BC685" s="28">
        <f>AW685+AX685</f>
        <v>0</v>
      </c>
      <c r="BD685" s="28">
        <f>G685/(100-BE685)*100</f>
        <v>0</v>
      </c>
      <c r="BE685" s="28">
        <v>0</v>
      </c>
      <c r="BF685" s="28">
        <f>685</f>
        <v>685</v>
      </c>
      <c r="BH685" s="28">
        <f>F685*AO685</f>
        <v>0</v>
      </c>
      <c r="BI685" s="28">
        <f>F685*AP685</f>
        <v>0</v>
      </c>
      <c r="BJ685" s="28">
        <f>F685*G685</f>
        <v>0</v>
      </c>
      <c r="BK685" s="28"/>
      <c r="BL685" s="28">
        <v>712</v>
      </c>
      <c r="BW685" s="28">
        <v>21</v>
      </c>
      <c r="BX685" s="4" t="s">
        <v>1183</v>
      </c>
    </row>
    <row r="686" spans="1:76" ht="14.4" x14ac:dyDescent="0.3">
      <c r="A686" s="31"/>
      <c r="C686" s="32" t="s">
        <v>1185</v>
      </c>
      <c r="D686" s="32" t="s">
        <v>1186</v>
      </c>
      <c r="F686" s="33">
        <v>8.6</v>
      </c>
      <c r="K686" s="34"/>
    </row>
    <row r="687" spans="1:76" ht="14.4" x14ac:dyDescent="0.3">
      <c r="A687" s="31"/>
      <c r="C687" s="32" t="s">
        <v>1187</v>
      </c>
      <c r="D687" s="32" t="s">
        <v>1188</v>
      </c>
      <c r="F687" s="33">
        <v>3.1</v>
      </c>
      <c r="K687" s="34"/>
    </row>
    <row r="688" spans="1:76" ht="14.4" x14ac:dyDescent="0.3">
      <c r="A688" s="2" t="s">
        <v>1189</v>
      </c>
      <c r="B688" s="3" t="s">
        <v>1190</v>
      </c>
      <c r="C688" s="75" t="s">
        <v>1191</v>
      </c>
      <c r="D688" s="70"/>
      <c r="E688" s="3" t="s">
        <v>103</v>
      </c>
      <c r="F688" s="28">
        <v>77.98</v>
      </c>
      <c r="G688" s="28">
        <v>0</v>
      </c>
      <c r="H688" s="28">
        <f>ROUND(F688*AO688,2)</f>
        <v>0</v>
      </c>
      <c r="I688" s="28">
        <f>ROUND(F688*AP688,2)</f>
        <v>0</v>
      </c>
      <c r="J688" s="28">
        <f>ROUND(F688*G688,2)</f>
        <v>0</v>
      </c>
      <c r="K688" s="29" t="s">
        <v>60</v>
      </c>
      <c r="Z688" s="28">
        <f>ROUND(IF(AQ688="5",BJ688,0),2)</f>
        <v>0</v>
      </c>
      <c r="AB688" s="28">
        <f>ROUND(IF(AQ688="1",BH688,0),2)</f>
        <v>0</v>
      </c>
      <c r="AC688" s="28">
        <f>ROUND(IF(AQ688="1",BI688,0),2)</f>
        <v>0</v>
      </c>
      <c r="AD688" s="28">
        <f>ROUND(IF(AQ688="7",BH688,0),2)</f>
        <v>0</v>
      </c>
      <c r="AE688" s="28">
        <f>ROUND(IF(AQ688="7",BI688,0),2)</f>
        <v>0</v>
      </c>
      <c r="AF688" s="28">
        <f>ROUND(IF(AQ688="2",BH688,0),2)</f>
        <v>0</v>
      </c>
      <c r="AG688" s="28">
        <f>ROUND(IF(AQ688="2",BI688,0),2)</f>
        <v>0</v>
      </c>
      <c r="AH688" s="28">
        <f>ROUND(IF(AQ688="0",BJ688,0),2)</f>
        <v>0</v>
      </c>
      <c r="AI688" s="10" t="s">
        <v>1050</v>
      </c>
      <c r="AJ688" s="28">
        <f>IF(AN688=0,J688,0)</f>
        <v>0</v>
      </c>
      <c r="AK688" s="28">
        <f>IF(AN688=12,J688,0)</f>
        <v>0</v>
      </c>
      <c r="AL688" s="28">
        <f>IF(AN688=21,J688,0)</f>
        <v>0</v>
      </c>
      <c r="AN688" s="28">
        <v>21</v>
      </c>
      <c r="AO688" s="28">
        <f>G688*0</f>
        <v>0</v>
      </c>
      <c r="AP688" s="28">
        <f>G688*(1-0)</f>
        <v>0</v>
      </c>
      <c r="AQ688" s="30" t="s">
        <v>118</v>
      </c>
      <c r="AV688" s="28">
        <f>ROUND(AW688+AX688,2)</f>
        <v>0</v>
      </c>
      <c r="AW688" s="28">
        <f>ROUND(F688*AO688,2)</f>
        <v>0</v>
      </c>
      <c r="AX688" s="28">
        <f>ROUND(F688*AP688,2)</f>
        <v>0</v>
      </c>
      <c r="AY688" s="30" t="s">
        <v>1184</v>
      </c>
      <c r="AZ688" s="30" t="s">
        <v>1174</v>
      </c>
      <c r="BA688" s="10" t="s">
        <v>1055</v>
      </c>
      <c r="BC688" s="28">
        <f>AW688+AX688</f>
        <v>0</v>
      </c>
      <c r="BD688" s="28">
        <f>G688/(100-BE688)*100</f>
        <v>0</v>
      </c>
      <c r="BE688" s="28">
        <v>0</v>
      </c>
      <c r="BF688" s="28">
        <f>688</f>
        <v>688</v>
      </c>
      <c r="BH688" s="28">
        <f>F688*AO688</f>
        <v>0</v>
      </c>
      <c r="BI688" s="28">
        <f>F688*AP688</f>
        <v>0</v>
      </c>
      <c r="BJ688" s="28">
        <f>F688*G688</f>
        <v>0</v>
      </c>
      <c r="BK688" s="28"/>
      <c r="BL688" s="28">
        <v>712</v>
      </c>
      <c r="BW688" s="28">
        <v>21</v>
      </c>
      <c r="BX688" s="4" t="s">
        <v>1191</v>
      </c>
    </row>
    <row r="689" spans="1:76" ht="13.5" customHeight="1" x14ac:dyDescent="0.3">
      <c r="A689" s="31"/>
      <c r="B689" s="35" t="s">
        <v>105</v>
      </c>
      <c r="C689" s="96" t="s">
        <v>1192</v>
      </c>
      <c r="D689" s="97"/>
      <c r="E689" s="97"/>
      <c r="F689" s="97"/>
      <c r="G689" s="97"/>
      <c r="H689" s="97"/>
      <c r="I689" s="97"/>
      <c r="J689" s="97"/>
      <c r="K689" s="98"/>
    </row>
    <row r="690" spans="1:76" ht="14.4" x14ac:dyDescent="0.3">
      <c r="A690" s="31"/>
      <c r="C690" s="32" t="s">
        <v>1193</v>
      </c>
      <c r="D690" s="32" t="s">
        <v>1194</v>
      </c>
      <c r="F690" s="33">
        <v>38.99</v>
      </c>
      <c r="K690" s="34"/>
    </row>
    <row r="691" spans="1:76" ht="14.4" x14ac:dyDescent="0.3">
      <c r="A691" s="31"/>
      <c r="C691" s="32" t="s">
        <v>1195</v>
      </c>
      <c r="D691" s="32" t="s">
        <v>1196</v>
      </c>
      <c r="F691" s="33">
        <v>38.99</v>
      </c>
      <c r="K691" s="34"/>
    </row>
    <row r="692" spans="1:76" ht="14.4" x14ac:dyDescent="0.3">
      <c r="A692" s="2" t="s">
        <v>1197</v>
      </c>
      <c r="B692" s="3" t="s">
        <v>1198</v>
      </c>
      <c r="C692" s="75" t="s">
        <v>1012</v>
      </c>
      <c r="D692" s="70"/>
      <c r="E692" s="3" t="s">
        <v>103</v>
      </c>
      <c r="F692" s="28">
        <v>50.7</v>
      </c>
      <c r="G692" s="28">
        <v>0</v>
      </c>
      <c r="H692" s="28">
        <f>ROUND(F692*AO692,2)</f>
        <v>0</v>
      </c>
      <c r="I692" s="28">
        <f>ROUND(F692*AP692,2)</f>
        <v>0</v>
      </c>
      <c r="J692" s="28">
        <f>ROUND(F692*G692,2)</f>
        <v>0</v>
      </c>
      <c r="K692" s="29" t="s">
        <v>60</v>
      </c>
      <c r="Z692" s="28">
        <f>ROUND(IF(AQ692="5",BJ692,0),2)</f>
        <v>0</v>
      </c>
      <c r="AB692" s="28">
        <f>ROUND(IF(AQ692="1",BH692,0),2)</f>
        <v>0</v>
      </c>
      <c r="AC692" s="28">
        <f>ROUND(IF(AQ692="1",BI692,0),2)</f>
        <v>0</v>
      </c>
      <c r="AD692" s="28">
        <f>ROUND(IF(AQ692="7",BH692,0),2)</f>
        <v>0</v>
      </c>
      <c r="AE692" s="28">
        <f>ROUND(IF(AQ692="7",BI692,0),2)</f>
        <v>0</v>
      </c>
      <c r="AF692" s="28">
        <f>ROUND(IF(AQ692="2",BH692,0),2)</f>
        <v>0</v>
      </c>
      <c r="AG692" s="28">
        <f>ROUND(IF(AQ692="2",BI692,0),2)</f>
        <v>0</v>
      </c>
      <c r="AH692" s="28">
        <f>ROUND(IF(AQ692="0",BJ692,0),2)</f>
        <v>0</v>
      </c>
      <c r="AI692" s="10" t="s">
        <v>1050</v>
      </c>
      <c r="AJ692" s="28">
        <f>IF(AN692=0,J692,0)</f>
        <v>0</v>
      </c>
      <c r="AK692" s="28">
        <f>IF(AN692=12,J692,0)</f>
        <v>0</v>
      </c>
      <c r="AL692" s="28">
        <f>IF(AN692=21,J692,0)</f>
        <v>0</v>
      </c>
      <c r="AN692" s="28">
        <v>21</v>
      </c>
      <c r="AO692" s="28">
        <f>G692*1</f>
        <v>0</v>
      </c>
      <c r="AP692" s="28">
        <f>G692*(1-1)</f>
        <v>0</v>
      </c>
      <c r="AQ692" s="30" t="s">
        <v>118</v>
      </c>
      <c r="AV692" s="28">
        <f>ROUND(AW692+AX692,2)</f>
        <v>0</v>
      </c>
      <c r="AW692" s="28">
        <f>ROUND(F692*AO692,2)</f>
        <v>0</v>
      </c>
      <c r="AX692" s="28">
        <f>ROUND(F692*AP692,2)</f>
        <v>0</v>
      </c>
      <c r="AY692" s="30" t="s">
        <v>1184</v>
      </c>
      <c r="AZ692" s="30" t="s">
        <v>1174</v>
      </c>
      <c r="BA692" s="10" t="s">
        <v>1055</v>
      </c>
      <c r="BC692" s="28">
        <f>AW692+AX692</f>
        <v>0</v>
      </c>
      <c r="BD692" s="28">
        <f>G692/(100-BE692)*100</f>
        <v>0</v>
      </c>
      <c r="BE692" s="28">
        <v>0</v>
      </c>
      <c r="BF692" s="28">
        <f>692</f>
        <v>692</v>
      </c>
      <c r="BH692" s="28">
        <f>F692*AO692</f>
        <v>0</v>
      </c>
      <c r="BI692" s="28">
        <f>F692*AP692</f>
        <v>0</v>
      </c>
      <c r="BJ692" s="28">
        <f>F692*G692</f>
        <v>0</v>
      </c>
      <c r="BK692" s="28"/>
      <c r="BL692" s="28">
        <v>712</v>
      </c>
      <c r="BW692" s="28">
        <v>21</v>
      </c>
      <c r="BX692" s="4" t="s">
        <v>1012</v>
      </c>
    </row>
    <row r="693" spans="1:76" ht="14.4" x14ac:dyDescent="0.3">
      <c r="A693" s="31"/>
      <c r="C693" s="32" t="s">
        <v>1199</v>
      </c>
      <c r="D693" s="32" t="s">
        <v>51</v>
      </c>
      <c r="F693" s="33">
        <v>50.7</v>
      </c>
      <c r="K693" s="34"/>
    </row>
    <row r="694" spans="1:76" ht="39.6" x14ac:dyDescent="0.3">
      <c r="A694" s="31"/>
      <c r="B694" s="35" t="s">
        <v>68</v>
      </c>
      <c r="C694" s="93" t="s">
        <v>1200</v>
      </c>
      <c r="D694" s="94"/>
      <c r="E694" s="94"/>
      <c r="F694" s="94"/>
      <c r="G694" s="94"/>
      <c r="H694" s="94"/>
      <c r="I694" s="94"/>
      <c r="J694" s="94"/>
      <c r="K694" s="95"/>
      <c r="BX694" s="36" t="s">
        <v>1200</v>
      </c>
    </row>
    <row r="695" spans="1:76" ht="14.4" x14ac:dyDescent="0.3">
      <c r="A695" s="2" t="s">
        <v>1201</v>
      </c>
      <c r="B695" s="3" t="s">
        <v>1202</v>
      </c>
      <c r="C695" s="75" t="s">
        <v>1203</v>
      </c>
      <c r="D695" s="70"/>
      <c r="E695" s="3" t="s">
        <v>103</v>
      </c>
      <c r="F695" s="28">
        <v>50.7</v>
      </c>
      <c r="G695" s="28">
        <v>0</v>
      </c>
      <c r="H695" s="28">
        <f>ROUND(F695*AO695,2)</f>
        <v>0</v>
      </c>
      <c r="I695" s="28">
        <f>ROUND(F695*AP695,2)</f>
        <v>0</v>
      </c>
      <c r="J695" s="28">
        <f>ROUND(F695*G695,2)</f>
        <v>0</v>
      </c>
      <c r="K695" s="29" t="s">
        <v>60</v>
      </c>
      <c r="Z695" s="28">
        <f>ROUND(IF(AQ695="5",BJ695,0),2)</f>
        <v>0</v>
      </c>
      <c r="AB695" s="28">
        <f>ROUND(IF(AQ695="1",BH695,0),2)</f>
        <v>0</v>
      </c>
      <c r="AC695" s="28">
        <f>ROUND(IF(AQ695="1",BI695,0),2)</f>
        <v>0</v>
      </c>
      <c r="AD695" s="28">
        <f>ROUND(IF(AQ695="7",BH695,0),2)</f>
        <v>0</v>
      </c>
      <c r="AE695" s="28">
        <f>ROUND(IF(AQ695="7",BI695,0),2)</f>
        <v>0</v>
      </c>
      <c r="AF695" s="28">
        <f>ROUND(IF(AQ695="2",BH695,0),2)</f>
        <v>0</v>
      </c>
      <c r="AG695" s="28">
        <f>ROUND(IF(AQ695="2",BI695,0),2)</f>
        <v>0</v>
      </c>
      <c r="AH695" s="28">
        <f>ROUND(IF(AQ695="0",BJ695,0),2)</f>
        <v>0</v>
      </c>
      <c r="AI695" s="10" t="s">
        <v>1050</v>
      </c>
      <c r="AJ695" s="28">
        <f>IF(AN695=0,J695,0)</f>
        <v>0</v>
      </c>
      <c r="AK695" s="28">
        <f>IF(AN695=12,J695,0)</f>
        <v>0</v>
      </c>
      <c r="AL695" s="28">
        <f>IF(AN695=21,J695,0)</f>
        <v>0</v>
      </c>
      <c r="AN695" s="28">
        <v>21</v>
      </c>
      <c r="AO695" s="28">
        <f>G695*1</f>
        <v>0</v>
      </c>
      <c r="AP695" s="28">
        <f>G695*(1-1)</f>
        <v>0</v>
      </c>
      <c r="AQ695" s="30" t="s">
        <v>118</v>
      </c>
      <c r="AV695" s="28">
        <f>ROUND(AW695+AX695,2)</f>
        <v>0</v>
      </c>
      <c r="AW695" s="28">
        <f>ROUND(F695*AO695,2)</f>
        <v>0</v>
      </c>
      <c r="AX695" s="28">
        <f>ROUND(F695*AP695,2)</f>
        <v>0</v>
      </c>
      <c r="AY695" s="30" t="s">
        <v>1184</v>
      </c>
      <c r="AZ695" s="30" t="s">
        <v>1174</v>
      </c>
      <c r="BA695" s="10" t="s">
        <v>1055</v>
      </c>
      <c r="BC695" s="28">
        <f>AW695+AX695</f>
        <v>0</v>
      </c>
      <c r="BD695" s="28">
        <f>G695/(100-BE695)*100</f>
        <v>0</v>
      </c>
      <c r="BE695" s="28">
        <v>0</v>
      </c>
      <c r="BF695" s="28">
        <f>695</f>
        <v>695</v>
      </c>
      <c r="BH695" s="28">
        <f>F695*AO695</f>
        <v>0</v>
      </c>
      <c r="BI695" s="28">
        <f>F695*AP695</f>
        <v>0</v>
      </c>
      <c r="BJ695" s="28">
        <f>F695*G695</f>
        <v>0</v>
      </c>
      <c r="BK695" s="28"/>
      <c r="BL695" s="28">
        <v>712</v>
      </c>
      <c r="BW695" s="28">
        <v>21</v>
      </c>
      <c r="BX695" s="4" t="s">
        <v>1203</v>
      </c>
    </row>
    <row r="696" spans="1:76" ht="14.4" x14ac:dyDescent="0.3">
      <c r="A696" s="31"/>
      <c r="C696" s="32" t="s">
        <v>1199</v>
      </c>
      <c r="D696" s="32" t="s">
        <v>51</v>
      </c>
      <c r="F696" s="33">
        <v>50.7</v>
      </c>
      <c r="K696" s="34"/>
    </row>
    <row r="697" spans="1:76" ht="52.8" x14ac:dyDescent="0.3">
      <c r="A697" s="31"/>
      <c r="B697" s="35" t="s">
        <v>68</v>
      </c>
      <c r="C697" s="93" t="s">
        <v>1204</v>
      </c>
      <c r="D697" s="94"/>
      <c r="E697" s="94"/>
      <c r="F697" s="94"/>
      <c r="G697" s="94"/>
      <c r="H697" s="94"/>
      <c r="I697" s="94"/>
      <c r="J697" s="94"/>
      <c r="K697" s="95"/>
      <c r="BX697" s="36" t="s">
        <v>1204</v>
      </c>
    </row>
    <row r="698" spans="1:76" ht="14.4" x14ac:dyDescent="0.3">
      <c r="A698" s="2" t="s">
        <v>1205</v>
      </c>
      <c r="B698" s="3" t="s">
        <v>1206</v>
      </c>
      <c r="C698" s="75" t="s">
        <v>1207</v>
      </c>
      <c r="D698" s="70"/>
      <c r="E698" s="3" t="s">
        <v>103</v>
      </c>
      <c r="F698" s="28">
        <v>35.89</v>
      </c>
      <c r="G698" s="28">
        <v>0</v>
      </c>
      <c r="H698" s="28">
        <f>ROUND(F698*AO698,2)</f>
        <v>0</v>
      </c>
      <c r="I698" s="28">
        <f>ROUND(F698*AP698,2)</f>
        <v>0</v>
      </c>
      <c r="J698" s="28">
        <f>ROUND(F698*G698,2)</f>
        <v>0</v>
      </c>
      <c r="K698" s="29" t="s">
        <v>60</v>
      </c>
      <c r="Z698" s="28">
        <f>ROUND(IF(AQ698="5",BJ698,0),2)</f>
        <v>0</v>
      </c>
      <c r="AB698" s="28">
        <f>ROUND(IF(AQ698="1",BH698,0),2)</f>
        <v>0</v>
      </c>
      <c r="AC698" s="28">
        <f>ROUND(IF(AQ698="1",BI698,0),2)</f>
        <v>0</v>
      </c>
      <c r="AD698" s="28">
        <f>ROUND(IF(AQ698="7",BH698,0),2)</f>
        <v>0</v>
      </c>
      <c r="AE698" s="28">
        <f>ROUND(IF(AQ698="7",BI698,0),2)</f>
        <v>0</v>
      </c>
      <c r="AF698" s="28">
        <f>ROUND(IF(AQ698="2",BH698,0),2)</f>
        <v>0</v>
      </c>
      <c r="AG698" s="28">
        <f>ROUND(IF(AQ698="2",BI698,0),2)</f>
        <v>0</v>
      </c>
      <c r="AH698" s="28">
        <f>ROUND(IF(AQ698="0",BJ698,0),2)</f>
        <v>0</v>
      </c>
      <c r="AI698" s="10" t="s">
        <v>1050</v>
      </c>
      <c r="AJ698" s="28">
        <f>IF(AN698=0,J698,0)</f>
        <v>0</v>
      </c>
      <c r="AK698" s="28">
        <f>IF(AN698=12,J698,0)</f>
        <v>0</v>
      </c>
      <c r="AL698" s="28">
        <f>IF(AN698=21,J698,0)</f>
        <v>0</v>
      </c>
      <c r="AN698" s="28">
        <v>21</v>
      </c>
      <c r="AO698" s="28">
        <f>G698*0.525998892</f>
        <v>0</v>
      </c>
      <c r="AP698" s="28">
        <f>G698*(1-0.525998892)</f>
        <v>0</v>
      </c>
      <c r="AQ698" s="30" t="s">
        <v>118</v>
      </c>
      <c r="AV698" s="28">
        <f>ROUND(AW698+AX698,2)</f>
        <v>0</v>
      </c>
      <c r="AW698" s="28">
        <f>ROUND(F698*AO698,2)</f>
        <v>0</v>
      </c>
      <c r="AX698" s="28">
        <f>ROUND(F698*AP698,2)</f>
        <v>0</v>
      </c>
      <c r="AY698" s="30" t="s">
        <v>1184</v>
      </c>
      <c r="AZ698" s="30" t="s">
        <v>1174</v>
      </c>
      <c r="BA698" s="10" t="s">
        <v>1055</v>
      </c>
      <c r="BC698" s="28">
        <f>AW698+AX698</f>
        <v>0</v>
      </c>
      <c r="BD698" s="28">
        <f>G698/(100-BE698)*100</f>
        <v>0</v>
      </c>
      <c r="BE698" s="28">
        <v>0</v>
      </c>
      <c r="BF698" s="28">
        <f>698</f>
        <v>698</v>
      </c>
      <c r="BH698" s="28">
        <f>F698*AO698</f>
        <v>0</v>
      </c>
      <c r="BI698" s="28">
        <f>F698*AP698</f>
        <v>0</v>
      </c>
      <c r="BJ698" s="28">
        <f>F698*G698</f>
        <v>0</v>
      </c>
      <c r="BK698" s="28"/>
      <c r="BL698" s="28">
        <v>712</v>
      </c>
      <c r="BW698" s="28">
        <v>21</v>
      </c>
      <c r="BX698" s="4" t="s">
        <v>1207</v>
      </c>
    </row>
    <row r="699" spans="1:76" ht="13.5" customHeight="1" x14ac:dyDescent="0.3">
      <c r="A699" s="31"/>
      <c r="B699" s="35" t="s">
        <v>105</v>
      </c>
      <c r="C699" s="96" t="s">
        <v>1208</v>
      </c>
      <c r="D699" s="97"/>
      <c r="E699" s="97"/>
      <c r="F699" s="97"/>
      <c r="G699" s="97"/>
      <c r="H699" s="97"/>
      <c r="I699" s="97"/>
      <c r="J699" s="97"/>
      <c r="K699" s="98"/>
    </row>
    <row r="700" spans="1:76" ht="14.4" x14ac:dyDescent="0.3">
      <c r="A700" s="31"/>
      <c r="C700" s="32" t="s">
        <v>1209</v>
      </c>
      <c r="D700" s="32" t="s">
        <v>51</v>
      </c>
      <c r="F700" s="33">
        <v>32.551000000000002</v>
      </c>
      <c r="K700" s="34"/>
    </row>
    <row r="701" spans="1:76" ht="14.4" x14ac:dyDescent="0.3">
      <c r="A701" s="31"/>
      <c r="C701" s="32" t="s">
        <v>1210</v>
      </c>
      <c r="D701" s="32" t="s">
        <v>51</v>
      </c>
      <c r="F701" s="33">
        <v>3.34</v>
      </c>
      <c r="K701" s="34"/>
    </row>
    <row r="702" spans="1:76" ht="14.4" x14ac:dyDescent="0.3">
      <c r="A702" s="24" t="s">
        <v>51</v>
      </c>
      <c r="B702" s="25" t="s">
        <v>1211</v>
      </c>
      <c r="C702" s="91" t="s">
        <v>1212</v>
      </c>
      <c r="D702" s="92"/>
      <c r="E702" s="26" t="s">
        <v>4</v>
      </c>
      <c r="F702" s="26" t="s">
        <v>4</v>
      </c>
      <c r="G702" s="26" t="s">
        <v>4</v>
      </c>
      <c r="H702" s="1">
        <f>SUM(H703:H710)</f>
        <v>0</v>
      </c>
      <c r="I702" s="1">
        <f>SUM(I703:I710)</f>
        <v>0</v>
      </c>
      <c r="J702" s="1">
        <f>SUM(J703:J710)</f>
        <v>0</v>
      </c>
      <c r="K702" s="27" t="s">
        <v>51</v>
      </c>
      <c r="AI702" s="10" t="s">
        <v>1050</v>
      </c>
      <c r="AS702" s="1">
        <f>SUM(AJ703:AJ710)</f>
        <v>0</v>
      </c>
      <c r="AT702" s="1">
        <f>SUM(AK703:AK710)</f>
        <v>0</v>
      </c>
      <c r="AU702" s="1">
        <f>SUM(AL703:AL710)</f>
        <v>0</v>
      </c>
    </row>
    <row r="703" spans="1:76" ht="14.4" x14ac:dyDescent="0.3">
      <c r="A703" s="2" t="s">
        <v>1213</v>
      </c>
      <c r="B703" s="3" t="s">
        <v>1214</v>
      </c>
      <c r="C703" s="75" t="s">
        <v>1215</v>
      </c>
      <c r="D703" s="70"/>
      <c r="E703" s="3" t="s">
        <v>103</v>
      </c>
      <c r="F703" s="28">
        <v>5.27</v>
      </c>
      <c r="G703" s="28">
        <v>0</v>
      </c>
      <c r="H703" s="28">
        <f>ROUND(F703*AO703,2)</f>
        <v>0</v>
      </c>
      <c r="I703" s="28">
        <f>ROUND(F703*AP703,2)</f>
        <v>0</v>
      </c>
      <c r="J703" s="28">
        <f>ROUND(F703*G703,2)</f>
        <v>0</v>
      </c>
      <c r="K703" s="29" t="s">
        <v>426</v>
      </c>
      <c r="Z703" s="28">
        <f>ROUND(IF(AQ703="5",BJ703,0),2)</f>
        <v>0</v>
      </c>
      <c r="AB703" s="28">
        <f>ROUND(IF(AQ703="1",BH703,0),2)</f>
        <v>0</v>
      </c>
      <c r="AC703" s="28">
        <f>ROUND(IF(AQ703="1",BI703,0),2)</f>
        <v>0</v>
      </c>
      <c r="AD703" s="28">
        <f>ROUND(IF(AQ703="7",BH703,0),2)</f>
        <v>0</v>
      </c>
      <c r="AE703" s="28">
        <f>ROUND(IF(AQ703="7",BI703,0),2)</f>
        <v>0</v>
      </c>
      <c r="AF703" s="28">
        <f>ROUND(IF(AQ703="2",BH703,0),2)</f>
        <v>0</v>
      </c>
      <c r="AG703" s="28">
        <f>ROUND(IF(AQ703="2",BI703,0),2)</f>
        <v>0</v>
      </c>
      <c r="AH703" s="28">
        <f>ROUND(IF(AQ703="0",BJ703,0),2)</f>
        <v>0</v>
      </c>
      <c r="AI703" s="10" t="s">
        <v>1050</v>
      </c>
      <c r="AJ703" s="28">
        <f>IF(AN703=0,J703,0)</f>
        <v>0</v>
      </c>
      <c r="AK703" s="28">
        <f>IF(AN703=12,J703,0)</f>
        <v>0</v>
      </c>
      <c r="AL703" s="28">
        <f>IF(AN703=21,J703,0)</f>
        <v>0</v>
      </c>
      <c r="AN703" s="28">
        <v>21</v>
      </c>
      <c r="AO703" s="28">
        <f>G703*0.151447661</f>
        <v>0</v>
      </c>
      <c r="AP703" s="28">
        <f>G703*(1-0.151447661)</f>
        <v>0</v>
      </c>
      <c r="AQ703" s="30" t="s">
        <v>118</v>
      </c>
      <c r="AV703" s="28">
        <f>ROUND(AW703+AX703,2)</f>
        <v>0</v>
      </c>
      <c r="AW703" s="28">
        <f>ROUND(F703*AO703,2)</f>
        <v>0</v>
      </c>
      <c r="AX703" s="28">
        <f>ROUND(F703*AP703,2)</f>
        <v>0</v>
      </c>
      <c r="AY703" s="30" t="s">
        <v>1216</v>
      </c>
      <c r="AZ703" s="30" t="s">
        <v>1174</v>
      </c>
      <c r="BA703" s="10" t="s">
        <v>1055</v>
      </c>
      <c r="BC703" s="28">
        <f>AW703+AX703</f>
        <v>0</v>
      </c>
      <c r="BD703" s="28">
        <f>G703/(100-BE703)*100</f>
        <v>0</v>
      </c>
      <c r="BE703" s="28">
        <v>0</v>
      </c>
      <c r="BF703" s="28">
        <f>703</f>
        <v>703</v>
      </c>
      <c r="BH703" s="28">
        <f>F703*AO703</f>
        <v>0</v>
      </c>
      <c r="BI703" s="28">
        <f>F703*AP703</f>
        <v>0</v>
      </c>
      <c r="BJ703" s="28">
        <f>F703*G703</f>
        <v>0</v>
      </c>
      <c r="BK703" s="28"/>
      <c r="BL703" s="28">
        <v>714</v>
      </c>
      <c r="BW703" s="28">
        <v>21</v>
      </c>
      <c r="BX703" s="4" t="s">
        <v>1215</v>
      </c>
    </row>
    <row r="704" spans="1:76" ht="13.5" customHeight="1" x14ac:dyDescent="0.3">
      <c r="A704" s="31"/>
      <c r="B704" s="35" t="s">
        <v>105</v>
      </c>
      <c r="C704" s="96" t="s">
        <v>1217</v>
      </c>
      <c r="D704" s="97"/>
      <c r="E704" s="97"/>
      <c r="F704" s="97"/>
      <c r="G704" s="97"/>
      <c r="H704" s="97"/>
      <c r="I704" s="97"/>
      <c r="J704" s="97"/>
      <c r="K704" s="98"/>
    </row>
    <row r="705" spans="1:76" ht="14.4" x14ac:dyDescent="0.3">
      <c r="A705" s="31"/>
      <c r="C705" s="32" t="s">
        <v>1218</v>
      </c>
      <c r="D705" s="32" t="s">
        <v>1219</v>
      </c>
      <c r="F705" s="33">
        <v>5.27</v>
      </c>
      <c r="K705" s="34"/>
    </row>
    <row r="706" spans="1:76" ht="14.4" x14ac:dyDescent="0.3">
      <c r="A706" s="2" t="s">
        <v>1220</v>
      </c>
      <c r="B706" s="3" t="s">
        <v>1221</v>
      </c>
      <c r="C706" s="75" t="s">
        <v>1222</v>
      </c>
      <c r="D706" s="70"/>
      <c r="E706" s="3" t="s">
        <v>188</v>
      </c>
      <c r="F706" s="28">
        <v>88</v>
      </c>
      <c r="G706" s="28">
        <v>0</v>
      </c>
      <c r="H706" s="28">
        <f>ROUND(F706*AO706,2)</f>
        <v>0</v>
      </c>
      <c r="I706" s="28">
        <f>ROUND(F706*AP706,2)</f>
        <v>0</v>
      </c>
      <c r="J706" s="28">
        <f>ROUND(F706*G706,2)</f>
        <v>0</v>
      </c>
      <c r="K706" s="29" t="s">
        <v>426</v>
      </c>
      <c r="Z706" s="28">
        <f>ROUND(IF(AQ706="5",BJ706,0),2)</f>
        <v>0</v>
      </c>
      <c r="AB706" s="28">
        <f>ROUND(IF(AQ706="1",BH706,0),2)</f>
        <v>0</v>
      </c>
      <c r="AC706" s="28">
        <f>ROUND(IF(AQ706="1",BI706,0),2)</f>
        <v>0</v>
      </c>
      <c r="AD706" s="28">
        <f>ROUND(IF(AQ706="7",BH706,0),2)</f>
        <v>0</v>
      </c>
      <c r="AE706" s="28">
        <f>ROUND(IF(AQ706="7",BI706,0),2)</f>
        <v>0</v>
      </c>
      <c r="AF706" s="28">
        <f>ROUND(IF(AQ706="2",BH706,0),2)</f>
        <v>0</v>
      </c>
      <c r="AG706" s="28">
        <f>ROUND(IF(AQ706="2",BI706,0),2)</f>
        <v>0</v>
      </c>
      <c r="AH706" s="28">
        <f>ROUND(IF(AQ706="0",BJ706,0),2)</f>
        <v>0</v>
      </c>
      <c r="AI706" s="10" t="s">
        <v>1050</v>
      </c>
      <c r="AJ706" s="28">
        <f>IF(AN706=0,J706,0)</f>
        <v>0</v>
      </c>
      <c r="AK706" s="28">
        <f>IF(AN706=12,J706,0)</f>
        <v>0</v>
      </c>
      <c r="AL706" s="28">
        <f>IF(AN706=21,J706,0)</f>
        <v>0</v>
      </c>
      <c r="AN706" s="28">
        <v>21</v>
      </c>
      <c r="AO706" s="28">
        <f>G706*1</f>
        <v>0</v>
      </c>
      <c r="AP706" s="28">
        <f>G706*(1-1)</f>
        <v>0</v>
      </c>
      <c r="AQ706" s="30" t="s">
        <v>118</v>
      </c>
      <c r="AV706" s="28">
        <f>ROUND(AW706+AX706,2)</f>
        <v>0</v>
      </c>
      <c r="AW706" s="28">
        <f>ROUND(F706*AO706,2)</f>
        <v>0</v>
      </c>
      <c r="AX706" s="28">
        <f>ROUND(F706*AP706,2)</f>
        <v>0</v>
      </c>
      <c r="AY706" s="30" t="s">
        <v>1216</v>
      </c>
      <c r="AZ706" s="30" t="s">
        <v>1174</v>
      </c>
      <c r="BA706" s="10" t="s">
        <v>1055</v>
      </c>
      <c r="BC706" s="28">
        <f>AW706+AX706</f>
        <v>0</v>
      </c>
      <c r="BD706" s="28">
        <f>G706/(100-BE706)*100</f>
        <v>0</v>
      </c>
      <c r="BE706" s="28">
        <v>0</v>
      </c>
      <c r="BF706" s="28">
        <f>706</f>
        <v>706</v>
      </c>
      <c r="BH706" s="28">
        <f>F706*AO706</f>
        <v>0</v>
      </c>
      <c r="BI706" s="28">
        <f>F706*AP706</f>
        <v>0</v>
      </c>
      <c r="BJ706" s="28">
        <f>F706*G706</f>
        <v>0</v>
      </c>
      <c r="BK706" s="28"/>
      <c r="BL706" s="28">
        <v>714</v>
      </c>
      <c r="BW706" s="28">
        <v>21</v>
      </c>
      <c r="BX706" s="4" t="s">
        <v>1222</v>
      </c>
    </row>
    <row r="707" spans="1:76" ht="14.4" x14ac:dyDescent="0.3">
      <c r="A707" s="31"/>
      <c r="C707" s="32" t="s">
        <v>1223</v>
      </c>
      <c r="D707" s="32" t="s">
        <v>1224</v>
      </c>
      <c r="F707" s="33">
        <v>76</v>
      </c>
      <c r="K707" s="34"/>
    </row>
    <row r="708" spans="1:76" ht="14.4" x14ac:dyDescent="0.3">
      <c r="A708" s="31"/>
      <c r="C708" s="32" t="s">
        <v>1225</v>
      </c>
      <c r="D708" s="32" t="s">
        <v>1226</v>
      </c>
      <c r="F708" s="33">
        <v>12</v>
      </c>
      <c r="K708" s="34"/>
    </row>
    <row r="709" spans="1:76" ht="14.4" x14ac:dyDescent="0.3">
      <c r="A709" s="31"/>
      <c r="B709" s="35" t="s">
        <v>68</v>
      </c>
      <c r="C709" s="93" t="s">
        <v>1227</v>
      </c>
      <c r="D709" s="94"/>
      <c r="E709" s="94"/>
      <c r="F709" s="94"/>
      <c r="G709" s="94"/>
      <c r="H709" s="94"/>
      <c r="I709" s="94"/>
      <c r="J709" s="94"/>
      <c r="K709" s="95"/>
      <c r="BX709" s="36" t="s">
        <v>1227</v>
      </c>
    </row>
    <row r="710" spans="1:76" ht="14.4" x14ac:dyDescent="0.3">
      <c r="A710" s="2" t="s">
        <v>1228</v>
      </c>
      <c r="B710" s="3" t="s">
        <v>1229</v>
      </c>
      <c r="C710" s="75" t="s">
        <v>1230</v>
      </c>
      <c r="D710" s="70"/>
      <c r="E710" s="3" t="s">
        <v>188</v>
      </c>
      <c r="F710" s="28">
        <v>4</v>
      </c>
      <c r="G710" s="28">
        <v>0</v>
      </c>
      <c r="H710" s="28">
        <f>ROUND(F710*AO710,2)</f>
        <v>0</v>
      </c>
      <c r="I710" s="28">
        <f>ROUND(F710*AP710,2)</f>
        <v>0</v>
      </c>
      <c r="J710" s="28">
        <f>ROUND(F710*G710,2)</f>
        <v>0</v>
      </c>
      <c r="K710" s="29" t="s">
        <v>426</v>
      </c>
      <c r="Z710" s="28">
        <f>ROUND(IF(AQ710="5",BJ710,0),2)</f>
        <v>0</v>
      </c>
      <c r="AB710" s="28">
        <f>ROUND(IF(AQ710="1",BH710,0),2)</f>
        <v>0</v>
      </c>
      <c r="AC710" s="28">
        <f>ROUND(IF(AQ710="1",BI710,0),2)</f>
        <v>0</v>
      </c>
      <c r="AD710" s="28">
        <f>ROUND(IF(AQ710="7",BH710,0),2)</f>
        <v>0</v>
      </c>
      <c r="AE710" s="28">
        <f>ROUND(IF(AQ710="7",BI710,0),2)</f>
        <v>0</v>
      </c>
      <c r="AF710" s="28">
        <f>ROUND(IF(AQ710="2",BH710,0),2)</f>
        <v>0</v>
      </c>
      <c r="AG710" s="28">
        <f>ROUND(IF(AQ710="2",BI710,0),2)</f>
        <v>0</v>
      </c>
      <c r="AH710" s="28">
        <f>ROUND(IF(AQ710="0",BJ710,0),2)</f>
        <v>0</v>
      </c>
      <c r="AI710" s="10" t="s">
        <v>1050</v>
      </c>
      <c r="AJ710" s="28">
        <f>IF(AN710=0,J710,0)</f>
        <v>0</v>
      </c>
      <c r="AK710" s="28">
        <f>IF(AN710=12,J710,0)</f>
        <v>0</v>
      </c>
      <c r="AL710" s="28">
        <f>IF(AN710=21,J710,0)</f>
        <v>0</v>
      </c>
      <c r="AN710" s="28">
        <v>21</v>
      </c>
      <c r="AO710" s="28">
        <f>G710*1</f>
        <v>0</v>
      </c>
      <c r="AP710" s="28">
        <f>G710*(1-1)</f>
        <v>0</v>
      </c>
      <c r="AQ710" s="30" t="s">
        <v>118</v>
      </c>
      <c r="AV710" s="28">
        <f>ROUND(AW710+AX710,2)</f>
        <v>0</v>
      </c>
      <c r="AW710" s="28">
        <f>ROUND(F710*AO710,2)</f>
        <v>0</v>
      </c>
      <c r="AX710" s="28">
        <f>ROUND(F710*AP710,2)</f>
        <v>0</v>
      </c>
      <c r="AY710" s="30" t="s">
        <v>1216</v>
      </c>
      <c r="AZ710" s="30" t="s">
        <v>1174</v>
      </c>
      <c r="BA710" s="10" t="s">
        <v>1055</v>
      </c>
      <c r="BC710" s="28">
        <f>AW710+AX710</f>
        <v>0</v>
      </c>
      <c r="BD710" s="28">
        <f>G710/(100-BE710)*100</f>
        <v>0</v>
      </c>
      <c r="BE710" s="28">
        <v>0</v>
      </c>
      <c r="BF710" s="28">
        <f>710</f>
        <v>710</v>
      </c>
      <c r="BH710" s="28">
        <f>F710*AO710</f>
        <v>0</v>
      </c>
      <c r="BI710" s="28">
        <f>F710*AP710</f>
        <v>0</v>
      </c>
      <c r="BJ710" s="28">
        <f>F710*G710</f>
        <v>0</v>
      </c>
      <c r="BK710" s="28"/>
      <c r="BL710" s="28">
        <v>714</v>
      </c>
      <c r="BW710" s="28">
        <v>21</v>
      </c>
      <c r="BX710" s="4" t="s">
        <v>1230</v>
      </c>
    </row>
    <row r="711" spans="1:76" ht="14.4" x14ac:dyDescent="0.3">
      <c r="A711" s="31"/>
      <c r="B711" s="35" t="s">
        <v>68</v>
      </c>
      <c r="C711" s="93" t="s">
        <v>1231</v>
      </c>
      <c r="D711" s="94"/>
      <c r="E711" s="94"/>
      <c r="F711" s="94"/>
      <c r="G711" s="94"/>
      <c r="H711" s="94"/>
      <c r="I711" s="94"/>
      <c r="J711" s="94"/>
      <c r="K711" s="95"/>
      <c r="BX711" s="36" t="s">
        <v>1231</v>
      </c>
    </row>
    <row r="712" spans="1:76" ht="14.4" x14ac:dyDescent="0.3">
      <c r="A712" s="24" t="s">
        <v>51</v>
      </c>
      <c r="B712" s="25" t="s">
        <v>1232</v>
      </c>
      <c r="C712" s="91" t="s">
        <v>1233</v>
      </c>
      <c r="D712" s="92"/>
      <c r="E712" s="26" t="s">
        <v>4</v>
      </c>
      <c r="F712" s="26" t="s">
        <v>4</v>
      </c>
      <c r="G712" s="26" t="s">
        <v>4</v>
      </c>
      <c r="H712" s="1">
        <f>SUM(H713:H760)</f>
        <v>0</v>
      </c>
      <c r="I712" s="1">
        <f>SUM(I713:I760)</f>
        <v>0</v>
      </c>
      <c r="J712" s="1">
        <f>SUM(J713:J760)</f>
        <v>0</v>
      </c>
      <c r="K712" s="27" t="s">
        <v>51</v>
      </c>
      <c r="AI712" s="10" t="s">
        <v>1050</v>
      </c>
      <c r="AS712" s="1">
        <f>SUM(AJ713:AJ760)</f>
        <v>0</v>
      </c>
      <c r="AT712" s="1">
        <f>SUM(AK713:AK760)</f>
        <v>0</v>
      </c>
      <c r="AU712" s="1">
        <f>SUM(AL713:AL760)</f>
        <v>0</v>
      </c>
    </row>
    <row r="713" spans="1:76" ht="14.4" x14ac:dyDescent="0.3">
      <c r="A713" s="2" t="s">
        <v>1234</v>
      </c>
      <c r="B713" s="3" t="s">
        <v>1235</v>
      </c>
      <c r="C713" s="75" t="s">
        <v>1236</v>
      </c>
      <c r="D713" s="70"/>
      <c r="E713" s="3" t="s">
        <v>103</v>
      </c>
      <c r="F713" s="28">
        <v>15.28</v>
      </c>
      <c r="G713" s="28">
        <v>0</v>
      </c>
      <c r="H713" s="28">
        <f>ROUND(F713*AO713,2)</f>
        <v>0</v>
      </c>
      <c r="I713" s="28">
        <f>ROUND(F713*AP713,2)</f>
        <v>0</v>
      </c>
      <c r="J713" s="28">
        <f>ROUND(F713*G713,2)</f>
        <v>0</v>
      </c>
      <c r="K713" s="29" t="s">
        <v>60</v>
      </c>
      <c r="Z713" s="28">
        <f>ROUND(IF(AQ713="5",BJ713,0),2)</f>
        <v>0</v>
      </c>
      <c r="AB713" s="28">
        <f>ROUND(IF(AQ713="1",BH713,0),2)</f>
        <v>0</v>
      </c>
      <c r="AC713" s="28">
        <f>ROUND(IF(AQ713="1",BI713,0),2)</f>
        <v>0</v>
      </c>
      <c r="AD713" s="28">
        <f>ROUND(IF(AQ713="7",BH713,0),2)</f>
        <v>0</v>
      </c>
      <c r="AE713" s="28">
        <f>ROUND(IF(AQ713="7",BI713,0),2)</f>
        <v>0</v>
      </c>
      <c r="AF713" s="28">
        <f>ROUND(IF(AQ713="2",BH713,0),2)</f>
        <v>0</v>
      </c>
      <c r="AG713" s="28">
        <f>ROUND(IF(AQ713="2",BI713,0),2)</f>
        <v>0</v>
      </c>
      <c r="AH713" s="28">
        <f>ROUND(IF(AQ713="0",BJ713,0),2)</f>
        <v>0</v>
      </c>
      <c r="AI713" s="10" t="s">
        <v>1050</v>
      </c>
      <c r="AJ713" s="28">
        <f>IF(AN713=0,J713,0)</f>
        <v>0</v>
      </c>
      <c r="AK713" s="28">
        <f>IF(AN713=12,J713,0)</f>
        <v>0</v>
      </c>
      <c r="AL713" s="28">
        <f>IF(AN713=21,J713,0)</f>
        <v>0</v>
      </c>
      <c r="AN713" s="28">
        <v>21</v>
      </c>
      <c r="AO713" s="28">
        <f>G713*0.045754054</f>
        <v>0</v>
      </c>
      <c r="AP713" s="28">
        <f>G713*(1-0.045754054)</f>
        <v>0</v>
      </c>
      <c r="AQ713" s="30" t="s">
        <v>118</v>
      </c>
      <c r="AV713" s="28">
        <f>ROUND(AW713+AX713,2)</f>
        <v>0</v>
      </c>
      <c r="AW713" s="28">
        <f>ROUND(F713*AO713,2)</f>
        <v>0</v>
      </c>
      <c r="AX713" s="28">
        <f>ROUND(F713*AP713,2)</f>
        <v>0</v>
      </c>
      <c r="AY713" s="30" t="s">
        <v>1237</v>
      </c>
      <c r="AZ713" s="30" t="s">
        <v>1238</v>
      </c>
      <c r="BA713" s="10" t="s">
        <v>1055</v>
      </c>
      <c r="BC713" s="28">
        <f>AW713+AX713</f>
        <v>0</v>
      </c>
      <c r="BD713" s="28">
        <f>G713/(100-BE713)*100</f>
        <v>0</v>
      </c>
      <c r="BE713" s="28">
        <v>0</v>
      </c>
      <c r="BF713" s="28">
        <f>713</f>
        <v>713</v>
      </c>
      <c r="BH713" s="28">
        <f>F713*AO713</f>
        <v>0</v>
      </c>
      <c r="BI713" s="28">
        <f>F713*AP713</f>
        <v>0</v>
      </c>
      <c r="BJ713" s="28">
        <f>F713*G713</f>
        <v>0</v>
      </c>
      <c r="BK713" s="28"/>
      <c r="BL713" s="28">
        <v>762</v>
      </c>
      <c r="BW713" s="28">
        <v>21</v>
      </c>
      <c r="BX713" s="4" t="s">
        <v>1236</v>
      </c>
    </row>
    <row r="714" spans="1:76" ht="14.4" x14ac:dyDescent="0.3">
      <c r="A714" s="31"/>
      <c r="C714" s="32" t="s">
        <v>1239</v>
      </c>
      <c r="D714" s="32" t="s">
        <v>51</v>
      </c>
      <c r="F714" s="33">
        <v>15.275</v>
      </c>
      <c r="K714" s="34"/>
    </row>
    <row r="715" spans="1:76" ht="14.4" x14ac:dyDescent="0.3">
      <c r="A715" s="2" t="s">
        <v>1240</v>
      </c>
      <c r="B715" s="3" t="s">
        <v>1241</v>
      </c>
      <c r="C715" s="75" t="s">
        <v>1242</v>
      </c>
      <c r="D715" s="70"/>
      <c r="E715" s="3" t="s">
        <v>59</v>
      </c>
      <c r="F715" s="28">
        <v>0.31</v>
      </c>
      <c r="G715" s="28">
        <v>0</v>
      </c>
      <c r="H715" s="28">
        <f>ROUND(F715*AO715,2)</f>
        <v>0</v>
      </c>
      <c r="I715" s="28">
        <f>ROUND(F715*AP715,2)</f>
        <v>0</v>
      </c>
      <c r="J715" s="28">
        <f>ROUND(F715*G715,2)</f>
        <v>0</v>
      </c>
      <c r="K715" s="29" t="s">
        <v>60</v>
      </c>
      <c r="Z715" s="28">
        <f>ROUND(IF(AQ715="5",BJ715,0),2)</f>
        <v>0</v>
      </c>
      <c r="AB715" s="28">
        <f>ROUND(IF(AQ715="1",BH715,0),2)</f>
        <v>0</v>
      </c>
      <c r="AC715" s="28">
        <f>ROUND(IF(AQ715="1",BI715,0),2)</f>
        <v>0</v>
      </c>
      <c r="AD715" s="28">
        <f>ROUND(IF(AQ715="7",BH715,0),2)</f>
        <v>0</v>
      </c>
      <c r="AE715" s="28">
        <f>ROUND(IF(AQ715="7",BI715,0),2)</f>
        <v>0</v>
      </c>
      <c r="AF715" s="28">
        <f>ROUND(IF(AQ715="2",BH715,0),2)</f>
        <v>0</v>
      </c>
      <c r="AG715" s="28">
        <f>ROUND(IF(AQ715="2",BI715,0),2)</f>
        <v>0</v>
      </c>
      <c r="AH715" s="28">
        <f>ROUND(IF(AQ715="0",BJ715,0),2)</f>
        <v>0</v>
      </c>
      <c r="AI715" s="10" t="s">
        <v>1050</v>
      </c>
      <c r="AJ715" s="28">
        <f>IF(AN715=0,J715,0)</f>
        <v>0</v>
      </c>
      <c r="AK715" s="28">
        <f>IF(AN715=12,J715,0)</f>
        <v>0</v>
      </c>
      <c r="AL715" s="28">
        <f>IF(AN715=21,J715,0)</f>
        <v>0</v>
      </c>
      <c r="AN715" s="28">
        <v>21</v>
      </c>
      <c r="AO715" s="28">
        <f>G715*0.99977758</f>
        <v>0</v>
      </c>
      <c r="AP715" s="28">
        <f>G715*(1-0.99977758)</f>
        <v>0</v>
      </c>
      <c r="AQ715" s="30" t="s">
        <v>118</v>
      </c>
      <c r="AV715" s="28">
        <f>ROUND(AW715+AX715,2)</f>
        <v>0</v>
      </c>
      <c r="AW715" s="28">
        <f>ROUND(F715*AO715,2)</f>
        <v>0</v>
      </c>
      <c r="AX715" s="28">
        <f>ROUND(F715*AP715,2)</f>
        <v>0</v>
      </c>
      <c r="AY715" s="30" t="s">
        <v>1237</v>
      </c>
      <c r="AZ715" s="30" t="s">
        <v>1238</v>
      </c>
      <c r="BA715" s="10" t="s">
        <v>1055</v>
      </c>
      <c r="BC715" s="28">
        <f>AW715+AX715</f>
        <v>0</v>
      </c>
      <c r="BD715" s="28">
        <f>G715/(100-BE715)*100</f>
        <v>0</v>
      </c>
      <c r="BE715" s="28">
        <v>0</v>
      </c>
      <c r="BF715" s="28">
        <f>715</f>
        <v>715</v>
      </c>
      <c r="BH715" s="28">
        <f>F715*AO715</f>
        <v>0</v>
      </c>
      <c r="BI715" s="28">
        <f>F715*AP715</f>
        <v>0</v>
      </c>
      <c r="BJ715" s="28">
        <f>F715*G715</f>
        <v>0</v>
      </c>
      <c r="BK715" s="28"/>
      <c r="BL715" s="28">
        <v>762</v>
      </c>
      <c r="BW715" s="28">
        <v>21</v>
      </c>
      <c r="BX715" s="4" t="s">
        <v>1242</v>
      </c>
    </row>
    <row r="716" spans="1:76" ht="14.4" x14ac:dyDescent="0.3">
      <c r="A716" s="31"/>
      <c r="C716" s="32" t="s">
        <v>1243</v>
      </c>
      <c r="D716" s="32" t="s">
        <v>51</v>
      </c>
      <c r="F716" s="33">
        <v>0.31268000000000001</v>
      </c>
      <c r="K716" s="34"/>
    </row>
    <row r="717" spans="1:76" ht="14.4" x14ac:dyDescent="0.3">
      <c r="A717" s="2" t="s">
        <v>1244</v>
      </c>
      <c r="B717" s="3" t="s">
        <v>1245</v>
      </c>
      <c r="C717" s="75" t="s">
        <v>1246</v>
      </c>
      <c r="D717" s="70"/>
      <c r="E717" s="3" t="s">
        <v>293</v>
      </c>
      <c r="F717" s="28">
        <v>8</v>
      </c>
      <c r="G717" s="28">
        <v>0</v>
      </c>
      <c r="H717" s="28">
        <f>ROUND(F717*AO717,2)</f>
        <v>0</v>
      </c>
      <c r="I717" s="28">
        <f>ROUND(F717*AP717,2)</f>
        <v>0</v>
      </c>
      <c r="J717" s="28">
        <f>ROUND(F717*G717,2)</f>
        <v>0</v>
      </c>
      <c r="K717" s="29" t="s">
        <v>60</v>
      </c>
      <c r="Z717" s="28">
        <f>ROUND(IF(AQ717="5",BJ717,0),2)</f>
        <v>0</v>
      </c>
      <c r="AB717" s="28">
        <f>ROUND(IF(AQ717="1",BH717,0),2)</f>
        <v>0</v>
      </c>
      <c r="AC717" s="28">
        <f>ROUND(IF(AQ717="1",BI717,0),2)</f>
        <v>0</v>
      </c>
      <c r="AD717" s="28">
        <f>ROUND(IF(AQ717="7",BH717,0),2)</f>
        <v>0</v>
      </c>
      <c r="AE717" s="28">
        <f>ROUND(IF(AQ717="7",BI717,0),2)</f>
        <v>0</v>
      </c>
      <c r="AF717" s="28">
        <f>ROUND(IF(AQ717="2",BH717,0),2)</f>
        <v>0</v>
      </c>
      <c r="AG717" s="28">
        <f>ROUND(IF(AQ717="2",BI717,0),2)</f>
        <v>0</v>
      </c>
      <c r="AH717" s="28">
        <f>ROUND(IF(AQ717="0",BJ717,0),2)</f>
        <v>0</v>
      </c>
      <c r="AI717" s="10" t="s">
        <v>1050</v>
      </c>
      <c r="AJ717" s="28">
        <f>IF(AN717=0,J717,0)</f>
        <v>0</v>
      </c>
      <c r="AK717" s="28">
        <f>IF(AN717=12,J717,0)</f>
        <v>0</v>
      </c>
      <c r="AL717" s="28">
        <f>IF(AN717=21,J717,0)</f>
        <v>0</v>
      </c>
      <c r="AN717" s="28">
        <v>21</v>
      </c>
      <c r="AO717" s="28">
        <f>G717*0.049430745</f>
        <v>0</v>
      </c>
      <c r="AP717" s="28">
        <f>G717*(1-0.049430745)</f>
        <v>0</v>
      </c>
      <c r="AQ717" s="30" t="s">
        <v>118</v>
      </c>
      <c r="AV717" s="28">
        <f>ROUND(AW717+AX717,2)</f>
        <v>0</v>
      </c>
      <c r="AW717" s="28">
        <f>ROUND(F717*AO717,2)</f>
        <v>0</v>
      </c>
      <c r="AX717" s="28">
        <f>ROUND(F717*AP717,2)</f>
        <v>0</v>
      </c>
      <c r="AY717" s="30" t="s">
        <v>1237</v>
      </c>
      <c r="AZ717" s="30" t="s">
        <v>1238</v>
      </c>
      <c r="BA717" s="10" t="s">
        <v>1055</v>
      </c>
      <c r="BC717" s="28">
        <f>AW717+AX717</f>
        <v>0</v>
      </c>
      <c r="BD717" s="28">
        <f>G717/(100-BE717)*100</f>
        <v>0</v>
      </c>
      <c r="BE717" s="28">
        <v>0</v>
      </c>
      <c r="BF717" s="28">
        <f>717</f>
        <v>717</v>
      </c>
      <c r="BH717" s="28">
        <f>F717*AO717</f>
        <v>0</v>
      </c>
      <c r="BI717" s="28">
        <f>F717*AP717</f>
        <v>0</v>
      </c>
      <c r="BJ717" s="28">
        <f>F717*G717</f>
        <v>0</v>
      </c>
      <c r="BK717" s="28"/>
      <c r="BL717" s="28">
        <v>762</v>
      </c>
      <c r="BW717" s="28">
        <v>21</v>
      </c>
      <c r="BX717" s="4" t="s">
        <v>1246</v>
      </c>
    </row>
    <row r="718" spans="1:76" ht="14.4" x14ac:dyDescent="0.3">
      <c r="A718" s="31"/>
      <c r="C718" s="32" t="s">
        <v>1247</v>
      </c>
      <c r="D718" s="32" t="s">
        <v>51</v>
      </c>
      <c r="F718" s="33">
        <v>6</v>
      </c>
      <c r="K718" s="34"/>
    </row>
    <row r="719" spans="1:76" ht="14.4" x14ac:dyDescent="0.3">
      <c r="A719" s="31"/>
      <c r="C719" s="32" t="s">
        <v>1248</v>
      </c>
      <c r="D719" s="32" t="s">
        <v>51</v>
      </c>
      <c r="F719" s="33">
        <v>2</v>
      </c>
      <c r="K719" s="34"/>
    </row>
    <row r="720" spans="1:76" ht="14.4" x14ac:dyDescent="0.3">
      <c r="A720" s="2" t="s">
        <v>771</v>
      </c>
      <c r="B720" s="3" t="s">
        <v>1249</v>
      </c>
      <c r="C720" s="75" t="s">
        <v>1250</v>
      </c>
      <c r="D720" s="70"/>
      <c r="E720" s="3" t="s">
        <v>103</v>
      </c>
      <c r="F720" s="28">
        <v>3.34</v>
      </c>
      <c r="G720" s="28">
        <v>0</v>
      </c>
      <c r="H720" s="28">
        <f>ROUND(F720*AO720,2)</f>
        <v>0</v>
      </c>
      <c r="I720" s="28">
        <f>ROUND(F720*AP720,2)</f>
        <v>0</v>
      </c>
      <c r="J720" s="28">
        <f>ROUND(F720*G720,2)</f>
        <v>0</v>
      </c>
      <c r="K720" s="29" t="s">
        <v>60</v>
      </c>
      <c r="Z720" s="28">
        <f>ROUND(IF(AQ720="5",BJ720,0),2)</f>
        <v>0</v>
      </c>
      <c r="AB720" s="28">
        <f>ROUND(IF(AQ720="1",BH720,0),2)</f>
        <v>0</v>
      </c>
      <c r="AC720" s="28">
        <f>ROUND(IF(AQ720="1",BI720,0),2)</f>
        <v>0</v>
      </c>
      <c r="AD720" s="28">
        <f>ROUND(IF(AQ720="7",BH720,0),2)</f>
        <v>0</v>
      </c>
      <c r="AE720" s="28">
        <f>ROUND(IF(AQ720="7",BI720,0),2)</f>
        <v>0</v>
      </c>
      <c r="AF720" s="28">
        <f>ROUND(IF(AQ720="2",BH720,0),2)</f>
        <v>0</v>
      </c>
      <c r="AG720" s="28">
        <f>ROUND(IF(AQ720="2",BI720,0),2)</f>
        <v>0</v>
      </c>
      <c r="AH720" s="28">
        <f>ROUND(IF(AQ720="0",BJ720,0),2)</f>
        <v>0</v>
      </c>
      <c r="AI720" s="10" t="s">
        <v>1050</v>
      </c>
      <c r="AJ720" s="28">
        <f>IF(AN720=0,J720,0)</f>
        <v>0</v>
      </c>
      <c r="AK720" s="28">
        <f>IF(AN720=12,J720,0)</f>
        <v>0</v>
      </c>
      <c r="AL720" s="28">
        <f>IF(AN720=21,J720,0)</f>
        <v>0</v>
      </c>
      <c r="AN720" s="28">
        <v>21</v>
      </c>
      <c r="AO720" s="28">
        <f>G720*0.634682265</f>
        <v>0</v>
      </c>
      <c r="AP720" s="28">
        <f>G720*(1-0.634682265)</f>
        <v>0</v>
      </c>
      <c r="AQ720" s="30" t="s">
        <v>118</v>
      </c>
      <c r="AV720" s="28">
        <f>ROUND(AW720+AX720,2)</f>
        <v>0</v>
      </c>
      <c r="AW720" s="28">
        <f>ROUND(F720*AO720,2)</f>
        <v>0</v>
      </c>
      <c r="AX720" s="28">
        <f>ROUND(F720*AP720,2)</f>
        <v>0</v>
      </c>
      <c r="AY720" s="30" t="s">
        <v>1237</v>
      </c>
      <c r="AZ720" s="30" t="s">
        <v>1238</v>
      </c>
      <c r="BA720" s="10" t="s">
        <v>1055</v>
      </c>
      <c r="BC720" s="28">
        <f>AW720+AX720</f>
        <v>0</v>
      </c>
      <c r="BD720" s="28">
        <f>G720/(100-BE720)*100</f>
        <v>0</v>
      </c>
      <c r="BE720" s="28">
        <v>0</v>
      </c>
      <c r="BF720" s="28">
        <f>720</f>
        <v>720</v>
      </c>
      <c r="BH720" s="28">
        <f>F720*AO720</f>
        <v>0</v>
      </c>
      <c r="BI720" s="28">
        <f>F720*AP720</f>
        <v>0</v>
      </c>
      <c r="BJ720" s="28">
        <f>F720*G720</f>
        <v>0</v>
      </c>
      <c r="BK720" s="28"/>
      <c r="BL720" s="28">
        <v>762</v>
      </c>
      <c r="BW720" s="28">
        <v>21</v>
      </c>
      <c r="BX720" s="4" t="s">
        <v>1250</v>
      </c>
    </row>
    <row r="721" spans="1:76" ht="13.5" customHeight="1" x14ac:dyDescent="0.3">
      <c r="A721" s="31"/>
      <c r="B721" s="35" t="s">
        <v>105</v>
      </c>
      <c r="C721" s="96" t="s">
        <v>1251</v>
      </c>
      <c r="D721" s="97"/>
      <c r="E721" s="97"/>
      <c r="F721" s="97"/>
      <c r="G721" s="97"/>
      <c r="H721" s="97"/>
      <c r="I721" s="97"/>
      <c r="J721" s="97"/>
      <c r="K721" s="98"/>
    </row>
    <row r="722" spans="1:76" ht="14.4" x14ac:dyDescent="0.3">
      <c r="A722" s="31"/>
      <c r="C722" s="32" t="s">
        <v>1252</v>
      </c>
      <c r="D722" s="32" t="s">
        <v>51</v>
      </c>
      <c r="F722" s="33">
        <v>3.34</v>
      </c>
      <c r="K722" s="34"/>
    </row>
    <row r="723" spans="1:76" ht="14.4" x14ac:dyDescent="0.3">
      <c r="A723" s="2" t="s">
        <v>1253</v>
      </c>
      <c r="B723" s="3" t="s">
        <v>1254</v>
      </c>
      <c r="C723" s="75" t="s">
        <v>1255</v>
      </c>
      <c r="D723" s="70"/>
      <c r="E723" s="3" t="s">
        <v>103</v>
      </c>
      <c r="F723" s="28">
        <v>3.34</v>
      </c>
      <c r="G723" s="28">
        <v>0</v>
      </c>
      <c r="H723" s="28">
        <f>ROUND(F723*AO723,2)</f>
        <v>0</v>
      </c>
      <c r="I723" s="28">
        <f>ROUND(F723*AP723,2)</f>
        <v>0</v>
      </c>
      <c r="J723" s="28">
        <f>ROUND(F723*G723,2)</f>
        <v>0</v>
      </c>
      <c r="K723" s="29" t="s">
        <v>60</v>
      </c>
      <c r="Z723" s="28">
        <f>ROUND(IF(AQ723="5",BJ723,0),2)</f>
        <v>0</v>
      </c>
      <c r="AB723" s="28">
        <f>ROUND(IF(AQ723="1",BH723,0),2)</f>
        <v>0</v>
      </c>
      <c r="AC723" s="28">
        <f>ROUND(IF(AQ723="1",BI723,0),2)</f>
        <v>0</v>
      </c>
      <c r="AD723" s="28">
        <f>ROUND(IF(AQ723="7",BH723,0),2)</f>
        <v>0</v>
      </c>
      <c r="AE723" s="28">
        <f>ROUND(IF(AQ723="7",BI723,0),2)</f>
        <v>0</v>
      </c>
      <c r="AF723" s="28">
        <f>ROUND(IF(AQ723="2",BH723,0),2)</f>
        <v>0</v>
      </c>
      <c r="AG723" s="28">
        <f>ROUND(IF(AQ723="2",BI723,0),2)</f>
        <v>0</v>
      </c>
      <c r="AH723" s="28">
        <f>ROUND(IF(AQ723="0",BJ723,0),2)</f>
        <v>0</v>
      </c>
      <c r="AI723" s="10" t="s">
        <v>1050</v>
      </c>
      <c r="AJ723" s="28">
        <f>IF(AN723=0,J723,0)</f>
        <v>0</v>
      </c>
      <c r="AK723" s="28">
        <f>IF(AN723=12,J723,0)</f>
        <v>0</v>
      </c>
      <c r="AL723" s="28">
        <f>IF(AN723=21,J723,0)</f>
        <v>0</v>
      </c>
      <c r="AN723" s="28">
        <v>21</v>
      </c>
      <c r="AO723" s="28">
        <f>G723*0.999352332</f>
        <v>0</v>
      </c>
      <c r="AP723" s="28">
        <f>G723*(1-0.999352332)</f>
        <v>0</v>
      </c>
      <c r="AQ723" s="30" t="s">
        <v>118</v>
      </c>
      <c r="AV723" s="28">
        <f>ROUND(AW723+AX723,2)</f>
        <v>0</v>
      </c>
      <c r="AW723" s="28">
        <f>ROUND(F723*AO723,2)</f>
        <v>0</v>
      </c>
      <c r="AX723" s="28">
        <f>ROUND(F723*AP723,2)</f>
        <v>0</v>
      </c>
      <c r="AY723" s="30" t="s">
        <v>1237</v>
      </c>
      <c r="AZ723" s="30" t="s">
        <v>1238</v>
      </c>
      <c r="BA723" s="10" t="s">
        <v>1055</v>
      </c>
      <c r="BC723" s="28">
        <f>AW723+AX723</f>
        <v>0</v>
      </c>
      <c r="BD723" s="28">
        <f>G723/(100-BE723)*100</f>
        <v>0</v>
      </c>
      <c r="BE723" s="28">
        <v>0</v>
      </c>
      <c r="BF723" s="28">
        <f>723</f>
        <v>723</v>
      </c>
      <c r="BH723" s="28">
        <f>F723*AO723</f>
        <v>0</v>
      </c>
      <c r="BI723" s="28">
        <f>F723*AP723</f>
        <v>0</v>
      </c>
      <c r="BJ723" s="28">
        <f>F723*G723</f>
        <v>0</v>
      </c>
      <c r="BK723" s="28"/>
      <c r="BL723" s="28">
        <v>762</v>
      </c>
      <c r="BW723" s="28">
        <v>21</v>
      </c>
      <c r="BX723" s="4" t="s">
        <v>1255</v>
      </c>
    </row>
    <row r="724" spans="1:76" ht="14.4" x14ac:dyDescent="0.3">
      <c r="A724" s="31"/>
      <c r="C724" s="32" t="s">
        <v>1256</v>
      </c>
      <c r="D724" s="32" t="s">
        <v>51</v>
      </c>
      <c r="F724" s="33">
        <v>3.34</v>
      </c>
      <c r="K724" s="34"/>
    </row>
    <row r="725" spans="1:76" ht="14.4" x14ac:dyDescent="0.3">
      <c r="A725" s="2" t="s">
        <v>1257</v>
      </c>
      <c r="B725" s="3" t="s">
        <v>1258</v>
      </c>
      <c r="C725" s="75" t="s">
        <v>1259</v>
      </c>
      <c r="D725" s="70"/>
      <c r="E725" s="3" t="s">
        <v>188</v>
      </c>
      <c r="F725" s="28">
        <v>153.05000000000001</v>
      </c>
      <c r="G725" s="28">
        <v>0</v>
      </c>
      <c r="H725" s="28">
        <f>ROUND(F725*AO725,2)</f>
        <v>0</v>
      </c>
      <c r="I725" s="28">
        <f>ROUND(F725*AP725,2)</f>
        <v>0</v>
      </c>
      <c r="J725" s="28">
        <f>ROUND(F725*G725,2)</f>
        <v>0</v>
      </c>
      <c r="K725" s="29" t="s">
        <v>60</v>
      </c>
      <c r="Z725" s="28">
        <f>ROUND(IF(AQ725="5",BJ725,0),2)</f>
        <v>0</v>
      </c>
      <c r="AB725" s="28">
        <f>ROUND(IF(AQ725="1",BH725,0),2)</f>
        <v>0</v>
      </c>
      <c r="AC725" s="28">
        <f>ROUND(IF(AQ725="1",BI725,0),2)</f>
        <v>0</v>
      </c>
      <c r="AD725" s="28">
        <f>ROUND(IF(AQ725="7",BH725,0),2)</f>
        <v>0</v>
      </c>
      <c r="AE725" s="28">
        <f>ROUND(IF(AQ725="7",BI725,0),2)</f>
        <v>0</v>
      </c>
      <c r="AF725" s="28">
        <f>ROUND(IF(AQ725="2",BH725,0),2)</f>
        <v>0</v>
      </c>
      <c r="AG725" s="28">
        <f>ROUND(IF(AQ725="2",BI725,0),2)</f>
        <v>0</v>
      </c>
      <c r="AH725" s="28">
        <f>ROUND(IF(AQ725="0",BJ725,0),2)</f>
        <v>0</v>
      </c>
      <c r="AI725" s="10" t="s">
        <v>1050</v>
      </c>
      <c r="AJ725" s="28">
        <f>IF(AN725=0,J725,0)</f>
        <v>0</v>
      </c>
      <c r="AK725" s="28">
        <f>IF(AN725=12,J725,0)</f>
        <v>0</v>
      </c>
      <c r="AL725" s="28">
        <f>IF(AN725=21,J725,0)</f>
        <v>0</v>
      </c>
      <c r="AN725" s="28">
        <v>21</v>
      </c>
      <c r="AO725" s="28">
        <f>G725*0.02930159</f>
        <v>0</v>
      </c>
      <c r="AP725" s="28">
        <f>G725*(1-0.02930159)</f>
        <v>0</v>
      </c>
      <c r="AQ725" s="30" t="s">
        <v>118</v>
      </c>
      <c r="AV725" s="28">
        <f>ROUND(AW725+AX725,2)</f>
        <v>0</v>
      </c>
      <c r="AW725" s="28">
        <f>ROUND(F725*AO725,2)</f>
        <v>0</v>
      </c>
      <c r="AX725" s="28">
        <f>ROUND(F725*AP725,2)</f>
        <v>0</v>
      </c>
      <c r="AY725" s="30" t="s">
        <v>1237</v>
      </c>
      <c r="AZ725" s="30" t="s">
        <v>1238</v>
      </c>
      <c r="BA725" s="10" t="s">
        <v>1055</v>
      </c>
      <c r="BC725" s="28">
        <f>AW725+AX725</f>
        <v>0</v>
      </c>
      <c r="BD725" s="28">
        <f>G725/(100-BE725)*100</f>
        <v>0</v>
      </c>
      <c r="BE725" s="28">
        <v>0</v>
      </c>
      <c r="BF725" s="28">
        <f>725</f>
        <v>725</v>
      </c>
      <c r="BH725" s="28">
        <f>F725*AO725</f>
        <v>0</v>
      </c>
      <c r="BI725" s="28">
        <f>F725*AP725</f>
        <v>0</v>
      </c>
      <c r="BJ725" s="28">
        <f>F725*G725</f>
        <v>0</v>
      </c>
      <c r="BK725" s="28"/>
      <c r="BL725" s="28">
        <v>762</v>
      </c>
      <c r="BW725" s="28">
        <v>21</v>
      </c>
      <c r="BX725" s="4" t="s">
        <v>1259</v>
      </c>
    </row>
    <row r="726" spans="1:76" ht="14.4" x14ac:dyDescent="0.3">
      <c r="A726" s="31"/>
      <c r="C726" s="32" t="s">
        <v>1260</v>
      </c>
      <c r="D726" s="32" t="s">
        <v>51</v>
      </c>
      <c r="F726" s="33">
        <v>137.25</v>
      </c>
      <c r="K726" s="34"/>
    </row>
    <row r="727" spans="1:76" ht="14.4" x14ac:dyDescent="0.3">
      <c r="A727" s="31"/>
      <c r="C727" s="32" t="s">
        <v>1261</v>
      </c>
      <c r="D727" s="32" t="s">
        <v>51</v>
      </c>
      <c r="F727" s="33">
        <v>8.6</v>
      </c>
      <c r="K727" s="34"/>
    </row>
    <row r="728" spans="1:76" ht="14.4" x14ac:dyDescent="0.3">
      <c r="A728" s="31"/>
      <c r="C728" s="32" t="s">
        <v>1262</v>
      </c>
      <c r="D728" s="32" t="s">
        <v>51</v>
      </c>
      <c r="F728" s="33">
        <v>7.2</v>
      </c>
      <c r="K728" s="34"/>
    </row>
    <row r="729" spans="1:76" ht="14.4" x14ac:dyDescent="0.3">
      <c r="A729" s="2" t="s">
        <v>1263</v>
      </c>
      <c r="B729" s="3" t="s">
        <v>1264</v>
      </c>
      <c r="C729" s="75" t="s">
        <v>1265</v>
      </c>
      <c r="D729" s="70"/>
      <c r="E729" s="3" t="s">
        <v>188</v>
      </c>
      <c r="F729" s="28">
        <v>62.42</v>
      </c>
      <c r="G729" s="28">
        <v>0</v>
      </c>
      <c r="H729" s="28">
        <f>ROUND(F729*AO729,2)</f>
        <v>0</v>
      </c>
      <c r="I729" s="28">
        <f>ROUND(F729*AP729,2)</f>
        <v>0</v>
      </c>
      <c r="J729" s="28">
        <f>ROUND(F729*G729,2)</f>
        <v>0</v>
      </c>
      <c r="K729" s="29" t="s">
        <v>60</v>
      </c>
      <c r="Z729" s="28">
        <f>ROUND(IF(AQ729="5",BJ729,0),2)</f>
        <v>0</v>
      </c>
      <c r="AB729" s="28">
        <f>ROUND(IF(AQ729="1",BH729,0),2)</f>
        <v>0</v>
      </c>
      <c r="AC729" s="28">
        <f>ROUND(IF(AQ729="1",BI729,0),2)</f>
        <v>0</v>
      </c>
      <c r="AD729" s="28">
        <f>ROUND(IF(AQ729="7",BH729,0),2)</f>
        <v>0</v>
      </c>
      <c r="AE729" s="28">
        <f>ROUND(IF(AQ729="7",BI729,0),2)</f>
        <v>0</v>
      </c>
      <c r="AF729" s="28">
        <f>ROUND(IF(AQ729="2",BH729,0),2)</f>
        <v>0</v>
      </c>
      <c r="AG729" s="28">
        <f>ROUND(IF(AQ729="2",BI729,0),2)</f>
        <v>0</v>
      </c>
      <c r="AH729" s="28">
        <f>ROUND(IF(AQ729="0",BJ729,0),2)</f>
        <v>0</v>
      </c>
      <c r="AI729" s="10" t="s">
        <v>1050</v>
      </c>
      <c r="AJ729" s="28">
        <f>IF(AN729=0,J729,0)</f>
        <v>0</v>
      </c>
      <c r="AK729" s="28">
        <f>IF(AN729=12,J729,0)</f>
        <v>0</v>
      </c>
      <c r="AL729" s="28">
        <f>IF(AN729=21,J729,0)</f>
        <v>0</v>
      </c>
      <c r="AN729" s="28">
        <v>21</v>
      </c>
      <c r="AO729" s="28">
        <f>G729*0.024315622</f>
        <v>0</v>
      </c>
      <c r="AP729" s="28">
        <f>G729*(1-0.024315622)</f>
        <v>0</v>
      </c>
      <c r="AQ729" s="30" t="s">
        <v>118</v>
      </c>
      <c r="AV729" s="28">
        <f>ROUND(AW729+AX729,2)</f>
        <v>0</v>
      </c>
      <c r="AW729" s="28">
        <f>ROUND(F729*AO729,2)</f>
        <v>0</v>
      </c>
      <c r="AX729" s="28">
        <f>ROUND(F729*AP729,2)</f>
        <v>0</v>
      </c>
      <c r="AY729" s="30" t="s">
        <v>1237</v>
      </c>
      <c r="AZ729" s="30" t="s">
        <v>1238</v>
      </c>
      <c r="BA729" s="10" t="s">
        <v>1055</v>
      </c>
      <c r="BC729" s="28">
        <f>AW729+AX729</f>
        <v>0</v>
      </c>
      <c r="BD729" s="28">
        <f>G729/(100-BE729)*100</f>
        <v>0</v>
      </c>
      <c r="BE729" s="28">
        <v>0</v>
      </c>
      <c r="BF729" s="28">
        <f>729</f>
        <v>729</v>
      </c>
      <c r="BH729" s="28">
        <f>F729*AO729</f>
        <v>0</v>
      </c>
      <c r="BI729" s="28">
        <f>F729*AP729</f>
        <v>0</v>
      </c>
      <c r="BJ729" s="28">
        <f>F729*G729</f>
        <v>0</v>
      </c>
      <c r="BK729" s="28"/>
      <c r="BL729" s="28">
        <v>762</v>
      </c>
      <c r="BW729" s="28">
        <v>21</v>
      </c>
      <c r="BX729" s="4" t="s">
        <v>1265</v>
      </c>
    </row>
    <row r="730" spans="1:76" ht="14.4" x14ac:dyDescent="0.3">
      <c r="A730" s="31"/>
      <c r="C730" s="32" t="s">
        <v>1266</v>
      </c>
      <c r="D730" s="32" t="s">
        <v>51</v>
      </c>
      <c r="F730" s="33">
        <v>58.5</v>
      </c>
      <c r="K730" s="34"/>
    </row>
    <row r="731" spans="1:76" ht="14.4" x14ac:dyDescent="0.3">
      <c r="A731" s="31"/>
      <c r="C731" s="32" t="s">
        <v>1267</v>
      </c>
      <c r="D731" s="32" t="s">
        <v>51</v>
      </c>
      <c r="F731" s="33">
        <v>3.92</v>
      </c>
      <c r="K731" s="34"/>
    </row>
    <row r="732" spans="1:76" ht="14.4" x14ac:dyDescent="0.3">
      <c r="A732" s="2" t="s">
        <v>1268</v>
      </c>
      <c r="B732" s="3" t="s">
        <v>1269</v>
      </c>
      <c r="C732" s="75" t="s">
        <v>1270</v>
      </c>
      <c r="D732" s="70"/>
      <c r="E732" s="3" t="s">
        <v>188</v>
      </c>
      <c r="F732" s="28">
        <v>14.9</v>
      </c>
      <c r="G732" s="28">
        <v>0</v>
      </c>
      <c r="H732" s="28">
        <f>ROUND(F732*AO732,2)</f>
        <v>0</v>
      </c>
      <c r="I732" s="28">
        <f>ROUND(F732*AP732,2)</f>
        <v>0</v>
      </c>
      <c r="J732" s="28">
        <f>ROUND(F732*G732,2)</f>
        <v>0</v>
      </c>
      <c r="K732" s="29" t="s">
        <v>60</v>
      </c>
      <c r="Z732" s="28">
        <f>ROUND(IF(AQ732="5",BJ732,0),2)</f>
        <v>0</v>
      </c>
      <c r="AB732" s="28">
        <f>ROUND(IF(AQ732="1",BH732,0),2)</f>
        <v>0</v>
      </c>
      <c r="AC732" s="28">
        <f>ROUND(IF(AQ732="1",BI732,0),2)</f>
        <v>0</v>
      </c>
      <c r="AD732" s="28">
        <f>ROUND(IF(AQ732="7",BH732,0),2)</f>
        <v>0</v>
      </c>
      <c r="AE732" s="28">
        <f>ROUND(IF(AQ732="7",BI732,0),2)</f>
        <v>0</v>
      </c>
      <c r="AF732" s="28">
        <f>ROUND(IF(AQ732="2",BH732,0),2)</f>
        <v>0</v>
      </c>
      <c r="AG732" s="28">
        <f>ROUND(IF(AQ732="2",BI732,0),2)</f>
        <v>0</v>
      </c>
      <c r="AH732" s="28">
        <f>ROUND(IF(AQ732="0",BJ732,0),2)</f>
        <v>0</v>
      </c>
      <c r="AI732" s="10" t="s">
        <v>1050</v>
      </c>
      <c r="AJ732" s="28">
        <f>IF(AN732=0,J732,0)</f>
        <v>0</v>
      </c>
      <c r="AK732" s="28">
        <f>IF(AN732=12,J732,0)</f>
        <v>0</v>
      </c>
      <c r="AL732" s="28">
        <f>IF(AN732=21,J732,0)</f>
        <v>0</v>
      </c>
      <c r="AN732" s="28">
        <v>21</v>
      </c>
      <c r="AO732" s="28">
        <f>G732*0.021434199</f>
        <v>0</v>
      </c>
      <c r="AP732" s="28">
        <f>G732*(1-0.021434199)</f>
        <v>0</v>
      </c>
      <c r="AQ732" s="30" t="s">
        <v>118</v>
      </c>
      <c r="AV732" s="28">
        <f>ROUND(AW732+AX732,2)</f>
        <v>0</v>
      </c>
      <c r="AW732" s="28">
        <f>ROUND(F732*AO732,2)</f>
        <v>0</v>
      </c>
      <c r="AX732" s="28">
        <f>ROUND(F732*AP732,2)</f>
        <v>0</v>
      </c>
      <c r="AY732" s="30" t="s">
        <v>1237</v>
      </c>
      <c r="AZ732" s="30" t="s">
        <v>1238</v>
      </c>
      <c r="BA732" s="10" t="s">
        <v>1055</v>
      </c>
      <c r="BC732" s="28">
        <f>AW732+AX732</f>
        <v>0</v>
      </c>
      <c r="BD732" s="28">
        <f>G732/(100-BE732)*100</f>
        <v>0</v>
      </c>
      <c r="BE732" s="28">
        <v>0</v>
      </c>
      <c r="BF732" s="28">
        <f>732</f>
        <v>732</v>
      </c>
      <c r="BH732" s="28">
        <f>F732*AO732</f>
        <v>0</v>
      </c>
      <c r="BI732" s="28">
        <f>F732*AP732</f>
        <v>0</v>
      </c>
      <c r="BJ732" s="28">
        <f>F732*G732</f>
        <v>0</v>
      </c>
      <c r="BK732" s="28"/>
      <c r="BL732" s="28">
        <v>762</v>
      </c>
      <c r="BW732" s="28">
        <v>21</v>
      </c>
      <c r="BX732" s="4" t="s">
        <v>1270</v>
      </c>
    </row>
    <row r="733" spans="1:76" ht="14.4" x14ac:dyDescent="0.3">
      <c r="A733" s="31"/>
      <c r="C733" s="32" t="s">
        <v>1271</v>
      </c>
      <c r="D733" s="32" t="s">
        <v>51</v>
      </c>
      <c r="F733" s="33">
        <v>8.9</v>
      </c>
      <c r="K733" s="34"/>
    </row>
    <row r="734" spans="1:76" ht="14.4" x14ac:dyDescent="0.3">
      <c r="A734" s="31"/>
      <c r="C734" s="32" t="s">
        <v>1272</v>
      </c>
      <c r="D734" s="32" t="s">
        <v>51</v>
      </c>
      <c r="F734" s="33">
        <v>4.5</v>
      </c>
      <c r="K734" s="34"/>
    </row>
    <row r="735" spans="1:76" ht="14.4" x14ac:dyDescent="0.3">
      <c r="A735" s="31"/>
      <c r="C735" s="32" t="s">
        <v>1273</v>
      </c>
      <c r="D735" s="32" t="s">
        <v>51</v>
      </c>
      <c r="F735" s="33">
        <v>0.66</v>
      </c>
      <c r="K735" s="34"/>
    </row>
    <row r="736" spans="1:76" ht="14.4" x14ac:dyDescent="0.3">
      <c r="A736" s="31"/>
      <c r="C736" s="32" t="s">
        <v>1274</v>
      </c>
      <c r="D736" s="32" t="s">
        <v>51</v>
      </c>
      <c r="F736" s="33">
        <v>0.84</v>
      </c>
      <c r="K736" s="34"/>
    </row>
    <row r="737" spans="1:76" ht="14.4" x14ac:dyDescent="0.3">
      <c r="A737" s="2" t="s">
        <v>1275</v>
      </c>
      <c r="B737" s="3" t="s">
        <v>1276</v>
      </c>
      <c r="C737" s="75" t="s">
        <v>1277</v>
      </c>
      <c r="D737" s="70"/>
      <c r="E737" s="3" t="s">
        <v>188</v>
      </c>
      <c r="F737" s="28">
        <v>16.100000000000001</v>
      </c>
      <c r="G737" s="28">
        <v>0</v>
      </c>
      <c r="H737" s="28">
        <f>ROUND(F737*AO737,2)</f>
        <v>0</v>
      </c>
      <c r="I737" s="28">
        <f>ROUND(F737*AP737,2)</f>
        <v>0</v>
      </c>
      <c r="J737" s="28">
        <f>ROUND(F737*G737,2)</f>
        <v>0</v>
      </c>
      <c r="K737" s="29" t="s">
        <v>60</v>
      </c>
      <c r="Z737" s="28">
        <f>ROUND(IF(AQ737="5",BJ737,0),2)</f>
        <v>0</v>
      </c>
      <c r="AB737" s="28">
        <f>ROUND(IF(AQ737="1",BH737,0),2)</f>
        <v>0</v>
      </c>
      <c r="AC737" s="28">
        <f>ROUND(IF(AQ737="1",BI737,0),2)</f>
        <v>0</v>
      </c>
      <c r="AD737" s="28">
        <f>ROUND(IF(AQ737="7",BH737,0),2)</f>
        <v>0</v>
      </c>
      <c r="AE737" s="28">
        <f>ROUND(IF(AQ737="7",BI737,0),2)</f>
        <v>0</v>
      </c>
      <c r="AF737" s="28">
        <f>ROUND(IF(AQ737="2",BH737,0),2)</f>
        <v>0</v>
      </c>
      <c r="AG737" s="28">
        <f>ROUND(IF(AQ737="2",BI737,0),2)</f>
        <v>0</v>
      </c>
      <c r="AH737" s="28">
        <f>ROUND(IF(AQ737="0",BJ737,0),2)</f>
        <v>0</v>
      </c>
      <c r="AI737" s="10" t="s">
        <v>1050</v>
      </c>
      <c r="AJ737" s="28">
        <f>IF(AN737=0,J737,0)</f>
        <v>0</v>
      </c>
      <c r="AK737" s="28">
        <f>IF(AN737=12,J737,0)</f>
        <v>0</v>
      </c>
      <c r="AL737" s="28">
        <f>IF(AN737=21,J737,0)</f>
        <v>0</v>
      </c>
      <c r="AN737" s="28">
        <v>21</v>
      </c>
      <c r="AO737" s="28">
        <f>G737*0.017670696</f>
        <v>0</v>
      </c>
      <c r="AP737" s="28">
        <f>G737*(1-0.017670696)</f>
        <v>0</v>
      </c>
      <c r="AQ737" s="30" t="s">
        <v>118</v>
      </c>
      <c r="AV737" s="28">
        <f>ROUND(AW737+AX737,2)</f>
        <v>0</v>
      </c>
      <c r="AW737" s="28">
        <f>ROUND(F737*AO737,2)</f>
        <v>0</v>
      </c>
      <c r="AX737" s="28">
        <f>ROUND(F737*AP737,2)</f>
        <v>0</v>
      </c>
      <c r="AY737" s="30" t="s">
        <v>1237</v>
      </c>
      <c r="AZ737" s="30" t="s">
        <v>1238</v>
      </c>
      <c r="BA737" s="10" t="s">
        <v>1055</v>
      </c>
      <c r="BC737" s="28">
        <f>AW737+AX737</f>
        <v>0</v>
      </c>
      <c r="BD737" s="28">
        <f>G737/(100-BE737)*100</f>
        <v>0</v>
      </c>
      <c r="BE737" s="28">
        <v>0</v>
      </c>
      <c r="BF737" s="28">
        <f>737</f>
        <v>737</v>
      </c>
      <c r="BH737" s="28">
        <f>F737*AO737</f>
        <v>0</v>
      </c>
      <c r="BI737" s="28">
        <f>F737*AP737</f>
        <v>0</v>
      </c>
      <c r="BJ737" s="28">
        <f>F737*G737</f>
        <v>0</v>
      </c>
      <c r="BK737" s="28"/>
      <c r="BL737" s="28">
        <v>762</v>
      </c>
      <c r="BW737" s="28">
        <v>21</v>
      </c>
      <c r="BX737" s="4" t="s">
        <v>1277</v>
      </c>
    </row>
    <row r="738" spans="1:76" ht="14.4" x14ac:dyDescent="0.3">
      <c r="A738" s="31"/>
      <c r="C738" s="32" t="s">
        <v>1278</v>
      </c>
      <c r="D738" s="32" t="s">
        <v>51</v>
      </c>
      <c r="F738" s="33">
        <v>8.9</v>
      </c>
      <c r="K738" s="34"/>
    </row>
    <row r="739" spans="1:76" ht="14.4" x14ac:dyDescent="0.3">
      <c r="A739" s="31"/>
      <c r="C739" s="32" t="s">
        <v>1279</v>
      </c>
      <c r="D739" s="32" t="s">
        <v>51</v>
      </c>
      <c r="F739" s="33">
        <v>7.2</v>
      </c>
      <c r="K739" s="34"/>
    </row>
    <row r="740" spans="1:76" ht="14.4" x14ac:dyDescent="0.3">
      <c r="A740" s="2" t="s">
        <v>1280</v>
      </c>
      <c r="B740" s="3" t="s">
        <v>1281</v>
      </c>
      <c r="C740" s="75" t="s">
        <v>1282</v>
      </c>
      <c r="D740" s="70"/>
      <c r="E740" s="3" t="s">
        <v>59</v>
      </c>
      <c r="F740" s="28">
        <v>3.92</v>
      </c>
      <c r="G740" s="28">
        <v>0</v>
      </c>
      <c r="H740" s="28">
        <f>ROUND(F740*AO740,2)</f>
        <v>0</v>
      </c>
      <c r="I740" s="28">
        <f>ROUND(F740*AP740,2)</f>
        <v>0</v>
      </c>
      <c r="J740" s="28">
        <f>ROUND(F740*G740,2)</f>
        <v>0</v>
      </c>
      <c r="K740" s="29" t="s">
        <v>60</v>
      </c>
      <c r="Z740" s="28">
        <f>ROUND(IF(AQ740="5",BJ740,0),2)</f>
        <v>0</v>
      </c>
      <c r="AB740" s="28">
        <f>ROUND(IF(AQ740="1",BH740,0),2)</f>
        <v>0</v>
      </c>
      <c r="AC740" s="28">
        <f>ROUND(IF(AQ740="1",BI740,0),2)</f>
        <v>0</v>
      </c>
      <c r="AD740" s="28">
        <f>ROUND(IF(AQ740="7",BH740,0),2)</f>
        <v>0</v>
      </c>
      <c r="AE740" s="28">
        <f>ROUND(IF(AQ740="7",BI740,0),2)</f>
        <v>0</v>
      </c>
      <c r="AF740" s="28">
        <f>ROUND(IF(AQ740="2",BH740,0),2)</f>
        <v>0</v>
      </c>
      <c r="AG740" s="28">
        <f>ROUND(IF(AQ740="2",BI740,0),2)</f>
        <v>0</v>
      </c>
      <c r="AH740" s="28">
        <f>ROUND(IF(AQ740="0",BJ740,0),2)</f>
        <v>0</v>
      </c>
      <c r="AI740" s="10" t="s">
        <v>1050</v>
      </c>
      <c r="AJ740" s="28">
        <f>IF(AN740=0,J740,0)</f>
        <v>0</v>
      </c>
      <c r="AK740" s="28">
        <f>IF(AN740=12,J740,0)</f>
        <v>0</v>
      </c>
      <c r="AL740" s="28">
        <f>IF(AN740=21,J740,0)</f>
        <v>0</v>
      </c>
      <c r="AN740" s="28">
        <v>21</v>
      </c>
      <c r="AO740" s="28">
        <f>G740*1</f>
        <v>0</v>
      </c>
      <c r="AP740" s="28">
        <f>G740*(1-1)</f>
        <v>0</v>
      </c>
      <c r="AQ740" s="30" t="s">
        <v>118</v>
      </c>
      <c r="AV740" s="28">
        <f>ROUND(AW740+AX740,2)</f>
        <v>0</v>
      </c>
      <c r="AW740" s="28">
        <f>ROUND(F740*AO740,2)</f>
        <v>0</v>
      </c>
      <c r="AX740" s="28">
        <f>ROUND(F740*AP740,2)</f>
        <v>0</v>
      </c>
      <c r="AY740" s="30" t="s">
        <v>1237</v>
      </c>
      <c r="AZ740" s="30" t="s">
        <v>1238</v>
      </c>
      <c r="BA740" s="10" t="s">
        <v>1055</v>
      </c>
      <c r="BC740" s="28">
        <f>AW740+AX740</f>
        <v>0</v>
      </c>
      <c r="BD740" s="28">
        <f>G740/(100-BE740)*100</f>
        <v>0</v>
      </c>
      <c r="BE740" s="28">
        <v>0</v>
      </c>
      <c r="BF740" s="28">
        <f>740</f>
        <v>740</v>
      </c>
      <c r="BH740" s="28">
        <f>F740*AO740</f>
        <v>0</v>
      </c>
      <c r="BI740" s="28">
        <f>F740*AP740</f>
        <v>0</v>
      </c>
      <c r="BJ740" s="28">
        <f>F740*G740</f>
        <v>0</v>
      </c>
      <c r="BK740" s="28"/>
      <c r="BL740" s="28">
        <v>762</v>
      </c>
      <c r="BW740" s="28">
        <v>21</v>
      </c>
      <c r="BX740" s="4" t="s">
        <v>1282</v>
      </c>
    </row>
    <row r="741" spans="1:76" ht="14.4" x14ac:dyDescent="0.3">
      <c r="A741" s="2" t="s">
        <v>1283</v>
      </c>
      <c r="B741" s="3" t="s">
        <v>1284</v>
      </c>
      <c r="C741" s="75" t="s">
        <v>1285</v>
      </c>
      <c r="D741" s="70"/>
      <c r="E741" s="3" t="s">
        <v>59</v>
      </c>
      <c r="F741" s="28">
        <v>4.3099999999999996</v>
      </c>
      <c r="G741" s="28">
        <v>0</v>
      </c>
      <c r="H741" s="28">
        <f>ROUND(F741*AO741,2)</f>
        <v>0</v>
      </c>
      <c r="I741" s="28">
        <f>ROUND(F741*AP741,2)</f>
        <v>0</v>
      </c>
      <c r="J741" s="28">
        <f>ROUND(F741*G741,2)</f>
        <v>0</v>
      </c>
      <c r="K741" s="29" t="s">
        <v>60</v>
      </c>
      <c r="Z741" s="28">
        <f>ROUND(IF(AQ741="5",BJ741,0),2)</f>
        <v>0</v>
      </c>
      <c r="AB741" s="28">
        <f>ROUND(IF(AQ741="1",BH741,0),2)</f>
        <v>0</v>
      </c>
      <c r="AC741" s="28">
        <f>ROUND(IF(AQ741="1",BI741,0),2)</f>
        <v>0</v>
      </c>
      <c r="AD741" s="28">
        <f>ROUND(IF(AQ741="7",BH741,0),2)</f>
        <v>0</v>
      </c>
      <c r="AE741" s="28">
        <f>ROUND(IF(AQ741="7",BI741,0),2)</f>
        <v>0</v>
      </c>
      <c r="AF741" s="28">
        <f>ROUND(IF(AQ741="2",BH741,0),2)</f>
        <v>0</v>
      </c>
      <c r="AG741" s="28">
        <f>ROUND(IF(AQ741="2",BI741,0),2)</f>
        <v>0</v>
      </c>
      <c r="AH741" s="28">
        <f>ROUND(IF(AQ741="0",BJ741,0),2)</f>
        <v>0</v>
      </c>
      <c r="AI741" s="10" t="s">
        <v>1050</v>
      </c>
      <c r="AJ741" s="28">
        <f>IF(AN741=0,J741,0)</f>
        <v>0</v>
      </c>
      <c r="AK741" s="28">
        <f>IF(AN741=12,J741,0)</f>
        <v>0</v>
      </c>
      <c r="AL741" s="28">
        <f>IF(AN741=21,J741,0)</f>
        <v>0</v>
      </c>
      <c r="AN741" s="28">
        <v>21</v>
      </c>
      <c r="AO741" s="28">
        <f>G741*1</f>
        <v>0</v>
      </c>
      <c r="AP741" s="28">
        <f>G741*(1-1)</f>
        <v>0</v>
      </c>
      <c r="AQ741" s="30" t="s">
        <v>118</v>
      </c>
      <c r="AV741" s="28">
        <f>ROUND(AW741+AX741,2)</f>
        <v>0</v>
      </c>
      <c r="AW741" s="28">
        <f>ROUND(F741*AO741,2)</f>
        <v>0</v>
      </c>
      <c r="AX741" s="28">
        <f>ROUND(F741*AP741,2)</f>
        <v>0</v>
      </c>
      <c r="AY741" s="30" t="s">
        <v>1237</v>
      </c>
      <c r="AZ741" s="30" t="s">
        <v>1238</v>
      </c>
      <c r="BA741" s="10" t="s">
        <v>1055</v>
      </c>
      <c r="BC741" s="28">
        <f>AW741+AX741</f>
        <v>0</v>
      </c>
      <c r="BD741" s="28">
        <f>G741/(100-BE741)*100</f>
        <v>0</v>
      </c>
      <c r="BE741" s="28">
        <v>0</v>
      </c>
      <c r="BF741" s="28">
        <f>741</f>
        <v>741</v>
      </c>
      <c r="BH741" s="28">
        <f>F741*AO741</f>
        <v>0</v>
      </c>
      <c r="BI741" s="28">
        <f>F741*AP741</f>
        <v>0</v>
      </c>
      <c r="BJ741" s="28">
        <f>F741*G741</f>
        <v>0</v>
      </c>
      <c r="BK741" s="28"/>
      <c r="BL741" s="28">
        <v>762</v>
      </c>
      <c r="BW741" s="28">
        <v>21</v>
      </c>
      <c r="BX741" s="4" t="s">
        <v>1285</v>
      </c>
    </row>
    <row r="742" spans="1:76" ht="14.4" x14ac:dyDescent="0.3">
      <c r="A742" s="31"/>
      <c r="C742" s="32" t="s">
        <v>1286</v>
      </c>
      <c r="D742" s="32" t="s">
        <v>51</v>
      </c>
      <c r="F742" s="33">
        <v>0</v>
      </c>
      <c r="K742" s="34"/>
    </row>
    <row r="743" spans="1:76" ht="14.4" x14ac:dyDescent="0.3">
      <c r="A743" s="31"/>
      <c r="C743" s="32" t="s">
        <v>1287</v>
      </c>
      <c r="D743" s="32" t="s">
        <v>51</v>
      </c>
      <c r="F743" s="33">
        <v>0</v>
      </c>
      <c r="K743" s="34"/>
    </row>
    <row r="744" spans="1:76" ht="14.4" x14ac:dyDescent="0.3">
      <c r="A744" s="31"/>
      <c r="C744" s="32" t="s">
        <v>1288</v>
      </c>
      <c r="D744" s="32" t="s">
        <v>51</v>
      </c>
      <c r="F744" s="33">
        <v>0</v>
      </c>
      <c r="K744" s="34"/>
    </row>
    <row r="745" spans="1:76" ht="14.4" x14ac:dyDescent="0.3">
      <c r="A745" s="31"/>
      <c r="C745" s="32" t="s">
        <v>1289</v>
      </c>
      <c r="D745" s="32" t="s">
        <v>51</v>
      </c>
      <c r="F745" s="33">
        <v>0</v>
      </c>
      <c r="K745" s="34"/>
    </row>
    <row r="746" spans="1:76" ht="14.4" x14ac:dyDescent="0.3">
      <c r="A746" s="31"/>
      <c r="C746" s="32" t="s">
        <v>1290</v>
      </c>
      <c r="D746" s="32" t="s">
        <v>51</v>
      </c>
      <c r="F746" s="33">
        <v>0</v>
      </c>
      <c r="K746" s="34"/>
    </row>
    <row r="747" spans="1:76" ht="14.4" x14ac:dyDescent="0.3">
      <c r="A747" s="31"/>
      <c r="C747" s="32" t="s">
        <v>1291</v>
      </c>
      <c r="D747" s="32" t="s">
        <v>51</v>
      </c>
      <c r="F747" s="33">
        <v>0</v>
      </c>
      <c r="K747" s="34"/>
    </row>
    <row r="748" spans="1:76" ht="14.4" x14ac:dyDescent="0.3">
      <c r="A748" s="31"/>
      <c r="C748" s="32" t="s">
        <v>1292</v>
      </c>
      <c r="D748" s="32" t="s">
        <v>51</v>
      </c>
      <c r="F748" s="33">
        <v>0</v>
      </c>
      <c r="K748" s="34"/>
    </row>
    <row r="749" spans="1:76" ht="14.4" x14ac:dyDescent="0.3">
      <c r="A749" s="31"/>
      <c r="C749" s="32" t="s">
        <v>1293</v>
      </c>
      <c r="D749" s="32" t="s">
        <v>51</v>
      </c>
      <c r="F749" s="33">
        <v>0</v>
      </c>
      <c r="K749" s="34"/>
    </row>
    <row r="750" spans="1:76" ht="14.4" x14ac:dyDescent="0.3">
      <c r="A750" s="31"/>
      <c r="C750" s="32" t="s">
        <v>1294</v>
      </c>
      <c r="D750" s="32" t="s">
        <v>51</v>
      </c>
      <c r="F750" s="33">
        <v>0</v>
      </c>
      <c r="K750" s="34"/>
    </row>
    <row r="751" spans="1:76" ht="14.4" x14ac:dyDescent="0.3">
      <c r="A751" s="31"/>
      <c r="C751" s="32" t="s">
        <v>1295</v>
      </c>
      <c r="D751" s="32" t="s">
        <v>51</v>
      </c>
      <c r="F751" s="33">
        <v>0</v>
      </c>
      <c r="K751" s="34"/>
    </row>
    <row r="752" spans="1:76" ht="14.4" x14ac:dyDescent="0.3">
      <c r="A752" s="31"/>
      <c r="C752" s="32" t="s">
        <v>1296</v>
      </c>
      <c r="D752" s="32" t="s">
        <v>51</v>
      </c>
      <c r="F752" s="33">
        <v>0</v>
      </c>
      <c r="K752" s="34"/>
    </row>
    <row r="753" spans="1:76" ht="14.4" x14ac:dyDescent="0.3">
      <c r="A753" s="31"/>
      <c r="C753" s="32" t="s">
        <v>1297</v>
      </c>
      <c r="D753" s="32" t="s">
        <v>51</v>
      </c>
      <c r="F753" s="33">
        <v>3.92</v>
      </c>
      <c r="K753" s="34"/>
    </row>
    <row r="754" spans="1:76" ht="14.4" x14ac:dyDescent="0.3">
      <c r="A754" s="31"/>
      <c r="C754" s="32" t="s">
        <v>1243</v>
      </c>
      <c r="D754" s="32" t="s">
        <v>51</v>
      </c>
      <c r="F754" s="33">
        <v>0</v>
      </c>
      <c r="K754" s="34"/>
    </row>
    <row r="755" spans="1:76" ht="14.4" x14ac:dyDescent="0.3">
      <c r="A755" s="31"/>
      <c r="C755" s="32" t="s">
        <v>1298</v>
      </c>
      <c r="D755" s="32" t="s">
        <v>51</v>
      </c>
      <c r="F755" s="33">
        <v>0.39</v>
      </c>
      <c r="K755" s="34"/>
    </row>
    <row r="756" spans="1:76" ht="26.4" x14ac:dyDescent="0.3">
      <c r="A756" s="31"/>
      <c r="B756" s="35" t="s">
        <v>68</v>
      </c>
      <c r="C756" s="93" t="s">
        <v>1299</v>
      </c>
      <c r="D756" s="94"/>
      <c r="E756" s="94"/>
      <c r="F756" s="94"/>
      <c r="G756" s="94"/>
      <c r="H756" s="94"/>
      <c r="I756" s="94"/>
      <c r="J756" s="94"/>
      <c r="K756" s="95"/>
      <c r="BX756" s="36" t="s">
        <v>1299</v>
      </c>
    </row>
    <row r="757" spans="1:76" ht="14.4" x14ac:dyDescent="0.3">
      <c r="A757" s="2" t="s">
        <v>1300</v>
      </c>
      <c r="B757" s="3" t="s">
        <v>1301</v>
      </c>
      <c r="C757" s="75" t="s">
        <v>1302</v>
      </c>
      <c r="D757" s="70"/>
      <c r="E757" s="3" t="s">
        <v>59</v>
      </c>
      <c r="F757" s="28">
        <v>4.3099999999999996</v>
      </c>
      <c r="G757" s="28">
        <v>0</v>
      </c>
      <c r="H757" s="28">
        <f>ROUND(F757*AO757,2)</f>
        <v>0</v>
      </c>
      <c r="I757" s="28">
        <f>ROUND(F757*AP757,2)</f>
        <v>0</v>
      </c>
      <c r="J757" s="28">
        <f>ROUND(F757*G757,2)</f>
        <v>0</v>
      </c>
      <c r="K757" s="29" t="s">
        <v>60</v>
      </c>
      <c r="Z757" s="28">
        <f>ROUND(IF(AQ757="5",BJ757,0),2)</f>
        <v>0</v>
      </c>
      <c r="AB757" s="28">
        <f>ROUND(IF(AQ757="1",BH757,0),2)</f>
        <v>0</v>
      </c>
      <c r="AC757" s="28">
        <f>ROUND(IF(AQ757="1",BI757,0),2)</f>
        <v>0</v>
      </c>
      <c r="AD757" s="28">
        <f>ROUND(IF(AQ757="7",BH757,0),2)</f>
        <v>0</v>
      </c>
      <c r="AE757" s="28">
        <f>ROUND(IF(AQ757="7",BI757,0),2)</f>
        <v>0</v>
      </c>
      <c r="AF757" s="28">
        <f>ROUND(IF(AQ757="2",BH757,0),2)</f>
        <v>0</v>
      </c>
      <c r="AG757" s="28">
        <f>ROUND(IF(AQ757="2",BI757,0),2)</f>
        <v>0</v>
      </c>
      <c r="AH757" s="28">
        <f>ROUND(IF(AQ757="0",BJ757,0),2)</f>
        <v>0</v>
      </c>
      <c r="AI757" s="10" t="s">
        <v>1050</v>
      </c>
      <c r="AJ757" s="28">
        <f>IF(AN757=0,J757,0)</f>
        <v>0</v>
      </c>
      <c r="AK757" s="28">
        <f>IF(AN757=12,J757,0)</f>
        <v>0</v>
      </c>
      <c r="AL757" s="28">
        <f>IF(AN757=21,J757,0)</f>
        <v>0</v>
      </c>
      <c r="AN757" s="28">
        <v>21</v>
      </c>
      <c r="AO757" s="28">
        <f>G757*0</f>
        <v>0</v>
      </c>
      <c r="AP757" s="28">
        <f>G757*(1-0)</f>
        <v>0</v>
      </c>
      <c r="AQ757" s="30" t="s">
        <v>118</v>
      </c>
      <c r="AV757" s="28">
        <f>ROUND(AW757+AX757,2)</f>
        <v>0</v>
      </c>
      <c r="AW757" s="28">
        <f>ROUND(F757*AO757,2)</f>
        <v>0</v>
      </c>
      <c r="AX757" s="28">
        <f>ROUND(F757*AP757,2)</f>
        <v>0</v>
      </c>
      <c r="AY757" s="30" t="s">
        <v>1237</v>
      </c>
      <c r="AZ757" s="30" t="s">
        <v>1238</v>
      </c>
      <c r="BA757" s="10" t="s">
        <v>1055</v>
      </c>
      <c r="BC757" s="28">
        <f>AW757+AX757</f>
        <v>0</v>
      </c>
      <c r="BD757" s="28">
        <f>G757/(100-BE757)*100</f>
        <v>0</v>
      </c>
      <c r="BE757" s="28">
        <v>0</v>
      </c>
      <c r="BF757" s="28">
        <f>757</f>
        <v>757</v>
      </c>
      <c r="BH757" s="28">
        <f>F757*AO757</f>
        <v>0</v>
      </c>
      <c r="BI757" s="28">
        <f>F757*AP757</f>
        <v>0</v>
      </c>
      <c r="BJ757" s="28">
        <f>F757*G757</f>
        <v>0</v>
      </c>
      <c r="BK757" s="28"/>
      <c r="BL757" s="28">
        <v>762</v>
      </c>
      <c r="BW757" s="28">
        <v>21</v>
      </c>
      <c r="BX757" s="4" t="s">
        <v>1302</v>
      </c>
    </row>
    <row r="758" spans="1:76" ht="14.4" x14ac:dyDescent="0.3">
      <c r="A758" s="2" t="s">
        <v>1303</v>
      </c>
      <c r="B758" s="3" t="s">
        <v>1304</v>
      </c>
      <c r="C758" s="75" t="s">
        <v>1305</v>
      </c>
      <c r="D758" s="70"/>
      <c r="E758" s="3" t="s">
        <v>1306</v>
      </c>
      <c r="F758" s="28">
        <v>3.64</v>
      </c>
      <c r="G758" s="28">
        <v>0</v>
      </c>
      <c r="H758" s="28">
        <f>ROUND(F758*AO758,2)</f>
        <v>0</v>
      </c>
      <c r="I758" s="28">
        <f>ROUND(F758*AP758,2)</f>
        <v>0</v>
      </c>
      <c r="J758" s="28">
        <f>ROUND(F758*G758,2)</f>
        <v>0</v>
      </c>
      <c r="K758" s="29" t="s">
        <v>60</v>
      </c>
      <c r="Z758" s="28">
        <f>ROUND(IF(AQ758="5",BJ758,0),2)</f>
        <v>0</v>
      </c>
      <c r="AB758" s="28">
        <f>ROUND(IF(AQ758="1",BH758,0),2)</f>
        <v>0</v>
      </c>
      <c r="AC758" s="28">
        <f>ROUND(IF(AQ758="1",BI758,0),2)</f>
        <v>0</v>
      </c>
      <c r="AD758" s="28">
        <f>ROUND(IF(AQ758="7",BH758,0),2)</f>
        <v>0</v>
      </c>
      <c r="AE758" s="28">
        <f>ROUND(IF(AQ758="7",BI758,0),2)</f>
        <v>0</v>
      </c>
      <c r="AF758" s="28">
        <f>ROUND(IF(AQ758="2",BH758,0),2)</f>
        <v>0</v>
      </c>
      <c r="AG758" s="28">
        <f>ROUND(IF(AQ758="2",BI758,0),2)</f>
        <v>0</v>
      </c>
      <c r="AH758" s="28">
        <f>ROUND(IF(AQ758="0",BJ758,0),2)</f>
        <v>0</v>
      </c>
      <c r="AI758" s="10" t="s">
        <v>1050</v>
      </c>
      <c r="AJ758" s="28">
        <f>IF(AN758=0,J758,0)</f>
        <v>0</v>
      </c>
      <c r="AK758" s="28">
        <f>IF(AN758=12,J758,0)</f>
        <v>0</v>
      </c>
      <c r="AL758" s="28">
        <f>IF(AN758=21,J758,0)</f>
        <v>0</v>
      </c>
      <c r="AN758" s="28">
        <v>21</v>
      </c>
      <c r="AO758" s="28">
        <f>G758*1</f>
        <v>0</v>
      </c>
      <c r="AP758" s="28">
        <f>G758*(1-1)</f>
        <v>0</v>
      </c>
      <c r="AQ758" s="30" t="s">
        <v>118</v>
      </c>
      <c r="AV758" s="28">
        <f>ROUND(AW758+AX758,2)</f>
        <v>0</v>
      </c>
      <c r="AW758" s="28">
        <f>ROUND(F758*AO758,2)</f>
        <v>0</v>
      </c>
      <c r="AX758" s="28">
        <f>ROUND(F758*AP758,2)</f>
        <v>0</v>
      </c>
      <c r="AY758" s="30" t="s">
        <v>1237</v>
      </c>
      <c r="AZ758" s="30" t="s">
        <v>1238</v>
      </c>
      <c r="BA758" s="10" t="s">
        <v>1055</v>
      </c>
      <c r="BC758" s="28">
        <f>AW758+AX758</f>
        <v>0</v>
      </c>
      <c r="BD758" s="28">
        <f>G758/(100-BE758)*100</f>
        <v>0</v>
      </c>
      <c r="BE758" s="28">
        <v>0</v>
      </c>
      <c r="BF758" s="28">
        <f>758</f>
        <v>758</v>
      </c>
      <c r="BH758" s="28">
        <f>F758*AO758</f>
        <v>0</v>
      </c>
      <c r="BI758" s="28">
        <f>F758*AP758</f>
        <v>0</v>
      </c>
      <c r="BJ758" s="28">
        <f>F758*G758</f>
        <v>0</v>
      </c>
      <c r="BK758" s="28"/>
      <c r="BL758" s="28">
        <v>762</v>
      </c>
      <c r="BW758" s="28">
        <v>21</v>
      </c>
      <c r="BX758" s="4" t="s">
        <v>1305</v>
      </c>
    </row>
    <row r="759" spans="1:76" ht="14.4" x14ac:dyDescent="0.3">
      <c r="A759" s="31"/>
      <c r="C759" s="32" t="s">
        <v>1307</v>
      </c>
      <c r="D759" s="32" t="s">
        <v>51</v>
      </c>
      <c r="F759" s="33">
        <v>3.6375000000000002</v>
      </c>
      <c r="K759" s="34"/>
    </row>
    <row r="760" spans="1:76" ht="14.4" x14ac:dyDescent="0.3">
      <c r="A760" s="2" t="s">
        <v>1308</v>
      </c>
      <c r="B760" s="3" t="s">
        <v>1309</v>
      </c>
      <c r="C760" s="75" t="s">
        <v>1310</v>
      </c>
      <c r="D760" s="70"/>
      <c r="E760" s="3" t="s">
        <v>1311</v>
      </c>
      <c r="F760" s="28">
        <v>1775.55</v>
      </c>
      <c r="G760" s="28">
        <v>0</v>
      </c>
      <c r="H760" s="28">
        <f>ROUND(F760*AO760,2)</f>
        <v>0</v>
      </c>
      <c r="I760" s="28">
        <f>ROUND(F760*AP760,2)</f>
        <v>0</v>
      </c>
      <c r="J760" s="28">
        <f>ROUND(F760*G760,2)</f>
        <v>0</v>
      </c>
      <c r="K760" s="29" t="s">
        <v>60</v>
      </c>
      <c r="Z760" s="28">
        <f>ROUND(IF(AQ760="5",BJ760,0),2)</f>
        <v>0</v>
      </c>
      <c r="AB760" s="28">
        <f>ROUND(IF(AQ760="1",BH760,0),2)</f>
        <v>0</v>
      </c>
      <c r="AC760" s="28">
        <f>ROUND(IF(AQ760="1",BI760,0),2)</f>
        <v>0</v>
      </c>
      <c r="AD760" s="28">
        <f>ROUND(IF(AQ760="7",BH760,0),2)</f>
        <v>0</v>
      </c>
      <c r="AE760" s="28">
        <f>ROUND(IF(AQ760="7",BI760,0),2)</f>
        <v>0</v>
      </c>
      <c r="AF760" s="28">
        <f>ROUND(IF(AQ760="2",BH760,0),2)</f>
        <v>0</v>
      </c>
      <c r="AG760" s="28">
        <f>ROUND(IF(AQ760="2",BI760,0),2)</f>
        <v>0</v>
      </c>
      <c r="AH760" s="28">
        <f>ROUND(IF(AQ760="0",BJ760,0),2)</f>
        <v>0</v>
      </c>
      <c r="AI760" s="10" t="s">
        <v>1050</v>
      </c>
      <c r="AJ760" s="28">
        <f>IF(AN760=0,J760,0)</f>
        <v>0</v>
      </c>
      <c r="AK760" s="28">
        <f>IF(AN760=12,J760,0)</f>
        <v>0</v>
      </c>
      <c r="AL760" s="28">
        <f>IF(AN760=21,J760,0)</f>
        <v>0</v>
      </c>
      <c r="AN760" s="28">
        <v>21</v>
      </c>
      <c r="AO760" s="28">
        <f>G760*0</f>
        <v>0</v>
      </c>
      <c r="AP760" s="28">
        <f>G760*(1-0)</f>
        <v>0</v>
      </c>
      <c r="AQ760" s="30" t="s">
        <v>100</v>
      </c>
      <c r="AV760" s="28">
        <f>ROUND(AW760+AX760,2)</f>
        <v>0</v>
      </c>
      <c r="AW760" s="28">
        <f>ROUND(F760*AO760,2)</f>
        <v>0</v>
      </c>
      <c r="AX760" s="28">
        <f>ROUND(F760*AP760,2)</f>
        <v>0</v>
      </c>
      <c r="AY760" s="30" t="s">
        <v>1237</v>
      </c>
      <c r="AZ760" s="30" t="s">
        <v>1238</v>
      </c>
      <c r="BA760" s="10" t="s">
        <v>1055</v>
      </c>
      <c r="BC760" s="28">
        <f>AW760+AX760</f>
        <v>0</v>
      </c>
      <c r="BD760" s="28">
        <f>G760/(100-BE760)*100</f>
        <v>0</v>
      </c>
      <c r="BE760" s="28">
        <v>0</v>
      </c>
      <c r="BF760" s="28">
        <f>760</f>
        <v>760</v>
      </c>
      <c r="BH760" s="28">
        <f>F760*AO760</f>
        <v>0</v>
      </c>
      <c r="BI760" s="28">
        <f>F760*AP760</f>
        <v>0</v>
      </c>
      <c r="BJ760" s="28">
        <f>F760*G760</f>
        <v>0</v>
      </c>
      <c r="BK760" s="28"/>
      <c r="BL760" s="28">
        <v>762</v>
      </c>
      <c r="BW760" s="28">
        <v>21</v>
      </c>
      <c r="BX760" s="4" t="s">
        <v>1310</v>
      </c>
    </row>
    <row r="761" spans="1:76" ht="14.4" x14ac:dyDescent="0.3">
      <c r="A761" s="24" t="s">
        <v>51</v>
      </c>
      <c r="B761" s="25" t="s">
        <v>1312</v>
      </c>
      <c r="C761" s="91" t="s">
        <v>1313</v>
      </c>
      <c r="D761" s="92"/>
      <c r="E761" s="26" t="s">
        <v>4</v>
      </c>
      <c r="F761" s="26" t="s">
        <v>4</v>
      </c>
      <c r="G761" s="26" t="s">
        <v>4</v>
      </c>
      <c r="H761" s="1">
        <f>SUM(H762:H762)</f>
        <v>0</v>
      </c>
      <c r="I761" s="1">
        <f>SUM(I762:I762)</f>
        <v>0</v>
      </c>
      <c r="J761" s="1">
        <f>SUM(J762:J762)</f>
        <v>0</v>
      </c>
      <c r="K761" s="27" t="s">
        <v>51</v>
      </c>
      <c r="AI761" s="10" t="s">
        <v>1050</v>
      </c>
      <c r="AS761" s="1">
        <f>SUM(AJ762:AJ762)</f>
        <v>0</v>
      </c>
      <c r="AT761" s="1">
        <f>SUM(AK762:AK762)</f>
        <v>0</v>
      </c>
      <c r="AU761" s="1">
        <f>SUM(AL762:AL762)</f>
        <v>0</v>
      </c>
    </row>
    <row r="762" spans="1:76" ht="26.4" x14ac:dyDescent="0.3">
      <c r="A762" s="2" t="s">
        <v>1314</v>
      </c>
      <c r="B762" s="3" t="s">
        <v>1315</v>
      </c>
      <c r="C762" s="75" t="s">
        <v>1316</v>
      </c>
      <c r="D762" s="70"/>
      <c r="E762" s="3" t="s">
        <v>103</v>
      </c>
      <c r="F762" s="28">
        <v>32.25</v>
      </c>
      <c r="G762" s="28">
        <v>0</v>
      </c>
      <c r="H762" s="28">
        <f>ROUND(F762*AO762,2)</f>
        <v>0</v>
      </c>
      <c r="I762" s="28">
        <f>ROUND(F762*AP762,2)</f>
        <v>0</v>
      </c>
      <c r="J762" s="28">
        <f>ROUND(F762*G762,2)</f>
        <v>0</v>
      </c>
      <c r="K762" s="29" t="s">
        <v>60</v>
      </c>
      <c r="Z762" s="28">
        <f>ROUND(IF(AQ762="5",BJ762,0),2)</f>
        <v>0</v>
      </c>
      <c r="AB762" s="28">
        <f>ROUND(IF(AQ762="1",BH762,0),2)</f>
        <v>0</v>
      </c>
      <c r="AC762" s="28">
        <f>ROUND(IF(AQ762="1",BI762,0),2)</f>
        <v>0</v>
      </c>
      <c r="AD762" s="28">
        <f>ROUND(IF(AQ762="7",BH762,0),2)</f>
        <v>0</v>
      </c>
      <c r="AE762" s="28">
        <f>ROUND(IF(AQ762="7",BI762,0),2)</f>
        <v>0</v>
      </c>
      <c r="AF762" s="28">
        <f>ROUND(IF(AQ762="2",BH762,0),2)</f>
        <v>0</v>
      </c>
      <c r="AG762" s="28">
        <f>ROUND(IF(AQ762="2",BI762,0),2)</f>
        <v>0</v>
      </c>
      <c r="AH762" s="28">
        <f>ROUND(IF(AQ762="0",BJ762,0),2)</f>
        <v>0</v>
      </c>
      <c r="AI762" s="10" t="s">
        <v>1050</v>
      </c>
      <c r="AJ762" s="28">
        <f>IF(AN762=0,J762,0)</f>
        <v>0</v>
      </c>
      <c r="AK762" s="28">
        <f>IF(AN762=12,J762,0)</f>
        <v>0</v>
      </c>
      <c r="AL762" s="28">
        <f>IF(AN762=21,J762,0)</f>
        <v>0</v>
      </c>
      <c r="AN762" s="28">
        <v>21</v>
      </c>
      <c r="AO762" s="28">
        <f>G762*0</f>
        <v>0</v>
      </c>
      <c r="AP762" s="28">
        <f>G762*(1-0)</f>
        <v>0</v>
      </c>
      <c r="AQ762" s="30" t="s">
        <v>118</v>
      </c>
      <c r="AV762" s="28">
        <f>ROUND(AW762+AX762,2)</f>
        <v>0</v>
      </c>
      <c r="AW762" s="28">
        <f>ROUND(F762*AO762,2)</f>
        <v>0</v>
      </c>
      <c r="AX762" s="28">
        <f>ROUND(F762*AP762,2)</f>
        <v>0</v>
      </c>
      <c r="AY762" s="30" t="s">
        <v>1317</v>
      </c>
      <c r="AZ762" s="30" t="s">
        <v>1238</v>
      </c>
      <c r="BA762" s="10" t="s">
        <v>1055</v>
      </c>
      <c r="BC762" s="28">
        <f>AW762+AX762</f>
        <v>0</v>
      </c>
      <c r="BD762" s="28">
        <f>G762/(100-BE762)*100</f>
        <v>0</v>
      </c>
      <c r="BE762" s="28">
        <v>0</v>
      </c>
      <c r="BF762" s="28">
        <f>762</f>
        <v>762</v>
      </c>
      <c r="BH762" s="28">
        <f>F762*AO762</f>
        <v>0</v>
      </c>
      <c r="BI762" s="28">
        <f>F762*AP762</f>
        <v>0</v>
      </c>
      <c r="BJ762" s="28">
        <f>F762*G762</f>
        <v>0</v>
      </c>
      <c r="BK762" s="28"/>
      <c r="BL762" s="28">
        <v>763</v>
      </c>
      <c r="BW762" s="28">
        <v>21</v>
      </c>
      <c r="BX762" s="4" t="s">
        <v>1316</v>
      </c>
    </row>
    <row r="763" spans="1:76" ht="14.4" x14ac:dyDescent="0.3">
      <c r="A763" s="31"/>
      <c r="C763" s="32" t="s">
        <v>1318</v>
      </c>
      <c r="D763" s="32" t="s">
        <v>51</v>
      </c>
      <c r="F763" s="33">
        <v>32.25</v>
      </c>
      <c r="K763" s="34"/>
    </row>
    <row r="764" spans="1:76" ht="14.4" x14ac:dyDescent="0.3">
      <c r="A764" s="24" t="s">
        <v>51</v>
      </c>
      <c r="B764" s="25" t="s">
        <v>433</v>
      </c>
      <c r="C764" s="91" t="s">
        <v>434</v>
      </c>
      <c r="D764" s="92"/>
      <c r="E764" s="26" t="s">
        <v>4</v>
      </c>
      <c r="F764" s="26" t="s">
        <v>4</v>
      </c>
      <c r="G764" s="26" t="s">
        <v>4</v>
      </c>
      <c r="H764" s="1">
        <f>SUM(H765:H772)</f>
        <v>0</v>
      </c>
      <c r="I764" s="1">
        <f>SUM(I765:I772)</f>
        <v>0</v>
      </c>
      <c r="J764" s="1">
        <f>SUM(J765:J772)</f>
        <v>0</v>
      </c>
      <c r="K764" s="27" t="s">
        <v>51</v>
      </c>
      <c r="AI764" s="10" t="s">
        <v>1050</v>
      </c>
      <c r="AS764" s="1">
        <f>SUM(AJ765:AJ772)</f>
        <v>0</v>
      </c>
      <c r="AT764" s="1">
        <f>SUM(AK765:AK772)</f>
        <v>0</v>
      </c>
      <c r="AU764" s="1">
        <f>SUM(AL765:AL772)</f>
        <v>0</v>
      </c>
    </row>
    <row r="765" spans="1:76" ht="26.4" x14ac:dyDescent="0.3">
      <c r="A765" s="2" t="s">
        <v>1319</v>
      </c>
      <c r="B765" s="3" t="s">
        <v>1320</v>
      </c>
      <c r="C765" s="75" t="s">
        <v>1321</v>
      </c>
      <c r="D765" s="70"/>
      <c r="E765" s="3" t="s">
        <v>188</v>
      </c>
      <c r="F765" s="28">
        <v>22</v>
      </c>
      <c r="G765" s="28">
        <v>0</v>
      </c>
      <c r="H765" s="28">
        <f>ROUND(F765*AO765,2)</f>
        <v>0</v>
      </c>
      <c r="I765" s="28">
        <f>ROUND(F765*AP765,2)</f>
        <v>0</v>
      </c>
      <c r="J765" s="28">
        <f>ROUND(F765*G765,2)</f>
        <v>0</v>
      </c>
      <c r="K765" s="29" t="s">
        <v>60</v>
      </c>
      <c r="Z765" s="28">
        <f>ROUND(IF(AQ765="5",BJ765,0),2)</f>
        <v>0</v>
      </c>
      <c r="AB765" s="28">
        <f>ROUND(IF(AQ765="1",BH765,0),2)</f>
        <v>0</v>
      </c>
      <c r="AC765" s="28">
        <f>ROUND(IF(AQ765="1",BI765,0),2)</f>
        <v>0</v>
      </c>
      <c r="AD765" s="28">
        <f>ROUND(IF(AQ765="7",BH765,0),2)</f>
        <v>0</v>
      </c>
      <c r="AE765" s="28">
        <f>ROUND(IF(AQ765="7",BI765,0),2)</f>
        <v>0</v>
      </c>
      <c r="AF765" s="28">
        <f>ROUND(IF(AQ765="2",BH765,0),2)</f>
        <v>0</v>
      </c>
      <c r="AG765" s="28">
        <f>ROUND(IF(AQ765="2",BI765,0),2)</f>
        <v>0</v>
      </c>
      <c r="AH765" s="28">
        <f>ROUND(IF(AQ765="0",BJ765,0),2)</f>
        <v>0</v>
      </c>
      <c r="AI765" s="10" t="s">
        <v>1050</v>
      </c>
      <c r="AJ765" s="28">
        <f>IF(AN765=0,J765,0)</f>
        <v>0</v>
      </c>
      <c r="AK765" s="28">
        <f>IF(AN765=12,J765,0)</f>
        <v>0</v>
      </c>
      <c r="AL765" s="28">
        <f>IF(AN765=21,J765,0)</f>
        <v>0</v>
      </c>
      <c r="AN765" s="28">
        <v>21</v>
      </c>
      <c r="AO765" s="28">
        <f>G765*0</f>
        <v>0</v>
      </c>
      <c r="AP765" s="28">
        <f>G765*(1-0)</f>
        <v>0</v>
      </c>
      <c r="AQ765" s="30" t="s">
        <v>118</v>
      </c>
      <c r="AV765" s="28">
        <f>ROUND(AW765+AX765,2)</f>
        <v>0</v>
      </c>
      <c r="AW765" s="28">
        <f>ROUND(F765*AO765,2)</f>
        <v>0</v>
      </c>
      <c r="AX765" s="28">
        <f>ROUND(F765*AP765,2)</f>
        <v>0</v>
      </c>
      <c r="AY765" s="30" t="s">
        <v>437</v>
      </c>
      <c r="AZ765" s="30" t="s">
        <v>1238</v>
      </c>
      <c r="BA765" s="10" t="s">
        <v>1055</v>
      </c>
      <c r="BC765" s="28">
        <f>AW765+AX765</f>
        <v>0</v>
      </c>
      <c r="BD765" s="28">
        <f>G765/(100-BE765)*100</f>
        <v>0</v>
      </c>
      <c r="BE765" s="28">
        <v>0</v>
      </c>
      <c r="BF765" s="28">
        <f>765</f>
        <v>765</v>
      </c>
      <c r="BH765" s="28">
        <f>F765*AO765</f>
        <v>0</v>
      </c>
      <c r="BI765" s="28">
        <f>F765*AP765</f>
        <v>0</v>
      </c>
      <c r="BJ765" s="28">
        <f>F765*G765</f>
        <v>0</v>
      </c>
      <c r="BK765" s="28"/>
      <c r="BL765" s="28">
        <v>764</v>
      </c>
      <c r="BW765" s="28">
        <v>21</v>
      </c>
      <c r="BX765" s="4" t="s">
        <v>1321</v>
      </c>
    </row>
    <row r="766" spans="1:76" ht="14.4" x14ac:dyDescent="0.3">
      <c r="A766" s="31"/>
      <c r="C766" s="32" t="s">
        <v>1322</v>
      </c>
      <c r="D766" s="32" t="s">
        <v>439</v>
      </c>
      <c r="F766" s="33">
        <v>16.899999999999999</v>
      </c>
      <c r="K766" s="34"/>
    </row>
    <row r="767" spans="1:76" ht="14.4" x14ac:dyDescent="0.3">
      <c r="A767" s="31"/>
      <c r="C767" s="32" t="s">
        <v>1323</v>
      </c>
      <c r="D767" s="32" t="s">
        <v>1324</v>
      </c>
      <c r="F767" s="33">
        <v>5.0999999999999996</v>
      </c>
      <c r="K767" s="34"/>
    </row>
    <row r="768" spans="1:76" ht="26.4" x14ac:dyDescent="0.3">
      <c r="A768" s="2" t="s">
        <v>1325</v>
      </c>
      <c r="B768" s="3" t="s">
        <v>1326</v>
      </c>
      <c r="C768" s="75" t="s">
        <v>1327</v>
      </c>
      <c r="D768" s="70"/>
      <c r="E768" s="3" t="s">
        <v>188</v>
      </c>
      <c r="F768" s="28">
        <v>2.5</v>
      </c>
      <c r="G768" s="28">
        <v>0</v>
      </c>
      <c r="H768" s="28">
        <f>ROUND(F768*AO768,2)</f>
        <v>0</v>
      </c>
      <c r="I768" s="28">
        <f>ROUND(F768*AP768,2)</f>
        <v>0</v>
      </c>
      <c r="J768" s="28">
        <f>ROUND(F768*G768,2)</f>
        <v>0</v>
      </c>
      <c r="K768" s="29" t="s">
        <v>60</v>
      </c>
      <c r="Z768" s="28">
        <f>ROUND(IF(AQ768="5",BJ768,0),2)</f>
        <v>0</v>
      </c>
      <c r="AB768" s="28">
        <f>ROUND(IF(AQ768="1",BH768,0),2)</f>
        <v>0</v>
      </c>
      <c r="AC768" s="28">
        <f>ROUND(IF(AQ768="1",BI768,0),2)</f>
        <v>0</v>
      </c>
      <c r="AD768" s="28">
        <f>ROUND(IF(AQ768="7",BH768,0),2)</f>
        <v>0</v>
      </c>
      <c r="AE768" s="28">
        <f>ROUND(IF(AQ768="7",BI768,0),2)</f>
        <v>0</v>
      </c>
      <c r="AF768" s="28">
        <f>ROUND(IF(AQ768="2",BH768,0),2)</f>
        <v>0</v>
      </c>
      <c r="AG768" s="28">
        <f>ROUND(IF(AQ768="2",BI768,0),2)</f>
        <v>0</v>
      </c>
      <c r="AH768" s="28">
        <f>ROUND(IF(AQ768="0",BJ768,0),2)</f>
        <v>0</v>
      </c>
      <c r="AI768" s="10" t="s">
        <v>1050</v>
      </c>
      <c r="AJ768" s="28">
        <f>IF(AN768=0,J768,0)</f>
        <v>0</v>
      </c>
      <c r="AK768" s="28">
        <f>IF(AN768=12,J768,0)</f>
        <v>0</v>
      </c>
      <c r="AL768" s="28">
        <f>IF(AN768=21,J768,0)</f>
        <v>0</v>
      </c>
      <c r="AN768" s="28">
        <v>21</v>
      </c>
      <c r="AO768" s="28">
        <f>G768*0</f>
        <v>0</v>
      </c>
      <c r="AP768" s="28">
        <f>G768*(1-0)</f>
        <v>0</v>
      </c>
      <c r="AQ768" s="30" t="s">
        <v>118</v>
      </c>
      <c r="AV768" s="28">
        <f>ROUND(AW768+AX768,2)</f>
        <v>0</v>
      </c>
      <c r="AW768" s="28">
        <f>ROUND(F768*AO768,2)</f>
        <v>0</v>
      </c>
      <c r="AX768" s="28">
        <f>ROUND(F768*AP768,2)</f>
        <v>0</v>
      </c>
      <c r="AY768" s="30" t="s">
        <v>437</v>
      </c>
      <c r="AZ768" s="30" t="s">
        <v>1238</v>
      </c>
      <c r="BA768" s="10" t="s">
        <v>1055</v>
      </c>
      <c r="BC768" s="28">
        <f>AW768+AX768</f>
        <v>0</v>
      </c>
      <c r="BD768" s="28">
        <f>G768/(100-BE768)*100</f>
        <v>0</v>
      </c>
      <c r="BE768" s="28">
        <v>0</v>
      </c>
      <c r="BF768" s="28">
        <f>768</f>
        <v>768</v>
      </c>
      <c r="BH768" s="28">
        <f>F768*AO768</f>
        <v>0</v>
      </c>
      <c r="BI768" s="28">
        <f>F768*AP768</f>
        <v>0</v>
      </c>
      <c r="BJ768" s="28">
        <f>F768*G768</f>
        <v>0</v>
      </c>
      <c r="BK768" s="28"/>
      <c r="BL768" s="28">
        <v>764</v>
      </c>
      <c r="BW768" s="28">
        <v>21</v>
      </c>
      <c r="BX768" s="4" t="s">
        <v>1327</v>
      </c>
    </row>
    <row r="769" spans="1:76" ht="26.4" x14ac:dyDescent="0.3">
      <c r="A769" s="2" t="s">
        <v>1328</v>
      </c>
      <c r="B769" s="3" t="s">
        <v>1329</v>
      </c>
      <c r="C769" s="75" t="s">
        <v>1330</v>
      </c>
      <c r="D769" s="70"/>
      <c r="E769" s="3" t="s">
        <v>188</v>
      </c>
      <c r="F769" s="28">
        <v>8.6</v>
      </c>
      <c r="G769" s="28">
        <v>0</v>
      </c>
      <c r="H769" s="28">
        <f>ROUND(F769*AO769,2)</f>
        <v>0</v>
      </c>
      <c r="I769" s="28">
        <f>ROUND(F769*AP769,2)</f>
        <v>0</v>
      </c>
      <c r="J769" s="28">
        <f>ROUND(F769*G769,2)</f>
        <v>0</v>
      </c>
      <c r="K769" s="29" t="s">
        <v>60</v>
      </c>
      <c r="Z769" s="28">
        <f>ROUND(IF(AQ769="5",BJ769,0),2)</f>
        <v>0</v>
      </c>
      <c r="AB769" s="28">
        <f>ROUND(IF(AQ769="1",BH769,0),2)</f>
        <v>0</v>
      </c>
      <c r="AC769" s="28">
        <f>ROUND(IF(AQ769="1",BI769,0),2)</f>
        <v>0</v>
      </c>
      <c r="AD769" s="28">
        <f>ROUND(IF(AQ769="7",BH769,0),2)</f>
        <v>0</v>
      </c>
      <c r="AE769" s="28">
        <f>ROUND(IF(AQ769="7",BI769,0),2)</f>
        <v>0</v>
      </c>
      <c r="AF769" s="28">
        <f>ROUND(IF(AQ769="2",BH769,0),2)</f>
        <v>0</v>
      </c>
      <c r="AG769" s="28">
        <f>ROUND(IF(AQ769="2",BI769,0),2)</f>
        <v>0</v>
      </c>
      <c r="AH769" s="28">
        <f>ROUND(IF(AQ769="0",BJ769,0),2)</f>
        <v>0</v>
      </c>
      <c r="AI769" s="10" t="s">
        <v>1050</v>
      </c>
      <c r="AJ769" s="28">
        <f>IF(AN769=0,J769,0)</f>
        <v>0</v>
      </c>
      <c r="AK769" s="28">
        <f>IF(AN769=12,J769,0)</f>
        <v>0</v>
      </c>
      <c r="AL769" s="28">
        <f>IF(AN769=21,J769,0)</f>
        <v>0</v>
      </c>
      <c r="AN769" s="28">
        <v>21</v>
      </c>
      <c r="AO769" s="28">
        <f>G769*0</f>
        <v>0</v>
      </c>
      <c r="AP769" s="28">
        <f>G769*(1-0)</f>
        <v>0</v>
      </c>
      <c r="AQ769" s="30" t="s">
        <v>118</v>
      </c>
      <c r="AV769" s="28">
        <f>ROUND(AW769+AX769,2)</f>
        <v>0</v>
      </c>
      <c r="AW769" s="28">
        <f>ROUND(F769*AO769,2)</f>
        <v>0</v>
      </c>
      <c r="AX769" s="28">
        <f>ROUND(F769*AP769,2)</f>
        <v>0</v>
      </c>
      <c r="AY769" s="30" t="s">
        <v>437</v>
      </c>
      <c r="AZ769" s="30" t="s">
        <v>1238</v>
      </c>
      <c r="BA769" s="10" t="s">
        <v>1055</v>
      </c>
      <c r="BC769" s="28">
        <f>AW769+AX769</f>
        <v>0</v>
      </c>
      <c r="BD769" s="28">
        <f>G769/(100-BE769)*100</f>
        <v>0</v>
      </c>
      <c r="BE769" s="28">
        <v>0</v>
      </c>
      <c r="BF769" s="28">
        <f>769</f>
        <v>769</v>
      </c>
      <c r="BH769" s="28">
        <f>F769*AO769</f>
        <v>0</v>
      </c>
      <c r="BI769" s="28">
        <f>F769*AP769</f>
        <v>0</v>
      </c>
      <c r="BJ769" s="28">
        <f>F769*G769</f>
        <v>0</v>
      </c>
      <c r="BK769" s="28"/>
      <c r="BL769" s="28">
        <v>764</v>
      </c>
      <c r="BW769" s="28">
        <v>21</v>
      </c>
      <c r="BX769" s="4" t="s">
        <v>1330</v>
      </c>
    </row>
    <row r="770" spans="1:76" ht="26.4" x14ac:dyDescent="0.3">
      <c r="A770" s="2" t="s">
        <v>1331</v>
      </c>
      <c r="B770" s="3" t="s">
        <v>1332</v>
      </c>
      <c r="C770" s="75" t="s">
        <v>1333</v>
      </c>
      <c r="D770" s="70"/>
      <c r="E770" s="3" t="s">
        <v>293</v>
      </c>
      <c r="F770" s="28">
        <v>1</v>
      </c>
      <c r="G770" s="28">
        <v>0</v>
      </c>
      <c r="H770" s="28">
        <f>ROUND(F770*AO770,2)</f>
        <v>0</v>
      </c>
      <c r="I770" s="28">
        <f>ROUND(F770*AP770,2)</f>
        <v>0</v>
      </c>
      <c r="J770" s="28">
        <f>ROUND(F770*G770,2)</f>
        <v>0</v>
      </c>
      <c r="K770" s="29" t="s">
        <v>60</v>
      </c>
      <c r="Z770" s="28">
        <f>ROUND(IF(AQ770="5",BJ770,0),2)</f>
        <v>0</v>
      </c>
      <c r="AB770" s="28">
        <f>ROUND(IF(AQ770="1",BH770,0),2)</f>
        <v>0</v>
      </c>
      <c r="AC770" s="28">
        <f>ROUND(IF(AQ770="1",BI770,0),2)</f>
        <v>0</v>
      </c>
      <c r="AD770" s="28">
        <f>ROUND(IF(AQ770="7",BH770,0),2)</f>
        <v>0</v>
      </c>
      <c r="AE770" s="28">
        <f>ROUND(IF(AQ770="7",BI770,0),2)</f>
        <v>0</v>
      </c>
      <c r="AF770" s="28">
        <f>ROUND(IF(AQ770="2",BH770,0),2)</f>
        <v>0</v>
      </c>
      <c r="AG770" s="28">
        <f>ROUND(IF(AQ770="2",BI770,0),2)</f>
        <v>0</v>
      </c>
      <c r="AH770" s="28">
        <f>ROUND(IF(AQ770="0",BJ770,0),2)</f>
        <v>0</v>
      </c>
      <c r="AI770" s="10" t="s">
        <v>1050</v>
      </c>
      <c r="AJ770" s="28">
        <f>IF(AN770=0,J770,0)</f>
        <v>0</v>
      </c>
      <c r="AK770" s="28">
        <f>IF(AN770=12,J770,0)</f>
        <v>0</v>
      </c>
      <c r="AL770" s="28">
        <f>IF(AN770=21,J770,0)</f>
        <v>0</v>
      </c>
      <c r="AN770" s="28">
        <v>21</v>
      </c>
      <c r="AO770" s="28">
        <f>G770*0</f>
        <v>0</v>
      </c>
      <c r="AP770" s="28">
        <f>G770*(1-0)</f>
        <v>0</v>
      </c>
      <c r="AQ770" s="30" t="s">
        <v>118</v>
      </c>
      <c r="AV770" s="28">
        <f>ROUND(AW770+AX770,2)</f>
        <v>0</v>
      </c>
      <c r="AW770" s="28">
        <f>ROUND(F770*AO770,2)</f>
        <v>0</v>
      </c>
      <c r="AX770" s="28">
        <f>ROUND(F770*AP770,2)</f>
        <v>0</v>
      </c>
      <c r="AY770" s="30" t="s">
        <v>437</v>
      </c>
      <c r="AZ770" s="30" t="s">
        <v>1238</v>
      </c>
      <c r="BA770" s="10" t="s">
        <v>1055</v>
      </c>
      <c r="BC770" s="28">
        <f>AW770+AX770</f>
        <v>0</v>
      </c>
      <c r="BD770" s="28">
        <f>G770/(100-BE770)*100</f>
        <v>0</v>
      </c>
      <c r="BE770" s="28">
        <v>0</v>
      </c>
      <c r="BF770" s="28">
        <f>770</f>
        <v>770</v>
      </c>
      <c r="BH770" s="28">
        <f>F770*AO770</f>
        <v>0</v>
      </c>
      <c r="BI770" s="28">
        <f>F770*AP770</f>
        <v>0</v>
      </c>
      <c r="BJ770" s="28">
        <f>F770*G770</f>
        <v>0</v>
      </c>
      <c r="BK770" s="28"/>
      <c r="BL770" s="28">
        <v>764</v>
      </c>
      <c r="BW770" s="28">
        <v>21</v>
      </c>
      <c r="BX770" s="4" t="s">
        <v>1333</v>
      </c>
    </row>
    <row r="771" spans="1:76" ht="14.4" x14ac:dyDescent="0.3">
      <c r="A771" s="2" t="s">
        <v>1334</v>
      </c>
      <c r="B771" s="3" t="s">
        <v>1335</v>
      </c>
      <c r="C771" s="75" t="s">
        <v>1336</v>
      </c>
      <c r="D771" s="70"/>
      <c r="E771" s="3" t="s">
        <v>293</v>
      </c>
      <c r="F771" s="28">
        <v>15</v>
      </c>
      <c r="G771" s="28">
        <v>0</v>
      </c>
      <c r="H771" s="28">
        <f>ROUND(F771*AO771,2)</f>
        <v>0</v>
      </c>
      <c r="I771" s="28">
        <f>ROUND(F771*AP771,2)</f>
        <v>0</v>
      </c>
      <c r="J771" s="28">
        <f>ROUND(F771*G771,2)</f>
        <v>0</v>
      </c>
      <c r="K771" s="29" t="s">
        <v>60</v>
      </c>
      <c r="Z771" s="28">
        <f>ROUND(IF(AQ771="5",BJ771,0),2)</f>
        <v>0</v>
      </c>
      <c r="AB771" s="28">
        <f>ROUND(IF(AQ771="1",BH771,0),2)</f>
        <v>0</v>
      </c>
      <c r="AC771" s="28">
        <f>ROUND(IF(AQ771="1",BI771,0),2)</f>
        <v>0</v>
      </c>
      <c r="AD771" s="28">
        <f>ROUND(IF(AQ771="7",BH771,0),2)</f>
        <v>0</v>
      </c>
      <c r="AE771" s="28">
        <f>ROUND(IF(AQ771="7",BI771,0),2)</f>
        <v>0</v>
      </c>
      <c r="AF771" s="28">
        <f>ROUND(IF(AQ771="2",BH771,0),2)</f>
        <v>0</v>
      </c>
      <c r="AG771" s="28">
        <f>ROUND(IF(AQ771="2",BI771,0),2)</f>
        <v>0</v>
      </c>
      <c r="AH771" s="28">
        <f>ROUND(IF(AQ771="0",BJ771,0),2)</f>
        <v>0</v>
      </c>
      <c r="AI771" s="10" t="s">
        <v>1050</v>
      </c>
      <c r="AJ771" s="28">
        <f>IF(AN771=0,J771,0)</f>
        <v>0</v>
      </c>
      <c r="AK771" s="28">
        <f>IF(AN771=12,J771,0)</f>
        <v>0</v>
      </c>
      <c r="AL771" s="28">
        <f>IF(AN771=21,J771,0)</f>
        <v>0</v>
      </c>
      <c r="AN771" s="28">
        <v>21</v>
      </c>
      <c r="AO771" s="28">
        <f>G771*0</f>
        <v>0</v>
      </c>
      <c r="AP771" s="28">
        <f>G771*(1-0)</f>
        <v>0</v>
      </c>
      <c r="AQ771" s="30" t="s">
        <v>118</v>
      </c>
      <c r="AV771" s="28">
        <f>ROUND(AW771+AX771,2)</f>
        <v>0</v>
      </c>
      <c r="AW771" s="28">
        <f>ROUND(F771*AO771,2)</f>
        <v>0</v>
      </c>
      <c r="AX771" s="28">
        <f>ROUND(F771*AP771,2)</f>
        <v>0</v>
      </c>
      <c r="AY771" s="30" t="s">
        <v>437</v>
      </c>
      <c r="AZ771" s="30" t="s">
        <v>1238</v>
      </c>
      <c r="BA771" s="10" t="s">
        <v>1055</v>
      </c>
      <c r="BC771" s="28">
        <f>AW771+AX771</f>
        <v>0</v>
      </c>
      <c r="BD771" s="28">
        <f>G771/(100-BE771)*100</f>
        <v>0</v>
      </c>
      <c r="BE771" s="28">
        <v>0</v>
      </c>
      <c r="BF771" s="28">
        <f>771</f>
        <v>771</v>
      </c>
      <c r="BH771" s="28">
        <f>F771*AO771</f>
        <v>0</v>
      </c>
      <c r="BI771" s="28">
        <f>F771*AP771</f>
        <v>0</v>
      </c>
      <c r="BJ771" s="28">
        <f>F771*G771</f>
        <v>0</v>
      </c>
      <c r="BK771" s="28"/>
      <c r="BL771" s="28">
        <v>764</v>
      </c>
      <c r="BW771" s="28">
        <v>21</v>
      </c>
      <c r="BX771" s="4" t="s">
        <v>1336</v>
      </c>
    </row>
    <row r="772" spans="1:76" ht="14.4" x14ac:dyDescent="0.3">
      <c r="A772" s="2" t="s">
        <v>1337</v>
      </c>
      <c r="B772" s="3" t="s">
        <v>1338</v>
      </c>
      <c r="C772" s="75" t="s">
        <v>1339</v>
      </c>
      <c r="D772" s="70"/>
      <c r="E772" s="3" t="s">
        <v>1311</v>
      </c>
      <c r="F772" s="28">
        <v>174.55</v>
      </c>
      <c r="G772" s="28">
        <v>0</v>
      </c>
      <c r="H772" s="28">
        <f>ROUND(F772*AO772,2)</f>
        <v>0</v>
      </c>
      <c r="I772" s="28">
        <f>ROUND(F772*AP772,2)</f>
        <v>0</v>
      </c>
      <c r="J772" s="28">
        <f>ROUND(F772*G772,2)</f>
        <v>0</v>
      </c>
      <c r="K772" s="29" t="s">
        <v>60</v>
      </c>
      <c r="Z772" s="28">
        <f>ROUND(IF(AQ772="5",BJ772,0),2)</f>
        <v>0</v>
      </c>
      <c r="AB772" s="28">
        <f>ROUND(IF(AQ772="1",BH772,0),2)</f>
        <v>0</v>
      </c>
      <c r="AC772" s="28">
        <f>ROUND(IF(AQ772="1",BI772,0),2)</f>
        <v>0</v>
      </c>
      <c r="AD772" s="28">
        <f>ROUND(IF(AQ772="7",BH772,0),2)</f>
        <v>0</v>
      </c>
      <c r="AE772" s="28">
        <f>ROUND(IF(AQ772="7",BI772,0),2)</f>
        <v>0</v>
      </c>
      <c r="AF772" s="28">
        <f>ROUND(IF(AQ772="2",BH772,0),2)</f>
        <v>0</v>
      </c>
      <c r="AG772" s="28">
        <f>ROUND(IF(AQ772="2",BI772,0),2)</f>
        <v>0</v>
      </c>
      <c r="AH772" s="28">
        <f>ROUND(IF(AQ772="0",BJ772,0),2)</f>
        <v>0</v>
      </c>
      <c r="AI772" s="10" t="s">
        <v>1050</v>
      </c>
      <c r="AJ772" s="28">
        <f>IF(AN772=0,J772,0)</f>
        <v>0</v>
      </c>
      <c r="AK772" s="28">
        <f>IF(AN772=12,J772,0)</f>
        <v>0</v>
      </c>
      <c r="AL772" s="28">
        <f>IF(AN772=21,J772,0)</f>
        <v>0</v>
      </c>
      <c r="AN772" s="28">
        <v>21</v>
      </c>
      <c r="AO772" s="28">
        <f>G772*0</f>
        <v>0</v>
      </c>
      <c r="AP772" s="28">
        <f>G772*(1-0)</f>
        <v>0</v>
      </c>
      <c r="AQ772" s="30" t="s">
        <v>100</v>
      </c>
      <c r="AV772" s="28">
        <f>ROUND(AW772+AX772,2)</f>
        <v>0</v>
      </c>
      <c r="AW772" s="28">
        <f>ROUND(F772*AO772,2)</f>
        <v>0</v>
      </c>
      <c r="AX772" s="28">
        <f>ROUND(F772*AP772,2)</f>
        <v>0</v>
      </c>
      <c r="AY772" s="30" t="s">
        <v>437</v>
      </c>
      <c r="AZ772" s="30" t="s">
        <v>1238</v>
      </c>
      <c r="BA772" s="10" t="s">
        <v>1055</v>
      </c>
      <c r="BC772" s="28">
        <f>AW772+AX772</f>
        <v>0</v>
      </c>
      <c r="BD772" s="28">
        <f>G772/(100-BE772)*100</f>
        <v>0</v>
      </c>
      <c r="BE772" s="28">
        <v>0</v>
      </c>
      <c r="BF772" s="28">
        <f>772</f>
        <v>772</v>
      </c>
      <c r="BH772" s="28">
        <f>F772*AO772</f>
        <v>0</v>
      </c>
      <c r="BI772" s="28">
        <f>F772*AP772</f>
        <v>0</v>
      </c>
      <c r="BJ772" s="28">
        <f>F772*G772</f>
        <v>0</v>
      </c>
      <c r="BK772" s="28"/>
      <c r="BL772" s="28">
        <v>764</v>
      </c>
      <c r="BW772" s="28">
        <v>21</v>
      </c>
      <c r="BX772" s="4" t="s">
        <v>1339</v>
      </c>
    </row>
    <row r="773" spans="1:76" ht="14.4" x14ac:dyDescent="0.3">
      <c r="A773" s="24" t="s">
        <v>51</v>
      </c>
      <c r="B773" s="25" t="s">
        <v>1340</v>
      </c>
      <c r="C773" s="91" t="s">
        <v>1341</v>
      </c>
      <c r="D773" s="92"/>
      <c r="E773" s="26" t="s">
        <v>4</v>
      </c>
      <c r="F773" s="26" t="s">
        <v>4</v>
      </c>
      <c r="G773" s="26" t="s">
        <v>4</v>
      </c>
      <c r="H773" s="1">
        <f>SUM(H774:H830)</f>
        <v>0</v>
      </c>
      <c r="I773" s="1">
        <f>SUM(I774:I830)</f>
        <v>0</v>
      </c>
      <c r="J773" s="1">
        <f>SUM(J774:J830)</f>
        <v>0</v>
      </c>
      <c r="K773" s="27" t="s">
        <v>51</v>
      </c>
      <c r="AI773" s="10" t="s">
        <v>1050</v>
      </c>
      <c r="AS773" s="1">
        <f>SUM(AJ774:AJ830)</f>
        <v>0</v>
      </c>
      <c r="AT773" s="1">
        <f>SUM(AK774:AK830)</f>
        <v>0</v>
      </c>
      <c r="AU773" s="1">
        <f>SUM(AL774:AL830)</f>
        <v>0</v>
      </c>
    </row>
    <row r="774" spans="1:76" ht="26.4" x14ac:dyDescent="0.3">
      <c r="A774" s="2" t="s">
        <v>1342</v>
      </c>
      <c r="B774" s="3" t="s">
        <v>1343</v>
      </c>
      <c r="C774" s="75" t="s">
        <v>1344</v>
      </c>
      <c r="D774" s="70"/>
      <c r="E774" s="3" t="s">
        <v>103</v>
      </c>
      <c r="F774" s="28">
        <v>12.67</v>
      </c>
      <c r="G774" s="28">
        <v>0</v>
      </c>
      <c r="H774" s="28">
        <f>ROUND(F774*AO774,2)</f>
        <v>0</v>
      </c>
      <c r="I774" s="28">
        <f>ROUND(F774*AP774,2)</f>
        <v>0</v>
      </c>
      <c r="J774" s="28">
        <f>ROUND(F774*G774,2)</f>
        <v>0</v>
      </c>
      <c r="K774" s="29" t="s">
        <v>60</v>
      </c>
      <c r="Z774" s="28">
        <f>ROUND(IF(AQ774="5",BJ774,0),2)</f>
        <v>0</v>
      </c>
      <c r="AB774" s="28">
        <f>ROUND(IF(AQ774="1",BH774,0),2)</f>
        <v>0</v>
      </c>
      <c r="AC774" s="28">
        <f>ROUND(IF(AQ774="1",BI774,0),2)</f>
        <v>0</v>
      </c>
      <c r="AD774" s="28">
        <f>ROUND(IF(AQ774="7",BH774,0),2)</f>
        <v>0</v>
      </c>
      <c r="AE774" s="28">
        <f>ROUND(IF(AQ774="7",BI774,0),2)</f>
        <v>0</v>
      </c>
      <c r="AF774" s="28">
        <f>ROUND(IF(AQ774="2",BH774,0),2)</f>
        <v>0</v>
      </c>
      <c r="AG774" s="28">
        <f>ROUND(IF(AQ774="2",BI774,0),2)</f>
        <v>0</v>
      </c>
      <c r="AH774" s="28">
        <f>ROUND(IF(AQ774="0",BJ774,0),2)</f>
        <v>0</v>
      </c>
      <c r="AI774" s="10" t="s">
        <v>1050</v>
      </c>
      <c r="AJ774" s="28">
        <f>IF(AN774=0,J774,0)</f>
        <v>0</v>
      </c>
      <c r="AK774" s="28">
        <f>IF(AN774=12,J774,0)</f>
        <v>0</v>
      </c>
      <c r="AL774" s="28">
        <f>IF(AN774=21,J774,0)</f>
        <v>0</v>
      </c>
      <c r="AN774" s="28">
        <v>21</v>
      </c>
      <c r="AO774" s="28">
        <f>G774*0</f>
        <v>0</v>
      </c>
      <c r="AP774" s="28">
        <f>G774*(1-0)</f>
        <v>0</v>
      </c>
      <c r="AQ774" s="30" t="s">
        <v>118</v>
      </c>
      <c r="AV774" s="28">
        <f>ROUND(AW774+AX774,2)</f>
        <v>0</v>
      </c>
      <c r="AW774" s="28">
        <f>ROUND(F774*AO774,2)</f>
        <v>0</v>
      </c>
      <c r="AX774" s="28">
        <f>ROUND(F774*AP774,2)</f>
        <v>0</v>
      </c>
      <c r="AY774" s="30" t="s">
        <v>1345</v>
      </c>
      <c r="AZ774" s="30" t="s">
        <v>1238</v>
      </c>
      <c r="BA774" s="10" t="s">
        <v>1055</v>
      </c>
      <c r="BC774" s="28">
        <f>AW774+AX774</f>
        <v>0</v>
      </c>
      <c r="BD774" s="28">
        <f>G774/(100-BE774)*100</f>
        <v>0</v>
      </c>
      <c r="BE774" s="28">
        <v>0</v>
      </c>
      <c r="BF774" s="28">
        <f>774</f>
        <v>774</v>
      </c>
      <c r="BH774" s="28">
        <f>F774*AO774</f>
        <v>0</v>
      </c>
      <c r="BI774" s="28">
        <f>F774*AP774</f>
        <v>0</v>
      </c>
      <c r="BJ774" s="28">
        <f>F774*G774</f>
        <v>0</v>
      </c>
      <c r="BK774" s="28"/>
      <c r="BL774" s="28">
        <v>766</v>
      </c>
      <c r="BW774" s="28">
        <v>21</v>
      </c>
      <c r="BX774" s="4" t="s">
        <v>1344</v>
      </c>
    </row>
    <row r="775" spans="1:76" ht="14.4" x14ac:dyDescent="0.3">
      <c r="A775" s="31"/>
      <c r="C775" s="32" t="s">
        <v>1346</v>
      </c>
      <c r="D775" s="32" t="s">
        <v>51</v>
      </c>
      <c r="F775" s="33">
        <v>12.67</v>
      </c>
      <c r="K775" s="34"/>
    </row>
    <row r="776" spans="1:76" ht="26.4" x14ac:dyDescent="0.3">
      <c r="A776" s="2" t="s">
        <v>1347</v>
      </c>
      <c r="B776" s="3" t="s">
        <v>1348</v>
      </c>
      <c r="C776" s="75" t="s">
        <v>1349</v>
      </c>
      <c r="D776" s="70"/>
      <c r="E776" s="3" t="s">
        <v>103</v>
      </c>
      <c r="F776" s="28">
        <v>34.22</v>
      </c>
      <c r="G776" s="28">
        <v>0</v>
      </c>
      <c r="H776" s="28">
        <f>ROUND(F776*AO776,2)</f>
        <v>0</v>
      </c>
      <c r="I776" s="28">
        <f>ROUND(F776*AP776,2)</f>
        <v>0</v>
      </c>
      <c r="J776" s="28">
        <f>ROUND(F776*G776,2)</f>
        <v>0</v>
      </c>
      <c r="K776" s="29" t="s">
        <v>60</v>
      </c>
      <c r="Z776" s="28">
        <f>ROUND(IF(AQ776="5",BJ776,0),2)</f>
        <v>0</v>
      </c>
      <c r="AB776" s="28">
        <f>ROUND(IF(AQ776="1",BH776,0),2)</f>
        <v>0</v>
      </c>
      <c r="AC776" s="28">
        <f>ROUND(IF(AQ776="1",BI776,0),2)</f>
        <v>0</v>
      </c>
      <c r="AD776" s="28">
        <f>ROUND(IF(AQ776="7",BH776,0),2)</f>
        <v>0</v>
      </c>
      <c r="AE776" s="28">
        <f>ROUND(IF(AQ776="7",BI776,0),2)</f>
        <v>0</v>
      </c>
      <c r="AF776" s="28">
        <f>ROUND(IF(AQ776="2",BH776,0),2)</f>
        <v>0</v>
      </c>
      <c r="AG776" s="28">
        <f>ROUND(IF(AQ776="2",BI776,0),2)</f>
        <v>0</v>
      </c>
      <c r="AH776" s="28">
        <f>ROUND(IF(AQ776="0",BJ776,0),2)</f>
        <v>0</v>
      </c>
      <c r="AI776" s="10" t="s">
        <v>1050</v>
      </c>
      <c r="AJ776" s="28">
        <f>IF(AN776=0,J776,0)</f>
        <v>0</v>
      </c>
      <c r="AK776" s="28">
        <f>IF(AN776=12,J776,0)</f>
        <v>0</v>
      </c>
      <c r="AL776" s="28">
        <f>IF(AN776=21,J776,0)</f>
        <v>0</v>
      </c>
      <c r="AN776" s="28">
        <v>21</v>
      </c>
      <c r="AO776" s="28">
        <f>G776*0</f>
        <v>0</v>
      </c>
      <c r="AP776" s="28">
        <f>G776*(1-0)</f>
        <v>0</v>
      </c>
      <c r="AQ776" s="30" t="s">
        <v>118</v>
      </c>
      <c r="AV776" s="28">
        <f>ROUND(AW776+AX776,2)</f>
        <v>0</v>
      </c>
      <c r="AW776" s="28">
        <f>ROUND(F776*AO776,2)</f>
        <v>0</v>
      </c>
      <c r="AX776" s="28">
        <f>ROUND(F776*AP776,2)</f>
        <v>0</v>
      </c>
      <c r="AY776" s="30" t="s">
        <v>1345</v>
      </c>
      <c r="AZ776" s="30" t="s">
        <v>1238</v>
      </c>
      <c r="BA776" s="10" t="s">
        <v>1055</v>
      </c>
      <c r="BC776" s="28">
        <f>AW776+AX776</f>
        <v>0</v>
      </c>
      <c r="BD776" s="28">
        <f>G776/(100-BE776)*100</f>
        <v>0</v>
      </c>
      <c r="BE776" s="28">
        <v>0</v>
      </c>
      <c r="BF776" s="28">
        <f>776</f>
        <v>776</v>
      </c>
      <c r="BH776" s="28">
        <f>F776*AO776</f>
        <v>0</v>
      </c>
      <c r="BI776" s="28">
        <f>F776*AP776</f>
        <v>0</v>
      </c>
      <c r="BJ776" s="28">
        <f>F776*G776</f>
        <v>0</v>
      </c>
      <c r="BK776" s="28"/>
      <c r="BL776" s="28">
        <v>766</v>
      </c>
      <c r="BW776" s="28">
        <v>21</v>
      </c>
      <c r="BX776" s="4" t="s">
        <v>1349</v>
      </c>
    </row>
    <row r="777" spans="1:76" ht="14.4" x14ac:dyDescent="0.3">
      <c r="A777" s="31"/>
      <c r="C777" s="32" t="s">
        <v>1350</v>
      </c>
      <c r="D777" s="32" t="s">
        <v>51</v>
      </c>
      <c r="F777" s="33">
        <v>34.22</v>
      </c>
      <c r="K777" s="34"/>
    </row>
    <row r="778" spans="1:76" ht="14.4" x14ac:dyDescent="0.3">
      <c r="A778" s="2" t="s">
        <v>1351</v>
      </c>
      <c r="B778" s="3" t="s">
        <v>1352</v>
      </c>
      <c r="C778" s="75" t="s">
        <v>1353</v>
      </c>
      <c r="D778" s="70"/>
      <c r="E778" s="3" t="s">
        <v>188</v>
      </c>
      <c r="F778" s="28">
        <v>34.22</v>
      </c>
      <c r="G778" s="28">
        <v>0</v>
      </c>
      <c r="H778" s="28">
        <f>ROUND(F778*AO778,2)</f>
        <v>0</v>
      </c>
      <c r="I778" s="28">
        <f>ROUND(F778*AP778,2)</f>
        <v>0</v>
      </c>
      <c r="J778" s="28">
        <f>ROUND(F778*G778,2)</f>
        <v>0</v>
      </c>
      <c r="K778" s="29" t="s">
        <v>60</v>
      </c>
      <c r="Z778" s="28">
        <f>ROUND(IF(AQ778="5",BJ778,0),2)</f>
        <v>0</v>
      </c>
      <c r="AB778" s="28">
        <f>ROUND(IF(AQ778="1",BH778,0),2)</f>
        <v>0</v>
      </c>
      <c r="AC778" s="28">
        <f>ROUND(IF(AQ778="1",BI778,0),2)</f>
        <v>0</v>
      </c>
      <c r="AD778" s="28">
        <f>ROUND(IF(AQ778="7",BH778,0),2)</f>
        <v>0</v>
      </c>
      <c r="AE778" s="28">
        <f>ROUND(IF(AQ778="7",BI778,0),2)</f>
        <v>0</v>
      </c>
      <c r="AF778" s="28">
        <f>ROUND(IF(AQ778="2",BH778,0),2)</f>
        <v>0</v>
      </c>
      <c r="AG778" s="28">
        <f>ROUND(IF(AQ778="2",BI778,0),2)</f>
        <v>0</v>
      </c>
      <c r="AH778" s="28">
        <f>ROUND(IF(AQ778="0",BJ778,0),2)</f>
        <v>0</v>
      </c>
      <c r="AI778" s="10" t="s">
        <v>1050</v>
      </c>
      <c r="AJ778" s="28">
        <f>IF(AN778=0,J778,0)</f>
        <v>0</v>
      </c>
      <c r="AK778" s="28">
        <f>IF(AN778=12,J778,0)</f>
        <v>0</v>
      </c>
      <c r="AL778" s="28">
        <f>IF(AN778=21,J778,0)</f>
        <v>0</v>
      </c>
      <c r="AN778" s="28">
        <v>21</v>
      </c>
      <c r="AO778" s="28">
        <f>G778*0</f>
        <v>0</v>
      </c>
      <c r="AP778" s="28">
        <f>G778*(1-0)</f>
        <v>0</v>
      </c>
      <c r="AQ778" s="30" t="s">
        <v>118</v>
      </c>
      <c r="AV778" s="28">
        <f>ROUND(AW778+AX778,2)</f>
        <v>0</v>
      </c>
      <c r="AW778" s="28">
        <f>ROUND(F778*AO778,2)</f>
        <v>0</v>
      </c>
      <c r="AX778" s="28">
        <f>ROUND(F778*AP778,2)</f>
        <v>0</v>
      </c>
      <c r="AY778" s="30" t="s">
        <v>1345</v>
      </c>
      <c r="AZ778" s="30" t="s">
        <v>1238</v>
      </c>
      <c r="BA778" s="10" t="s">
        <v>1055</v>
      </c>
      <c r="BC778" s="28">
        <f>AW778+AX778</f>
        <v>0</v>
      </c>
      <c r="BD778" s="28">
        <f>G778/(100-BE778)*100</f>
        <v>0</v>
      </c>
      <c r="BE778" s="28">
        <v>0</v>
      </c>
      <c r="BF778" s="28">
        <f>778</f>
        <v>778</v>
      </c>
      <c r="BH778" s="28">
        <f>F778*AO778</f>
        <v>0</v>
      </c>
      <c r="BI778" s="28">
        <f>F778*AP778</f>
        <v>0</v>
      </c>
      <c r="BJ778" s="28">
        <f>F778*G778</f>
        <v>0</v>
      </c>
      <c r="BK778" s="28"/>
      <c r="BL778" s="28">
        <v>766</v>
      </c>
      <c r="BW778" s="28">
        <v>21</v>
      </c>
      <c r="BX778" s="4" t="s">
        <v>1353</v>
      </c>
    </row>
    <row r="779" spans="1:76" ht="14.4" x14ac:dyDescent="0.3">
      <c r="A779" s="31"/>
      <c r="C779" s="32" t="s">
        <v>1354</v>
      </c>
      <c r="D779" s="32" t="s">
        <v>439</v>
      </c>
      <c r="F779" s="33">
        <v>34.22</v>
      </c>
      <c r="K779" s="34"/>
    </row>
    <row r="780" spans="1:76" ht="14.4" x14ac:dyDescent="0.3">
      <c r="A780" s="2" t="s">
        <v>1355</v>
      </c>
      <c r="B780" s="3" t="s">
        <v>1356</v>
      </c>
      <c r="C780" s="75" t="s">
        <v>1357</v>
      </c>
      <c r="D780" s="70"/>
      <c r="E780" s="3" t="s">
        <v>188</v>
      </c>
      <c r="F780" s="28">
        <v>12.67</v>
      </c>
      <c r="G780" s="28">
        <v>0</v>
      </c>
      <c r="H780" s="28">
        <f>ROUND(F780*AO780,2)</f>
        <v>0</v>
      </c>
      <c r="I780" s="28">
        <f>ROUND(F780*AP780,2)</f>
        <v>0</v>
      </c>
      <c r="J780" s="28">
        <f>ROUND(F780*G780,2)</f>
        <v>0</v>
      </c>
      <c r="K780" s="29" t="s">
        <v>60</v>
      </c>
      <c r="Z780" s="28">
        <f>ROUND(IF(AQ780="5",BJ780,0),2)</f>
        <v>0</v>
      </c>
      <c r="AB780" s="28">
        <f>ROUND(IF(AQ780="1",BH780,0),2)</f>
        <v>0</v>
      </c>
      <c r="AC780" s="28">
        <f>ROUND(IF(AQ780="1",BI780,0),2)</f>
        <v>0</v>
      </c>
      <c r="AD780" s="28">
        <f>ROUND(IF(AQ780="7",BH780,0),2)</f>
        <v>0</v>
      </c>
      <c r="AE780" s="28">
        <f>ROUND(IF(AQ780="7",BI780,0),2)</f>
        <v>0</v>
      </c>
      <c r="AF780" s="28">
        <f>ROUND(IF(AQ780="2",BH780,0),2)</f>
        <v>0</v>
      </c>
      <c r="AG780" s="28">
        <f>ROUND(IF(AQ780="2",BI780,0),2)</f>
        <v>0</v>
      </c>
      <c r="AH780" s="28">
        <f>ROUND(IF(AQ780="0",BJ780,0),2)</f>
        <v>0</v>
      </c>
      <c r="AI780" s="10" t="s">
        <v>1050</v>
      </c>
      <c r="AJ780" s="28">
        <f>IF(AN780=0,J780,0)</f>
        <v>0</v>
      </c>
      <c r="AK780" s="28">
        <f>IF(AN780=12,J780,0)</f>
        <v>0</v>
      </c>
      <c r="AL780" s="28">
        <f>IF(AN780=21,J780,0)</f>
        <v>0</v>
      </c>
      <c r="AN780" s="28">
        <v>21</v>
      </c>
      <c r="AO780" s="28">
        <f>G780*0</f>
        <v>0</v>
      </c>
      <c r="AP780" s="28">
        <f>G780*(1-0)</f>
        <v>0</v>
      </c>
      <c r="AQ780" s="30" t="s">
        <v>118</v>
      </c>
      <c r="AV780" s="28">
        <f>ROUND(AW780+AX780,2)</f>
        <v>0</v>
      </c>
      <c r="AW780" s="28">
        <f>ROUND(F780*AO780,2)</f>
        <v>0</v>
      </c>
      <c r="AX780" s="28">
        <f>ROUND(F780*AP780,2)</f>
        <v>0</v>
      </c>
      <c r="AY780" s="30" t="s">
        <v>1345</v>
      </c>
      <c r="AZ780" s="30" t="s">
        <v>1238</v>
      </c>
      <c r="BA780" s="10" t="s">
        <v>1055</v>
      </c>
      <c r="BC780" s="28">
        <f>AW780+AX780</f>
        <v>0</v>
      </c>
      <c r="BD780" s="28">
        <f>G780/(100-BE780)*100</f>
        <v>0</v>
      </c>
      <c r="BE780" s="28">
        <v>0</v>
      </c>
      <c r="BF780" s="28">
        <f>780</f>
        <v>780</v>
      </c>
      <c r="BH780" s="28">
        <f>F780*AO780</f>
        <v>0</v>
      </c>
      <c r="BI780" s="28">
        <f>F780*AP780</f>
        <v>0</v>
      </c>
      <c r="BJ780" s="28">
        <f>F780*G780</f>
        <v>0</v>
      </c>
      <c r="BK780" s="28"/>
      <c r="BL780" s="28">
        <v>766</v>
      </c>
      <c r="BW780" s="28">
        <v>21</v>
      </c>
      <c r="BX780" s="4" t="s">
        <v>1357</v>
      </c>
    </row>
    <row r="781" spans="1:76" ht="13.5" customHeight="1" x14ac:dyDescent="0.3">
      <c r="A781" s="31"/>
      <c r="B781" s="35" t="s">
        <v>105</v>
      </c>
      <c r="C781" s="96" t="s">
        <v>1358</v>
      </c>
      <c r="D781" s="97"/>
      <c r="E781" s="97"/>
      <c r="F781" s="97"/>
      <c r="G781" s="97"/>
      <c r="H781" s="97"/>
      <c r="I781" s="97"/>
      <c r="J781" s="97"/>
      <c r="K781" s="98"/>
    </row>
    <row r="782" spans="1:76" ht="14.4" x14ac:dyDescent="0.3">
      <c r="A782" s="2" t="s">
        <v>1359</v>
      </c>
      <c r="B782" s="3" t="s">
        <v>1360</v>
      </c>
      <c r="C782" s="75" t="s">
        <v>1361</v>
      </c>
      <c r="D782" s="70"/>
      <c r="E782" s="3" t="s">
        <v>103</v>
      </c>
      <c r="F782" s="28">
        <v>52.52</v>
      </c>
      <c r="G782" s="28">
        <v>0</v>
      </c>
      <c r="H782" s="28">
        <f>ROUND(F782*AO782,2)</f>
        <v>0</v>
      </c>
      <c r="I782" s="28">
        <f>ROUND(F782*AP782,2)</f>
        <v>0</v>
      </c>
      <c r="J782" s="28">
        <f>ROUND(F782*G782,2)</f>
        <v>0</v>
      </c>
      <c r="K782" s="29" t="s">
        <v>60</v>
      </c>
      <c r="Z782" s="28">
        <f>ROUND(IF(AQ782="5",BJ782,0),2)</f>
        <v>0</v>
      </c>
      <c r="AB782" s="28">
        <f>ROUND(IF(AQ782="1",BH782,0),2)</f>
        <v>0</v>
      </c>
      <c r="AC782" s="28">
        <f>ROUND(IF(AQ782="1",BI782,0),2)</f>
        <v>0</v>
      </c>
      <c r="AD782" s="28">
        <f>ROUND(IF(AQ782="7",BH782,0),2)</f>
        <v>0</v>
      </c>
      <c r="AE782" s="28">
        <f>ROUND(IF(AQ782="7",BI782,0),2)</f>
        <v>0</v>
      </c>
      <c r="AF782" s="28">
        <f>ROUND(IF(AQ782="2",BH782,0),2)</f>
        <v>0</v>
      </c>
      <c r="AG782" s="28">
        <f>ROUND(IF(AQ782="2",BI782,0),2)</f>
        <v>0</v>
      </c>
      <c r="AH782" s="28">
        <f>ROUND(IF(AQ782="0",BJ782,0),2)</f>
        <v>0</v>
      </c>
      <c r="AI782" s="10" t="s">
        <v>1050</v>
      </c>
      <c r="AJ782" s="28">
        <f>IF(AN782=0,J782,0)</f>
        <v>0</v>
      </c>
      <c r="AK782" s="28">
        <f>IF(AN782=12,J782,0)</f>
        <v>0</v>
      </c>
      <c r="AL782" s="28">
        <f>IF(AN782=21,J782,0)</f>
        <v>0</v>
      </c>
      <c r="AN782" s="28">
        <v>21</v>
      </c>
      <c r="AO782" s="28">
        <f>G782*1</f>
        <v>0</v>
      </c>
      <c r="AP782" s="28">
        <f>G782*(1-1)</f>
        <v>0</v>
      </c>
      <c r="AQ782" s="30" t="s">
        <v>118</v>
      </c>
      <c r="AV782" s="28">
        <f>ROUND(AW782+AX782,2)</f>
        <v>0</v>
      </c>
      <c r="AW782" s="28">
        <f>ROUND(F782*AO782,2)</f>
        <v>0</v>
      </c>
      <c r="AX782" s="28">
        <f>ROUND(F782*AP782,2)</f>
        <v>0</v>
      </c>
      <c r="AY782" s="30" t="s">
        <v>1345</v>
      </c>
      <c r="AZ782" s="30" t="s">
        <v>1238</v>
      </c>
      <c r="BA782" s="10" t="s">
        <v>1055</v>
      </c>
      <c r="BC782" s="28">
        <f>AW782+AX782</f>
        <v>0</v>
      </c>
      <c r="BD782" s="28">
        <f>G782/(100-BE782)*100</f>
        <v>0</v>
      </c>
      <c r="BE782" s="28">
        <v>0</v>
      </c>
      <c r="BF782" s="28">
        <f>782</f>
        <v>782</v>
      </c>
      <c r="BH782" s="28">
        <f>F782*AO782</f>
        <v>0</v>
      </c>
      <c r="BI782" s="28">
        <f>F782*AP782</f>
        <v>0</v>
      </c>
      <c r="BJ782" s="28">
        <f>F782*G782</f>
        <v>0</v>
      </c>
      <c r="BK782" s="28"/>
      <c r="BL782" s="28">
        <v>766</v>
      </c>
      <c r="BW782" s="28">
        <v>21</v>
      </c>
      <c r="BX782" s="4" t="s">
        <v>1361</v>
      </c>
    </row>
    <row r="783" spans="1:76" ht="14.4" x14ac:dyDescent="0.3">
      <c r="A783" s="31"/>
      <c r="C783" s="32" t="s">
        <v>1346</v>
      </c>
      <c r="D783" s="32" t="s">
        <v>51</v>
      </c>
      <c r="F783" s="33">
        <v>12.67</v>
      </c>
      <c r="K783" s="34"/>
    </row>
    <row r="784" spans="1:76" ht="14.4" x14ac:dyDescent="0.3">
      <c r="A784" s="31"/>
      <c r="C784" s="32" t="s">
        <v>1350</v>
      </c>
      <c r="D784" s="32" t="s">
        <v>51</v>
      </c>
      <c r="F784" s="33">
        <v>34.22</v>
      </c>
      <c r="K784" s="34"/>
    </row>
    <row r="785" spans="1:76" ht="14.4" x14ac:dyDescent="0.3">
      <c r="A785" s="31"/>
      <c r="C785" s="32" t="s">
        <v>1362</v>
      </c>
      <c r="D785" s="32" t="s">
        <v>51</v>
      </c>
      <c r="F785" s="33">
        <v>52.516800000000003</v>
      </c>
      <c r="K785" s="34"/>
    </row>
    <row r="786" spans="1:76" ht="14.4" x14ac:dyDescent="0.3">
      <c r="A786" s="2" t="s">
        <v>1363</v>
      </c>
      <c r="B786" s="3" t="s">
        <v>1364</v>
      </c>
      <c r="C786" s="75" t="s">
        <v>1365</v>
      </c>
      <c r="D786" s="70"/>
      <c r="E786" s="3" t="s">
        <v>1311</v>
      </c>
      <c r="F786" s="28">
        <v>342.77</v>
      </c>
      <c r="G786" s="28">
        <v>0</v>
      </c>
      <c r="H786" s="28">
        <f>ROUND(F786*AO786,2)</f>
        <v>0</v>
      </c>
      <c r="I786" s="28">
        <f>ROUND(F786*AP786,2)</f>
        <v>0</v>
      </c>
      <c r="J786" s="28">
        <f>ROUND(F786*G786,2)</f>
        <v>0</v>
      </c>
      <c r="K786" s="29" t="s">
        <v>60</v>
      </c>
      <c r="Z786" s="28">
        <f>ROUND(IF(AQ786="5",BJ786,0),2)</f>
        <v>0</v>
      </c>
      <c r="AB786" s="28">
        <f>ROUND(IF(AQ786="1",BH786,0),2)</f>
        <v>0</v>
      </c>
      <c r="AC786" s="28">
        <f>ROUND(IF(AQ786="1",BI786,0),2)</f>
        <v>0</v>
      </c>
      <c r="AD786" s="28">
        <f>ROUND(IF(AQ786="7",BH786,0),2)</f>
        <v>0</v>
      </c>
      <c r="AE786" s="28">
        <f>ROUND(IF(AQ786="7",BI786,0),2)</f>
        <v>0</v>
      </c>
      <c r="AF786" s="28">
        <f>ROUND(IF(AQ786="2",BH786,0),2)</f>
        <v>0</v>
      </c>
      <c r="AG786" s="28">
        <f>ROUND(IF(AQ786="2",BI786,0),2)</f>
        <v>0</v>
      </c>
      <c r="AH786" s="28">
        <f>ROUND(IF(AQ786="0",BJ786,0),2)</f>
        <v>0</v>
      </c>
      <c r="AI786" s="10" t="s">
        <v>1050</v>
      </c>
      <c r="AJ786" s="28">
        <f>IF(AN786=0,J786,0)</f>
        <v>0</v>
      </c>
      <c r="AK786" s="28">
        <f>IF(AN786=12,J786,0)</f>
        <v>0</v>
      </c>
      <c r="AL786" s="28">
        <f>IF(AN786=21,J786,0)</f>
        <v>0</v>
      </c>
      <c r="AN786" s="28">
        <v>21</v>
      </c>
      <c r="AO786" s="28">
        <f>G786*0</f>
        <v>0</v>
      </c>
      <c r="AP786" s="28">
        <f>G786*(1-0)</f>
        <v>0</v>
      </c>
      <c r="AQ786" s="30" t="s">
        <v>100</v>
      </c>
      <c r="AV786" s="28">
        <f>ROUND(AW786+AX786,2)</f>
        <v>0</v>
      </c>
      <c r="AW786" s="28">
        <f>ROUND(F786*AO786,2)</f>
        <v>0</v>
      </c>
      <c r="AX786" s="28">
        <f>ROUND(F786*AP786,2)</f>
        <v>0</v>
      </c>
      <c r="AY786" s="30" t="s">
        <v>1345</v>
      </c>
      <c r="AZ786" s="30" t="s">
        <v>1238</v>
      </c>
      <c r="BA786" s="10" t="s">
        <v>1055</v>
      </c>
      <c r="BC786" s="28">
        <f>AW786+AX786</f>
        <v>0</v>
      </c>
      <c r="BD786" s="28">
        <f>G786/(100-BE786)*100</f>
        <v>0</v>
      </c>
      <c r="BE786" s="28">
        <v>0</v>
      </c>
      <c r="BF786" s="28">
        <f>786</f>
        <v>786</v>
      </c>
      <c r="BH786" s="28">
        <f>F786*AO786</f>
        <v>0</v>
      </c>
      <c r="BI786" s="28">
        <f>F786*AP786</f>
        <v>0</v>
      </c>
      <c r="BJ786" s="28">
        <f>F786*G786</f>
        <v>0</v>
      </c>
      <c r="BK786" s="28"/>
      <c r="BL786" s="28">
        <v>766</v>
      </c>
      <c r="BW786" s="28">
        <v>21</v>
      </c>
      <c r="BX786" s="4" t="s">
        <v>1365</v>
      </c>
    </row>
    <row r="787" spans="1:76" ht="14.4" x14ac:dyDescent="0.3">
      <c r="A787" s="2" t="s">
        <v>1366</v>
      </c>
      <c r="B787" s="3" t="s">
        <v>1367</v>
      </c>
      <c r="C787" s="75" t="s">
        <v>1368</v>
      </c>
      <c r="D787" s="70"/>
      <c r="E787" s="3" t="s">
        <v>103</v>
      </c>
      <c r="F787" s="28">
        <v>129</v>
      </c>
      <c r="G787" s="28">
        <v>0</v>
      </c>
      <c r="H787" s="28">
        <f>ROUND(F787*AO787,2)</f>
        <v>0</v>
      </c>
      <c r="I787" s="28">
        <f>ROUND(F787*AP787,2)</f>
        <v>0</v>
      </c>
      <c r="J787" s="28">
        <f>ROUND(F787*G787,2)</f>
        <v>0</v>
      </c>
      <c r="K787" s="29" t="s">
        <v>60</v>
      </c>
      <c r="Z787" s="28">
        <f>ROUND(IF(AQ787="5",BJ787,0),2)</f>
        <v>0</v>
      </c>
      <c r="AB787" s="28">
        <f>ROUND(IF(AQ787="1",BH787,0),2)</f>
        <v>0</v>
      </c>
      <c r="AC787" s="28">
        <f>ROUND(IF(AQ787="1",BI787,0),2)</f>
        <v>0</v>
      </c>
      <c r="AD787" s="28">
        <f>ROUND(IF(AQ787="7",BH787,0),2)</f>
        <v>0</v>
      </c>
      <c r="AE787" s="28">
        <f>ROUND(IF(AQ787="7",BI787,0),2)</f>
        <v>0</v>
      </c>
      <c r="AF787" s="28">
        <f>ROUND(IF(AQ787="2",BH787,0),2)</f>
        <v>0</v>
      </c>
      <c r="AG787" s="28">
        <f>ROUND(IF(AQ787="2",BI787,0),2)</f>
        <v>0</v>
      </c>
      <c r="AH787" s="28">
        <f>ROUND(IF(AQ787="0",BJ787,0),2)</f>
        <v>0</v>
      </c>
      <c r="AI787" s="10" t="s">
        <v>1050</v>
      </c>
      <c r="AJ787" s="28">
        <f>IF(AN787=0,J787,0)</f>
        <v>0</v>
      </c>
      <c r="AK787" s="28">
        <f>IF(AN787=12,J787,0)</f>
        <v>0</v>
      </c>
      <c r="AL787" s="28">
        <f>IF(AN787=21,J787,0)</f>
        <v>0</v>
      </c>
      <c r="AN787" s="28">
        <v>21</v>
      </c>
      <c r="AO787" s="28">
        <f>G787*0</f>
        <v>0</v>
      </c>
      <c r="AP787" s="28">
        <f>G787*(1-0)</f>
        <v>0</v>
      </c>
      <c r="AQ787" s="30" t="s">
        <v>118</v>
      </c>
      <c r="AV787" s="28">
        <f>ROUND(AW787+AX787,2)</f>
        <v>0</v>
      </c>
      <c r="AW787" s="28">
        <f>ROUND(F787*AO787,2)</f>
        <v>0</v>
      </c>
      <c r="AX787" s="28">
        <f>ROUND(F787*AP787,2)</f>
        <v>0</v>
      </c>
      <c r="AY787" s="30" t="s">
        <v>1345</v>
      </c>
      <c r="AZ787" s="30" t="s">
        <v>1238</v>
      </c>
      <c r="BA787" s="10" t="s">
        <v>1055</v>
      </c>
      <c r="BC787" s="28">
        <f>AW787+AX787</f>
        <v>0</v>
      </c>
      <c r="BD787" s="28">
        <f>G787/(100-BE787)*100</f>
        <v>0</v>
      </c>
      <c r="BE787" s="28">
        <v>0</v>
      </c>
      <c r="BF787" s="28">
        <f>787</f>
        <v>787</v>
      </c>
      <c r="BH787" s="28">
        <f>F787*AO787</f>
        <v>0</v>
      </c>
      <c r="BI787" s="28">
        <f>F787*AP787</f>
        <v>0</v>
      </c>
      <c r="BJ787" s="28">
        <f>F787*G787</f>
        <v>0</v>
      </c>
      <c r="BK787" s="28"/>
      <c r="BL787" s="28">
        <v>766</v>
      </c>
      <c r="BW787" s="28">
        <v>21</v>
      </c>
      <c r="BX787" s="4" t="s">
        <v>1368</v>
      </c>
    </row>
    <row r="788" spans="1:76" ht="13.5" customHeight="1" x14ac:dyDescent="0.3">
      <c r="A788" s="31"/>
      <c r="B788" s="35" t="s">
        <v>105</v>
      </c>
      <c r="C788" s="96" t="s">
        <v>1369</v>
      </c>
      <c r="D788" s="97"/>
      <c r="E788" s="97"/>
      <c r="F788" s="97"/>
      <c r="G788" s="97"/>
      <c r="H788" s="97"/>
      <c r="I788" s="97"/>
      <c r="J788" s="97"/>
      <c r="K788" s="98"/>
    </row>
    <row r="789" spans="1:76" ht="39.6" x14ac:dyDescent="0.3">
      <c r="A789" s="31"/>
      <c r="B789" s="35" t="s">
        <v>68</v>
      </c>
      <c r="C789" s="93" t="s">
        <v>1370</v>
      </c>
      <c r="D789" s="94"/>
      <c r="E789" s="94"/>
      <c r="F789" s="94"/>
      <c r="G789" s="94"/>
      <c r="H789" s="94"/>
      <c r="I789" s="94"/>
      <c r="J789" s="94"/>
      <c r="K789" s="95"/>
      <c r="BX789" s="36" t="s">
        <v>1370</v>
      </c>
    </row>
    <row r="790" spans="1:76" ht="14.4" x14ac:dyDescent="0.3">
      <c r="A790" s="2" t="s">
        <v>1371</v>
      </c>
      <c r="B790" s="3" t="s">
        <v>1372</v>
      </c>
      <c r="C790" s="75" t="s">
        <v>1373</v>
      </c>
      <c r="D790" s="70"/>
      <c r="E790" s="3" t="s">
        <v>459</v>
      </c>
      <c r="F790" s="28">
        <v>1</v>
      </c>
      <c r="G790" s="28">
        <v>0</v>
      </c>
      <c r="H790" s="28">
        <f t="shared" ref="H790:H809" si="0">ROUND(F790*AO790,2)</f>
        <v>0</v>
      </c>
      <c r="I790" s="28">
        <f t="shared" ref="I790:I809" si="1">ROUND(F790*AP790,2)</f>
        <v>0</v>
      </c>
      <c r="J790" s="28">
        <f t="shared" ref="J790:J809" si="2">ROUND(F790*G790,2)</f>
        <v>0</v>
      </c>
      <c r="K790" s="29" t="s">
        <v>1374</v>
      </c>
      <c r="Z790" s="28">
        <f t="shared" ref="Z790:Z809" si="3">ROUND(IF(AQ790="5",BJ790,0),2)</f>
        <v>0</v>
      </c>
      <c r="AB790" s="28">
        <f t="shared" ref="AB790:AB809" si="4">ROUND(IF(AQ790="1",BH790,0),2)</f>
        <v>0</v>
      </c>
      <c r="AC790" s="28">
        <f t="shared" ref="AC790:AC809" si="5">ROUND(IF(AQ790="1",BI790,0),2)</f>
        <v>0</v>
      </c>
      <c r="AD790" s="28">
        <f t="shared" ref="AD790:AD809" si="6">ROUND(IF(AQ790="7",BH790,0),2)</f>
        <v>0</v>
      </c>
      <c r="AE790" s="28">
        <f t="shared" ref="AE790:AE809" si="7">ROUND(IF(AQ790="7",BI790,0),2)</f>
        <v>0</v>
      </c>
      <c r="AF790" s="28">
        <f t="shared" ref="AF790:AF809" si="8">ROUND(IF(AQ790="2",BH790,0),2)</f>
        <v>0</v>
      </c>
      <c r="AG790" s="28">
        <f t="shared" ref="AG790:AG809" si="9">ROUND(IF(AQ790="2",BI790,0),2)</f>
        <v>0</v>
      </c>
      <c r="AH790" s="28">
        <f t="shared" ref="AH790:AH809" si="10">ROUND(IF(AQ790="0",BJ790,0),2)</f>
        <v>0</v>
      </c>
      <c r="AI790" s="10" t="s">
        <v>1050</v>
      </c>
      <c r="AJ790" s="28">
        <f t="shared" ref="AJ790:AJ809" si="11">IF(AN790=0,J790,0)</f>
        <v>0</v>
      </c>
      <c r="AK790" s="28">
        <f t="shared" ref="AK790:AK809" si="12">IF(AN790=12,J790,0)</f>
        <v>0</v>
      </c>
      <c r="AL790" s="28">
        <f t="shared" ref="AL790:AL809" si="13">IF(AN790=21,J790,0)</f>
        <v>0</v>
      </c>
      <c r="AN790" s="28">
        <v>21</v>
      </c>
      <c r="AO790" s="28">
        <f t="shared" ref="AO790:AO808" si="14">G790*1</f>
        <v>0</v>
      </c>
      <c r="AP790" s="28">
        <f t="shared" ref="AP790:AP808" si="15">G790*(1-1)</f>
        <v>0</v>
      </c>
      <c r="AQ790" s="30" t="s">
        <v>118</v>
      </c>
      <c r="AV790" s="28">
        <f t="shared" ref="AV790:AV809" si="16">ROUND(AW790+AX790,2)</f>
        <v>0</v>
      </c>
      <c r="AW790" s="28">
        <f t="shared" ref="AW790:AW809" si="17">ROUND(F790*AO790,2)</f>
        <v>0</v>
      </c>
      <c r="AX790" s="28">
        <f t="shared" ref="AX790:AX809" si="18">ROUND(F790*AP790,2)</f>
        <v>0</v>
      </c>
      <c r="AY790" s="30" t="s">
        <v>1345</v>
      </c>
      <c r="AZ790" s="30" t="s">
        <v>1238</v>
      </c>
      <c r="BA790" s="10" t="s">
        <v>1055</v>
      </c>
      <c r="BC790" s="28">
        <f t="shared" ref="BC790:BC809" si="19">AW790+AX790</f>
        <v>0</v>
      </c>
      <c r="BD790" s="28">
        <f t="shared" ref="BD790:BD809" si="20">G790/(100-BE790)*100</f>
        <v>0</v>
      </c>
      <c r="BE790" s="28">
        <v>0</v>
      </c>
      <c r="BF790" s="28">
        <f>790</f>
        <v>790</v>
      </c>
      <c r="BH790" s="28">
        <f t="shared" ref="BH790:BH809" si="21">F790*AO790</f>
        <v>0</v>
      </c>
      <c r="BI790" s="28">
        <f t="shared" ref="BI790:BI809" si="22">F790*AP790</f>
        <v>0</v>
      </c>
      <c r="BJ790" s="28">
        <f t="shared" ref="BJ790:BJ809" si="23">F790*G790</f>
        <v>0</v>
      </c>
      <c r="BK790" s="28"/>
      <c r="BL790" s="28">
        <v>766</v>
      </c>
      <c r="BW790" s="28">
        <v>21</v>
      </c>
      <c r="BX790" s="4" t="s">
        <v>1373</v>
      </c>
    </row>
    <row r="791" spans="1:76" ht="26.4" x14ac:dyDescent="0.3">
      <c r="A791" s="2" t="s">
        <v>1375</v>
      </c>
      <c r="B791" s="3" t="s">
        <v>1376</v>
      </c>
      <c r="C791" s="75" t="s">
        <v>1377</v>
      </c>
      <c r="D791" s="70"/>
      <c r="E791" s="3" t="s">
        <v>459</v>
      </c>
      <c r="F791" s="28">
        <v>1</v>
      </c>
      <c r="G791" s="28">
        <v>0</v>
      </c>
      <c r="H791" s="28">
        <f t="shared" si="0"/>
        <v>0</v>
      </c>
      <c r="I791" s="28">
        <f t="shared" si="1"/>
        <v>0</v>
      </c>
      <c r="J791" s="28">
        <f t="shared" si="2"/>
        <v>0</v>
      </c>
      <c r="K791" s="29" t="s">
        <v>1374</v>
      </c>
      <c r="Z791" s="28">
        <f t="shared" si="3"/>
        <v>0</v>
      </c>
      <c r="AB791" s="28">
        <f t="shared" si="4"/>
        <v>0</v>
      </c>
      <c r="AC791" s="28">
        <f t="shared" si="5"/>
        <v>0</v>
      </c>
      <c r="AD791" s="28">
        <f t="shared" si="6"/>
        <v>0</v>
      </c>
      <c r="AE791" s="28">
        <f t="shared" si="7"/>
        <v>0</v>
      </c>
      <c r="AF791" s="28">
        <f t="shared" si="8"/>
        <v>0</v>
      </c>
      <c r="AG791" s="28">
        <f t="shared" si="9"/>
        <v>0</v>
      </c>
      <c r="AH791" s="28">
        <f t="shared" si="10"/>
        <v>0</v>
      </c>
      <c r="AI791" s="10" t="s">
        <v>1050</v>
      </c>
      <c r="AJ791" s="28">
        <f t="shared" si="11"/>
        <v>0</v>
      </c>
      <c r="AK791" s="28">
        <f t="shared" si="12"/>
        <v>0</v>
      </c>
      <c r="AL791" s="28">
        <f t="shared" si="13"/>
        <v>0</v>
      </c>
      <c r="AN791" s="28">
        <v>21</v>
      </c>
      <c r="AO791" s="28">
        <f t="shared" si="14"/>
        <v>0</v>
      </c>
      <c r="AP791" s="28">
        <f t="shared" si="15"/>
        <v>0</v>
      </c>
      <c r="AQ791" s="30" t="s">
        <v>118</v>
      </c>
      <c r="AV791" s="28">
        <f t="shared" si="16"/>
        <v>0</v>
      </c>
      <c r="AW791" s="28">
        <f t="shared" si="17"/>
        <v>0</v>
      </c>
      <c r="AX791" s="28">
        <f t="shared" si="18"/>
        <v>0</v>
      </c>
      <c r="AY791" s="30" t="s">
        <v>1345</v>
      </c>
      <c r="AZ791" s="30" t="s">
        <v>1238</v>
      </c>
      <c r="BA791" s="10" t="s">
        <v>1055</v>
      </c>
      <c r="BC791" s="28">
        <f t="shared" si="19"/>
        <v>0</v>
      </c>
      <c r="BD791" s="28">
        <f t="shared" si="20"/>
        <v>0</v>
      </c>
      <c r="BE791" s="28">
        <v>0</v>
      </c>
      <c r="BF791" s="28">
        <f>791</f>
        <v>791</v>
      </c>
      <c r="BH791" s="28">
        <f t="shared" si="21"/>
        <v>0</v>
      </c>
      <c r="BI791" s="28">
        <f t="shared" si="22"/>
        <v>0</v>
      </c>
      <c r="BJ791" s="28">
        <f t="shared" si="23"/>
        <v>0</v>
      </c>
      <c r="BK791" s="28"/>
      <c r="BL791" s="28">
        <v>766</v>
      </c>
      <c r="BW791" s="28">
        <v>21</v>
      </c>
      <c r="BX791" s="4" t="s">
        <v>1377</v>
      </c>
    </row>
    <row r="792" spans="1:76" ht="14.4" x14ac:dyDescent="0.3">
      <c r="A792" s="2" t="s">
        <v>1378</v>
      </c>
      <c r="B792" s="3" t="s">
        <v>1379</v>
      </c>
      <c r="C792" s="75" t="s">
        <v>1380</v>
      </c>
      <c r="D792" s="70"/>
      <c r="E792" s="3" t="s">
        <v>1381</v>
      </c>
      <c r="F792" s="28">
        <v>1</v>
      </c>
      <c r="G792" s="28">
        <v>0</v>
      </c>
      <c r="H792" s="28">
        <f t="shared" si="0"/>
        <v>0</v>
      </c>
      <c r="I792" s="28">
        <f t="shared" si="1"/>
        <v>0</v>
      </c>
      <c r="J792" s="28">
        <f t="shared" si="2"/>
        <v>0</v>
      </c>
      <c r="K792" s="29" t="s">
        <v>1374</v>
      </c>
      <c r="Z792" s="28">
        <f t="shared" si="3"/>
        <v>0</v>
      </c>
      <c r="AB792" s="28">
        <f t="shared" si="4"/>
        <v>0</v>
      </c>
      <c r="AC792" s="28">
        <f t="shared" si="5"/>
        <v>0</v>
      </c>
      <c r="AD792" s="28">
        <f t="shared" si="6"/>
        <v>0</v>
      </c>
      <c r="AE792" s="28">
        <f t="shared" si="7"/>
        <v>0</v>
      </c>
      <c r="AF792" s="28">
        <f t="shared" si="8"/>
        <v>0</v>
      </c>
      <c r="AG792" s="28">
        <f t="shared" si="9"/>
        <v>0</v>
      </c>
      <c r="AH792" s="28">
        <f t="shared" si="10"/>
        <v>0</v>
      </c>
      <c r="AI792" s="10" t="s">
        <v>1050</v>
      </c>
      <c r="AJ792" s="28">
        <f t="shared" si="11"/>
        <v>0</v>
      </c>
      <c r="AK792" s="28">
        <f t="shared" si="12"/>
        <v>0</v>
      </c>
      <c r="AL792" s="28">
        <f t="shared" si="13"/>
        <v>0</v>
      </c>
      <c r="AN792" s="28">
        <v>21</v>
      </c>
      <c r="AO792" s="28">
        <f t="shared" si="14"/>
        <v>0</v>
      </c>
      <c r="AP792" s="28">
        <f t="shared" si="15"/>
        <v>0</v>
      </c>
      <c r="AQ792" s="30" t="s">
        <v>118</v>
      </c>
      <c r="AV792" s="28">
        <f t="shared" si="16"/>
        <v>0</v>
      </c>
      <c r="AW792" s="28">
        <f t="shared" si="17"/>
        <v>0</v>
      </c>
      <c r="AX792" s="28">
        <f t="shared" si="18"/>
        <v>0</v>
      </c>
      <c r="AY792" s="30" t="s">
        <v>1345</v>
      </c>
      <c r="AZ792" s="30" t="s">
        <v>1238</v>
      </c>
      <c r="BA792" s="10" t="s">
        <v>1055</v>
      </c>
      <c r="BC792" s="28">
        <f t="shared" si="19"/>
        <v>0</v>
      </c>
      <c r="BD792" s="28">
        <f t="shared" si="20"/>
        <v>0</v>
      </c>
      <c r="BE792" s="28">
        <v>0</v>
      </c>
      <c r="BF792" s="28">
        <f>792</f>
        <v>792</v>
      </c>
      <c r="BH792" s="28">
        <f t="shared" si="21"/>
        <v>0</v>
      </c>
      <c r="BI792" s="28">
        <f t="shared" si="22"/>
        <v>0</v>
      </c>
      <c r="BJ792" s="28">
        <f t="shared" si="23"/>
        <v>0</v>
      </c>
      <c r="BK792" s="28"/>
      <c r="BL792" s="28">
        <v>766</v>
      </c>
      <c r="BW792" s="28">
        <v>21</v>
      </c>
      <c r="BX792" s="4" t="s">
        <v>1380</v>
      </c>
    </row>
    <row r="793" spans="1:76" ht="14.4" x14ac:dyDescent="0.3">
      <c r="A793" s="2" t="s">
        <v>1382</v>
      </c>
      <c r="B793" s="3" t="s">
        <v>1383</v>
      </c>
      <c r="C793" s="75" t="s">
        <v>1384</v>
      </c>
      <c r="D793" s="70"/>
      <c r="E793" s="3" t="s">
        <v>459</v>
      </c>
      <c r="F793" s="28">
        <v>1</v>
      </c>
      <c r="G793" s="28">
        <v>0</v>
      </c>
      <c r="H793" s="28">
        <f t="shared" si="0"/>
        <v>0</v>
      </c>
      <c r="I793" s="28">
        <f t="shared" si="1"/>
        <v>0</v>
      </c>
      <c r="J793" s="28">
        <f t="shared" si="2"/>
        <v>0</v>
      </c>
      <c r="K793" s="29" t="s">
        <v>1374</v>
      </c>
      <c r="Z793" s="28">
        <f t="shared" si="3"/>
        <v>0</v>
      </c>
      <c r="AB793" s="28">
        <f t="shared" si="4"/>
        <v>0</v>
      </c>
      <c r="AC793" s="28">
        <f t="shared" si="5"/>
        <v>0</v>
      </c>
      <c r="AD793" s="28">
        <f t="shared" si="6"/>
        <v>0</v>
      </c>
      <c r="AE793" s="28">
        <f t="shared" si="7"/>
        <v>0</v>
      </c>
      <c r="AF793" s="28">
        <f t="shared" si="8"/>
        <v>0</v>
      </c>
      <c r="AG793" s="28">
        <f t="shared" si="9"/>
        <v>0</v>
      </c>
      <c r="AH793" s="28">
        <f t="shared" si="10"/>
        <v>0</v>
      </c>
      <c r="AI793" s="10" t="s">
        <v>1050</v>
      </c>
      <c r="AJ793" s="28">
        <f t="shared" si="11"/>
        <v>0</v>
      </c>
      <c r="AK793" s="28">
        <f t="shared" si="12"/>
        <v>0</v>
      </c>
      <c r="AL793" s="28">
        <f t="shared" si="13"/>
        <v>0</v>
      </c>
      <c r="AN793" s="28">
        <v>21</v>
      </c>
      <c r="AO793" s="28">
        <f t="shared" si="14"/>
        <v>0</v>
      </c>
      <c r="AP793" s="28">
        <f t="shared" si="15"/>
        <v>0</v>
      </c>
      <c r="AQ793" s="30" t="s">
        <v>118</v>
      </c>
      <c r="AV793" s="28">
        <f t="shared" si="16"/>
        <v>0</v>
      </c>
      <c r="AW793" s="28">
        <f t="shared" si="17"/>
        <v>0</v>
      </c>
      <c r="AX793" s="28">
        <f t="shared" si="18"/>
        <v>0</v>
      </c>
      <c r="AY793" s="30" t="s">
        <v>1345</v>
      </c>
      <c r="AZ793" s="30" t="s">
        <v>1238</v>
      </c>
      <c r="BA793" s="10" t="s">
        <v>1055</v>
      </c>
      <c r="BC793" s="28">
        <f t="shared" si="19"/>
        <v>0</v>
      </c>
      <c r="BD793" s="28">
        <f t="shared" si="20"/>
        <v>0</v>
      </c>
      <c r="BE793" s="28">
        <v>0</v>
      </c>
      <c r="BF793" s="28">
        <f>793</f>
        <v>793</v>
      </c>
      <c r="BH793" s="28">
        <f t="shared" si="21"/>
        <v>0</v>
      </c>
      <c r="BI793" s="28">
        <f t="shared" si="22"/>
        <v>0</v>
      </c>
      <c r="BJ793" s="28">
        <f t="shared" si="23"/>
        <v>0</v>
      </c>
      <c r="BK793" s="28"/>
      <c r="BL793" s="28">
        <v>766</v>
      </c>
      <c r="BW793" s="28">
        <v>21</v>
      </c>
      <c r="BX793" s="4" t="s">
        <v>1384</v>
      </c>
    </row>
    <row r="794" spans="1:76" ht="14.4" x14ac:dyDescent="0.3">
      <c r="A794" s="2" t="s">
        <v>1385</v>
      </c>
      <c r="B794" s="3" t="s">
        <v>1386</v>
      </c>
      <c r="C794" s="75" t="s">
        <v>1387</v>
      </c>
      <c r="D794" s="70"/>
      <c r="E794" s="3" t="s">
        <v>1381</v>
      </c>
      <c r="F794" s="28">
        <v>3</v>
      </c>
      <c r="G794" s="28">
        <v>0</v>
      </c>
      <c r="H794" s="28">
        <f t="shared" si="0"/>
        <v>0</v>
      </c>
      <c r="I794" s="28">
        <f t="shared" si="1"/>
        <v>0</v>
      </c>
      <c r="J794" s="28">
        <f t="shared" si="2"/>
        <v>0</v>
      </c>
      <c r="K794" s="29" t="s">
        <v>1374</v>
      </c>
      <c r="Z794" s="28">
        <f t="shared" si="3"/>
        <v>0</v>
      </c>
      <c r="AB794" s="28">
        <f t="shared" si="4"/>
        <v>0</v>
      </c>
      <c r="AC794" s="28">
        <f t="shared" si="5"/>
        <v>0</v>
      </c>
      <c r="AD794" s="28">
        <f t="shared" si="6"/>
        <v>0</v>
      </c>
      <c r="AE794" s="28">
        <f t="shared" si="7"/>
        <v>0</v>
      </c>
      <c r="AF794" s="28">
        <f t="shared" si="8"/>
        <v>0</v>
      </c>
      <c r="AG794" s="28">
        <f t="shared" si="9"/>
        <v>0</v>
      </c>
      <c r="AH794" s="28">
        <f t="shared" si="10"/>
        <v>0</v>
      </c>
      <c r="AI794" s="10" t="s">
        <v>1050</v>
      </c>
      <c r="AJ794" s="28">
        <f t="shared" si="11"/>
        <v>0</v>
      </c>
      <c r="AK794" s="28">
        <f t="shared" si="12"/>
        <v>0</v>
      </c>
      <c r="AL794" s="28">
        <f t="shared" si="13"/>
        <v>0</v>
      </c>
      <c r="AN794" s="28">
        <v>21</v>
      </c>
      <c r="AO794" s="28">
        <f t="shared" si="14"/>
        <v>0</v>
      </c>
      <c r="AP794" s="28">
        <f t="shared" si="15"/>
        <v>0</v>
      </c>
      <c r="AQ794" s="30" t="s">
        <v>118</v>
      </c>
      <c r="AV794" s="28">
        <f t="shared" si="16"/>
        <v>0</v>
      </c>
      <c r="AW794" s="28">
        <f t="shared" si="17"/>
        <v>0</v>
      </c>
      <c r="AX794" s="28">
        <f t="shared" si="18"/>
        <v>0</v>
      </c>
      <c r="AY794" s="30" t="s">
        <v>1345</v>
      </c>
      <c r="AZ794" s="30" t="s">
        <v>1238</v>
      </c>
      <c r="BA794" s="10" t="s">
        <v>1055</v>
      </c>
      <c r="BC794" s="28">
        <f t="shared" si="19"/>
        <v>0</v>
      </c>
      <c r="BD794" s="28">
        <f t="shared" si="20"/>
        <v>0</v>
      </c>
      <c r="BE794" s="28">
        <v>0</v>
      </c>
      <c r="BF794" s="28">
        <f>794</f>
        <v>794</v>
      </c>
      <c r="BH794" s="28">
        <f t="shared" si="21"/>
        <v>0</v>
      </c>
      <c r="BI794" s="28">
        <f t="shared" si="22"/>
        <v>0</v>
      </c>
      <c r="BJ794" s="28">
        <f t="shared" si="23"/>
        <v>0</v>
      </c>
      <c r="BK794" s="28"/>
      <c r="BL794" s="28">
        <v>766</v>
      </c>
      <c r="BW794" s="28">
        <v>21</v>
      </c>
      <c r="BX794" s="4" t="s">
        <v>1387</v>
      </c>
    </row>
    <row r="795" spans="1:76" ht="14.4" x14ac:dyDescent="0.3">
      <c r="A795" s="2" t="s">
        <v>1388</v>
      </c>
      <c r="B795" s="3" t="s">
        <v>1389</v>
      </c>
      <c r="C795" s="75" t="s">
        <v>1390</v>
      </c>
      <c r="D795" s="70"/>
      <c r="E795" s="3" t="s">
        <v>293</v>
      </c>
      <c r="F795" s="28">
        <v>2</v>
      </c>
      <c r="G795" s="28">
        <v>0</v>
      </c>
      <c r="H795" s="28">
        <f t="shared" si="0"/>
        <v>0</v>
      </c>
      <c r="I795" s="28">
        <f t="shared" si="1"/>
        <v>0</v>
      </c>
      <c r="J795" s="28">
        <f t="shared" si="2"/>
        <v>0</v>
      </c>
      <c r="K795" s="29" t="s">
        <v>1374</v>
      </c>
      <c r="Z795" s="28">
        <f t="shared" si="3"/>
        <v>0</v>
      </c>
      <c r="AB795" s="28">
        <f t="shared" si="4"/>
        <v>0</v>
      </c>
      <c r="AC795" s="28">
        <f t="shared" si="5"/>
        <v>0</v>
      </c>
      <c r="AD795" s="28">
        <f t="shared" si="6"/>
        <v>0</v>
      </c>
      <c r="AE795" s="28">
        <f t="shared" si="7"/>
        <v>0</v>
      </c>
      <c r="AF795" s="28">
        <f t="shared" si="8"/>
        <v>0</v>
      </c>
      <c r="AG795" s="28">
        <f t="shared" si="9"/>
        <v>0</v>
      </c>
      <c r="AH795" s="28">
        <f t="shared" si="10"/>
        <v>0</v>
      </c>
      <c r="AI795" s="10" t="s">
        <v>1050</v>
      </c>
      <c r="AJ795" s="28">
        <f t="shared" si="11"/>
        <v>0</v>
      </c>
      <c r="AK795" s="28">
        <f t="shared" si="12"/>
        <v>0</v>
      </c>
      <c r="AL795" s="28">
        <f t="shared" si="13"/>
        <v>0</v>
      </c>
      <c r="AN795" s="28">
        <v>21</v>
      </c>
      <c r="AO795" s="28">
        <f t="shared" si="14"/>
        <v>0</v>
      </c>
      <c r="AP795" s="28">
        <f t="shared" si="15"/>
        <v>0</v>
      </c>
      <c r="AQ795" s="30" t="s">
        <v>118</v>
      </c>
      <c r="AV795" s="28">
        <f t="shared" si="16"/>
        <v>0</v>
      </c>
      <c r="AW795" s="28">
        <f t="shared" si="17"/>
        <v>0</v>
      </c>
      <c r="AX795" s="28">
        <f t="shared" si="18"/>
        <v>0</v>
      </c>
      <c r="AY795" s="30" t="s">
        <v>1345</v>
      </c>
      <c r="AZ795" s="30" t="s">
        <v>1238</v>
      </c>
      <c r="BA795" s="10" t="s">
        <v>1055</v>
      </c>
      <c r="BC795" s="28">
        <f t="shared" si="19"/>
        <v>0</v>
      </c>
      <c r="BD795" s="28">
        <f t="shared" si="20"/>
        <v>0</v>
      </c>
      <c r="BE795" s="28">
        <v>0</v>
      </c>
      <c r="BF795" s="28">
        <f>795</f>
        <v>795</v>
      </c>
      <c r="BH795" s="28">
        <f t="shared" si="21"/>
        <v>0</v>
      </c>
      <c r="BI795" s="28">
        <f t="shared" si="22"/>
        <v>0</v>
      </c>
      <c r="BJ795" s="28">
        <f t="shared" si="23"/>
        <v>0</v>
      </c>
      <c r="BK795" s="28"/>
      <c r="BL795" s="28">
        <v>766</v>
      </c>
      <c r="BW795" s="28">
        <v>21</v>
      </c>
      <c r="BX795" s="4" t="s">
        <v>1390</v>
      </c>
    </row>
    <row r="796" spans="1:76" ht="14.4" x14ac:dyDescent="0.3">
      <c r="A796" s="2" t="s">
        <v>1391</v>
      </c>
      <c r="B796" s="3" t="s">
        <v>1392</v>
      </c>
      <c r="C796" s="75" t="s">
        <v>1393</v>
      </c>
      <c r="D796" s="70"/>
      <c r="E796" s="3" t="s">
        <v>293</v>
      </c>
      <c r="F796" s="28">
        <v>2</v>
      </c>
      <c r="G796" s="28">
        <v>0</v>
      </c>
      <c r="H796" s="28">
        <f t="shared" si="0"/>
        <v>0</v>
      </c>
      <c r="I796" s="28">
        <f t="shared" si="1"/>
        <v>0</v>
      </c>
      <c r="J796" s="28">
        <f t="shared" si="2"/>
        <v>0</v>
      </c>
      <c r="K796" s="29" t="s">
        <v>1374</v>
      </c>
      <c r="Z796" s="28">
        <f t="shared" si="3"/>
        <v>0</v>
      </c>
      <c r="AB796" s="28">
        <f t="shared" si="4"/>
        <v>0</v>
      </c>
      <c r="AC796" s="28">
        <f t="shared" si="5"/>
        <v>0</v>
      </c>
      <c r="AD796" s="28">
        <f t="shared" si="6"/>
        <v>0</v>
      </c>
      <c r="AE796" s="28">
        <f t="shared" si="7"/>
        <v>0</v>
      </c>
      <c r="AF796" s="28">
        <f t="shared" si="8"/>
        <v>0</v>
      </c>
      <c r="AG796" s="28">
        <f t="shared" si="9"/>
        <v>0</v>
      </c>
      <c r="AH796" s="28">
        <f t="shared" si="10"/>
        <v>0</v>
      </c>
      <c r="AI796" s="10" t="s">
        <v>1050</v>
      </c>
      <c r="AJ796" s="28">
        <f t="shared" si="11"/>
        <v>0</v>
      </c>
      <c r="AK796" s="28">
        <f t="shared" si="12"/>
        <v>0</v>
      </c>
      <c r="AL796" s="28">
        <f t="shared" si="13"/>
        <v>0</v>
      </c>
      <c r="AN796" s="28">
        <v>21</v>
      </c>
      <c r="AO796" s="28">
        <f t="shared" si="14"/>
        <v>0</v>
      </c>
      <c r="AP796" s="28">
        <f t="shared" si="15"/>
        <v>0</v>
      </c>
      <c r="AQ796" s="30" t="s">
        <v>118</v>
      </c>
      <c r="AV796" s="28">
        <f t="shared" si="16"/>
        <v>0</v>
      </c>
      <c r="AW796" s="28">
        <f t="shared" si="17"/>
        <v>0</v>
      </c>
      <c r="AX796" s="28">
        <f t="shared" si="18"/>
        <v>0</v>
      </c>
      <c r="AY796" s="30" t="s">
        <v>1345</v>
      </c>
      <c r="AZ796" s="30" t="s">
        <v>1238</v>
      </c>
      <c r="BA796" s="10" t="s">
        <v>1055</v>
      </c>
      <c r="BC796" s="28">
        <f t="shared" si="19"/>
        <v>0</v>
      </c>
      <c r="BD796" s="28">
        <f t="shared" si="20"/>
        <v>0</v>
      </c>
      <c r="BE796" s="28">
        <v>0</v>
      </c>
      <c r="BF796" s="28">
        <f>796</f>
        <v>796</v>
      </c>
      <c r="BH796" s="28">
        <f t="shared" si="21"/>
        <v>0</v>
      </c>
      <c r="BI796" s="28">
        <f t="shared" si="22"/>
        <v>0</v>
      </c>
      <c r="BJ796" s="28">
        <f t="shared" si="23"/>
        <v>0</v>
      </c>
      <c r="BK796" s="28"/>
      <c r="BL796" s="28">
        <v>766</v>
      </c>
      <c r="BW796" s="28">
        <v>21</v>
      </c>
      <c r="BX796" s="4" t="s">
        <v>1393</v>
      </c>
    </row>
    <row r="797" spans="1:76" ht="14.4" x14ac:dyDescent="0.3">
      <c r="A797" s="2" t="s">
        <v>1394</v>
      </c>
      <c r="B797" s="3" t="s">
        <v>1395</v>
      </c>
      <c r="C797" s="75" t="s">
        <v>1396</v>
      </c>
      <c r="D797" s="70"/>
      <c r="E797" s="3" t="s">
        <v>1381</v>
      </c>
      <c r="F797" s="28">
        <v>4</v>
      </c>
      <c r="G797" s="28">
        <v>0</v>
      </c>
      <c r="H797" s="28">
        <f t="shared" si="0"/>
        <v>0</v>
      </c>
      <c r="I797" s="28">
        <f t="shared" si="1"/>
        <v>0</v>
      </c>
      <c r="J797" s="28">
        <f t="shared" si="2"/>
        <v>0</v>
      </c>
      <c r="K797" s="29" t="s">
        <v>1374</v>
      </c>
      <c r="Z797" s="28">
        <f t="shared" si="3"/>
        <v>0</v>
      </c>
      <c r="AB797" s="28">
        <f t="shared" si="4"/>
        <v>0</v>
      </c>
      <c r="AC797" s="28">
        <f t="shared" si="5"/>
        <v>0</v>
      </c>
      <c r="AD797" s="28">
        <f t="shared" si="6"/>
        <v>0</v>
      </c>
      <c r="AE797" s="28">
        <f t="shared" si="7"/>
        <v>0</v>
      </c>
      <c r="AF797" s="28">
        <f t="shared" si="8"/>
        <v>0</v>
      </c>
      <c r="AG797" s="28">
        <f t="shared" si="9"/>
        <v>0</v>
      </c>
      <c r="AH797" s="28">
        <f t="shared" si="10"/>
        <v>0</v>
      </c>
      <c r="AI797" s="10" t="s">
        <v>1050</v>
      </c>
      <c r="AJ797" s="28">
        <f t="shared" si="11"/>
        <v>0</v>
      </c>
      <c r="AK797" s="28">
        <f t="shared" si="12"/>
        <v>0</v>
      </c>
      <c r="AL797" s="28">
        <f t="shared" si="13"/>
        <v>0</v>
      </c>
      <c r="AN797" s="28">
        <v>21</v>
      </c>
      <c r="AO797" s="28">
        <f t="shared" si="14"/>
        <v>0</v>
      </c>
      <c r="AP797" s="28">
        <f t="shared" si="15"/>
        <v>0</v>
      </c>
      <c r="AQ797" s="30" t="s">
        <v>118</v>
      </c>
      <c r="AV797" s="28">
        <f t="shared" si="16"/>
        <v>0</v>
      </c>
      <c r="AW797" s="28">
        <f t="shared" si="17"/>
        <v>0</v>
      </c>
      <c r="AX797" s="28">
        <f t="shared" si="18"/>
        <v>0</v>
      </c>
      <c r="AY797" s="30" t="s">
        <v>1345</v>
      </c>
      <c r="AZ797" s="30" t="s">
        <v>1238</v>
      </c>
      <c r="BA797" s="10" t="s">
        <v>1055</v>
      </c>
      <c r="BC797" s="28">
        <f t="shared" si="19"/>
        <v>0</v>
      </c>
      <c r="BD797" s="28">
        <f t="shared" si="20"/>
        <v>0</v>
      </c>
      <c r="BE797" s="28">
        <v>0</v>
      </c>
      <c r="BF797" s="28">
        <f>797</f>
        <v>797</v>
      </c>
      <c r="BH797" s="28">
        <f t="shared" si="21"/>
        <v>0</v>
      </c>
      <c r="BI797" s="28">
        <f t="shared" si="22"/>
        <v>0</v>
      </c>
      <c r="BJ797" s="28">
        <f t="shared" si="23"/>
        <v>0</v>
      </c>
      <c r="BK797" s="28"/>
      <c r="BL797" s="28">
        <v>766</v>
      </c>
      <c r="BW797" s="28">
        <v>21</v>
      </c>
      <c r="BX797" s="4" t="s">
        <v>1396</v>
      </c>
    </row>
    <row r="798" spans="1:76" ht="14.4" x14ac:dyDescent="0.3">
      <c r="A798" s="2" t="s">
        <v>1397</v>
      </c>
      <c r="B798" s="3" t="s">
        <v>1398</v>
      </c>
      <c r="C798" s="75" t="s">
        <v>1399</v>
      </c>
      <c r="D798" s="70"/>
      <c r="E798" s="3" t="s">
        <v>1381</v>
      </c>
      <c r="F798" s="28">
        <v>5</v>
      </c>
      <c r="G798" s="28">
        <v>0</v>
      </c>
      <c r="H798" s="28">
        <f t="shared" si="0"/>
        <v>0</v>
      </c>
      <c r="I798" s="28">
        <f t="shared" si="1"/>
        <v>0</v>
      </c>
      <c r="J798" s="28">
        <f t="shared" si="2"/>
        <v>0</v>
      </c>
      <c r="K798" s="29" t="s">
        <v>1374</v>
      </c>
      <c r="Z798" s="28">
        <f t="shared" si="3"/>
        <v>0</v>
      </c>
      <c r="AB798" s="28">
        <f t="shared" si="4"/>
        <v>0</v>
      </c>
      <c r="AC798" s="28">
        <f t="shared" si="5"/>
        <v>0</v>
      </c>
      <c r="AD798" s="28">
        <f t="shared" si="6"/>
        <v>0</v>
      </c>
      <c r="AE798" s="28">
        <f t="shared" si="7"/>
        <v>0</v>
      </c>
      <c r="AF798" s="28">
        <f t="shared" si="8"/>
        <v>0</v>
      </c>
      <c r="AG798" s="28">
        <f t="shared" si="9"/>
        <v>0</v>
      </c>
      <c r="AH798" s="28">
        <f t="shared" si="10"/>
        <v>0</v>
      </c>
      <c r="AI798" s="10" t="s">
        <v>1050</v>
      </c>
      <c r="AJ798" s="28">
        <f t="shared" si="11"/>
        <v>0</v>
      </c>
      <c r="AK798" s="28">
        <f t="shared" si="12"/>
        <v>0</v>
      </c>
      <c r="AL798" s="28">
        <f t="shared" si="13"/>
        <v>0</v>
      </c>
      <c r="AN798" s="28">
        <v>21</v>
      </c>
      <c r="AO798" s="28">
        <f t="shared" si="14"/>
        <v>0</v>
      </c>
      <c r="AP798" s="28">
        <f t="shared" si="15"/>
        <v>0</v>
      </c>
      <c r="AQ798" s="30" t="s">
        <v>118</v>
      </c>
      <c r="AV798" s="28">
        <f t="shared" si="16"/>
        <v>0</v>
      </c>
      <c r="AW798" s="28">
        <f t="shared" si="17"/>
        <v>0</v>
      </c>
      <c r="AX798" s="28">
        <f t="shared" si="18"/>
        <v>0</v>
      </c>
      <c r="AY798" s="30" t="s">
        <v>1345</v>
      </c>
      <c r="AZ798" s="30" t="s">
        <v>1238</v>
      </c>
      <c r="BA798" s="10" t="s">
        <v>1055</v>
      </c>
      <c r="BC798" s="28">
        <f t="shared" si="19"/>
        <v>0</v>
      </c>
      <c r="BD798" s="28">
        <f t="shared" si="20"/>
        <v>0</v>
      </c>
      <c r="BE798" s="28">
        <v>0</v>
      </c>
      <c r="BF798" s="28">
        <f>798</f>
        <v>798</v>
      </c>
      <c r="BH798" s="28">
        <f t="shared" si="21"/>
        <v>0</v>
      </c>
      <c r="BI798" s="28">
        <f t="shared" si="22"/>
        <v>0</v>
      </c>
      <c r="BJ798" s="28">
        <f t="shared" si="23"/>
        <v>0</v>
      </c>
      <c r="BK798" s="28"/>
      <c r="BL798" s="28">
        <v>766</v>
      </c>
      <c r="BW798" s="28">
        <v>21</v>
      </c>
      <c r="BX798" s="4" t="s">
        <v>1399</v>
      </c>
    </row>
    <row r="799" spans="1:76" ht="14.4" x14ac:dyDescent="0.3">
      <c r="A799" s="2" t="s">
        <v>1400</v>
      </c>
      <c r="B799" s="3" t="s">
        <v>1401</v>
      </c>
      <c r="C799" s="75" t="s">
        <v>1402</v>
      </c>
      <c r="D799" s="70"/>
      <c r="E799" s="3" t="s">
        <v>459</v>
      </c>
      <c r="F799" s="28">
        <v>1</v>
      </c>
      <c r="G799" s="28">
        <v>0</v>
      </c>
      <c r="H799" s="28">
        <f t="shared" si="0"/>
        <v>0</v>
      </c>
      <c r="I799" s="28">
        <f t="shared" si="1"/>
        <v>0</v>
      </c>
      <c r="J799" s="28">
        <f t="shared" si="2"/>
        <v>0</v>
      </c>
      <c r="K799" s="29" t="s">
        <v>1374</v>
      </c>
      <c r="Z799" s="28">
        <f t="shared" si="3"/>
        <v>0</v>
      </c>
      <c r="AB799" s="28">
        <f t="shared" si="4"/>
        <v>0</v>
      </c>
      <c r="AC799" s="28">
        <f t="shared" si="5"/>
        <v>0</v>
      </c>
      <c r="AD799" s="28">
        <f t="shared" si="6"/>
        <v>0</v>
      </c>
      <c r="AE799" s="28">
        <f t="shared" si="7"/>
        <v>0</v>
      </c>
      <c r="AF799" s="28">
        <f t="shared" si="8"/>
        <v>0</v>
      </c>
      <c r="AG799" s="28">
        <f t="shared" si="9"/>
        <v>0</v>
      </c>
      <c r="AH799" s="28">
        <f t="shared" si="10"/>
        <v>0</v>
      </c>
      <c r="AI799" s="10" t="s">
        <v>1050</v>
      </c>
      <c r="AJ799" s="28">
        <f t="shared" si="11"/>
        <v>0</v>
      </c>
      <c r="AK799" s="28">
        <f t="shared" si="12"/>
        <v>0</v>
      </c>
      <c r="AL799" s="28">
        <f t="shared" si="13"/>
        <v>0</v>
      </c>
      <c r="AN799" s="28">
        <v>21</v>
      </c>
      <c r="AO799" s="28">
        <f t="shared" si="14"/>
        <v>0</v>
      </c>
      <c r="AP799" s="28">
        <f t="shared" si="15"/>
        <v>0</v>
      </c>
      <c r="AQ799" s="30" t="s">
        <v>118</v>
      </c>
      <c r="AV799" s="28">
        <f t="shared" si="16"/>
        <v>0</v>
      </c>
      <c r="AW799" s="28">
        <f t="shared" si="17"/>
        <v>0</v>
      </c>
      <c r="AX799" s="28">
        <f t="shared" si="18"/>
        <v>0</v>
      </c>
      <c r="AY799" s="30" t="s">
        <v>1345</v>
      </c>
      <c r="AZ799" s="30" t="s">
        <v>1238</v>
      </c>
      <c r="BA799" s="10" t="s">
        <v>1055</v>
      </c>
      <c r="BC799" s="28">
        <f t="shared" si="19"/>
        <v>0</v>
      </c>
      <c r="BD799" s="28">
        <f t="shared" si="20"/>
        <v>0</v>
      </c>
      <c r="BE799" s="28">
        <v>0</v>
      </c>
      <c r="BF799" s="28">
        <f>799</f>
        <v>799</v>
      </c>
      <c r="BH799" s="28">
        <f t="shared" si="21"/>
        <v>0</v>
      </c>
      <c r="BI799" s="28">
        <f t="shared" si="22"/>
        <v>0</v>
      </c>
      <c r="BJ799" s="28">
        <f t="shared" si="23"/>
        <v>0</v>
      </c>
      <c r="BK799" s="28"/>
      <c r="BL799" s="28">
        <v>766</v>
      </c>
      <c r="BW799" s="28">
        <v>21</v>
      </c>
      <c r="BX799" s="4" t="s">
        <v>1402</v>
      </c>
    </row>
    <row r="800" spans="1:76" ht="14.4" x14ac:dyDescent="0.3">
      <c r="A800" s="2" t="s">
        <v>1403</v>
      </c>
      <c r="B800" s="3" t="s">
        <v>1404</v>
      </c>
      <c r="C800" s="75" t="s">
        <v>1405</v>
      </c>
      <c r="D800" s="70"/>
      <c r="E800" s="3" t="s">
        <v>293</v>
      </c>
      <c r="F800" s="28">
        <v>300</v>
      </c>
      <c r="G800" s="28">
        <v>0</v>
      </c>
      <c r="H800" s="28">
        <f t="shared" si="0"/>
        <v>0</v>
      </c>
      <c r="I800" s="28">
        <f t="shared" si="1"/>
        <v>0</v>
      </c>
      <c r="J800" s="28">
        <f t="shared" si="2"/>
        <v>0</v>
      </c>
      <c r="K800" s="29" t="s">
        <v>1374</v>
      </c>
      <c r="Z800" s="28">
        <f t="shared" si="3"/>
        <v>0</v>
      </c>
      <c r="AB800" s="28">
        <f t="shared" si="4"/>
        <v>0</v>
      </c>
      <c r="AC800" s="28">
        <f t="shared" si="5"/>
        <v>0</v>
      </c>
      <c r="AD800" s="28">
        <f t="shared" si="6"/>
        <v>0</v>
      </c>
      <c r="AE800" s="28">
        <f t="shared" si="7"/>
        <v>0</v>
      </c>
      <c r="AF800" s="28">
        <f t="shared" si="8"/>
        <v>0</v>
      </c>
      <c r="AG800" s="28">
        <f t="shared" si="9"/>
        <v>0</v>
      </c>
      <c r="AH800" s="28">
        <f t="shared" si="10"/>
        <v>0</v>
      </c>
      <c r="AI800" s="10" t="s">
        <v>1050</v>
      </c>
      <c r="AJ800" s="28">
        <f t="shared" si="11"/>
        <v>0</v>
      </c>
      <c r="AK800" s="28">
        <f t="shared" si="12"/>
        <v>0</v>
      </c>
      <c r="AL800" s="28">
        <f t="shared" si="13"/>
        <v>0</v>
      </c>
      <c r="AN800" s="28">
        <v>21</v>
      </c>
      <c r="AO800" s="28">
        <f t="shared" si="14"/>
        <v>0</v>
      </c>
      <c r="AP800" s="28">
        <f t="shared" si="15"/>
        <v>0</v>
      </c>
      <c r="AQ800" s="30" t="s">
        <v>118</v>
      </c>
      <c r="AV800" s="28">
        <f t="shared" si="16"/>
        <v>0</v>
      </c>
      <c r="AW800" s="28">
        <f t="shared" si="17"/>
        <v>0</v>
      </c>
      <c r="AX800" s="28">
        <f t="shared" si="18"/>
        <v>0</v>
      </c>
      <c r="AY800" s="30" t="s">
        <v>1345</v>
      </c>
      <c r="AZ800" s="30" t="s">
        <v>1238</v>
      </c>
      <c r="BA800" s="10" t="s">
        <v>1055</v>
      </c>
      <c r="BC800" s="28">
        <f t="shared" si="19"/>
        <v>0</v>
      </c>
      <c r="BD800" s="28">
        <f t="shared" si="20"/>
        <v>0</v>
      </c>
      <c r="BE800" s="28">
        <v>0</v>
      </c>
      <c r="BF800" s="28">
        <f>800</f>
        <v>800</v>
      </c>
      <c r="BH800" s="28">
        <f t="shared" si="21"/>
        <v>0</v>
      </c>
      <c r="BI800" s="28">
        <f t="shared" si="22"/>
        <v>0</v>
      </c>
      <c r="BJ800" s="28">
        <f t="shared" si="23"/>
        <v>0</v>
      </c>
      <c r="BK800" s="28"/>
      <c r="BL800" s="28">
        <v>766</v>
      </c>
      <c r="BW800" s="28">
        <v>21</v>
      </c>
      <c r="BX800" s="4" t="s">
        <v>1405</v>
      </c>
    </row>
    <row r="801" spans="1:76" ht="14.4" x14ac:dyDescent="0.3">
      <c r="A801" s="2" t="s">
        <v>1406</v>
      </c>
      <c r="B801" s="3" t="s">
        <v>1407</v>
      </c>
      <c r="C801" s="75" t="s">
        <v>1408</v>
      </c>
      <c r="D801" s="70"/>
      <c r="E801" s="3" t="s">
        <v>293</v>
      </c>
      <c r="F801" s="28">
        <v>323</v>
      </c>
      <c r="G801" s="28">
        <v>0</v>
      </c>
      <c r="H801" s="28">
        <f t="shared" si="0"/>
        <v>0</v>
      </c>
      <c r="I801" s="28">
        <f t="shared" si="1"/>
        <v>0</v>
      </c>
      <c r="J801" s="28">
        <f t="shared" si="2"/>
        <v>0</v>
      </c>
      <c r="K801" s="29" t="s">
        <v>1374</v>
      </c>
      <c r="Z801" s="28">
        <f t="shared" si="3"/>
        <v>0</v>
      </c>
      <c r="AB801" s="28">
        <f t="shared" si="4"/>
        <v>0</v>
      </c>
      <c r="AC801" s="28">
        <f t="shared" si="5"/>
        <v>0</v>
      </c>
      <c r="AD801" s="28">
        <f t="shared" si="6"/>
        <v>0</v>
      </c>
      <c r="AE801" s="28">
        <f t="shared" si="7"/>
        <v>0</v>
      </c>
      <c r="AF801" s="28">
        <f t="shared" si="8"/>
        <v>0</v>
      </c>
      <c r="AG801" s="28">
        <f t="shared" si="9"/>
        <v>0</v>
      </c>
      <c r="AH801" s="28">
        <f t="shared" si="10"/>
        <v>0</v>
      </c>
      <c r="AI801" s="10" t="s">
        <v>1050</v>
      </c>
      <c r="AJ801" s="28">
        <f t="shared" si="11"/>
        <v>0</v>
      </c>
      <c r="AK801" s="28">
        <f t="shared" si="12"/>
        <v>0</v>
      </c>
      <c r="AL801" s="28">
        <f t="shared" si="13"/>
        <v>0</v>
      </c>
      <c r="AN801" s="28">
        <v>21</v>
      </c>
      <c r="AO801" s="28">
        <f t="shared" si="14"/>
        <v>0</v>
      </c>
      <c r="AP801" s="28">
        <f t="shared" si="15"/>
        <v>0</v>
      </c>
      <c r="AQ801" s="30" t="s">
        <v>118</v>
      </c>
      <c r="AV801" s="28">
        <f t="shared" si="16"/>
        <v>0</v>
      </c>
      <c r="AW801" s="28">
        <f t="shared" si="17"/>
        <v>0</v>
      </c>
      <c r="AX801" s="28">
        <f t="shared" si="18"/>
        <v>0</v>
      </c>
      <c r="AY801" s="30" t="s">
        <v>1345</v>
      </c>
      <c r="AZ801" s="30" t="s">
        <v>1238</v>
      </c>
      <c r="BA801" s="10" t="s">
        <v>1055</v>
      </c>
      <c r="BC801" s="28">
        <f t="shared" si="19"/>
        <v>0</v>
      </c>
      <c r="BD801" s="28">
        <f t="shared" si="20"/>
        <v>0</v>
      </c>
      <c r="BE801" s="28">
        <v>0</v>
      </c>
      <c r="BF801" s="28">
        <f>801</f>
        <v>801</v>
      </c>
      <c r="BH801" s="28">
        <f t="shared" si="21"/>
        <v>0</v>
      </c>
      <c r="BI801" s="28">
        <f t="shared" si="22"/>
        <v>0</v>
      </c>
      <c r="BJ801" s="28">
        <f t="shared" si="23"/>
        <v>0</v>
      </c>
      <c r="BK801" s="28"/>
      <c r="BL801" s="28">
        <v>766</v>
      </c>
      <c r="BW801" s="28">
        <v>21</v>
      </c>
      <c r="BX801" s="4" t="s">
        <v>1408</v>
      </c>
    </row>
    <row r="802" spans="1:76" ht="14.4" x14ac:dyDescent="0.3">
      <c r="A802" s="2" t="s">
        <v>1409</v>
      </c>
      <c r="B802" s="3" t="s">
        <v>1410</v>
      </c>
      <c r="C802" s="75" t="s">
        <v>1411</v>
      </c>
      <c r="D802" s="70"/>
      <c r="E802" s="3" t="s">
        <v>293</v>
      </c>
      <c r="F802" s="28">
        <v>3483</v>
      </c>
      <c r="G802" s="28">
        <v>0</v>
      </c>
      <c r="H802" s="28">
        <f t="shared" si="0"/>
        <v>0</v>
      </c>
      <c r="I802" s="28">
        <f t="shared" si="1"/>
        <v>0</v>
      </c>
      <c r="J802" s="28">
        <f t="shared" si="2"/>
        <v>0</v>
      </c>
      <c r="K802" s="29" t="s">
        <v>1374</v>
      </c>
      <c r="Z802" s="28">
        <f t="shared" si="3"/>
        <v>0</v>
      </c>
      <c r="AB802" s="28">
        <f t="shared" si="4"/>
        <v>0</v>
      </c>
      <c r="AC802" s="28">
        <f t="shared" si="5"/>
        <v>0</v>
      </c>
      <c r="AD802" s="28">
        <f t="shared" si="6"/>
        <v>0</v>
      </c>
      <c r="AE802" s="28">
        <f t="shared" si="7"/>
        <v>0</v>
      </c>
      <c r="AF802" s="28">
        <f t="shared" si="8"/>
        <v>0</v>
      </c>
      <c r="AG802" s="28">
        <f t="shared" si="9"/>
        <v>0</v>
      </c>
      <c r="AH802" s="28">
        <f t="shared" si="10"/>
        <v>0</v>
      </c>
      <c r="AI802" s="10" t="s">
        <v>1050</v>
      </c>
      <c r="AJ802" s="28">
        <f t="shared" si="11"/>
        <v>0</v>
      </c>
      <c r="AK802" s="28">
        <f t="shared" si="12"/>
        <v>0</v>
      </c>
      <c r="AL802" s="28">
        <f t="shared" si="13"/>
        <v>0</v>
      </c>
      <c r="AN802" s="28">
        <v>21</v>
      </c>
      <c r="AO802" s="28">
        <f t="shared" si="14"/>
        <v>0</v>
      </c>
      <c r="AP802" s="28">
        <f t="shared" si="15"/>
        <v>0</v>
      </c>
      <c r="AQ802" s="30" t="s">
        <v>118</v>
      </c>
      <c r="AV802" s="28">
        <f t="shared" si="16"/>
        <v>0</v>
      </c>
      <c r="AW802" s="28">
        <f t="shared" si="17"/>
        <v>0</v>
      </c>
      <c r="AX802" s="28">
        <f t="shared" si="18"/>
        <v>0</v>
      </c>
      <c r="AY802" s="30" t="s">
        <v>1345</v>
      </c>
      <c r="AZ802" s="30" t="s">
        <v>1238</v>
      </c>
      <c r="BA802" s="10" t="s">
        <v>1055</v>
      </c>
      <c r="BC802" s="28">
        <f t="shared" si="19"/>
        <v>0</v>
      </c>
      <c r="BD802" s="28">
        <f t="shared" si="20"/>
        <v>0</v>
      </c>
      <c r="BE802" s="28">
        <v>0</v>
      </c>
      <c r="BF802" s="28">
        <f>802</f>
        <v>802</v>
      </c>
      <c r="BH802" s="28">
        <f t="shared" si="21"/>
        <v>0</v>
      </c>
      <c r="BI802" s="28">
        <f t="shared" si="22"/>
        <v>0</v>
      </c>
      <c r="BJ802" s="28">
        <f t="shared" si="23"/>
        <v>0</v>
      </c>
      <c r="BK802" s="28"/>
      <c r="BL802" s="28">
        <v>766</v>
      </c>
      <c r="BW802" s="28">
        <v>21</v>
      </c>
      <c r="BX802" s="4" t="s">
        <v>1411</v>
      </c>
    </row>
    <row r="803" spans="1:76" ht="14.4" x14ac:dyDescent="0.3">
      <c r="A803" s="2" t="s">
        <v>1412</v>
      </c>
      <c r="B803" s="3" t="s">
        <v>1413</v>
      </c>
      <c r="C803" s="75" t="s">
        <v>1414</v>
      </c>
      <c r="D803" s="70"/>
      <c r="E803" s="3" t="s">
        <v>293</v>
      </c>
      <c r="F803" s="28">
        <v>117</v>
      </c>
      <c r="G803" s="28">
        <v>0</v>
      </c>
      <c r="H803" s="28">
        <f t="shared" si="0"/>
        <v>0</v>
      </c>
      <c r="I803" s="28">
        <f t="shared" si="1"/>
        <v>0</v>
      </c>
      <c r="J803" s="28">
        <f t="shared" si="2"/>
        <v>0</v>
      </c>
      <c r="K803" s="29" t="s">
        <v>1374</v>
      </c>
      <c r="Z803" s="28">
        <f t="shared" si="3"/>
        <v>0</v>
      </c>
      <c r="AB803" s="28">
        <f t="shared" si="4"/>
        <v>0</v>
      </c>
      <c r="AC803" s="28">
        <f t="shared" si="5"/>
        <v>0</v>
      </c>
      <c r="AD803" s="28">
        <f t="shared" si="6"/>
        <v>0</v>
      </c>
      <c r="AE803" s="28">
        <f t="shared" si="7"/>
        <v>0</v>
      </c>
      <c r="AF803" s="28">
        <f t="shared" si="8"/>
        <v>0</v>
      </c>
      <c r="AG803" s="28">
        <f t="shared" si="9"/>
        <v>0</v>
      </c>
      <c r="AH803" s="28">
        <f t="shared" si="10"/>
        <v>0</v>
      </c>
      <c r="AI803" s="10" t="s">
        <v>1050</v>
      </c>
      <c r="AJ803" s="28">
        <f t="shared" si="11"/>
        <v>0</v>
      </c>
      <c r="AK803" s="28">
        <f t="shared" si="12"/>
        <v>0</v>
      </c>
      <c r="AL803" s="28">
        <f t="shared" si="13"/>
        <v>0</v>
      </c>
      <c r="AN803" s="28">
        <v>21</v>
      </c>
      <c r="AO803" s="28">
        <f t="shared" si="14"/>
        <v>0</v>
      </c>
      <c r="AP803" s="28">
        <f t="shared" si="15"/>
        <v>0</v>
      </c>
      <c r="AQ803" s="30" t="s">
        <v>118</v>
      </c>
      <c r="AV803" s="28">
        <f t="shared" si="16"/>
        <v>0</v>
      </c>
      <c r="AW803" s="28">
        <f t="shared" si="17"/>
        <v>0</v>
      </c>
      <c r="AX803" s="28">
        <f t="shared" si="18"/>
        <v>0</v>
      </c>
      <c r="AY803" s="30" t="s">
        <v>1345</v>
      </c>
      <c r="AZ803" s="30" t="s">
        <v>1238</v>
      </c>
      <c r="BA803" s="10" t="s">
        <v>1055</v>
      </c>
      <c r="BC803" s="28">
        <f t="shared" si="19"/>
        <v>0</v>
      </c>
      <c r="BD803" s="28">
        <f t="shared" si="20"/>
        <v>0</v>
      </c>
      <c r="BE803" s="28">
        <v>0</v>
      </c>
      <c r="BF803" s="28">
        <f>803</f>
        <v>803</v>
      </c>
      <c r="BH803" s="28">
        <f t="shared" si="21"/>
        <v>0</v>
      </c>
      <c r="BI803" s="28">
        <f t="shared" si="22"/>
        <v>0</v>
      </c>
      <c r="BJ803" s="28">
        <f t="shared" si="23"/>
        <v>0</v>
      </c>
      <c r="BK803" s="28"/>
      <c r="BL803" s="28">
        <v>766</v>
      </c>
      <c r="BW803" s="28">
        <v>21</v>
      </c>
      <c r="BX803" s="4" t="s">
        <v>1414</v>
      </c>
    </row>
    <row r="804" spans="1:76" ht="14.4" x14ac:dyDescent="0.3">
      <c r="A804" s="2" t="s">
        <v>1415</v>
      </c>
      <c r="B804" s="3" t="s">
        <v>1416</v>
      </c>
      <c r="C804" s="75" t="s">
        <v>1417</v>
      </c>
      <c r="D804" s="70"/>
      <c r="E804" s="3" t="s">
        <v>1418</v>
      </c>
      <c r="F804" s="28">
        <v>2</v>
      </c>
      <c r="G804" s="28">
        <v>0</v>
      </c>
      <c r="H804" s="28">
        <f t="shared" si="0"/>
        <v>0</v>
      </c>
      <c r="I804" s="28">
        <f t="shared" si="1"/>
        <v>0</v>
      </c>
      <c r="J804" s="28">
        <f t="shared" si="2"/>
        <v>0</v>
      </c>
      <c r="K804" s="29" t="s">
        <v>1374</v>
      </c>
      <c r="Z804" s="28">
        <f t="shared" si="3"/>
        <v>0</v>
      </c>
      <c r="AB804" s="28">
        <f t="shared" si="4"/>
        <v>0</v>
      </c>
      <c r="AC804" s="28">
        <f t="shared" si="5"/>
        <v>0</v>
      </c>
      <c r="AD804" s="28">
        <f t="shared" si="6"/>
        <v>0</v>
      </c>
      <c r="AE804" s="28">
        <f t="shared" si="7"/>
        <v>0</v>
      </c>
      <c r="AF804" s="28">
        <f t="shared" si="8"/>
        <v>0</v>
      </c>
      <c r="AG804" s="28">
        <f t="shared" si="9"/>
        <v>0</v>
      </c>
      <c r="AH804" s="28">
        <f t="shared" si="10"/>
        <v>0</v>
      </c>
      <c r="AI804" s="10" t="s">
        <v>1050</v>
      </c>
      <c r="AJ804" s="28">
        <f t="shared" si="11"/>
        <v>0</v>
      </c>
      <c r="AK804" s="28">
        <f t="shared" si="12"/>
        <v>0</v>
      </c>
      <c r="AL804" s="28">
        <f t="shared" si="13"/>
        <v>0</v>
      </c>
      <c r="AN804" s="28">
        <v>21</v>
      </c>
      <c r="AO804" s="28">
        <f t="shared" si="14"/>
        <v>0</v>
      </c>
      <c r="AP804" s="28">
        <f t="shared" si="15"/>
        <v>0</v>
      </c>
      <c r="AQ804" s="30" t="s">
        <v>118</v>
      </c>
      <c r="AV804" s="28">
        <f t="shared" si="16"/>
        <v>0</v>
      </c>
      <c r="AW804" s="28">
        <f t="shared" si="17"/>
        <v>0</v>
      </c>
      <c r="AX804" s="28">
        <f t="shared" si="18"/>
        <v>0</v>
      </c>
      <c r="AY804" s="30" t="s">
        <v>1345</v>
      </c>
      <c r="AZ804" s="30" t="s">
        <v>1238</v>
      </c>
      <c r="BA804" s="10" t="s">
        <v>1055</v>
      </c>
      <c r="BC804" s="28">
        <f t="shared" si="19"/>
        <v>0</v>
      </c>
      <c r="BD804" s="28">
        <f t="shared" si="20"/>
        <v>0</v>
      </c>
      <c r="BE804" s="28">
        <v>0</v>
      </c>
      <c r="BF804" s="28">
        <f>804</f>
        <v>804</v>
      </c>
      <c r="BH804" s="28">
        <f t="shared" si="21"/>
        <v>0</v>
      </c>
      <c r="BI804" s="28">
        <f t="shared" si="22"/>
        <v>0</v>
      </c>
      <c r="BJ804" s="28">
        <f t="shared" si="23"/>
        <v>0</v>
      </c>
      <c r="BK804" s="28"/>
      <c r="BL804" s="28">
        <v>766</v>
      </c>
      <c r="BW804" s="28">
        <v>21</v>
      </c>
      <c r="BX804" s="4" t="s">
        <v>1417</v>
      </c>
    </row>
    <row r="805" spans="1:76" ht="14.4" x14ac:dyDescent="0.3">
      <c r="A805" s="2" t="s">
        <v>1419</v>
      </c>
      <c r="B805" s="3" t="s">
        <v>1420</v>
      </c>
      <c r="C805" s="75" t="s">
        <v>1421</v>
      </c>
      <c r="D805" s="70"/>
      <c r="E805" s="3" t="s">
        <v>1418</v>
      </c>
      <c r="F805" s="28">
        <v>20</v>
      </c>
      <c r="G805" s="28">
        <v>0</v>
      </c>
      <c r="H805" s="28">
        <f t="shared" si="0"/>
        <v>0</v>
      </c>
      <c r="I805" s="28">
        <f t="shared" si="1"/>
        <v>0</v>
      </c>
      <c r="J805" s="28">
        <f t="shared" si="2"/>
        <v>0</v>
      </c>
      <c r="K805" s="29" t="s">
        <v>1374</v>
      </c>
      <c r="Z805" s="28">
        <f t="shared" si="3"/>
        <v>0</v>
      </c>
      <c r="AB805" s="28">
        <f t="shared" si="4"/>
        <v>0</v>
      </c>
      <c r="AC805" s="28">
        <f t="shared" si="5"/>
        <v>0</v>
      </c>
      <c r="AD805" s="28">
        <f t="shared" si="6"/>
        <v>0</v>
      </c>
      <c r="AE805" s="28">
        <f t="shared" si="7"/>
        <v>0</v>
      </c>
      <c r="AF805" s="28">
        <f t="shared" si="8"/>
        <v>0</v>
      </c>
      <c r="AG805" s="28">
        <f t="shared" si="9"/>
        <v>0</v>
      </c>
      <c r="AH805" s="28">
        <f t="shared" si="10"/>
        <v>0</v>
      </c>
      <c r="AI805" s="10" t="s">
        <v>1050</v>
      </c>
      <c r="AJ805" s="28">
        <f t="shared" si="11"/>
        <v>0</v>
      </c>
      <c r="AK805" s="28">
        <f t="shared" si="12"/>
        <v>0</v>
      </c>
      <c r="AL805" s="28">
        <f t="shared" si="13"/>
        <v>0</v>
      </c>
      <c r="AN805" s="28">
        <v>21</v>
      </c>
      <c r="AO805" s="28">
        <f t="shared" si="14"/>
        <v>0</v>
      </c>
      <c r="AP805" s="28">
        <f t="shared" si="15"/>
        <v>0</v>
      </c>
      <c r="AQ805" s="30" t="s">
        <v>118</v>
      </c>
      <c r="AV805" s="28">
        <f t="shared" si="16"/>
        <v>0</v>
      </c>
      <c r="AW805" s="28">
        <f t="shared" si="17"/>
        <v>0</v>
      </c>
      <c r="AX805" s="28">
        <f t="shared" si="18"/>
        <v>0</v>
      </c>
      <c r="AY805" s="30" t="s">
        <v>1345</v>
      </c>
      <c r="AZ805" s="30" t="s">
        <v>1238</v>
      </c>
      <c r="BA805" s="10" t="s">
        <v>1055</v>
      </c>
      <c r="BC805" s="28">
        <f t="shared" si="19"/>
        <v>0</v>
      </c>
      <c r="BD805" s="28">
        <f t="shared" si="20"/>
        <v>0</v>
      </c>
      <c r="BE805" s="28">
        <v>0</v>
      </c>
      <c r="BF805" s="28">
        <f>805</f>
        <v>805</v>
      </c>
      <c r="BH805" s="28">
        <f t="shared" si="21"/>
        <v>0</v>
      </c>
      <c r="BI805" s="28">
        <f t="shared" si="22"/>
        <v>0</v>
      </c>
      <c r="BJ805" s="28">
        <f t="shared" si="23"/>
        <v>0</v>
      </c>
      <c r="BK805" s="28"/>
      <c r="BL805" s="28">
        <v>766</v>
      </c>
      <c r="BW805" s="28">
        <v>21</v>
      </c>
      <c r="BX805" s="4" t="s">
        <v>1421</v>
      </c>
    </row>
    <row r="806" spans="1:76" ht="14.4" x14ac:dyDescent="0.3">
      <c r="A806" s="2" t="s">
        <v>1422</v>
      </c>
      <c r="B806" s="3" t="s">
        <v>1423</v>
      </c>
      <c r="C806" s="75" t="s">
        <v>1424</v>
      </c>
      <c r="D806" s="70"/>
      <c r="E806" s="3" t="s">
        <v>1381</v>
      </c>
      <c r="F806" s="28">
        <v>8</v>
      </c>
      <c r="G806" s="28">
        <v>0</v>
      </c>
      <c r="H806" s="28">
        <f t="shared" si="0"/>
        <v>0</v>
      </c>
      <c r="I806" s="28">
        <f t="shared" si="1"/>
        <v>0</v>
      </c>
      <c r="J806" s="28">
        <f t="shared" si="2"/>
        <v>0</v>
      </c>
      <c r="K806" s="29" t="s">
        <v>1374</v>
      </c>
      <c r="Z806" s="28">
        <f t="shared" si="3"/>
        <v>0</v>
      </c>
      <c r="AB806" s="28">
        <f t="shared" si="4"/>
        <v>0</v>
      </c>
      <c r="AC806" s="28">
        <f t="shared" si="5"/>
        <v>0</v>
      </c>
      <c r="AD806" s="28">
        <f t="shared" si="6"/>
        <v>0</v>
      </c>
      <c r="AE806" s="28">
        <f t="shared" si="7"/>
        <v>0</v>
      </c>
      <c r="AF806" s="28">
        <f t="shared" si="8"/>
        <v>0</v>
      </c>
      <c r="AG806" s="28">
        <f t="shared" si="9"/>
        <v>0</v>
      </c>
      <c r="AH806" s="28">
        <f t="shared" si="10"/>
        <v>0</v>
      </c>
      <c r="AI806" s="10" t="s">
        <v>1050</v>
      </c>
      <c r="AJ806" s="28">
        <f t="shared" si="11"/>
        <v>0</v>
      </c>
      <c r="AK806" s="28">
        <f t="shared" si="12"/>
        <v>0</v>
      </c>
      <c r="AL806" s="28">
        <f t="shared" si="13"/>
        <v>0</v>
      </c>
      <c r="AN806" s="28">
        <v>21</v>
      </c>
      <c r="AO806" s="28">
        <f t="shared" si="14"/>
        <v>0</v>
      </c>
      <c r="AP806" s="28">
        <f t="shared" si="15"/>
        <v>0</v>
      </c>
      <c r="AQ806" s="30" t="s">
        <v>118</v>
      </c>
      <c r="AV806" s="28">
        <f t="shared" si="16"/>
        <v>0</v>
      </c>
      <c r="AW806" s="28">
        <f t="shared" si="17"/>
        <v>0</v>
      </c>
      <c r="AX806" s="28">
        <f t="shared" si="18"/>
        <v>0</v>
      </c>
      <c r="AY806" s="30" t="s">
        <v>1345</v>
      </c>
      <c r="AZ806" s="30" t="s">
        <v>1238</v>
      </c>
      <c r="BA806" s="10" t="s">
        <v>1055</v>
      </c>
      <c r="BC806" s="28">
        <f t="shared" si="19"/>
        <v>0</v>
      </c>
      <c r="BD806" s="28">
        <f t="shared" si="20"/>
        <v>0</v>
      </c>
      <c r="BE806" s="28">
        <v>0</v>
      </c>
      <c r="BF806" s="28">
        <f>806</f>
        <v>806</v>
      </c>
      <c r="BH806" s="28">
        <f t="shared" si="21"/>
        <v>0</v>
      </c>
      <c r="BI806" s="28">
        <f t="shared" si="22"/>
        <v>0</v>
      </c>
      <c r="BJ806" s="28">
        <f t="shared" si="23"/>
        <v>0</v>
      </c>
      <c r="BK806" s="28"/>
      <c r="BL806" s="28">
        <v>766</v>
      </c>
      <c r="BW806" s="28">
        <v>21</v>
      </c>
      <c r="BX806" s="4" t="s">
        <v>1424</v>
      </c>
    </row>
    <row r="807" spans="1:76" ht="14.4" x14ac:dyDescent="0.3">
      <c r="A807" s="2" t="s">
        <v>1425</v>
      </c>
      <c r="B807" s="3" t="s">
        <v>1426</v>
      </c>
      <c r="C807" s="75" t="s">
        <v>1427</v>
      </c>
      <c r="D807" s="70"/>
      <c r="E807" s="3" t="s">
        <v>293</v>
      </c>
      <c r="F807" s="28">
        <v>6</v>
      </c>
      <c r="G807" s="28">
        <v>0</v>
      </c>
      <c r="H807" s="28">
        <f t="shared" si="0"/>
        <v>0</v>
      </c>
      <c r="I807" s="28">
        <f t="shared" si="1"/>
        <v>0</v>
      </c>
      <c r="J807" s="28">
        <f t="shared" si="2"/>
        <v>0</v>
      </c>
      <c r="K807" s="29" t="s">
        <v>1374</v>
      </c>
      <c r="Z807" s="28">
        <f t="shared" si="3"/>
        <v>0</v>
      </c>
      <c r="AB807" s="28">
        <f t="shared" si="4"/>
        <v>0</v>
      </c>
      <c r="AC807" s="28">
        <f t="shared" si="5"/>
        <v>0</v>
      </c>
      <c r="AD807" s="28">
        <f t="shared" si="6"/>
        <v>0</v>
      </c>
      <c r="AE807" s="28">
        <f t="shared" si="7"/>
        <v>0</v>
      </c>
      <c r="AF807" s="28">
        <f t="shared" si="8"/>
        <v>0</v>
      </c>
      <c r="AG807" s="28">
        <f t="shared" si="9"/>
        <v>0</v>
      </c>
      <c r="AH807" s="28">
        <f t="shared" si="10"/>
        <v>0</v>
      </c>
      <c r="AI807" s="10" t="s">
        <v>1050</v>
      </c>
      <c r="AJ807" s="28">
        <f t="shared" si="11"/>
        <v>0</v>
      </c>
      <c r="AK807" s="28">
        <f t="shared" si="12"/>
        <v>0</v>
      </c>
      <c r="AL807" s="28">
        <f t="shared" si="13"/>
        <v>0</v>
      </c>
      <c r="AN807" s="28">
        <v>21</v>
      </c>
      <c r="AO807" s="28">
        <f t="shared" si="14"/>
        <v>0</v>
      </c>
      <c r="AP807" s="28">
        <f t="shared" si="15"/>
        <v>0</v>
      </c>
      <c r="AQ807" s="30" t="s">
        <v>118</v>
      </c>
      <c r="AV807" s="28">
        <f t="shared" si="16"/>
        <v>0</v>
      </c>
      <c r="AW807" s="28">
        <f t="shared" si="17"/>
        <v>0</v>
      </c>
      <c r="AX807" s="28">
        <f t="shared" si="18"/>
        <v>0</v>
      </c>
      <c r="AY807" s="30" t="s">
        <v>1345</v>
      </c>
      <c r="AZ807" s="30" t="s">
        <v>1238</v>
      </c>
      <c r="BA807" s="10" t="s">
        <v>1055</v>
      </c>
      <c r="BC807" s="28">
        <f t="shared" si="19"/>
        <v>0</v>
      </c>
      <c r="BD807" s="28">
        <f t="shared" si="20"/>
        <v>0</v>
      </c>
      <c r="BE807" s="28">
        <v>0</v>
      </c>
      <c r="BF807" s="28">
        <f>807</f>
        <v>807</v>
      </c>
      <c r="BH807" s="28">
        <f t="shared" si="21"/>
        <v>0</v>
      </c>
      <c r="BI807" s="28">
        <f t="shared" si="22"/>
        <v>0</v>
      </c>
      <c r="BJ807" s="28">
        <f t="shared" si="23"/>
        <v>0</v>
      </c>
      <c r="BK807" s="28"/>
      <c r="BL807" s="28">
        <v>766</v>
      </c>
      <c r="BW807" s="28">
        <v>21</v>
      </c>
      <c r="BX807" s="4" t="s">
        <v>1427</v>
      </c>
    </row>
    <row r="808" spans="1:76" ht="14.4" x14ac:dyDescent="0.3">
      <c r="A808" s="2" t="s">
        <v>1428</v>
      </c>
      <c r="B808" s="3" t="s">
        <v>1429</v>
      </c>
      <c r="C808" s="75" t="s">
        <v>1430</v>
      </c>
      <c r="D808" s="70"/>
      <c r="E808" s="3" t="s">
        <v>1381</v>
      </c>
      <c r="F808" s="28">
        <v>210</v>
      </c>
      <c r="G808" s="28">
        <v>0</v>
      </c>
      <c r="H808" s="28">
        <f t="shared" si="0"/>
        <v>0</v>
      </c>
      <c r="I808" s="28">
        <f t="shared" si="1"/>
        <v>0</v>
      </c>
      <c r="J808" s="28">
        <f t="shared" si="2"/>
        <v>0</v>
      </c>
      <c r="K808" s="29" t="s">
        <v>51</v>
      </c>
      <c r="Z808" s="28">
        <f t="shared" si="3"/>
        <v>0</v>
      </c>
      <c r="AB808" s="28">
        <f t="shared" si="4"/>
        <v>0</v>
      </c>
      <c r="AC808" s="28">
        <f t="shared" si="5"/>
        <v>0</v>
      </c>
      <c r="AD808" s="28">
        <f t="shared" si="6"/>
        <v>0</v>
      </c>
      <c r="AE808" s="28">
        <f t="shared" si="7"/>
        <v>0</v>
      </c>
      <c r="AF808" s="28">
        <f t="shared" si="8"/>
        <v>0</v>
      </c>
      <c r="AG808" s="28">
        <f t="shared" si="9"/>
        <v>0</v>
      </c>
      <c r="AH808" s="28">
        <f t="shared" si="10"/>
        <v>0</v>
      </c>
      <c r="AI808" s="10" t="s">
        <v>1050</v>
      </c>
      <c r="AJ808" s="28">
        <f t="shared" si="11"/>
        <v>0</v>
      </c>
      <c r="AK808" s="28">
        <f t="shared" si="12"/>
        <v>0</v>
      </c>
      <c r="AL808" s="28">
        <f t="shared" si="13"/>
        <v>0</v>
      </c>
      <c r="AN808" s="28">
        <v>21</v>
      </c>
      <c r="AO808" s="28">
        <f t="shared" si="14"/>
        <v>0</v>
      </c>
      <c r="AP808" s="28">
        <f t="shared" si="15"/>
        <v>0</v>
      </c>
      <c r="AQ808" s="30" t="s">
        <v>118</v>
      </c>
      <c r="AV808" s="28">
        <f t="shared" si="16"/>
        <v>0</v>
      </c>
      <c r="AW808" s="28">
        <f t="shared" si="17"/>
        <v>0</v>
      </c>
      <c r="AX808" s="28">
        <f t="shared" si="18"/>
        <v>0</v>
      </c>
      <c r="AY808" s="30" t="s">
        <v>1345</v>
      </c>
      <c r="AZ808" s="30" t="s">
        <v>1238</v>
      </c>
      <c r="BA808" s="10" t="s">
        <v>1055</v>
      </c>
      <c r="BC808" s="28">
        <f t="shared" si="19"/>
        <v>0</v>
      </c>
      <c r="BD808" s="28">
        <f t="shared" si="20"/>
        <v>0</v>
      </c>
      <c r="BE808" s="28">
        <v>0</v>
      </c>
      <c r="BF808" s="28">
        <f>808</f>
        <v>808</v>
      </c>
      <c r="BH808" s="28">
        <f t="shared" si="21"/>
        <v>0</v>
      </c>
      <c r="BI808" s="28">
        <f t="shared" si="22"/>
        <v>0</v>
      </c>
      <c r="BJ808" s="28">
        <f t="shared" si="23"/>
        <v>0</v>
      </c>
      <c r="BK808" s="28"/>
      <c r="BL808" s="28">
        <v>766</v>
      </c>
      <c r="BW808" s="28">
        <v>21</v>
      </c>
      <c r="BX808" s="4" t="s">
        <v>1430</v>
      </c>
    </row>
    <row r="809" spans="1:76" ht="14.4" x14ac:dyDescent="0.3">
      <c r="A809" s="2" t="s">
        <v>1431</v>
      </c>
      <c r="B809" s="3" t="s">
        <v>1432</v>
      </c>
      <c r="C809" s="75" t="s">
        <v>1433</v>
      </c>
      <c r="D809" s="70"/>
      <c r="E809" s="3" t="s">
        <v>103</v>
      </c>
      <c r="F809" s="28">
        <v>26</v>
      </c>
      <c r="G809" s="28">
        <v>0</v>
      </c>
      <c r="H809" s="28">
        <f t="shared" si="0"/>
        <v>0</v>
      </c>
      <c r="I809" s="28">
        <f t="shared" si="1"/>
        <v>0</v>
      </c>
      <c r="J809" s="28">
        <f t="shared" si="2"/>
        <v>0</v>
      </c>
      <c r="K809" s="29" t="s">
        <v>60</v>
      </c>
      <c r="Z809" s="28">
        <f t="shared" si="3"/>
        <v>0</v>
      </c>
      <c r="AB809" s="28">
        <f t="shared" si="4"/>
        <v>0</v>
      </c>
      <c r="AC809" s="28">
        <f t="shared" si="5"/>
        <v>0</v>
      </c>
      <c r="AD809" s="28">
        <f t="shared" si="6"/>
        <v>0</v>
      </c>
      <c r="AE809" s="28">
        <f t="shared" si="7"/>
        <v>0</v>
      </c>
      <c r="AF809" s="28">
        <f t="shared" si="8"/>
        <v>0</v>
      </c>
      <c r="AG809" s="28">
        <f t="shared" si="9"/>
        <v>0</v>
      </c>
      <c r="AH809" s="28">
        <f t="shared" si="10"/>
        <v>0</v>
      </c>
      <c r="AI809" s="10" t="s">
        <v>1050</v>
      </c>
      <c r="AJ809" s="28">
        <f t="shared" si="11"/>
        <v>0</v>
      </c>
      <c r="AK809" s="28">
        <f t="shared" si="12"/>
        <v>0</v>
      </c>
      <c r="AL809" s="28">
        <f t="shared" si="13"/>
        <v>0</v>
      </c>
      <c r="AN809" s="28">
        <v>21</v>
      </c>
      <c r="AO809" s="28">
        <f>G809*0</f>
        <v>0</v>
      </c>
      <c r="AP809" s="28">
        <f>G809*(1-0)</f>
        <v>0</v>
      </c>
      <c r="AQ809" s="30" t="s">
        <v>118</v>
      </c>
      <c r="AV809" s="28">
        <f t="shared" si="16"/>
        <v>0</v>
      </c>
      <c r="AW809" s="28">
        <f t="shared" si="17"/>
        <v>0</v>
      </c>
      <c r="AX809" s="28">
        <f t="shared" si="18"/>
        <v>0</v>
      </c>
      <c r="AY809" s="30" t="s">
        <v>1345</v>
      </c>
      <c r="AZ809" s="30" t="s">
        <v>1238</v>
      </c>
      <c r="BA809" s="10" t="s">
        <v>1055</v>
      </c>
      <c r="BC809" s="28">
        <f t="shared" si="19"/>
        <v>0</v>
      </c>
      <c r="BD809" s="28">
        <f t="shared" si="20"/>
        <v>0</v>
      </c>
      <c r="BE809" s="28">
        <v>0</v>
      </c>
      <c r="BF809" s="28">
        <f>809</f>
        <v>809</v>
      </c>
      <c r="BH809" s="28">
        <f t="shared" si="21"/>
        <v>0</v>
      </c>
      <c r="BI809" s="28">
        <f t="shared" si="22"/>
        <v>0</v>
      </c>
      <c r="BJ809" s="28">
        <f t="shared" si="23"/>
        <v>0</v>
      </c>
      <c r="BK809" s="28"/>
      <c r="BL809" s="28">
        <v>766</v>
      </c>
      <c r="BW809" s="28">
        <v>21</v>
      </c>
      <c r="BX809" s="4" t="s">
        <v>1433</v>
      </c>
    </row>
    <row r="810" spans="1:76" ht="14.4" x14ac:dyDescent="0.3">
      <c r="A810" s="31"/>
      <c r="C810" s="32" t="s">
        <v>231</v>
      </c>
      <c r="D810" s="32" t="s">
        <v>1434</v>
      </c>
      <c r="F810" s="33">
        <v>26</v>
      </c>
      <c r="K810" s="34"/>
    </row>
    <row r="811" spans="1:76" ht="26.4" x14ac:dyDescent="0.3">
      <c r="A811" s="31"/>
      <c r="B811" s="35" t="s">
        <v>68</v>
      </c>
      <c r="C811" s="93" t="s">
        <v>1435</v>
      </c>
      <c r="D811" s="94"/>
      <c r="E811" s="94"/>
      <c r="F811" s="94"/>
      <c r="G811" s="94"/>
      <c r="H811" s="94"/>
      <c r="I811" s="94"/>
      <c r="J811" s="94"/>
      <c r="K811" s="95"/>
      <c r="BX811" s="36" t="s">
        <v>1435</v>
      </c>
    </row>
    <row r="812" spans="1:76" ht="14.4" x14ac:dyDescent="0.3">
      <c r="A812" s="2" t="s">
        <v>1436</v>
      </c>
      <c r="B812" s="3" t="s">
        <v>1437</v>
      </c>
      <c r="C812" s="75" t="s">
        <v>1438</v>
      </c>
      <c r="D812" s="70"/>
      <c r="E812" s="3" t="s">
        <v>1381</v>
      </c>
      <c r="F812" s="28">
        <v>2</v>
      </c>
      <c r="G812" s="28">
        <v>0</v>
      </c>
      <c r="H812" s="28">
        <f t="shared" ref="H812:H823" si="24">ROUND(F812*AO812,2)</f>
        <v>0</v>
      </c>
      <c r="I812" s="28">
        <f t="shared" ref="I812:I823" si="25">ROUND(F812*AP812,2)</f>
        <v>0</v>
      </c>
      <c r="J812" s="28">
        <f t="shared" ref="J812:J823" si="26">ROUND(F812*G812,2)</f>
        <v>0</v>
      </c>
      <c r="K812" s="29" t="s">
        <v>1374</v>
      </c>
      <c r="Z812" s="28">
        <f t="shared" ref="Z812:Z823" si="27">ROUND(IF(AQ812="5",BJ812,0),2)</f>
        <v>0</v>
      </c>
      <c r="AB812" s="28">
        <f t="shared" ref="AB812:AB823" si="28">ROUND(IF(AQ812="1",BH812,0),2)</f>
        <v>0</v>
      </c>
      <c r="AC812" s="28">
        <f t="shared" ref="AC812:AC823" si="29">ROUND(IF(AQ812="1",BI812,0),2)</f>
        <v>0</v>
      </c>
      <c r="AD812" s="28">
        <f t="shared" ref="AD812:AD823" si="30">ROUND(IF(AQ812="7",BH812,0),2)</f>
        <v>0</v>
      </c>
      <c r="AE812" s="28">
        <f t="shared" ref="AE812:AE823" si="31">ROUND(IF(AQ812="7",BI812,0),2)</f>
        <v>0</v>
      </c>
      <c r="AF812" s="28">
        <f t="shared" ref="AF812:AF823" si="32">ROUND(IF(AQ812="2",BH812,0),2)</f>
        <v>0</v>
      </c>
      <c r="AG812" s="28">
        <f t="shared" ref="AG812:AG823" si="33">ROUND(IF(AQ812="2",BI812,0),2)</f>
        <v>0</v>
      </c>
      <c r="AH812" s="28">
        <f t="shared" ref="AH812:AH823" si="34">ROUND(IF(AQ812="0",BJ812,0),2)</f>
        <v>0</v>
      </c>
      <c r="AI812" s="10" t="s">
        <v>1050</v>
      </c>
      <c r="AJ812" s="28">
        <f t="shared" ref="AJ812:AJ823" si="35">IF(AN812=0,J812,0)</f>
        <v>0</v>
      </c>
      <c r="AK812" s="28">
        <f t="shared" ref="AK812:AK823" si="36">IF(AN812=12,J812,0)</f>
        <v>0</v>
      </c>
      <c r="AL812" s="28">
        <f t="shared" ref="AL812:AL823" si="37">IF(AN812=21,J812,0)</f>
        <v>0</v>
      </c>
      <c r="AN812" s="28">
        <v>21</v>
      </c>
      <c r="AO812" s="28">
        <f t="shared" ref="AO812:AO822" si="38">G812*1</f>
        <v>0</v>
      </c>
      <c r="AP812" s="28">
        <f t="shared" ref="AP812:AP822" si="39">G812*(1-1)</f>
        <v>0</v>
      </c>
      <c r="AQ812" s="30" t="s">
        <v>118</v>
      </c>
      <c r="AV812" s="28">
        <f t="shared" ref="AV812:AV823" si="40">ROUND(AW812+AX812,2)</f>
        <v>0</v>
      </c>
      <c r="AW812" s="28">
        <f t="shared" ref="AW812:AW823" si="41">ROUND(F812*AO812,2)</f>
        <v>0</v>
      </c>
      <c r="AX812" s="28">
        <f t="shared" ref="AX812:AX823" si="42">ROUND(F812*AP812,2)</f>
        <v>0</v>
      </c>
      <c r="AY812" s="30" t="s">
        <v>1345</v>
      </c>
      <c r="AZ812" s="30" t="s">
        <v>1238</v>
      </c>
      <c r="BA812" s="10" t="s">
        <v>1055</v>
      </c>
      <c r="BC812" s="28">
        <f t="shared" ref="BC812:BC823" si="43">AW812+AX812</f>
        <v>0</v>
      </c>
      <c r="BD812" s="28">
        <f t="shared" ref="BD812:BD823" si="44">G812/(100-BE812)*100</f>
        <v>0</v>
      </c>
      <c r="BE812" s="28">
        <v>0</v>
      </c>
      <c r="BF812" s="28">
        <f>812</f>
        <v>812</v>
      </c>
      <c r="BH812" s="28">
        <f t="shared" ref="BH812:BH823" si="45">F812*AO812</f>
        <v>0</v>
      </c>
      <c r="BI812" s="28">
        <f t="shared" ref="BI812:BI823" si="46">F812*AP812</f>
        <v>0</v>
      </c>
      <c r="BJ812" s="28">
        <f t="shared" ref="BJ812:BJ823" si="47">F812*G812</f>
        <v>0</v>
      </c>
      <c r="BK812" s="28"/>
      <c r="BL812" s="28">
        <v>766</v>
      </c>
      <c r="BW812" s="28">
        <v>21</v>
      </c>
      <c r="BX812" s="4" t="s">
        <v>1438</v>
      </c>
    </row>
    <row r="813" spans="1:76" ht="14.4" x14ac:dyDescent="0.3">
      <c r="A813" s="2" t="s">
        <v>1439</v>
      </c>
      <c r="B813" s="3" t="s">
        <v>1398</v>
      </c>
      <c r="C813" s="75" t="s">
        <v>1399</v>
      </c>
      <c r="D813" s="70"/>
      <c r="E813" s="3" t="s">
        <v>1381</v>
      </c>
      <c r="F813" s="28">
        <v>5</v>
      </c>
      <c r="G813" s="28">
        <v>0</v>
      </c>
      <c r="H813" s="28">
        <f t="shared" si="24"/>
        <v>0</v>
      </c>
      <c r="I813" s="28">
        <f t="shared" si="25"/>
        <v>0</v>
      </c>
      <c r="J813" s="28">
        <f t="shared" si="26"/>
        <v>0</v>
      </c>
      <c r="K813" s="29" t="s">
        <v>1374</v>
      </c>
      <c r="Z813" s="28">
        <f t="shared" si="27"/>
        <v>0</v>
      </c>
      <c r="AB813" s="28">
        <f t="shared" si="28"/>
        <v>0</v>
      </c>
      <c r="AC813" s="28">
        <f t="shared" si="29"/>
        <v>0</v>
      </c>
      <c r="AD813" s="28">
        <f t="shared" si="30"/>
        <v>0</v>
      </c>
      <c r="AE813" s="28">
        <f t="shared" si="31"/>
        <v>0</v>
      </c>
      <c r="AF813" s="28">
        <f t="shared" si="32"/>
        <v>0</v>
      </c>
      <c r="AG813" s="28">
        <f t="shared" si="33"/>
        <v>0</v>
      </c>
      <c r="AH813" s="28">
        <f t="shared" si="34"/>
        <v>0</v>
      </c>
      <c r="AI813" s="10" t="s">
        <v>1050</v>
      </c>
      <c r="AJ813" s="28">
        <f t="shared" si="35"/>
        <v>0</v>
      </c>
      <c r="AK813" s="28">
        <f t="shared" si="36"/>
        <v>0</v>
      </c>
      <c r="AL813" s="28">
        <f t="shared" si="37"/>
        <v>0</v>
      </c>
      <c r="AN813" s="28">
        <v>21</v>
      </c>
      <c r="AO813" s="28">
        <f t="shared" si="38"/>
        <v>0</v>
      </c>
      <c r="AP813" s="28">
        <f t="shared" si="39"/>
        <v>0</v>
      </c>
      <c r="AQ813" s="30" t="s">
        <v>118</v>
      </c>
      <c r="AV813" s="28">
        <f t="shared" si="40"/>
        <v>0</v>
      </c>
      <c r="AW813" s="28">
        <f t="shared" si="41"/>
        <v>0</v>
      </c>
      <c r="AX813" s="28">
        <f t="shared" si="42"/>
        <v>0</v>
      </c>
      <c r="AY813" s="30" t="s">
        <v>1345</v>
      </c>
      <c r="AZ813" s="30" t="s">
        <v>1238</v>
      </c>
      <c r="BA813" s="10" t="s">
        <v>1055</v>
      </c>
      <c r="BC813" s="28">
        <f t="shared" si="43"/>
        <v>0</v>
      </c>
      <c r="BD813" s="28">
        <f t="shared" si="44"/>
        <v>0</v>
      </c>
      <c r="BE813" s="28">
        <v>0</v>
      </c>
      <c r="BF813" s="28">
        <f>813</f>
        <v>813</v>
      </c>
      <c r="BH813" s="28">
        <f t="shared" si="45"/>
        <v>0</v>
      </c>
      <c r="BI813" s="28">
        <f t="shared" si="46"/>
        <v>0</v>
      </c>
      <c r="BJ813" s="28">
        <f t="shared" si="47"/>
        <v>0</v>
      </c>
      <c r="BK813" s="28"/>
      <c r="BL813" s="28">
        <v>766</v>
      </c>
      <c r="BW813" s="28">
        <v>21</v>
      </c>
      <c r="BX813" s="4" t="s">
        <v>1399</v>
      </c>
    </row>
    <row r="814" spans="1:76" ht="14.4" x14ac:dyDescent="0.3">
      <c r="A814" s="2" t="s">
        <v>1440</v>
      </c>
      <c r="B814" s="3" t="s">
        <v>1441</v>
      </c>
      <c r="C814" s="75" t="s">
        <v>1442</v>
      </c>
      <c r="D814" s="70"/>
      <c r="E814" s="3" t="s">
        <v>459</v>
      </c>
      <c r="F814" s="28">
        <v>1</v>
      </c>
      <c r="G814" s="28">
        <v>0</v>
      </c>
      <c r="H814" s="28">
        <f t="shared" si="24"/>
        <v>0</v>
      </c>
      <c r="I814" s="28">
        <f t="shared" si="25"/>
        <v>0</v>
      </c>
      <c r="J814" s="28">
        <f t="shared" si="26"/>
        <v>0</v>
      </c>
      <c r="K814" s="29" t="s">
        <v>1374</v>
      </c>
      <c r="Z814" s="28">
        <f t="shared" si="27"/>
        <v>0</v>
      </c>
      <c r="AB814" s="28">
        <f t="shared" si="28"/>
        <v>0</v>
      </c>
      <c r="AC814" s="28">
        <f t="shared" si="29"/>
        <v>0</v>
      </c>
      <c r="AD814" s="28">
        <f t="shared" si="30"/>
        <v>0</v>
      </c>
      <c r="AE814" s="28">
        <f t="shared" si="31"/>
        <v>0</v>
      </c>
      <c r="AF814" s="28">
        <f t="shared" si="32"/>
        <v>0</v>
      </c>
      <c r="AG814" s="28">
        <f t="shared" si="33"/>
        <v>0</v>
      </c>
      <c r="AH814" s="28">
        <f t="shared" si="34"/>
        <v>0</v>
      </c>
      <c r="AI814" s="10" t="s">
        <v>1050</v>
      </c>
      <c r="AJ814" s="28">
        <f t="shared" si="35"/>
        <v>0</v>
      </c>
      <c r="AK814" s="28">
        <f t="shared" si="36"/>
        <v>0</v>
      </c>
      <c r="AL814" s="28">
        <f t="shared" si="37"/>
        <v>0</v>
      </c>
      <c r="AN814" s="28">
        <v>21</v>
      </c>
      <c r="AO814" s="28">
        <f t="shared" si="38"/>
        <v>0</v>
      </c>
      <c r="AP814" s="28">
        <f t="shared" si="39"/>
        <v>0</v>
      </c>
      <c r="AQ814" s="30" t="s">
        <v>118</v>
      </c>
      <c r="AV814" s="28">
        <f t="shared" si="40"/>
        <v>0</v>
      </c>
      <c r="AW814" s="28">
        <f t="shared" si="41"/>
        <v>0</v>
      </c>
      <c r="AX814" s="28">
        <f t="shared" si="42"/>
        <v>0</v>
      </c>
      <c r="AY814" s="30" t="s">
        <v>1345</v>
      </c>
      <c r="AZ814" s="30" t="s">
        <v>1238</v>
      </c>
      <c r="BA814" s="10" t="s">
        <v>1055</v>
      </c>
      <c r="BC814" s="28">
        <f t="shared" si="43"/>
        <v>0</v>
      </c>
      <c r="BD814" s="28">
        <f t="shared" si="44"/>
        <v>0</v>
      </c>
      <c r="BE814" s="28">
        <v>0</v>
      </c>
      <c r="BF814" s="28">
        <f>814</f>
        <v>814</v>
      </c>
      <c r="BH814" s="28">
        <f t="shared" si="45"/>
        <v>0</v>
      </c>
      <c r="BI814" s="28">
        <f t="shared" si="46"/>
        <v>0</v>
      </c>
      <c r="BJ814" s="28">
        <f t="shared" si="47"/>
        <v>0</v>
      </c>
      <c r="BK814" s="28"/>
      <c r="BL814" s="28">
        <v>766</v>
      </c>
      <c r="BW814" s="28">
        <v>21</v>
      </c>
      <c r="BX814" s="4" t="s">
        <v>1442</v>
      </c>
    </row>
    <row r="815" spans="1:76" ht="14.4" x14ac:dyDescent="0.3">
      <c r="A815" s="2" t="s">
        <v>1443</v>
      </c>
      <c r="B815" s="3" t="s">
        <v>1444</v>
      </c>
      <c r="C815" s="75" t="s">
        <v>1445</v>
      </c>
      <c r="D815" s="70"/>
      <c r="E815" s="3" t="s">
        <v>931</v>
      </c>
      <c r="F815" s="28">
        <v>11.6</v>
      </c>
      <c r="G815" s="28">
        <v>0</v>
      </c>
      <c r="H815" s="28">
        <f t="shared" si="24"/>
        <v>0</v>
      </c>
      <c r="I815" s="28">
        <f t="shared" si="25"/>
        <v>0</v>
      </c>
      <c r="J815" s="28">
        <f t="shared" si="26"/>
        <v>0</v>
      </c>
      <c r="K815" s="29" t="s">
        <v>1374</v>
      </c>
      <c r="Z815" s="28">
        <f t="shared" si="27"/>
        <v>0</v>
      </c>
      <c r="AB815" s="28">
        <f t="shared" si="28"/>
        <v>0</v>
      </c>
      <c r="AC815" s="28">
        <f t="shared" si="29"/>
        <v>0</v>
      </c>
      <c r="AD815" s="28">
        <f t="shared" si="30"/>
        <v>0</v>
      </c>
      <c r="AE815" s="28">
        <f t="shared" si="31"/>
        <v>0</v>
      </c>
      <c r="AF815" s="28">
        <f t="shared" si="32"/>
        <v>0</v>
      </c>
      <c r="AG815" s="28">
        <f t="shared" si="33"/>
        <v>0</v>
      </c>
      <c r="AH815" s="28">
        <f t="shared" si="34"/>
        <v>0</v>
      </c>
      <c r="AI815" s="10" t="s">
        <v>1050</v>
      </c>
      <c r="AJ815" s="28">
        <f t="shared" si="35"/>
        <v>0</v>
      </c>
      <c r="AK815" s="28">
        <f t="shared" si="36"/>
        <v>0</v>
      </c>
      <c r="AL815" s="28">
        <f t="shared" si="37"/>
        <v>0</v>
      </c>
      <c r="AN815" s="28">
        <v>21</v>
      </c>
      <c r="AO815" s="28">
        <f t="shared" si="38"/>
        <v>0</v>
      </c>
      <c r="AP815" s="28">
        <f t="shared" si="39"/>
        <v>0</v>
      </c>
      <c r="AQ815" s="30" t="s">
        <v>118</v>
      </c>
      <c r="AV815" s="28">
        <f t="shared" si="40"/>
        <v>0</v>
      </c>
      <c r="AW815" s="28">
        <f t="shared" si="41"/>
        <v>0</v>
      </c>
      <c r="AX815" s="28">
        <f t="shared" si="42"/>
        <v>0</v>
      </c>
      <c r="AY815" s="30" t="s">
        <v>1345</v>
      </c>
      <c r="AZ815" s="30" t="s">
        <v>1238</v>
      </c>
      <c r="BA815" s="10" t="s">
        <v>1055</v>
      </c>
      <c r="BC815" s="28">
        <f t="shared" si="43"/>
        <v>0</v>
      </c>
      <c r="BD815" s="28">
        <f t="shared" si="44"/>
        <v>0</v>
      </c>
      <c r="BE815" s="28">
        <v>0</v>
      </c>
      <c r="BF815" s="28">
        <f>815</f>
        <v>815</v>
      </c>
      <c r="BH815" s="28">
        <f t="shared" si="45"/>
        <v>0</v>
      </c>
      <c r="BI815" s="28">
        <f t="shared" si="46"/>
        <v>0</v>
      </c>
      <c r="BJ815" s="28">
        <f t="shared" si="47"/>
        <v>0</v>
      </c>
      <c r="BK815" s="28"/>
      <c r="BL815" s="28">
        <v>766</v>
      </c>
      <c r="BW815" s="28">
        <v>21</v>
      </c>
      <c r="BX815" s="4" t="s">
        <v>1445</v>
      </c>
    </row>
    <row r="816" spans="1:76" ht="14.4" x14ac:dyDescent="0.3">
      <c r="A816" s="2" t="s">
        <v>1446</v>
      </c>
      <c r="B816" s="3" t="s">
        <v>1447</v>
      </c>
      <c r="C816" s="75" t="s">
        <v>1448</v>
      </c>
      <c r="D816" s="70"/>
      <c r="E816" s="3" t="s">
        <v>1381</v>
      </c>
      <c r="F816" s="28">
        <v>300</v>
      </c>
      <c r="G816" s="28">
        <v>0</v>
      </c>
      <c r="H816" s="28">
        <f t="shared" si="24"/>
        <v>0</v>
      </c>
      <c r="I816" s="28">
        <f t="shared" si="25"/>
        <v>0</v>
      </c>
      <c r="J816" s="28">
        <f t="shared" si="26"/>
        <v>0</v>
      </c>
      <c r="K816" s="29" t="s">
        <v>1374</v>
      </c>
      <c r="Z816" s="28">
        <f t="shared" si="27"/>
        <v>0</v>
      </c>
      <c r="AB816" s="28">
        <f t="shared" si="28"/>
        <v>0</v>
      </c>
      <c r="AC816" s="28">
        <f t="shared" si="29"/>
        <v>0</v>
      </c>
      <c r="AD816" s="28">
        <f t="shared" si="30"/>
        <v>0</v>
      </c>
      <c r="AE816" s="28">
        <f t="shared" si="31"/>
        <v>0</v>
      </c>
      <c r="AF816" s="28">
        <f t="shared" si="32"/>
        <v>0</v>
      </c>
      <c r="AG816" s="28">
        <f t="shared" si="33"/>
        <v>0</v>
      </c>
      <c r="AH816" s="28">
        <f t="shared" si="34"/>
        <v>0</v>
      </c>
      <c r="AI816" s="10" t="s">
        <v>1050</v>
      </c>
      <c r="AJ816" s="28">
        <f t="shared" si="35"/>
        <v>0</v>
      </c>
      <c r="AK816" s="28">
        <f t="shared" si="36"/>
        <v>0</v>
      </c>
      <c r="AL816" s="28">
        <f t="shared" si="37"/>
        <v>0</v>
      </c>
      <c r="AN816" s="28">
        <v>21</v>
      </c>
      <c r="AO816" s="28">
        <f t="shared" si="38"/>
        <v>0</v>
      </c>
      <c r="AP816" s="28">
        <f t="shared" si="39"/>
        <v>0</v>
      </c>
      <c r="AQ816" s="30" t="s">
        <v>118</v>
      </c>
      <c r="AV816" s="28">
        <f t="shared" si="40"/>
        <v>0</v>
      </c>
      <c r="AW816" s="28">
        <f t="shared" si="41"/>
        <v>0</v>
      </c>
      <c r="AX816" s="28">
        <f t="shared" si="42"/>
        <v>0</v>
      </c>
      <c r="AY816" s="30" t="s">
        <v>1345</v>
      </c>
      <c r="AZ816" s="30" t="s">
        <v>1238</v>
      </c>
      <c r="BA816" s="10" t="s">
        <v>1055</v>
      </c>
      <c r="BC816" s="28">
        <f t="shared" si="43"/>
        <v>0</v>
      </c>
      <c r="BD816" s="28">
        <f t="shared" si="44"/>
        <v>0</v>
      </c>
      <c r="BE816" s="28">
        <v>0</v>
      </c>
      <c r="BF816" s="28">
        <f>816</f>
        <v>816</v>
      </c>
      <c r="BH816" s="28">
        <f t="shared" si="45"/>
        <v>0</v>
      </c>
      <c r="BI816" s="28">
        <f t="shared" si="46"/>
        <v>0</v>
      </c>
      <c r="BJ816" s="28">
        <f t="shared" si="47"/>
        <v>0</v>
      </c>
      <c r="BK816" s="28"/>
      <c r="BL816" s="28">
        <v>766</v>
      </c>
      <c r="BW816" s="28">
        <v>21</v>
      </c>
      <c r="BX816" s="4" t="s">
        <v>1448</v>
      </c>
    </row>
    <row r="817" spans="1:76" ht="14.4" x14ac:dyDescent="0.3">
      <c r="A817" s="2" t="s">
        <v>1449</v>
      </c>
      <c r="B817" s="3" t="s">
        <v>1450</v>
      </c>
      <c r="C817" s="75" t="s">
        <v>1451</v>
      </c>
      <c r="D817" s="70"/>
      <c r="E817" s="3" t="s">
        <v>1381</v>
      </c>
      <c r="F817" s="28">
        <v>17</v>
      </c>
      <c r="G817" s="28">
        <v>0</v>
      </c>
      <c r="H817" s="28">
        <f t="shared" si="24"/>
        <v>0</v>
      </c>
      <c r="I817" s="28">
        <f t="shared" si="25"/>
        <v>0</v>
      </c>
      <c r="J817" s="28">
        <f t="shared" si="26"/>
        <v>0</v>
      </c>
      <c r="K817" s="29" t="s">
        <v>1374</v>
      </c>
      <c r="Z817" s="28">
        <f t="shared" si="27"/>
        <v>0</v>
      </c>
      <c r="AB817" s="28">
        <f t="shared" si="28"/>
        <v>0</v>
      </c>
      <c r="AC817" s="28">
        <f t="shared" si="29"/>
        <v>0</v>
      </c>
      <c r="AD817" s="28">
        <f t="shared" si="30"/>
        <v>0</v>
      </c>
      <c r="AE817" s="28">
        <f t="shared" si="31"/>
        <v>0</v>
      </c>
      <c r="AF817" s="28">
        <f t="shared" si="32"/>
        <v>0</v>
      </c>
      <c r="AG817" s="28">
        <f t="shared" si="33"/>
        <v>0</v>
      </c>
      <c r="AH817" s="28">
        <f t="shared" si="34"/>
        <v>0</v>
      </c>
      <c r="AI817" s="10" t="s">
        <v>1050</v>
      </c>
      <c r="AJ817" s="28">
        <f t="shared" si="35"/>
        <v>0</v>
      </c>
      <c r="AK817" s="28">
        <f t="shared" si="36"/>
        <v>0</v>
      </c>
      <c r="AL817" s="28">
        <f t="shared" si="37"/>
        <v>0</v>
      </c>
      <c r="AN817" s="28">
        <v>21</v>
      </c>
      <c r="AO817" s="28">
        <f t="shared" si="38"/>
        <v>0</v>
      </c>
      <c r="AP817" s="28">
        <f t="shared" si="39"/>
        <v>0</v>
      </c>
      <c r="AQ817" s="30" t="s">
        <v>118</v>
      </c>
      <c r="AV817" s="28">
        <f t="shared" si="40"/>
        <v>0</v>
      </c>
      <c r="AW817" s="28">
        <f t="shared" si="41"/>
        <v>0</v>
      </c>
      <c r="AX817" s="28">
        <f t="shared" si="42"/>
        <v>0</v>
      </c>
      <c r="AY817" s="30" t="s">
        <v>1345</v>
      </c>
      <c r="AZ817" s="30" t="s">
        <v>1238</v>
      </c>
      <c r="BA817" s="10" t="s">
        <v>1055</v>
      </c>
      <c r="BC817" s="28">
        <f t="shared" si="43"/>
        <v>0</v>
      </c>
      <c r="BD817" s="28">
        <f t="shared" si="44"/>
        <v>0</v>
      </c>
      <c r="BE817" s="28">
        <v>0</v>
      </c>
      <c r="BF817" s="28">
        <f>817</f>
        <v>817</v>
      </c>
      <c r="BH817" s="28">
        <f t="shared" si="45"/>
        <v>0</v>
      </c>
      <c r="BI817" s="28">
        <f t="shared" si="46"/>
        <v>0</v>
      </c>
      <c r="BJ817" s="28">
        <f t="shared" si="47"/>
        <v>0</v>
      </c>
      <c r="BK817" s="28"/>
      <c r="BL817" s="28">
        <v>766</v>
      </c>
      <c r="BW817" s="28">
        <v>21</v>
      </c>
      <c r="BX817" s="4" t="s">
        <v>1451</v>
      </c>
    </row>
    <row r="818" spans="1:76" ht="14.4" x14ac:dyDescent="0.3">
      <c r="A818" s="2" t="s">
        <v>1452</v>
      </c>
      <c r="B818" s="3" t="s">
        <v>1453</v>
      </c>
      <c r="C818" s="75" t="s">
        <v>1454</v>
      </c>
      <c r="D818" s="70"/>
      <c r="E818" s="3" t="s">
        <v>1381</v>
      </c>
      <c r="F818" s="28">
        <v>22</v>
      </c>
      <c r="G818" s="28">
        <v>0</v>
      </c>
      <c r="H818" s="28">
        <f t="shared" si="24"/>
        <v>0</v>
      </c>
      <c r="I818" s="28">
        <f t="shared" si="25"/>
        <v>0</v>
      </c>
      <c r="J818" s="28">
        <f t="shared" si="26"/>
        <v>0</v>
      </c>
      <c r="K818" s="29" t="s">
        <v>1374</v>
      </c>
      <c r="Z818" s="28">
        <f t="shared" si="27"/>
        <v>0</v>
      </c>
      <c r="AB818" s="28">
        <f t="shared" si="28"/>
        <v>0</v>
      </c>
      <c r="AC818" s="28">
        <f t="shared" si="29"/>
        <v>0</v>
      </c>
      <c r="AD818" s="28">
        <f t="shared" si="30"/>
        <v>0</v>
      </c>
      <c r="AE818" s="28">
        <f t="shared" si="31"/>
        <v>0</v>
      </c>
      <c r="AF818" s="28">
        <f t="shared" si="32"/>
        <v>0</v>
      </c>
      <c r="AG818" s="28">
        <f t="shared" si="33"/>
        <v>0</v>
      </c>
      <c r="AH818" s="28">
        <f t="shared" si="34"/>
        <v>0</v>
      </c>
      <c r="AI818" s="10" t="s">
        <v>1050</v>
      </c>
      <c r="AJ818" s="28">
        <f t="shared" si="35"/>
        <v>0</v>
      </c>
      <c r="AK818" s="28">
        <f t="shared" si="36"/>
        <v>0</v>
      </c>
      <c r="AL818" s="28">
        <f t="shared" si="37"/>
        <v>0</v>
      </c>
      <c r="AN818" s="28">
        <v>21</v>
      </c>
      <c r="AO818" s="28">
        <f t="shared" si="38"/>
        <v>0</v>
      </c>
      <c r="AP818" s="28">
        <f t="shared" si="39"/>
        <v>0</v>
      </c>
      <c r="AQ818" s="30" t="s">
        <v>118</v>
      </c>
      <c r="AV818" s="28">
        <f t="shared" si="40"/>
        <v>0</v>
      </c>
      <c r="AW818" s="28">
        <f t="shared" si="41"/>
        <v>0</v>
      </c>
      <c r="AX818" s="28">
        <f t="shared" si="42"/>
        <v>0</v>
      </c>
      <c r="AY818" s="30" t="s">
        <v>1345</v>
      </c>
      <c r="AZ818" s="30" t="s">
        <v>1238</v>
      </c>
      <c r="BA818" s="10" t="s">
        <v>1055</v>
      </c>
      <c r="BC818" s="28">
        <f t="shared" si="43"/>
        <v>0</v>
      </c>
      <c r="BD818" s="28">
        <f t="shared" si="44"/>
        <v>0</v>
      </c>
      <c r="BE818" s="28">
        <v>0</v>
      </c>
      <c r="BF818" s="28">
        <f>818</f>
        <v>818</v>
      </c>
      <c r="BH818" s="28">
        <f t="shared" si="45"/>
        <v>0</v>
      </c>
      <c r="BI818" s="28">
        <f t="shared" si="46"/>
        <v>0</v>
      </c>
      <c r="BJ818" s="28">
        <f t="shared" si="47"/>
        <v>0</v>
      </c>
      <c r="BK818" s="28"/>
      <c r="BL818" s="28">
        <v>766</v>
      </c>
      <c r="BW818" s="28">
        <v>21</v>
      </c>
      <c r="BX818" s="4" t="s">
        <v>1454</v>
      </c>
    </row>
    <row r="819" spans="1:76" ht="14.4" x14ac:dyDescent="0.3">
      <c r="A819" s="2" t="s">
        <v>752</v>
      </c>
      <c r="B819" s="3" t="s">
        <v>1455</v>
      </c>
      <c r="C819" s="75" t="s">
        <v>1456</v>
      </c>
      <c r="D819" s="70"/>
      <c r="E819" s="3" t="s">
        <v>1381</v>
      </c>
      <c r="F819" s="28">
        <v>56</v>
      </c>
      <c r="G819" s="28">
        <v>0</v>
      </c>
      <c r="H819" s="28">
        <f t="shared" si="24"/>
        <v>0</v>
      </c>
      <c r="I819" s="28">
        <f t="shared" si="25"/>
        <v>0</v>
      </c>
      <c r="J819" s="28">
        <f t="shared" si="26"/>
        <v>0</v>
      </c>
      <c r="K819" s="29" t="s">
        <v>1374</v>
      </c>
      <c r="Z819" s="28">
        <f t="shared" si="27"/>
        <v>0</v>
      </c>
      <c r="AB819" s="28">
        <f t="shared" si="28"/>
        <v>0</v>
      </c>
      <c r="AC819" s="28">
        <f t="shared" si="29"/>
        <v>0</v>
      </c>
      <c r="AD819" s="28">
        <f t="shared" si="30"/>
        <v>0</v>
      </c>
      <c r="AE819" s="28">
        <f t="shared" si="31"/>
        <v>0</v>
      </c>
      <c r="AF819" s="28">
        <f t="shared" si="32"/>
        <v>0</v>
      </c>
      <c r="AG819" s="28">
        <f t="shared" si="33"/>
        <v>0</v>
      </c>
      <c r="AH819" s="28">
        <f t="shared" si="34"/>
        <v>0</v>
      </c>
      <c r="AI819" s="10" t="s">
        <v>1050</v>
      </c>
      <c r="AJ819" s="28">
        <f t="shared" si="35"/>
        <v>0</v>
      </c>
      <c r="AK819" s="28">
        <f t="shared" si="36"/>
        <v>0</v>
      </c>
      <c r="AL819" s="28">
        <f t="shared" si="37"/>
        <v>0</v>
      </c>
      <c r="AN819" s="28">
        <v>21</v>
      </c>
      <c r="AO819" s="28">
        <f t="shared" si="38"/>
        <v>0</v>
      </c>
      <c r="AP819" s="28">
        <f t="shared" si="39"/>
        <v>0</v>
      </c>
      <c r="AQ819" s="30" t="s">
        <v>118</v>
      </c>
      <c r="AV819" s="28">
        <f t="shared" si="40"/>
        <v>0</v>
      </c>
      <c r="AW819" s="28">
        <f t="shared" si="41"/>
        <v>0</v>
      </c>
      <c r="AX819" s="28">
        <f t="shared" si="42"/>
        <v>0</v>
      </c>
      <c r="AY819" s="30" t="s">
        <v>1345</v>
      </c>
      <c r="AZ819" s="30" t="s">
        <v>1238</v>
      </c>
      <c r="BA819" s="10" t="s">
        <v>1055</v>
      </c>
      <c r="BC819" s="28">
        <f t="shared" si="43"/>
        <v>0</v>
      </c>
      <c r="BD819" s="28">
        <f t="shared" si="44"/>
        <v>0</v>
      </c>
      <c r="BE819" s="28">
        <v>0</v>
      </c>
      <c r="BF819" s="28">
        <f>819</f>
        <v>819</v>
      </c>
      <c r="BH819" s="28">
        <f t="shared" si="45"/>
        <v>0</v>
      </c>
      <c r="BI819" s="28">
        <f t="shared" si="46"/>
        <v>0</v>
      </c>
      <c r="BJ819" s="28">
        <f t="shared" si="47"/>
        <v>0</v>
      </c>
      <c r="BK819" s="28"/>
      <c r="BL819" s="28">
        <v>766</v>
      </c>
      <c r="BW819" s="28">
        <v>21</v>
      </c>
      <c r="BX819" s="4" t="s">
        <v>1456</v>
      </c>
    </row>
    <row r="820" spans="1:76" ht="14.4" x14ac:dyDescent="0.3">
      <c r="A820" s="2" t="s">
        <v>1457</v>
      </c>
      <c r="B820" s="3" t="s">
        <v>1416</v>
      </c>
      <c r="C820" s="75" t="s">
        <v>1417</v>
      </c>
      <c r="D820" s="70"/>
      <c r="E820" s="3" t="s">
        <v>1418</v>
      </c>
      <c r="F820" s="28">
        <v>1</v>
      </c>
      <c r="G820" s="28">
        <v>0</v>
      </c>
      <c r="H820" s="28">
        <f t="shared" si="24"/>
        <v>0</v>
      </c>
      <c r="I820" s="28">
        <f t="shared" si="25"/>
        <v>0</v>
      </c>
      <c r="J820" s="28">
        <f t="shared" si="26"/>
        <v>0</v>
      </c>
      <c r="K820" s="29" t="s">
        <v>1374</v>
      </c>
      <c r="Z820" s="28">
        <f t="shared" si="27"/>
        <v>0</v>
      </c>
      <c r="AB820" s="28">
        <f t="shared" si="28"/>
        <v>0</v>
      </c>
      <c r="AC820" s="28">
        <f t="shared" si="29"/>
        <v>0</v>
      </c>
      <c r="AD820" s="28">
        <f t="shared" si="30"/>
        <v>0</v>
      </c>
      <c r="AE820" s="28">
        <f t="shared" si="31"/>
        <v>0</v>
      </c>
      <c r="AF820" s="28">
        <f t="shared" si="32"/>
        <v>0</v>
      </c>
      <c r="AG820" s="28">
        <f t="shared" si="33"/>
        <v>0</v>
      </c>
      <c r="AH820" s="28">
        <f t="shared" si="34"/>
        <v>0</v>
      </c>
      <c r="AI820" s="10" t="s">
        <v>1050</v>
      </c>
      <c r="AJ820" s="28">
        <f t="shared" si="35"/>
        <v>0</v>
      </c>
      <c r="AK820" s="28">
        <f t="shared" si="36"/>
        <v>0</v>
      </c>
      <c r="AL820" s="28">
        <f t="shared" si="37"/>
        <v>0</v>
      </c>
      <c r="AN820" s="28">
        <v>21</v>
      </c>
      <c r="AO820" s="28">
        <f t="shared" si="38"/>
        <v>0</v>
      </c>
      <c r="AP820" s="28">
        <f t="shared" si="39"/>
        <v>0</v>
      </c>
      <c r="AQ820" s="30" t="s">
        <v>118</v>
      </c>
      <c r="AV820" s="28">
        <f t="shared" si="40"/>
        <v>0</v>
      </c>
      <c r="AW820" s="28">
        <f t="shared" si="41"/>
        <v>0</v>
      </c>
      <c r="AX820" s="28">
        <f t="shared" si="42"/>
        <v>0</v>
      </c>
      <c r="AY820" s="30" t="s">
        <v>1345</v>
      </c>
      <c r="AZ820" s="30" t="s">
        <v>1238</v>
      </c>
      <c r="BA820" s="10" t="s">
        <v>1055</v>
      </c>
      <c r="BC820" s="28">
        <f t="shared" si="43"/>
        <v>0</v>
      </c>
      <c r="BD820" s="28">
        <f t="shared" si="44"/>
        <v>0</v>
      </c>
      <c r="BE820" s="28">
        <v>0</v>
      </c>
      <c r="BF820" s="28">
        <f>820</f>
        <v>820</v>
      </c>
      <c r="BH820" s="28">
        <f t="shared" si="45"/>
        <v>0</v>
      </c>
      <c r="BI820" s="28">
        <f t="shared" si="46"/>
        <v>0</v>
      </c>
      <c r="BJ820" s="28">
        <f t="shared" si="47"/>
        <v>0</v>
      </c>
      <c r="BK820" s="28"/>
      <c r="BL820" s="28">
        <v>766</v>
      </c>
      <c r="BW820" s="28">
        <v>21</v>
      </c>
      <c r="BX820" s="4" t="s">
        <v>1417</v>
      </c>
    </row>
    <row r="821" spans="1:76" ht="14.4" x14ac:dyDescent="0.3">
      <c r="A821" s="2" t="s">
        <v>1458</v>
      </c>
      <c r="B821" s="3" t="s">
        <v>1420</v>
      </c>
      <c r="C821" s="75" t="s">
        <v>1421</v>
      </c>
      <c r="D821" s="70"/>
      <c r="E821" s="3" t="s">
        <v>1418</v>
      </c>
      <c r="F821" s="28">
        <v>8</v>
      </c>
      <c r="G821" s="28">
        <v>0</v>
      </c>
      <c r="H821" s="28">
        <f t="shared" si="24"/>
        <v>0</v>
      </c>
      <c r="I821" s="28">
        <f t="shared" si="25"/>
        <v>0</v>
      </c>
      <c r="J821" s="28">
        <f t="shared" si="26"/>
        <v>0</v>
      </c>
      <c r="K821" s="29" t="s">
        <v>1374</v>
      </c>
      <c r="Z821" s="28">
        <f t="shared" si="27"/>
        <v>0</v>
      </c>
      <c r="AB821" s="28">
        <f t="shared" si="28"/>
        <v>0</v>
      </c>
      <c r="AC821" s="28">
        <f t="shared" si="29"/>
        <v>0</v>
      </c>
      <c r="AD821" s="28">
        <f t="shared" si="30"/>
        <v>0</v>
      </c>
      <c r="AE821" s="28">
        <f t="shared" si="31"/>
        <v>0</v>
      </c>
      <c r="AF821" s="28">
        <f t="shared" si="32"/>
        <v>0</v>
      </c>
      <c r="AG821" s="28">
        <f t="shared" si="33"/>
        <v>0</v>
      </c>
      <c r="AH821" s="28">
        <f t="shared" si="34"/>
        <v>0</v>
      </c>
      <c r="AI821" s="10" t="s">
        <v>1050</v>
      </c>
      <c r="AJ821" s="28">
        <f t="shared" si="35"/>
        <v>0</v>
      </c>
      <c r="AK821" s="28">
        <f t="shared" si="36"/>
        <v>0</v>
      </c>
      <c r="AL821" s="28">
        <f t="shared" si="37"/>
        <v>0</v>
      </c>
      <c r="AN821" s="28">
        <v>21</v>
      </c>
      <c r="AO821" s="28">
        <f t="shared" si="38"/>
        <v>0</v>
      </c>
      <c r="AP821" s="28">
        <f t="shared" si="39"/>
        <v>0</v>
      </c>
      <c r="AQ821" s="30" t="s">
        <v>118</v>
      </c>
      <c r="AV821" s="28">
        <f t="shared" si="40"/>
        <v>0</v>
      </c>
      <c r="AW821" s="28">
        <f t="shared" si="41"/>
        <v>0</v>
      </c>
      <c r="AX821" s="28">
        <f t="shared" si="42"/>
        <v>0</v>
      </c>
      <c r="AY821" s="30" t="s">
        <v>1345</v>
      </c>
      <c r="AZ821" s="30" t="s">
        <v>1238</v>
      </c>
      <c r="BA821" s="10" t="s">
        <v>1055</v>
      </c>
      <c r="BC821" s="28">
        <f t="shared" si="43"/>
        <v>0</v>
      </c>
      <c r="BD821" s="28">
        <f t="shared" si="44"/>
        <v>0</v>
      </c>
      <c r="BE821" s="28">
        <v>0</v>
      </c>
      <c r="BF821" s="28">
        <f>821</f>
        <v>821</v>
      </c>
      <c r="BH821" s="28">
        <f t="shared" si="45"/>
        <v>0</v>
      </c>
      <c r="BI821" s="28">
        <f t="shared" si="46"/>
        <v>0</v>
      </c>
      <c r="BJ821" s="28">
        <f t="shared" si="47"/>
        <v>0</v>
      </c>
      <c r="BK821" s="28"/>
      <c r="BL821" s="28">
        <v>766</v>
      </c>
      <c r="BW821" s="28">
        <v>21</v>
      </c>
      <c r="BX821" s="4" t="s">
        <v>1421</v>
      </c>
    </row>
    <row r="822" spans="1:76" ht="14.4" x14ac:dyDescent="0.3">
      <c r="A822" s="2" t="s">
        <v>1459</v>
      </c>
      <c r="B822" s="3" t="s">
        <v>1429</v>
      </c>
      <c r="C822" s="75" t="s">
        <v>1430</v>
      </c>
      <c r="D822" s="70"/>
      <c r="E822" s="3" t="s">
        <v>1381</v>
      </c>
      <c r="F822" s="28">
        <v>80</v>
      </c>
      <c r="G822" s="28">
        <v>0</v>
      </c>
      <c r="H822" s="28">
        <f t="shared" si="24"/>
        <v>0</v>
      </c>
      <c r="I822" s="28">
        <f t="shared" si="25"/>
        <v>0</v>
      </c>
      <c r="J822" s="28">
        <f t="shared" si="26"/>
        <v>0</v>
      </c>
      <c r="K822" s="29" t="s">
        <v>51</v>
      </c>
      <c r="Z822" s="28">
        <f t="shared" si="27"/>
        <v>0</v>
      </c>
      <c r="AB822" s="28">
        <f t="shared" si="28"/>
        <v>0</v>
      </c>
      <c r="AC822" s="28">
        <f t="shared" si="29"/>
        <v>0</v>
      </c>
      <c r="AD822" s="28">
        <f t="shared" si="30"/>
        <v>0</v>
      </c>
      <c r="AE822" s="28">
        <f t="shared" si="31"/>
        <v>0</v>
      </c>
      <c r="AF822" s="28">
        <f t="shared" si="32"/>
        <v>0</v>
      </c>
      <c r="AG822" s="28">
        <f t="shared" si="33"/>
        <v>0</v>
      </c>
      <c r="AH822" s="28">
        <f t="shared" si="34"/>
        <v>0</v>
      </c>
      <c r="AI822" s="10" t="s">
        <v>1050</v>
      </c>
      <c r="AJ822" s="28">
        <f t="shared" si="35"/>
        <v>0</v>
      </c>
      <c r="AK822" s="28">
        <f t="shared" si="36"/>
        <v>0</v>
      </c>
      <c r="AL822" s="28">
        <f t="shared" si="37"/>
        <v>0</v>
      </c>
      <c r="AN822" s="28">
        <v>21</v>
      </c>
      <c r="AO822" s="28">
        <f t="shared" si="38"/>
        <v>0</v>
      </c>
      <c r="AP822" s="28">
        <f t="shared" si="39"/>
        <v>0</v>
      </c>
      <c r="AQ822" s="30" t="s">
        <v>118</v>
      </c>
      <c r="AV822" s="28">
        <f t="shared" si="40"/>
        <v>0</v>
      </c>
      <c r="AW822" s="28">
        <f t="shared" si="41"/>
        <v>0</v>
      </c>
      <c r="AX822" s="28">
        <f t="shared" si="42"/>
        <v>0</v>
      </c>
      <c r="AY822" s="30" t="s">
        <v>1345</v>
      </c>
      <c r="AZ822" s="30" t="s">
        <v>1238</v>
      </c>
      <c r="BA822" s="10" t="s">
        <v>1055</v>
      </c>
      <c r="BC822" s="28">
        <f t="shared" si="43"/>
        <v>0</v>
      </c>
      <c r="BD822" s="28">
        <f t="shared" si="44"/>
        <v>0</v>
      </c>
      <c r="BE822" s="28">
        <v>0</v>
      </c>
      <c r="BF822" s="28">
        <f>822</f>
        <v>822</v>
      </c>
      <c r="BH822" s="28">
        <f t="shared" si="45"/>
        <v>0</v>
      </c>
      <c r="BI822" s="28">
        <f t="shared" si="46"/>
        <v>0</v>
      </c>
      <c r="BJ822" s="28">
        <f t="shared" si="47"/>
        <v>0</v>
      </c>
      <c r="BK822" s="28"/>
      <c r="BL822" s="28">
        <v>766</v>
      </c>
      <c r="BW822" s="28">
        <v>21</v>
      </c>
      <c r="BX822" s="4" t="s">
        <v>1430</v>
      </c>
    </row>
    <row r="823" spans="1:76" ht="14.4" x14ac:dyDescent="0.3">
      <c r="A823" s="2" t="s">
        <v>1460</v>
      </c>
      <c r="B823" s="3" t="s">
        <v>1432</v>
      </c>
      <c r="C823" s="75" t="s">
        <v>1433</v>
      </c>
      <c r="D823" s="70"/>
      <c r="E823" s="3" t="s">
        <v>103</v>
      </c>
      <c r="F823" s="28">
        <v>26</v>
      </c>
      <c r="G823" s="28">
        <v>0</v>
      </c>
      <c r="H823" s="28">
        <f t="shared" si="24"/>
        <v>0</v>
      </c>
      <c r="I823" s="28">
        <f t="shared" si="25"/>
        <v>0</v>
      </c>
      <c r="J823" s="28">
        <f t="shared" si="26"/>
        <v>0</v>
      </c>
      <c r="K823" s="29" t="s">
        <v>60</v>
      </c>
      <c r="Z823" s="28">
        <f t="shared" si="27"/>
        <v>0</v>
      </c>
      <c r="AB823" s="28">
        <f t="shared" si="28"/>
        <v>0</v>
      </c>
      <c r="AC823" s="28">
        <f t="shared" si="29"/>
        <v>0</v>
      </c>
      <c r="AD823" s="28">
        <f t="shared" si="30"/>
        <v>0</v>
      </c>
      <c r="AE823" s="28">
        <f t="shared" si="31"/>
        <v>0</v>
      </c>
      <c r="AF823" s="28">
        <f t="shared" si="32"/>
        <v>0</v>
      </c>
      <c r="AG823" s="28">
        <f t="shared" si="33"/>
        <v>0</v>
      </c>
      <c r="AH823" s="28">
        <f t="shared" si="34"/>
        <v>0</v>
      </c>
      <c r="AI823" s="10" t="s">
        <v>1050</v>
      </c>
      <c r="AJ823" s="28">
        <f t="shared" si="35"/>
        <v>0</v>
      </c>
      <c r="AK823" s="28">
        <f t="shared" si="36"/>
        <v>0</v>
      </c>
      <c r="AL823" s="28">
        <f t="shared" si="37"/>
        <v>0</v>
      </c>
      <c r="AN823" s="28">
        <v>21</v>
      </c>
      <c r="AO823" s="28">
        <f>G823*0</f>
        <v>0</v>
      </c>
      <c r="AP823" s="28">
        <f>G823*(1-0)</f>
        <v>0</v>
      </c>
      <c r="AQ823" s="30" t="s">
        <v>118</v>
      </c>
      <c r="AV823" s="28">
        <f t="shared" si="40"/>
        <v>0</v>
      </c>
      <c r="AW823" s="28">
        <f t="shared" si="41"/>
        <v>0</v>
      </c>
      <c r="AX823" s="28">
        <f t="shared" si="42"/>
        <v>0</v>
      </c>
      <c r="AY823" s="30" t="s">
        <v>1345</v>
      </c>
      <c r="AZ823" s="30" t="s">
        <v>1238</v>
      </c>
      <c r="BA823" s="10" t="s">
        <v>1055</v>
      </c>
      <c r="BC823" s="28">
        <f t="shared" si="43"/>
        <v>0</v>
      </c>
      <c r="BD823" s="28">
        <f t="shared" si="44"/>
        <v>0</v>
      </c>
      <c r="BE823" s="28">
        <v>0</v>
      </c>
      <c r="BF823" s="28">
        <f>823</f>
        <v>823</v>
      </c>
      <c r="BH823" s="28">
        <f t="shared" si="45"/>
        <v>0</v>
      </c>
      <c r="BI823" s="28">
        <f t="shared" si="46"/>
        <v>0</v>
      </c>
      <c r="BJ823" s="28">
        <f t="shared" si="47"/>
        <v>0</v>
      </c>
      <c r="BK823" s="28"/>
      <c r="BL823" s="28">
        <v>766</v>
      </c>
      <c r="BW823" s="28">
        <v>21</v>
      </c>
      <c r="BX823" s="4" t="s">
        <v>1433</v>
      </c>
    </row>
    <row r="824" spans="1:76" ht="14.4" x14ac:dyDescent="0.3">
      <c r="A824" s="31"/>
      <c r="C824" s="32" t="s">
        <v>1461</v>
      </c>
      <c r="D824" s="32" t="s">
        <v>1462</v>
      </c>
      <c r="F824" s="33">
        <v>3</v>
      </c>
      <c r="K824" s="34"/>
    </row>
    <row r="825" spans="1:76" ht="14.4" x14ac:dyDescent="0.3">
      <c r="A825" s="2" t="s">
        <v>1463</v>
      </c>
      <c r="B825" s="3" t="s">
        <v>1437</v>
      </c>
      <c r="C825" s="75" t="s">
        <v>1464</v>
      </c>
      <c r="D825" s="70"/>
      <c r="E825" s="3" t="s">
        <v>1381</v>
      </c>
      <c r="F825" s="28">
        <v>2</v>
      </c>
      <c r="G825" s="28">
        <v>0</v>
      </c>
      <c r="H825" s="28">
        <f t="shared" ref="H825:H830" si="48">ROUND(F825*AO825,2)</f>
        <v>0</v>
      </c>
      <c r="I825" s="28">
        <f t="shared" ref="I825:I830" si="49">ROUND(F825*AP825,2)</f>
        <v>0</v>
      </c>
      <c r="J825" s="28">
        <f t="shared" ref="J825:J830" si="50">ROUND(F825*G825,2)</f>
        <v>0</v>
      </c>
      <c r="K825" s="29" t="s">
        <v>1374</v>
      </c>
      <c r="Z825" s="28">
        <f t="shared" ref="Z825:Z830" si="51">ROUND(IF(AQ825="5",BJ825,0),2)</f>
        <v>0</v>
      </c>
      <c r="AB825" s="28">
        <f t="shared" ref="AB825:AB830" si="52">ROUND(IF(AQ825="1",BH825,0),2)</f>
        <v>0</v>
      </c>
      <c r="AC825" s="28">
        <f t="shared" ref="AC825:AC830" si="53">ROUND(IF(AQ825="1",BI825,0),2)</f>
        <v>0</v>
      </c>
      <c r="AD825" s="28">
        <f t="shared" ref="AD825:AD830" si="54">ROUND(IF(AQ825="7",BH825,0),2)</f>
        <v>0</v>
      </c>
      <c r="AE825" s="28">
        <f t="shared" ref="AE825:AE830" si="55">ROUND(IF(AQ825="7",BI825,0),2)</f>
        <v>0</v>
      </c>
      <c r="AF825" s="28">
        <f t="shared" ref="AF825:AF830" si="56">ROUND(IF(AQ825="2",BH825,0),2)</f>
        <v>0</v>
      </c>
      <c r="AG825" s="28">
        <f t="shared" ref="AG825:AG830" si="57">ROUND(IF(AQ825="2",BI825,0),2)</f>
        <v>0</v>
      </c>
      <c r="AH825" s="28">
        <f t="shared" ref="AH825:AH830" si="58">ROUND(IF(AQ825="0",BJ825,0),2)</f>
        <v>0</v>
      </c>
      <c r="AI825" s="10" t="s">
        <v>1050</v>
      </c>
      <c r="AJ825" s="28">
        <f t="shared" ref="AJ825:AJ830" si="59">IF(AN825=0,J825,0)</f>
        <v>0</v>
      </c>
      <c r="AK825" s="28">
        <f t="shared" ref="AK825:AK830" si="60">IF(AN825=12,J825,0)</f>
        <v>0</v>
      </c>
      <c r="AL825" s="28">
        <f t="shared" ref="AL825:AL830" si="61">IF(AN825=21,J825,0)</f>
        <v>0</v>
      </c>
      <c r="AN825" s="28">
        <v>21</v>
      </c>
      <c r="AO825" s="28">
        <f t="shared" ref="AO825:AO830" si="62">G825*1</f>
        <v>0</v>
      </c>
      <c r="AP825" s="28">
        <f t="shared" ref="AP825:AP830" si="63">G825*(1-1)</f>
        <v>0</v>
      </c>
      <c r="AQ825" s="30" t="s">
        <v>118</v>
      </c>
      <c r="AV825" s="28">
        <f t="shared" ref="AV825:AV830" si="64">ROUND(AW825+AX825,2)</f>
        <v>0</v>
      </c>
      <c r="AW825" s="28">
        <f t="shared" ref="AW825:AW830" si="65">ROUND(F825*AO825,2)</f>
        <v>0</v>
      </c>
      <c r="AX825" s="28">
        <f t="shared" ref="AX825:AX830" si="66">ROUND(F825*AP825,2)</f>
        <v>0</v>
      </c>
      <c r="AY825" s="30" t="s">
        <v>1345</v>
      </c>
      <c r="AZ825" s="30" t="s">
        <v>1238</v>
      </c>
      <c r="BA825" s="10" t="s">
        <v>1055</v>
      </c>
      <c r="BC825" s="28">
        <f t="shared" ref="BC825:BC830" si="67">AW825+AX825</f>
        <v>0</v>
      </c>
      <c r="BD825" s="28">
        <f t="shared" ref="BD825:BD830" si="68">G825/(100-BE825)*100</f>
        <v>0</v>
      </c>
      <c r="BE825" s="28">
        <v>0</v>
      </c>
      <c r="BF825" s="28">
        <f>825</f>
        <v>825</v>
      </c>
      <c r="BH825" s="28">
        <f t="shared" ref="BH825:BH830" si="69">F825*AO825</f>
        <v>0</v>
      </c>
      <c r="BI825" s="28">
        <f t="shared" ref="BI825:BI830" si="70">F825*AP825</f>
        <v>0</v>
      </c>
      <c r="BJ825" s="28">
        <f t="shared" ref="BJ825:BJ830" si="71">F825*G825</f>
        <v>0</v>
      </c>
      <c r="BK825" s="28"/>
      <c r="BL825" s="28">
        <v>766</v>
      </c>
      <c r="BW825" s="28">
        <v>21</v>
      </c>
      <c r="BX825" s="4" t="s">
        <v>1464</v>
      </c>
    </row>
    <row r="826" spans="1:76" ht="14.4" x14ac:dyDescent="0.3">
      <c r="A826" s="2" t="s">
        <v>1465</v>
      </c>
      <c r="B826" s="3" t="s">
        <v>1398</v>
      </c>
      <c r="C826" s="75" t="s">
        <v>1399</v>
      </c>
      <c r="D826" s="70"/>
      <c r="E826" s="3" t="s">
        <v>1381</v>
      </c>
      <c r="F826" s="28">
        <v>70</v>
      </c>
      <c r="G826" s="28">
        <v>0</v>
      </c>
      <c r="H826" s="28">
        <f t="shared" si="48"/>
        <v>0</v>
      </c>
      <c r="I826" s="28">
        <f t="shared" si="49"/>
        <v>0</v>
      </c>
      <c r="J826" s="28">
        <f t="shared" si="50"/>
        <v>0</v>
      </c>
      <c r="K826" s="29" t="s">
        <v>1374</v>
      </c>
      <c r="Z826" s="28">
        <f t="shared" si="51"/>
        <v>0</v>
      </c>
      <c r="AB826" s="28">
        <f t="shared" si="52"/>
        <v>0</v>
      </c>
      <c r="AC826" s="28">
        <f t="shared" si="53"/>
        <v>0</v>
      </c>
      <c r="AD826" s="28">
        <f t="shared" si="54"/>
        <v>0</v>
      </c>
      <c r="AE826" s="28">
        <f t="shared" si="55"/>
        <v>0</v>
      </c>
      <c r="AF826" s="28">
        <f t="shared" si="56"/>
        <v>0</v>
      </c>
      <c r="AG826" s="28">
        <f t="shared" si="57"/>
        <v>0</v>
      </c>
      <c r="AH826" s="28">
        <f t="shared" si="58"/>
        <v>0</v>
      </c>
      <c r="AI826" s="10" t="s">
        <v>1050</v>
      </c>
      <c r="AJ826" s="28">
        <f t="shared" si="59"/>
        <v>0</v>
      </c>
      <c r="AK826" s="28">
        <f t="shared" si="60"/>
        <v>0</v>
      </c>
      <c r="AL826" s="28">
        <f t="shared" si="61"/>
        <v>0</v>
      </c>
      <c r="AN826" s="28">
        <v>21</v>
      </c>
      <c r="AO826" s="28">
        <f t="shared" si="62"/>
        <v>0</v>
      </c>
      <c r="AP826" s="28">
        <f t="shared" si="63"/>
        <v>0</v>
      </c>
      <c r="AQ826" s="30" t="s">
        <v>118</v>
      </c>
      <c r="AV826" s="28">
        <f t="shared" si="64"/>
        <v>0</v>
      </c>
      <c r="AW826" s="28">
        <f t="shared" si="65"/>
        <v>0</v>
      </c>
      <c r="AX826" s="28">
        <f t="shared" si="66"/>
        <v>0</v>
      </c>
      <c r="AY826" s="30" t="s">
        <v>1345</v>
      </c>
      <c r="AZ826" s="30" t="s">
        <v>1238</v>
      </c>
      <c r="BA826" s="10" t="s">
        <v>1055</v>
      </c>
      <c r="BC826" s="28">
        <f t="shared" si="67"/>
        <v>0</v>
      </c>
      <c r="BD826" s="28">
        <f t="shared" si="68"/>
        <v>0</v>
      </c>
      <c r="BE826" s="28">
        <v>0</v>
      </c>
      <c r="BF826" s="28">
        <f>826</f>
        <v>826</v>
      </c>
      <c r="BH826" s="28">
        <f t="shared" si="69"/>
        <v>0</v>
      </c>
      <c r="BI826" s="28">
        <f t="shared" si="70"/>
        <v>0</v>
      </c>
      <c r="BJ826" s="28">
        <f t="shared" si="71"/>
        <v>0</v>
      </c>
      <c r="BK826" s="28"/>
      <c r="BL826" s="28">
        <v>766</v>
      </c>
      <c r="BW826" s="28">
        <v>21</v>
      </c>
      <c r="BX826" s="4" t="s">
        <v>1399</v>
      </c>
    </row>
    <row r="827" spans="1:76" ht="26.4" x14ac:dyDescent="0.3">
      <c r="A827" s="2" t="s">
        <v>1466</v>
      </c>
      <c r="B827" s="3" t="s">
        <v>1467</v>
      </c>
      <c r="C827" s="75" t="s">
        <v>1468</v>
      </c>
      <c r="D827" s="70"/>
      <c r="E827" s="3" t="s">
        <v>459</v>
      </c>
      <c r="F827" s="28">
        <v>1</v>
      </c>
      <c r="G827" s="28">
        <v>0</v>
      </c>
      <c r="H827" s="28">
        <f t="shared" si="48"/>
        <v>0</v>
      </c>
      <c r="I827" s="28">
        <f t="shared" si="49"/>
        <v>0</v>
      </c>
      <c r="J827" s="28">
        <f t="shared" si="50"/>
        <v>0</v>
      </c>
      <c r="K827" s="29" t="s">
        <v>1374</v>
      </c>
      <c r="Z827" s="28">
        <f t="shared" si="51"/>
        <v>0</v>
      </c>
      <c r="AB827" s="28">
        <f t="shared" si="52"/>
        <v>0</v>
      </c>
      <c r="AC827" s="28">
        <f t="shared" si="53"/>
        <v>0</v>
      </c>
      <c r="AD827" s="28">
        <f t="shared" si="54"/>
        <v>0</v>
      </c>
      <c r="AE827" s="28">
        <f t="shared" si="55"/>
        <v>0</v>
      </c>
      <c r="AF827" s="28">
        <f t="shared" si="56"/>
        <v>0</v>
      </c>
      <c r="AG827" s="28">
        <f t="shared" si="57"/>
        <v>0</v>
      </c>
      <c r="AH827" s="28">
        <f t="shared" si="58"/>
        <v>0</v>
      </c>
      <c r="AI827" s="10" t="s">
        <v>1050</v>
      </c>
      <c r="AJ827" s="28">
        <f t="shared" si="59"/>
        <v>0</v>
      </c>
      <c r="AK827" s="28">
        <f t="shared" si="60"/>
        <v>0</v>
      </c>
      <c r="AL827" s="28">
        <f t="shared" si="61"/>
        <v>0</v>
      </c>
      <c r="AN827" s="28">
        <v>21</v>
      </c>
      <c r="AO827" s="28">
        <f t="shared" si="62"/>
        <v>0</v>
      </c>
      <c r="AP827" s="28">
        <f t="shared" si="63"/>
        <v>0</v>
      </c>
      <c r="AQ827" s="30" t="s">
        <v>118</v>
      </c>
      <c r="AV827" s="28">
        <f t="shared" si="64"/>
        <v>0</v>
      </c>
      <c r="AW827" s="28">
        <f t="shared" si="65"/>
        <v>0</v>
      </c>
      <c r="AX827" s="28">
        <f t="shared" si="66"/>
        <v>0</v>
      </c>
      <c r="AY827" s="30" t="s">
        <v>1345</v>
      </c>
      <c r="AZ827" s="30" t="s">
        <v>1238</v>
      </c>
      <c r="BA827" s="10" t="s">
        <v>1055</v>
      </c>
      <c r="BC827" s="28">
        <f t="shared" si="67"/>
        <v>0</v>
      </c>
      <c r="BD827" s="28">
        <f t="shared" si="68"/>
        <v>0</v>
      </c>
      <c r="BE827" s="28">
        <v>0</v>
      </c>
      <c r="BF827" s="28">
        <f>827</f>
        <v>827</v>
      </c>
      <c r="BH827" s="28">
        <f t="shared" si="69"/>
        <v>0</v>
      </c>
      <c r="BI827" s="28">
        <f t="shared" si="70"/>
        <v>0</v>
      </c>
      <c r="BJ827" s="28">
        <f t="shared" si="71"/>
        <v>0</v>
      </c>
      <c r="BK827" s="28"/>
      <c r="BL827" s="28">
        <v>766</v>
      </c>
      <c r="BW827" s="28">
        <v>21</v>
      </c>
      <c r="BX827" s="4" t="s">
        <v>1468</v>
      </c>
    </row>
    <row r="828" spans="1:76" ht="14.4" x14ac:dyDescent="0.3">
      <c r="A828" s="2" t="s">
        <v>1469</v>
      </c>
      <c r="B828" s="3" t="s">
        <v>1416</v>
      </c>
      <c r="C828" s="75" t="s">
        <v>1417</v>
      </c>
      <c r="D828" s="70"/>
      <c r="E828" s="3" t="s">
        <v>1418</v>
      </c>
      <c r="F828" s="28">
        <v>1</v>
      </c>
      <c r="G828" s="28">
        <v>0</v>
      </c>
      <c r="H828" s="28">
        <f t="shared" si="48"/>
        <v>0</v>
      </c>
      <c r="I828" s="28">
        <f t="shared" si="49"/>
        <v>0</v>
      </c>
      <c r="J828" s="28">
        <f t="shared" si="50"/>
        <v>0</v>
      </c>
      <c r="K828" s="29" t="s">
        <v>1374</v>
      </c>
      <c r="Z828" s="28">
        <f t="shared" si="51"/>
        <v>0</v>
      </c>
      <c r="AB828" s="28">
        <f t="shared" si="52"/>
        <v>0</v>
      </c>
      <c r="AC828" s="28">
        <f t="shared" si="53"/>
        <v>0</v>
      </c>
      <c r="AD828" s="28">
        <f t="shared" si="54"/>
        <v>0</v>
      </c>
      <c r="AE828" s="28">
        <f t="shared" si="55"/>
        <v>0</v>
      </c>
      <c r="AF828" s="28">
        <f t="shared" si="56"/>
        <v>0</v>
      </c>
      <c r="AG828" s="28">
        <f t="shared" si="57"/>
        <v>0</v>
      </c>
      <c r="AH828" s="28">
        <f t="shared" si="58"/>
        <v>0</v>
      </c>
      <c r="AI828" s="10" t="s">
        <v>1050</v>
      </c>
      <c r="AJ828" s="28">
        <f t="shared" si="59"/>
        <v>0</v>
      </c>
      <c r="AK828" s="28">
        <f t="shared" si="60"/>
        <v>0</v>
      </c>
      <c r="AL828" s="28">
        <f t="shared" si="61"/>
        <v>0</v>
      </c>
      <c r="AN828" s="28">
        <v>21</v>
      </c>
      <c r="AO828" s="28">
        <f t="shared" si="62"/>
        <v>0</v>
      </c>
      <c r="AP828" s="28">
        <f t="shared" si="63"/>
        <v>0</v>
      </c>
      <c r="AQ828" s="30" t="s">
        <v>118</v>
      </c>
      <c r="AV828" s="28">
        <f t="shared" si="64"/>
        <v>0</v>
      </c>
      <c r="AW828" s="28">
        <f t="shared" si="65"/>
        <v>0</v>
      </c>
      <c r="AX828" s="28">
        <f t="shared" si="66"/>
        <v>0</v>
      </c>
      <c r="AY828" s="30" t="s">
        <v>1345</v>
      </c>
      <c r="AZ828" s="30" t="s">
        <v>1238</v>
      </c>
      <c r="BA828" s="10" t="s">
        <v>1055</v>
      </c>
      <c r="BC828" s="28">
        <f t="shared" si="67"/>
        <v>0</v>
      </c>
      <c r="BD828" s="28">
        <f t="shared" si="68"/>
        <v>0</v>
      </c>
      <c r="BE828" s="28">
        <v>0</v>
      </c>
      <c r="BF828" s="28">
        <f>828</f>
        <v>828</v>
      </c>
      <c r="BH828" s="28">
        <f t="shared" si="69"/>
        <v>0</v>
      </c>
      <c r="BI828" s="28">
        <f t="shared" si="70"/>
        <v>0</v>
      </c>
      <c r="BJ828" s="28">
        <f t="shared" si="71"/>
        <v>0</v>
      </c>
      <c r="BK828" s="28"/>
      <c r="BL828" s="28">
        <v>766</v>
      </c>
      <c r="BW828" s="28">
        <v>21</v>
      </c>
      <c r="BX828" s="4" t="s">
        <v>1417</v>
      </c>
    </row>
    <row r="829" spans="1:76" ht="14.4" x14ac:dyDescent="0.3">
      <c r="A829" s="2" t="s">
        <v>1470</v>
      </c>
      <c r="B829" s="3" t="s">
        <v>1420</v>
      </c>
      <c r="C829" s="75" t="s">
        <v>1421</v>
      </c>
      <c r="D829" s="70"/>
      <c r="E829" s="3" t="s">
        <v>1418</v>
      </c>
      <c r="F829" s="28">
        <v>1</v>
      </c>
      <c r="G829" s="28">
        <v>0</v>
      </c>
      <c r="H829" s="28">
        <f t="shared" si="48"/>
        <v>0</v>
      </c>
      <c r="I829" s="28">
        <f t="shared" si="49"/>
        <v>0</v>
      </c>
      <c r="J829" s="28">
        <f t="shared" si="50"/>
        <v>0</v>
      </c>
      <c r="K829" s="29" t="s">
        <v>1374</v>
      </c>
      <c r="Z829" s="28">
        <f t="shared" si="51"/>
        <v>0</v>
      </c>
      <c r="AB829" s="28">
        <f t="shared" si="52"/>
        <v>0</v>
      </c>
      <c r="AC829" s="28">
        <f t="shared" si="53"/>
        <v>0</v>
      </c>
      <c r="AD829" s="28">
        <f t="shared" si="54"/>
        <v>0</v>
      </c>
      <c r="AE829" s="28">
        <f t="shared" si="55"/>
        <v>0</v>
      </c>
      <c r="AF829" s="28">
        <f t="shared" si="56"/>
        <v>0</v>
      </c>
      <c r="AG829" s="28">
        <f t="shared" si="57"/>
        <v>0</v>
      </c>
      <c r="AH829" s="28">
        <f t="shared" si="58"/>
        <v>0</v>
      </c>
      <c r="AI829" s="10" t="s">
        <v>1050</v>
      </c>
      <c r="AJ829" s="28">
        <f t="shared" si="59"/>
        <v>0</v>
      </c>
      <c r="AK829" s="28">
        <f t="shared" si="60"/>
        <v>0</v>
      </c>
      <c r="AL829" s="28">
        <f t="shared" si="61"/>
        <v>0</v>
      </c>
      <c r="AN829" s="28">
        <v>21</v>
      </c>
      <c r="AO829" s="28">
        <f t="shared" si="62"/>
        <v>0</v>
      </c>
      <c r="AP829" s="28">
        <f t="shared" si="63"/>
        <v>0</v>
      </c>
      <c r="AQ829" s="30" t="s">
        <v>118</v>
      </c>
      <c r="AV829" s="28">
        <f t="shared" si="64"/>
        <v>0</v>
      </c>
      <c r="AW829" s="28">
        <f t="shared" si="65"/>
        <v>0</v>
      </c>
      <c r="AX829" s="28">
        <f t="shared" si="66"/>
        <v>0</v>
      </c>
      <c r="AY829" s="30" t="s">
        <v>1345</v>
      </c>
      <c r="AZ829" s="30" t="s">
        <v>1238</v>
      </c>
      <c r="BA829" s="10" t="s">
        <v>1055</v>
      </c>
      <c r="BC829" s="28">
        <f t="shared" si="67"/>
        <v>0</v>
      </c>
      <c r="BD829" s="28">
        <f t="shared" si="68"/>
        <v>0</v>
      </c>
      <c r="BE829" s="28">
        <v>0</v>
      </c>
      <c r="BF829" s="28">
        <f>829</f>
        <v>829</v>
      </c>
      <c r="BH829" s="28">
        <f t="shared" si="69"/>
        <v>0</v>
      </c>
      <c r="BI829" s="28">
        <f t="shared" si="70"/>
        <v>0</v>
      </c>
      <c r="BJ829" s="28">
        <f t="shared" si="71"/>
        <v>0</v>
      </c>
      <c r="BK829" s="28"/>
      <c r="BL829" s="28">
        <v>766</v>
      </c>
      <c r="BW829" s="28">
        <v>21</v>
      </c>
      <c r="BX829" s="4" t="s">
        <v>1421</v>
      </c>
    </row>
    <row r="830" spans="1:76" ht="14.4" x14ac:dyDescent="0.3">
      <c r="A830" s="2" t="s">
        <v>1471</v>
      </c>
      <c r="B830" s="3" t="s">
        <v>1429</v>
      </c>
      <c r="C830" s="75" t="s">
        <v>1430</v>
      </c>
      <c r="D830" s="70"/>
      <c r="E830" s="3" t="s">
        <v>1381</v>
      </c>
      <c r="F830" s="28">
        <v>6</v>
      </c>
      <c r="G830" s="28">
        <v>0</v>
      </c>
      <c r="H830" s="28">
        <f t="shared" si="48"/>
        <v>0</v>
      </c>
      <c r="I830" s="28">
        <f t="shared" si="49"/>
        <v>0</v>
      </c>
      <c r="J830" s="28">
        <f t="shared" si="50"/>
        <v>0</v>
      </c>
      <c r="K830" s="29" t="s">
        <v>51</v>
      </c>
      <c r="Z830" s="28">
        <f t="shared" si="51"/>
        <v>0</v>
      </c>
      <c r="AB830" s="28">
        <f t="shared" si="52"/>
        <v>0</v>
      </c>
      <c r="AC830" s="28">
        <f t="shared" si="53"/>
        <v>0</v>
      </c>
      <c r="AD830" s="28">
        <f t="shared" si="54"/>
        <v>0</v>
      </c>
      <c r="AE830" s="28">
        <f t="shared" si="55"/>
        <v>0</v>
      </c>
      <c r="AF830" s="28">
        <f t="shared" si="56"/>
        <v>0</v>
      </c>
      <c r="AG830" s="28">
        <f t="shared" si="57"/>
        <v>0</v>
      </c>
      <c r="AH830" s="28">
        <f t="shared" si="58"/>
        <v>0</v>
      </c>
      <c r="AI830" s="10" t="s">
        <v>1050</v>
      </c>
      <c r="AJ830" s="28">
        <f t="shared" si="59"/>
        <v>0</v>
      </c>
      <c r="AK830" s="28">
        <f t="shared" si="60"/>
        <v>0</v>
      </c>
      <c r="AL830" s="28">
        <f t="shared" si="61"/>
        <v>0</v>
      </c>
      <c r="AN830" s="28">
        <v>21</v>
      </c>
      <c r="AO830" s="28">
        <f t="shared" si="62"/>
        <v>0</v>
      </c>
      <c r="AP830" s="28">
        <f t="shared" si="63"/>
        <v>0</v>
      </c>
      <c r="AQ830" s="30" t="s">
        <v>118</v>
      </c>
      <c r="AV830" s="28">
        <f t="shared" si="64"/>
        <v>0</v>
      </c>
      <c r="AW830" s="28">
        <f t="shared" si="65"/>
        <v>0</v>
      </c>
      <c r="AX830" s="28">
        <f t="shared" si="66"/>
        <v>0</v>
      </c>
      <c r="AY830" s="30" t="s">
        <v>1345</v>
      </c>
      <c r="AZ830" s="30" t="s">
        <v>1238</v>
      </c>
      <c r="BA830" s="10" t="s">
        <v>1055</v>
      </c>
      <c r="BC830" s="28">
        <f t="shared" si="67"/>
        <v>0</v>
      </c>
      <c r="BD830" s="28">
        <f t="shared" si="68"/>
        <v>0</v>
      </c>
      <c r="BE830" s="28">
        <v>0</v>
      </c>
      <c r="BF830" s="28">
        <f>830</f>
        <v>830</v>
      </c>
      <c r="BH830" s="28">
        <f t="shared" si="69"/>
        <v>0</v>
      </c>
      <c r="BI830" s="28">
        <f t="shared" si="70"/>
        <v>0</v>
      </c>
      <c r="BJ830" s="28">
        <f t="shared" si="71"/>
        <v>0</v>
      </c>
      <c r="BK830" s="28"/>
      <c r="BL830" s="28">
        <v>766</v>
      </c>
      <c r="BW830" s="28">
        <v>21</v>
      </c>
      <c r="BX830" s="4" t="s">
        <v>1430</v>
      </c>
    </row>
    <row r="831" spans="1:76" ht="14.4" x14ac:dyDescent="0.3">
      <c r="A831" s="24" t="s">
        <v>51</v>
      </c>
      <c r="B831" s="25" t="s">
        <v>446</v>
      </c>
      <c r="C831" s="91" t="s">
        <v>447</v>
      </c>
      <c r="D831" s="92"/>
      <c r="E831" s="26" t="s">
        <v>4</v>
      </c>
      <c r="F831" s="26" t="s">
        <v>4</v>
      </c>
      <c r="G831" s="26" t="s">
        <v>4</v>
      </c>
      <c r="H831" s="1">
        <f>SUM(H832:H846)</f>
        <v>0</v>
      </c>
      <c r="I831" s="1">
        <f>SUM(I832:I846)</f>
        <v>0</v>
      </c>
      <c r="J831" s="1">
        <f>SUM(J832:J846)</f>
        <v>0</v>
      </c>
      <c r="K831" s="27" t="s">
        <v>51</v>
      </c>
      <c r="AI831" s="10" t="s">
        <v>1050</v>
      </c>
      <c r="AS831" s="1">
        <f>SUM(AJ832:AJ846)</f>
        <v>0</v>
      </c>
      <c r="AT831" s="1">
        <f>SUM(AK832:AK846)</f>
        <v>0</v>
      </c>
      <c r="AU831" s="1">
        <f>SUM(AL832:AL846)</f>
        <v>0</v>
      </c>
    </row>
    <row r="832" spans="1:76" ht="14.4" x14ac:dyDescent="0.3">
      <c r="A832" s="2" t="s">
        <v>1472</v>
      </c>
      <c r="B832" s="3" t="s">
        <v>1473</v>
      </c>
      <c r="C832" s="75" t="s">
        <v>1474</v>
      </c>
      <c r="D832" s="70"/>
      <c r="E832" s="3" t="s">
        <v>293</v>
      </c>
      <c r="F832" s="28">
        <v>8</v>
      </c>
      <c r="G832" s="28">
        <v>0</v>
      </c>
      <c r="H832" s="28">
        <f>ROUND(F832*AO832,2)</f>
        <v>0</v>
      </c>
      <c r="I832" s="28">
        <f>ROUND(F832*AP832,2)</f>
        <v>0</v>
      </c>
      <c r="J832" s="28">
        <f>ROUND(F832*G832,2)</f>
        <v>0</v>
      </c>
      <c r="K832" s="29" t="s">
        <v>60</v>
      </c>
      <c r="Z832" s="28">
        <f>ROUND(IF(AQ832="5",BJ832,0),2)</f>
        <v>0</v>
      </c>
      <c r="AB832" s="28">
        <f>ROUND(IF(AQ832="1",BH832,0),2)</f>
        <v>0</v>
      </c>
      <c r="AC832" s="28">
        <f>ROUND(IF(AQ832="1",BI832,0),2)</f>
        <v>0</v>
      </c>
      <c r="AD832" s="28">
        <f>ROUND(IF(AQ832="7",BH832,0),2)</f>
        <v>0</v>
      </c>
      <c r="AE832" s="28">
        <f>ROUND(IF(AQ832="7",BI832,0),2)</f>
        <v>0</v>
      </c>
      <c r="AF832" s="28">
        <f>ROUND(IF(AQ832="2",BH832,0),2)</f>
        <v>0</v>
      </c>
      <c r="AG832" s="28">
        <f>ROUND(IF(AQ832="2",BI832,0),2)</f>
        <v>0</v>
      </c>
      <c r="AH832" s="28">
        <f>ROUND(IF(AQ832="0",BJ832,0),2)</f>
        <v>0</v>
      </c>
      <c r="AI832" s="10" t="s">
        <v>1050</v>
      </c>
      <c r="AJ832" s="28">
        <f>IF(AN832=0,J832,0)</f>
        <v>0</v>
      </c>
      <c r="AK832" s="28">
        <f>IF(AN832=12,J832,0)</f>
        <v>0</v>
      </c>
      <c r="AL832" s="28">
        <f>IF(AN832=21,J832,0)</f>
        <v>0</v>
      </c>
      <c r="AN832" s="28">
        <v>21</v>
      </c>
      <c r="AO832" s="28">
        <f>G832*0.187939303</f>
        <v>0</v>
      </c>
      <c r="AP832" s="28">
        <f>G832*(1-0.187939303)</f>
        <v>0</v>
      </c>
      <c r="AQ832" s="30" t="s">
        <v>118</v>
      </c>
      <c r="AV832" s="28">
        <f>ROUND(AW832+AX832,2)</f>
        <v>0</v>
      </c>
      <c r="AW832" s="28">
        <f>ROUND(F832*AO832,2)</f>
        <v>0</v>
      </c>
      <c r="AX832" s="28">
        <f>ROUND(F832*AP832,2)</f>
        <v>0</v>
      </c>
      <c r="AY832" s="30" t="s">
        <v>451</v>
      </c>
      <c r="AZ832" s="30" t="s">
        <v>1238</v>
      </c>
      <c r="BA832" s="10" t="s">
        <v>1055</v>
      </c>
      <c r="BC832" s="28">
        <f>AW832+AX832</f>
        <v>0</v>
      </c>
      <c r="BD832" s="28">
        <f>G832/(100-BE832)*100</f>
        <v>0</v>
      </c>
      <c r="BE832" s="28">
        <v>0</v>
      </c>
      <c r="BF832" s="28">
        <f>832</f>
        <v>832</v>
      </c>
      <c r="BH832" s="28">
        <f>F832*AO832</f>
        <v>0</v>
      </c>
      <c r="BI832" s="28">
        <f>F832*AP832</f>
        <v>0</v>
      </c>
      <c r="BJ832" s="28">
        <f>F832*G832</f>
        <v>0</v>
      </c>
      <c r="BK832" s="28"/>
      <c r="BL832" s="28">
        <v>767</v>
      </c>
      <c r="BW832" s="28">
        <v>21</v>
      </c>
      <c r="BX832" s="4" t="s">
        <v>1474</v>
      </c>
    </row>
    <row r="833" spans="1:76" ht="14.4" x14ac:dyDescent="0.3">
      <c r="A833" s="2" t="s">
        <v>1475</v>
      </c>
      <c r="B833" s="3" t="s">
        <v>1476</v>
      </c>
      <c r="C833" s="75" t="s">
        <v>1477</v>
      </c>
      <c r="D833" s="70"/>
      <c r="E833" s="3" t="s">
        <v>293</v>
      </c>
      <c r="F833" s="28">
        <v>5</v>
      </c>
      <c r="G833" s="28">
        <v>0</v>
      </c>
      <c r="H833" s="28">
        <f>ROUND(F833*AO833,2)</f>
        <v>0</v>
      </c>
      <c r="I833" s="28">
        <f>ROUND(F833*AP833,2)</f>
        <v>0</v>
      </c>
      <c r="J833" s="28">
        <f>ROUND(F833*G833,2)</f>
        <v>0</v>
      </c>
      <c r="K833" s="29" t="s">
        <v>60</v>
      </c>
      <c r="Z833" s="28">
        <f>ROUND(IF(AQ833="5",BJ833,0),2)</f>
        <v>0</v>
      </c>
      <c r="AB833" s="28">
        <f>ROUND(IF(AQ833="1",BH833,0),2)</f>
        <v>0</v>
      </c>
      <c r="AC833" s="28">
        <f>ROUND(IF(AQ833="1",BI833,0),2)</f>
        <v>0</v>
      </c>
      <c r="AD833" s="28">
        <f>ROUND(IF(AQ833="7",BH833,0),2)</f>
        <v>0</v>
      </c>
      <c r="AE833" s="28">
        <f>ROUND(IF(AQ833="7",BI833,0),2)</f>
        <v>0</v>
      </c>
      <c r="AF833" s="28">
        <f>ROUND(IF(AQ833="2",BH833,0),2)</f>
        <v>0</v>
      </c>
      <c r="AG833" s="28">
        <f>ROUND(IF(AQ833="2",BI833,0),2)</f>
        <v>0</v>
      </c>
      <c r="AH833" s="28">
        <f>ROUND(IF(AQ833="0",BJ833,0),2)</f>
        <v>0</v>
      </c>
      <c r="AI833" s="10" t="s">
        <v>1050</v>
      </c>
      <c r="AJ833" s="28">
        <f>IF(AN833=0,J833,0)</f>
        <v>0</v>
      </c>
      <c r="AK833" s="28">
        <f>IF(AN833=12,J833,0)</f>
        <v>0</v>
      </c>
      <c r="AL833" s="28">
        <f>IF(AN833=21,J833,0)</f>
        <v>0</v>
      </c>
      <c r="AN833" s="28">
        <v>21</v>
      </c>
      <c r="AO833" s="28">
        <f>G833*0</f>
        <v>0</v>
      </c>
      <c r="AP833" s="28">
        <f>G833*(1-0)</f>
        <v>0</v>
      </c>
      <c r="AQ833" s="30" t="s">
        <v>118</v>
      </c>
      <c r="AV833" s="28">
        <f>ROUND(AW833+AX833,2)</f>
        <v>0</v>
      </c>
      <c r="AW833" s="28">
        <f>ROUND(F833*AO833,2)</f>
        <v>0</v>
      </c>
      <c r="AX833" s="28">
        <f>ROUND(F833*AP833,2)</f>
        <v>0</v>
      </c>
      <c r="AY833" s="30" t="s">
        <v>451</v>
      </c>
      <c r="AZ833" s="30" t="s">
        <v>1238</v>
      </c>
      <c r="BA833" s="10" t="s">
        <v>1055</v>
      </c>
      <c r="BC833" s="28">
        <f>AW833+AX833</f>
        <v>0</v>
      </c>
      <c r="BD833" s="28">
        <f>G833/(100-BE833)*100</f>
        <v>0</v>
      </c>
      <c r="BE833" s="28">
        <v>0</v>
      </c>
      <c r="BF833" s="28">
        <f>833</f>
        <v>833</v>
      </c>
      <c r="BH833" s="28">
        <f>F833*AO833</f>
        <v>0</v>
      </c>
      <c r="BI833" s="28">
        <f>F833*AP833</f>
        <v>0</v>
      </c>
      <c r="BJ833" s="28">
        <f>F833*G833</f>
        <v>0</v>
      </c>
      <c r="BK833" s="28"/>
      <c r="BL833" s="28">
        <v>767</v>
      </c>
      <c r="BW833" s="28">
        <v>21</v>
      </c>
      <c r="BX833" s="4" t="s">
        <v>1477</v>
      </c>
    </row>
    <row r="834" spans="1:76" ht="14.4" x14ac:dyDescent="0.3">
      <c r="A834" s="31"/>
      <c r="C834" s="32" t="s">
        <v>1478</v>
      </c>
      <c r="D834" s="32" t="s">
        <v>51</v>
      </c>
      <c r="F834" s="33">
        <v>4.29</v>
      </c>
      <c r="K834" s="34"/>
    </row>
    <row r="835" spans="1:76" ht="14.4" x14ac:dyDescent="0.3">
      <c r="A835" s="31"/>
      <c r="C835" s="32" t="s">
        <v>100</v>
      </c>
      <c r="D835" s="32" t="s">
        <v>51</v>
      </c>
      <c r="F835" s="33">
        <v>5</v>
      </c>
      <c r="K835" s="34"/>
    </row>
    <row r="836" spans="1:76" ht="14.4" x14ac:dyDescent="0.3">
      <c r="A836" s="2" t="s">
        <v>1479</v>
      </c>
      <c r="B836" s="3" t="s">
        <v>1480</v>
      </c>
      <c r="C836" s="75" t="s">
        <v>1481</v>
      </c>
      <c r="D836" s="70"/>
      <c r="E836" s="3" t="s">
        <v>103</v>
      </c>
      <c r="F836" s="28">
        <v>14.7</v>
      </c>
      <c r="G836" s="28">
        <v>0</v>
      </c>
      <c r="H836" s="28">
        <f>ROUND(F836*AO836,2)</f>
        <v>0</v>
      </c>
      <c r="I836" s="28">
        <f>ROUND(F836*AP836,2)</f>
        <v>0</v>
      </c>
      <c r="J836" s="28">
        <f>ROUND(F836*G836,2)</f>
        <v>0</v>
      </c>
      <c r="K836" s="29" t="s">
        <v>60</v>
      </c>
      <c r="Z836" s="28">
        <f>ROUND(IF(AQ836="5",BJ836,0),2)</f>
        <v>0</v>
      </c>
      <c r="AB836" s="28">
        <f>ROUND(IF(AQ836="1",BH836,0),2)</f>
        <v>0</v>
      </c>
      <c r="AC836" s="28">
        <f>ROUND(IF(AQ836="1",BI836,0),2)</f>
        <v>0</v>
      </c>
      <c r="AD836" s="28">
        <f>ROUND(IF(AQ836="7",BH836,0),2)</f>
        <v>0</v>
      </c>
      <c r="AE836" s="28">
        <f>ROUND(IF(AQ836="7",BI836,0),2)</f>
        <v>0</v>
      </c>
      <c r="AF836" s="28">
        <f>ROUND(IF(AQ836="2",BH836,0),2)</f>
        <v>0</v>
      </c>
      <c r="AG836" s="28">
        <f>ROUND(IF(AQ836="2",BI836,0),2)</f>
        <v>0</v>
      </c>
      <c r="AH836" s="28">
        <f>ROUND(IF(AQ836="0",BJ836,0),2)</f>
        <v>0</v>
      </c>
      <c r="AI836" s="10" t="s">
        <v>1050</v>
      </c>
      <c r="AJ836" s="28">
        <f>IF(AN836=0,J836,0)</f>
        <v>0</v>
      </c>
      <c r="AK836" s="28">
        <f>IF(AN836=12,J836,0)</f>
        <v>0</v>
      </c>
      <c r="AL836" s="28">
        <f>IF(AN836=21,J836,0)</f>
        <v>0</v>
      </c>
      <c r="AN836" s="28">
        <v>21</v>
      </c>
      <c r="AO836" s="28">
        <f>G836*1</f>
        <v>0</v>
      </c>
      <c r="AP836" s="28">
        <f>G836*(1-1)</f>
        <v>0</v>
      </c>
      <c r="AQ836" s="30" t="s">
        <v>118</v>
      </c>
      <c r="AV836" s="28">
        <f>ROUND(AW836+AX836,2)</f>
        <v>0</v>
      </c>
      <c r="AW836" s="28">
        <f>ROUND(F836*AO836,2)</f>
        <v>0</v>
      </c>
      <c r="AX836" s="28">
        <f>ROUND(F836*AP836,2)</f>
        <v>0</v>
      </c>
      <c r="AY836" s="30" t="s">
        <v>451</v>
      </c>
      <c r="AZ836" s="30" t="s">
        <v>1238</v>
      </c>
      <c r="BA836" s="10" t="s">
        <v>1055</v>
      </c>
      <c r="BC836" s="28">
        <f>AW836+AX836</f>
        <v>0</v>
      </c>
      <c r="BD836" s="28">
        <f>G836/(100-BE836)*100</f>
        <v>0</v>
      </c>
      <c r="BE836" s="28">
        <v>0</v>
      </c>
      <c r="BF836" s="28">
        <f>836</f>
        <v>836</v>
      </c>
      <c r="BH836" s="28">
        <f>F836*AO836</f>
        <v>0</v>
      </c>
      <c r="BI836" s="28">
        <f>F836*AP836</f>
        <v>0</v>
      </c>
      <c r="BJ836" s="28">
        <f>F836*G836</f>
        <v>0</v>
      </c>
      <c r="BK836" s="28"/>
      <c r="BL836" s="28">
        <v>767</v>
      </c>
      <c r="BW836" s="28">
        <v>21</v>
      </c>
      <c r="BX836" s="4" t="s">
        <v>1481</v>
      </c>
    </row>
    <row r="837" spans="1:76" ht="14.4" x14ac:dyDescent="0.3">
      <c r="A837" s="31"/>
      <c r="C837" s="32" t="s">
        <v>1482</v>
      </c>
      <c r="D837" s="32" t="s">
        <v>51</v>
      </c>
      <c r="F837" s="33">
        <v>14</v>
      </c>
      <c r="K837" s="34"/>
    </row>
    <row r="838" spans="1:76" ht="14.4" x14ac:dyDescent="0.3">
      <c r="A838" s="31"/>
      <c r="C838" s="32" t="s">
        <v>1483</v>
      </c>
      <c r="D838" s="32" t="s">
        <v>51</v>
      </c>
      <c r="F838" s="33">
        <v>0.7</v>
      </c>
      <c r="K838" s="34"/>
    </row>
    <row r="839" spans="1:76" ht="14.4" x14ac:dyDescent="0.3">
      <c r="A839" s="2" t="s">
        <v>1484</v>
      </c>
      <c r="B839" s="3" t="s">
        <v>1485</v>
      </c>
      <c r="C839" s="75" t="s">
        <v>1486</v>
      </c>
      <c r="D839" s="70"/>
      <c r="E839" s="3" t="s">
        <v>293</v>
      </c>
      <c r="F839" s="28">
        <v>8</v>
      </c>
      <c r="G839" s="28">
        <v>0</v>
      </c>
      <c r="H839" s="28">
        <f>ROUND(F839*AO839,2)</f>
        <v>0</v>
      </c>
      <c r="I839" s="28">
        <f>ROUND(F839*AP839,2)</f>
        <v>0</v>
      </c>
      <c r="J839" s="28">
        <f>ROUND(F839*G839,2)</f>
        <v>0</v>
      </c>
      <c r="K839" s="29" t="s">
        <v>60</v>
      </c>
      <c r="Z839" s="28">
        <f>ROUND(IF(AQ839="5",BJ839,0),2)</f>
        <v>0</v>
      </c>
      <c r="AB839" s="28">
        <f>ROUND(IF(AQ839="1",BH839,0),2)</f>
        <v>0</v>
      </c>
      <c r="AC839" s="28">
        <f>ROUND(IF(AQ839="1",BI839,0),2)</f>
        <v>0</v>
      </c>
      <c r="AD839" s="28">
        <f>ROUND(IF(AQ839="7",BH839,0),2)</f>
        <v>0</v>
      </c>
      <c r="AE839" s="28">
        <f>ROUND(IF(AQ839="7",BI839,0),2)</f>
        <v>0</v>
      </c>
      <c r="AF839" s="28">
        <f>ROUND(IF(AQ839="2",BH839,0),2)</f>
        <v>0</v>
      </c>
      <c r="AG839" s="28">
        <f>ROUND(IF(AQ839="2",BI839,0),2)</f>
        <v>0</v>
      </c>
      <c r="AH839" s="28">
        <f>ROUND(IF(AQ839="0",BJ839,0),2)</f>
        <v>0</v>
      </c>
      <c r="AI839" s="10" t="s">
        <v>1050</v>
      </c>
      <c r="AJ839" s="28">
        <f>IF(AN839=0,J839,0)</f>
        <v>0</v>
      </c>
      <c r="AK839" s="28">
        <f>IF(AN839=12,J839,0)</f>
        <v>0</v>
      </c>
      <c r="AL839" s="28">
        <f>IF(AN839=21,J839,0)</f>
        <v>0</v>
      </c>
      <c r="AN839" s="28">
        <v>21</v>
      </c>
      <c r="AO839" s="28">
        <f>G839*1</f>
        <v>0</v>
      </c>
      <c r="AP839" s="28">
        <f>G839*(1-1)</f>
        <v>0</v>
      </c>
      <c r="AQ839" s="30" t="s">
        <v>118</v>
      </c>
      <c r="AV839" s="28">
        <f>ROUND(AW839+AX839,2)</f>
        <v>0</v>
      </c>
      <c r="AW839" s="28">
        <f>ROUND(F839*AO839,2)</f>
        <v>0</v>
      </c>
      <c r="AX839" s="28">
        <f>ROUND(F839*AP839,2)</f>
        <v>0</v>
      </c>
      <c r="AY839" s="30" t="s">
        <v>451</v>
      </c>
      <c r="AZ839" s="30" t="s">
        <v>1238</v>
      </c>
      <c r="BA839" s="10" t="s">
        <v>1055</v>
      </c>
      <c r="BC839" s="28">
        <f>AW839+AX839</f>
        <v>0</v>
      </c>
      <c r="BD839" s="28">
        <f>G839/(100-BE839)*100</f>
        <v>0</v>
      </c>
      <c r="BE839" s="28">
        <v>0</v>
      </c>
      <c r="BF839" s="28">
        <f>839</f>
        <v>839</v>
      </c>
      <c r="BH839" s="28">
        <f>F839*AO839</f>
        <v>0</v>
      </c>
      <c r="BI839" s="28">
        <f>F839*AP839</f>
        <v>0</v>
      </c>
      <c r="BJ839" s="28">
        <f>F839*G839</f>
        <v>0</v>
      </c>
      <c r="BK839" s="28"/>
      <c r="BL839" s="28">
        <v>767</v>
      </c>
      <c r="BW839" s="28">
        <v>21</v>
      </c>
      <c r="BX839" s="4" t="s">
        <v>1486</v>
      </c>
    </row>
    <row r="840" spans="1:76" ht="13.5" customHeight="1" x14ac:dyDescent="0.3">
      <c r="A840" s="31"/>
      <c r="B840" s="35" t="s">
        <v>105</v>
      </c>
      <c r="C840" s="96" t="s">
        <v>1487</v>
      </c>
      <c r="D840" s="97"/>
      <c r="E840" s="97"/>
      <c r="F840" s="97"/>
      <c r="G840" s="97"/>
      <c r="H840" s="97"/>
      <c r="I840" s="97"/>
      <c r="J840" s="97"/>
      <c r="K840" s="98"/>
    </row>
    <row r="841" spans="1:76" ht="14.4" x14ac:dyDescent="0.3">
      <c r="A841" s="2" t="s">
        <v>1488</v>
      </c>
      <c r="B841" s="3" t="s">
        <v>1489</v>
      </c>
      <c r="C841" s="75" t="s">
        <v>1490</v>
      </c>
      <c r="D841" s="70"/>
      <c r="E841" s="3" t="s">
        <v>188</v>
      </c>
      <c r="F841" s="28">
        <v>8.57</v>
      </c>
      <c r="G841" s="28">
        <v>0</v>
      </c>
      <c r="H841" s="28">
        <f>ROUND(F841*AO841,2)</f>
        <v>0</v>
      </c>
      <c r="I841" s="28">
        <f>ROUND(F841*AP841,2)</f>
        <v>0</v>
      </c>
      <c r="J841" s="28">
        <f>ROUND(F841*G841,2)</f>
        <v>0</v>
      </c>
      <c r="K841" s="29" t="s">
        <v>60</v>
      </c>
      <c r="Z841" s="28">
        <f>ROUND(IF(AQ841="5",BJ841,0),2)</f>
        <v>0</v>
      </c>
      <c r="AB841" s="28">
        <f>ROUND(IF(AQ841="1",BH841,0),2)</f>
        <v>0</v>
      </c>
      <c r="AC841" s="28">
        <f>ROUND(IF(AQ841="1",BI841,0),2)</f>
        <v>0</v>
      </c>
      <c r="AD841" s="28">
        <f>ROUND(IF(AQ841="7",BH841,0),2)</f>
        <v>0</v>
      </c>
      <c r="AE841" s="28">
        <f>ROUND(IF(AQ841="7",BI841,0),2)</f>
        <v>0</v>
      </c>
      <c r="AF841" s="28">
        <f>ROUND(IF(AQ841="2",BH841,0),2)</f>
        <v>0</v>
      </c>
      <c r="AG841" s="28">
        <f>ROUND(IF(AQ841="2",BI841,0),2)</f>
        <v>0</v>
      </c>
      <c r="AH841" s="28">
        <f>ROUND(IF(AQ841="0",BJ841,0),2)</f>
        <v>0</v>
      </c>
      <c r="AI841" s="10" t="s">
        <v>1050</v>
      </c>
      <c r="AJ841" s="28">
        <f>IF(AN841=0,J841,0)</f>
        <v>0</v>
      </c>
      <c r="AK841" s="28">
        <f>IF(AN841=12,J841,0)</f>
        <v>0</v>
      </c>
      <c r="AL841" s="28">
        <f>IF(AN841=21,J841,0)</f>
        <v>0</v>
      </c>
      <c r="AN841" s="28">
        <v>21</v>
      </c>
      <c r="AO841" s="28">
        <f>G841*0</f>
        <v>0</v>
      </c>
      <c r="AP841" s="28">
        <f>G841*(1-0)</f>
        <v>0</v>
      </c>
      <c r="AQ841" s="30" t="s">
        <v>118</v>
      </c>
      <c r="AV841" s="28">
        <f>ROUND(AW841+AX841,2)</f>
        <v>0</v>
      </c>
      <c r="AW841" s="28">
        <f>ROUND(F841*AO841,2)</f>
        <v>0</v>
      </c>
      <c r="AX841" s="28">
        <f>ROUND(F841*AP841,2)</f>
        <v>0</v>
      </c>
      <c r="AY841" s="30" t="s">
        <v>451</v>
      </c>
      <c r="AZ841" s="30" t="s">
        <v>1238</v>
      </c>
      <c r="BA841" s="10" t="s">
        <v>1055</v>
      </c>
      <c r="BC841" s="28">
        <f>AW841+AX841</f>
        <v>0</v>
      </c>
      <c r="BD841" s="28">
        <f>G841/(100-BE841)*100</f>
        <v>0</v>
      </c>
      <c r="BE841" s="28">
        <v>0</v>
      </c>
      <c r="BF841" s="28">
        <f>841</f>
        <v>841</v>
      </c>
      <c r="BH841" s="28">
        <f>F841*AO841</f>
        <v>0</v>
      </c>
      <c r="BI841" s="28">
        <f>F841*AP841</f>
        <v>0</v>
      </c>
      <c r="BJ841" s="28">
        <f>F841*G841</f>
        <v>0</v>
      </c>
      <c r="BK841" s="28"/>
      <c r="BL841" s="28">
        <v>767</v>
      </c>
      <c r="BW841" s="28">
        <v>21</v>
      </c>
      <c r="BX841" s="4" t="s">
        <v>1490</v>
      </c>
    </row>
    <row r="842" spans="1:76" ht="14.4" x14ac:dyDescent="0.3">
      <c r="A842" s="31"/>
      <c r="C842" s="32" t="s">
        <v>1491</v>
      </c>
      <c r="D842" s="32" t="s">
        <v>51</v>
      </c>
      <c r="F842" s="33">
        <v>8.57</v>
      </c>
      <c r="K842" s="34"/>
    </row>
    <row r="843" spans="1:76" ht="14.4" x14ac:dyDescent="0.3">
      <c r="A843" s="2" t="s">
        <v>1492</v>
      </c>
      <c r="B843" s="3" t="s">
        <v>1493</v>
      </c>
      <c r="C843" s="75" t="s">
        <v>1494</v>
      </c>
      <c r="D843" s="70"/>
      <c r="E843" s="3" t="s">
        <v>293</v>
      </c>
      <c r="F843" s="28">
        <v>3</v>
      </c>
      <c r="G843" s="28">
        <v>0</v>
      </c>
      <c r="H843" s="28">
        <f>ROUND(F843*AO843,2)</f>
        <v>0</v>
      </c>
      <c r="I843" s="28">
        <f>ROUND(F843*AP843,2)</f>
        <v>0</v>
      </c>
      <c r="J843" s="28">
        <f>ROUND(F843*G843,2)</f>
        <v>0</v>
      </c>
      <c r="K843" s="29" t="s">
        <v>60</v>
      </c>
      <c r="Z843" s="28">
        <f>ROUND(IF(AQ843="5",BJ843,0),2)</f>
        <v>0</v>
      </c>
      <c r="AB843" s="28">
        <f>ROUND(IF(AQ843="1",BH843,0),2)</f>
        <v>0</v>
      </c>
      <c r="AC843" s="28">
        <f>ROUND(IF(AQ843="1",BI843,0),2)</f>
        <v>0</v>
      </c>
      <c r="AD843" s="28">
        <f>ROUND(IF(AQ843="7",BH843,0),2)</f>
        <v>0</v>
      </c>
      <c r="AE843" s="28">
        <f>ROUND(IF(AQ843="7",BI843,0),2)</f>
        <v>0</v>
      </c>
      <c r="AF843" s="28">
        <f>ROUND(IF(AQ843="2",BH843,0),2)</f>
        <v>0</v>
      </c>
      <c r="AG843" s="28">
        <f>ROUND(IF(AQ843="2",BI843,0),2)</f>
        <v>0</v>
      </c>
      <c r="AH843" s="28">
        <f>ROUND(IF(AQ843="0",BJ843,0),2)</f>
        <v>0</v>
      </c>
      <c r="AI843" s="10" t="s">
        <v>1050</v>
      </c>
      <c r="AJ843" s="28">
        <f>IF(AN843=0,J843,0)</f>
        <v>0</v>
      </c>
      <c r="AK843" s="28">
        <f>IF(AN843=12,J843,0)</f>
        <v>0</v>
      </c>
      <c r="AL843" s="28">
        <f>IF(AN843=21,J843,0)</f>
        <v>0</v>
      </c>
      <c r="AN843" s="28">
        <v>21</v>
      </c>
      <c r="AO843" s="28">
        <f>G843*0.894736842</f>
        <v>0</v>
      </c>
      <c r="AP843" s="28">
        <f>G843*(1-0.894736842)</f>
        <v>0</v>
      </c>
      <c r="AQ843" s="30" t="s">
        <v>118</v>
      </c>
      <c r="AV843" s="28">
        <f>ROUND(AW843+AX843,2)</f>
        <v>0</v>
      </c>
      <c r="AW843" s="28">
        <f>ROUND(F843*AO843,2)</f>
        <v>0</v>
      </c>
      <c r="AX843" s="28">
        <f>ROUND(F843*AP843,2)</f>
        <v>0</v>
      </c>
      <c r="AY843" s="30" t="s">
        <v>451</v>
      </c>
      <c r="AZ843" s="30" t="s">
        <v>1238</v>
      </c>
      <c r="BA843" s="10" t="s">
        <v>1055</v>
      </c>
      <c r="BC843" s="28">
        <f>AW843+AX843</f>
        <v>0</v>
      </c>
      <c r="BD843" s="28">
        <f>G843/(100-BE843)*100</f>
        <v>0</v>
      </c>
      <c r="BE843" s="28">
        <v>0</v>
      </c>
      <c r="BF843" s="28">
        <f>843</f>
        <v>843</v>
      </c>
      <c r="BH843" s="28">
        <f>F843*AO843</f>
        <v>0</v>
      </c>
      <c r="BI843" s="28">
        <f>F843*AP843</f>
        <v>0</v>
      </c>
      <c r="BJ843" s="28">
        <f>F843*G843</f>
        <v>0</v>
      </c>
      <c r="BK843" s="28"/>
      <c r="BL843" s="28">
        <v>767</v>
      </c>
      <c r="BW843" s="28">
        <v>21</v>
      </c>
      <c r="BX843" s="4" t="s">
        <v>1494</v>
      </c>
    </row>
    <row r="844" spans="1:76" ht="13.5" customHeight="1" x14ac:dyDescent="0.3">
      <c r="A844" s="31"/>
      <c r="B844" s="35" t="s">
        <v>105</v>
      </c>
      <c r="C844" s="96" t="s">
        <v>1495</v>
      </c>
      <c r="D844" s="97"/>
      <c r="E844" s="97"/>
      <c r="F844" s="97"/>
      <c r="G844" s="97"/>
      <c r="H844" s="97"/>
      <c r="I844" s="97"/>
      <c r="J844" s="97"/>
      <c r="K844" s="98"/>
    </row>
    <row r="845" spans="1:76" ht="14.4" x14ac:dyDescent="0.3">
      <c r="A845" s="31"/>
      <c r="C845" s="32" t="s">
        <v>1496</v>
      </c>
      <c r="D845" s="32" t="s">
        <v>51</v>
      </c>
      <c r="F845" s="33">
        <v>3</v>
      </c>
      <c r="K845" s="34"/>
    </row>
    <row r="846" spans="1:76" ht="14.4" x14ac:dyDescent="0.3">
      <c r="A846" s="2" t="s">
        <v>1497</v>
      </c>
      <c r="B846" s="3" t="s">
        <v>1498</v>
      </c>
      <c r="C846" s="75" t="s">
        <v>1499</v>
      </c>
      <c r="D846" s="70"/>
      <c r="E846" s="3" t="s">
        <v>1311</v>
      </c>
      <c r="F846" s="28">
        <v>746.23</v>
      </c>
      <c r="G846" s="28">
        <v>0</v>
      </c>
      <c r="H846" s="28">
        <f>ROUND(F846*AO846,2)</f>
        <v>0</v>
      </c>
      <c r="I846" s="28">
        <f>ROUND(F846*AP846,2)</f>
        <v>0</v>
      </c>
      <c r="J846" s="28">
        <f>ROUND(F846*G846,2)</f>
        <v>0</v>
      </c>
      <c r="K846" s="29" t="s">
        <v>60</v>
      </c>
      <c r="Z846" s="28">
        <f>ROUND(IF(AQ846="5",BJ846,0),2)</f>
        <v>0</v>
      </c>
      <c r="AB846" s="28">
        <f>ROUND(IF(AQ846="1",BH846,0),2)</f>
        <v>0</v>
      </c>
      <c r="AC846" s="28">
        <f>ROUND(IF(AQ846="1",BI846,0),2)</f>
        <v>0</v>
      </c>
      <c r="AD846" s="28">
        <f>ROUND(IF(AQ846="7",BH846,0),2)</f>
        <v>0</v>
      </c>
      <c r="AE846" s="28">
        <f>ROUND(IF(AQ846="7",BI846,0),2)</f>
        <v>0</v>
      </c>
      <c r="AF846" s="28">
        <f>ROUND(IF(AQ846="2",BH846,0),2)</f>
        <v>0</v>
      </c>
      <c r="AG846" s="28">
        <f>ROUND(IF(AQ846="2",BI846,0),2)</f>
        <v>0</v>
      </c>
      <c r="AH846" s="28">
        <f>ROUND(IF(AQ846="0",BJ846,0),2)</f>
        <v>0</v>
      </c>
      <c r="AI846" s="10" t="s">
        <v>1050</v>
      </c>
      <c r="AJ846" s="28">
        <f>IF(AN846=0,J846,0)</f>
        <v>0</v>
      </c>
      <c r="AK846" s="28">
        <f>IF(AN846=12,J846,0)</f>
        <v>0</v>
      </c>
      <c r="AL846" s="28">
        <f>IF(AN846=21,J846,0)</f>
        <v>0</v>
      </c>
      <c r="AN846" s="28">
        <v>21</v>
      </c>
      <c r="AO846" s="28">
        <f>G846*0</f>
        <v>0</v>
      </c>
      <c r="AP846" s="28">
        <f>G846*(1-0)</f>
        <v>0</v>
      </c>
      <c r="AQ846" s="30" t="s">
        <v>100</v>
      </c>
      <c r="AV846" s="28">
        <f>ROUND(AW846+AX846,2)</f>
        <v>0</v>
      </c>
      <c r="AW846" s="28">
        <f>ROUND(F846*AO846,2)</f>
        <v>0</v>
      </c>
      <c r="AX846" s="28">
        <f>ROUND(F846*AP846,2)</f>
        <v>0</v>
      </c>
      <c r="AY846" s="30" t="s">
        <v>451</v>
      </c>
      <c r="AZ846" s="30" t="s">
        <v>1238</v>
      </c>
      <c r="BA846" s="10" t="s">
        <v>1055</v>
      </c>
      <c r="BC846" s="28">
        <f>AW846+AX846</f>
        <v>0</v>
      </c>
      <c r="BD846" s="28">
        <f>G846/(100-BE846)*100</f>
        <v>0</v>
      </c>
      <c r="BE846" s="28">
        <v>0</v>
      </c>
      <c r="BF846" s="28">
        <f>846</f>
        <v>846</v>
      </c>
      <c r="BH846" s="28">
        <f>F846*AO846</f>
        <v>0</v>
      </c>
      <c r="BI846" s="28">
        <f>F846*AP846</f>
        <v>0</v>
      </c>
      <c r="BJ846" s="28">
        <f>F846*G846</f>
        <v>0</v>
      </c>
      <c r="BK846" s="28"/>
      <c r="BL846" s="28">
        <v>767</v>
      </c>
      <c r="BW846" s="28">
        <v>21</v>
      </c>
      <c r="BX846" s="4" t="s">
        <v>1499</v>
      </c>
    </row>
    <row r="847" spans="1:76" ht="14.4" x14ac:dyDescent="0.3">
      <c r="A847" s="24" t="s">
        <v>51</v>
      </c>
      <c r="B847" s="25" t="s">
        <v>1500</v>
      </c>
      <c r="C847" s="91" t="s">
        <v>1501</v>
      </c>
      <c r="D847" s="92"/>
      <c r="E847" s="26" t="s">
        <v>4</v>
      </c>
      <c r="F847" s="26" t="s">
        <v>4</v>
      </c>
      <c r="G847" s="26" t="s">
        <v>4</v>
      </c>
      <c r="H847" s="1">
        <f>SUM(H848:H864)</f>
        <v>0</v>
      </c>
      <c r="I847" s="1">
        <f>SUM(I848:I864)</f>
        <v>0</v>
      </c>
      <c r="J847" s="1">
        <f>SUM(J848:J864)</f>
        <v>0</v>
      </c>
      <c r="K847" s="27" t="s">
        <v>51</v>
      </c>
      <c r="AI847" s="10" t="s">
        <v>1050</v>
      </c>
      <c r="AS847" s="1">
        <f>SUM(AJ848:AJ864)</f>
        <v>0</v>
      </c>
      <c r="AT847" s="1">
        <f>SUM(AK848:AK864)</f>
        <v>0</v>
      </c>
      <c r="AU847" s="1">
        <f>SUM(AL848:AL864)</f>
        <v>0</v>
      </c>
    </row>
    <row r="848" spans="1:76" ht="14.4" x14ac:dyDescent="0.3">
      <c r="A848" s="2" t="s">
        <v>1502</v>
      </c>
      <c r="B848" s="3" t="s">
        <v>1503</v>
      </c>
      <c r="C848" s="75" t="s">
        <v>1504</v>
      </c>
      <c r="D848" s="70"/>
      <c r="E848" s="3" t="s">
        <v>103</v>
      </c>
      <c r="F848" s="28">
        <v>313.92</v>
      </c>
      <c r="G848" s="28">
        <v>0</v>
      </c>
      <c r="H848" s="28">
        <f>ROUND(F848*AO848,2)</f>
        <v>0</v>
      </c>
      <c r="I848" s="28">
        <f>ROUND(F848*AP848,2)</f>
        <v>0</v>
      </c>
      <c r="J848" s="28">
        <f>ROUND(F848*G848,2)</f>
        <v>0</v>
      </c>
      <c r="K848" s="29" t="s">
        <v>60</v>
      </c>
      <c r="Z848" s="28">
        <f>ROUND(IF(AQ848="5",BJ848,0),2)</f>
        <v>0</v>
      </c>
      <c r="AB848" s="28">
        <f>ROUND(IF(AQ848="1",BH848,0),2)</f>
        <v>0</v>
      </c>
      <c r="AC848" s="28">
        <f>ROUND(IF(AQ848="1",BI848,0),2)</f>
        <v>0</v>
      </c>
      <c r="AD848" s="28">
        <f>ROUND(IF(AQ848="7",BH848,0),2)</f>
        <v>0</v>
      </c>
      <c r="AE848" s="28">
        <f>ROUND(IF(AQ848="7",BI848,0),2)</f>
        <v>0</v>
      </c>
      <c r="AF848" s="28">
        <f>ROUND(IF(AQ848="2",BH848,0),2)</f>
        <v>0</v>
      </c>
      <c r="AG848" s="28">
        <f>ROUND(IF(AQ848="2",BI848,0),2)</f>
        <v>0</v>
      </c>
      <c r="AH848" s="28">
        <f>ROUND(IF(AQ848="0",BJ848,0),2)</f>
        <v>0</v>
      </c>
      <c r="AI848" s="10" t="s">
        <v>1050</v>
      </c>
      <c r="AJ848" s="28">
        <f>IF(AN848=0,J848,0)</f>
        <v>0</v>
      </c>
      <c r="AK848" s="28">
        <f>IF(AN848=12,J848,0)</f>
        <v>0</v>
      </c>
      <c r="AL848" s="28">
        <f>IF(AN848=21,J848,0)</f>
        <v>0</v>
      </c>
      <c r="AN848" s="28">
        <v>21</v>
      </c>
      <c r="AO848" s="28">
        <f>G848*0.536704639</f>
        <v>0</v>
      </c>
      <c r="AP848" s="28">
        <f>G848*(1-0.536704639)</f>
        <v>0</v>
      </c>
      <c r="AQ848" s="30" t="s">
        <v>118</v>
      </c>
      <c r="AV848" s="28">
        <f>ROUND(AW848+AX848,2)</f>
        <v>0</v>
      </c>
      <c r="AW848" s="28">
        <f>ROUND(F848*AO848,2)</f>
        <v>0</v>
      </c>
      <c r="AX848" s="28">
        <f>ROUND(F848*AP848,2)</f>
        <v>0</v>
      </c>
      <c r="AY848" s="30" t="s">
        <v>1505</v>
      </c>
      <c r="AZ848" s="30" t="s">
        <v>1506</v>
      </c>
      <c r="BA848" s="10" t="s">
        <v>1055</v>
      </c>
      <c r="BC848" s="28">
        <f>AW848+AX848</f>
        <v>0</v>
      </c>
      <c r="BD848" s="28">
        <f>G848/(100-BE848)*100</f>
        <v>0</v>
      </c>
      <c r="BE848" s="28">
        <v>0</v>
      </c>
      <c r="BF848" s="28">
        <f>848</f>
        <v>848</v>
      </c>
      <c r="BH848" s="28">
        <f>F848*AO848</f>
        <v>0</v>
      </c>
      <c r="BI848" s="28">
        <f>F848*AP848</f>
        <v>0</v>
      </c>
      <c r="BJ848" s="28">
        <f>F848*G848</f>
        <v>0</v>
      </c>
      <c r="BK848" s="28"/>
      <c r="BL848" s="28">
        <v>783</v>
      </c>
      <c r="BW848" s="28">
        <v>21</v>
      </c>
      <c r="BX848" s="4" t="s">
        <v>1504</v>
      </c>
    </row>
    <row r="849" spans="1:76" ht="13.5" customHeight="1" x14ac:dyDescent="0.3">
      <c r="A849" s="31"/>
      <c r="B849" s="35" t="s">
        <v>105</v>
      </c>
      <c r="C849" s="96" t="s">
        <v>276</v>
      </c>
      <c r="D849" s="97"/>
      <c r="E849" s="97"/>
      <c r="F849" s="97"/>
      <c r="G849" s="97"/>
      <c r="H849" s="97"/>
      <c r="I849" s="97"/>
      <c r="J849" s="97"/>
      <c r="K849" s="98"/>
    </row>
    <row r="850" spans="1:76" ht="14.4" x14ac:dyDescent="0.3">
      <c r="A850" s="31"/>
      <c r="C850" s="32" t="s">
        <v>1507</v>
      </c>
      <c r="D850" s="32" t="s">
        <v>51</v>
      </c>
      <c r="F850" s="33">
        <v>65.88</v>
      </c>
      <c r="K850" s="34"/>
    </row>
    <row r="851" spans="1:76" ht="14.4" x14ac:dyDescent="0.3">
      <c r="A851" s="31"/>
      <c r="C851" s="32" t="s">
        <v>1508</v>
      </c>
      <c r="D851" s="32" t="s">
        <v>51</v>
      </c>
      <c r="F851" s="33">
        <v>3.44</v>
      </c>
      <c r="K851" s="34"/>
    </row>
    <row r="852" spans="1:76" ht="14.4" x14ac:dyDescent="0.3">
      <c r="A852" s="31"/>
      <c r="C852" s="32" t="s">
        <v>1509</v>
      </c>
      <c r="D852" s="32" t="s">
        <v>51</v>
      </c>
      <c r="F852" s="33">
        <v>2.88</v>
      </c>
      <c r="K852" s="34"/>
    </row>
    <row r="853" spans="1:76" ht="14.4" x14ac:dyDescent="0.3">
      <c r="A853" s="31"/>
      <c r="C853" s="32" t="s">
        <v>1510</v>
      </c>
      <c r="D853" s="32" t="s">
        <v>51</v>
      </c>
      <c r="F853" s="33">
        <v>32.76</v>
      </c>
      <c r="K853" s="34"/>
    </row>
    <row r="854" spans="1:76" ht="14.4" x14ac:dyDescent="0.3">
      <c r="A854" s="31"/>
      <c r="C854" s="32" t="s">
        <v>1511</v>
      </c>
      <c r="D854" s="32" t="s">
        <v>51</v>
      </c>
      <c r="F854" s="33">
        <v>1.96</v>
      </c>
      <c r="K854" s="34"/>
    </row>
    <row r="855" spans="1:76" ht="14.4" x14ac:dyDescent="0.3">
      <c r="A855" s="31"/>
      <c r="C855" s="32" t="s">
        <v>1512</v>
      </c>
      <c r="D855" s="32" t="s">
        <v>51</v>
      </c>
      <c r="F855" s="33">
        <v>5.34</v>
      </c>
      <c r="K855" s="34"/>
    </row>
    <row r="856" spans="1:76" ht="14.4" x14ac:dyDescent="0.3">
      <c r="A856" s="31"/>
      <c r="C856" s="32" t="s">
        <v>1513</v>
      </c>
      <c r="D856" s="32" t="s">
        <v>51</v>
      </c>
      <c r="F856" s="33">
        <v>2.7</v>
      </c>
      <c r="K856" s="34"/>
    </row>
    <row r="857" spans="1:76" ht="14.4" x14ac:dyDescent="0.3">
      <c r="A857" s="31"/>
      <c r="C857" s="32" t="s">
        <v>1514</v>
      </c>
      <c r="D857" s="32" t="s">
        <v>51</v>
      </c>
      <c r="F857" s="33">
        <v>0.39600000000000002</v>
      </c>
      <c r="K857" s="34"/>
    </row>
    <row r="858" spans="1:76" ht="14.4" x14ac:dyDescent="0.3">
      <c r="A858" s="31"/>
      <c r="C858" s="32" t="s">
        <v>1515</v>
      </c>
      <c r="D858" s="32" t="s">
        <v>51</v>
      </c>
      <c r="F858" s="33">
        <v>0.504</v>
      </c>
      <c r="K858" s="34"/>
    </row>
    <row r="859" spans="1:76" ht="14.4" x14ac:dyDescent="0.3">
      <c r="A859" s="31"/>
      <c r="C859" s="32" t="s">
        <v>1516</v>
      </c>
      <c r="D859" s="32" t="s">
        <v>51</v>
      </c>
      <c r="F859" s="33">
        <v>6.9420000000000002</v>
      </c>
      <c r="K859" s="34"/>
    </row>
    <row r="860" spans="1:76" ht="14.4" x14ac:dyDescent="0.3">
      <c r="A860" s="31"/>
      <c r="C860" s="32" t="s">
        <v>1517</v>
      </c>
      <c r="D860" s="32" t="s">
        <v>51</v>
      </c>
      <c r="F860" s="33">
        <v>5.6159999999999997</v>
      </c>
      <c r="K860" s="34"/>
    </row>
    <row r="861" spans="1:76" ht="14.4" x14ac:dyDescent="0.3">
      <c r="A861" s="31"/>
      <c r="C861" s="32" t="s">
        <v>1518</v>
      </c>
      <c r="D861" s="32" t="s">
        <v>51</v>
      </c>
      <c r="F861" s="33">
        <v>138.69144</v>
      </c>
      <c r="K861" s="34"/>
    </row>
    <row r="862" spans="1:76" ht="14.4" x14ac:dyDescent="0.3">
      <c r="A862" s="31"/>
      <c r="C862" s="32" t="s">
        <v>1243</v>
      </c>
      <c r="D862" s="32" t="s">
        <v>51</v>
      </c>
      <c r="F862" s="33">
        <v>31.268160000000002</v>
      </c>
      <c r="K862" s="34"/>
    </row>
    <row r="863" spans="1:76" ht="14.4" x14ac:dyDescent="0.3">
      <c r="A863" s="31"/>
      <c r="C863" s="32" t="s">
        <v>1519</v>
      </c>
      <c r="D863" s="32" t="s">
        <v>1520</v>
      </c>
      <c r="F863" s="33">
        <v>15.54</v>
      </c>
      <c r="K863" s="34"/>
    </row>
    <row r="864" spans="1:76" ht="26.4" x14ac:dyDescent="0.3">
      <c r="A864" s="2" t="s">
        <v>1521</v>
      </c>
      <c r="B864" s="3" t="s">
        <v>1522</v>
      </c>
      <c r="C864" s="75" t="s">
        <v>1523</v>
      </c>
      <c r="D864" s="70"/>
      <c r="E864" s="3" t="s">
        <v>103</v>
      </c>
      <c r="F864" s="28">
        <v>169.96</v>
      </c>
      <c r="G864" s="28">
        <v>0</v>
      </c>
      <c r="H864" s="28">
        <f>ROUND(F864*AO864,2)</f>
        <v>0</v>
      </c>
      <c r="I864" s="28">
        <f>ROUND(F864*AP864,2)</f>
        <v>0</v>
      </c>
      <c r="J864" s="28">
        <f>ROUND(F864*G864,2)</f>
        <v>0</v>
      </c>
      <c r="K864" s="29" t="s">
        <v>60</v>
      </c>
      <c r="Z864" s="28">
        <f>ROUND(IF(AQ864="5",BJ864,0),2)</f>
        <v>0</v>
      </c>
      <c r="AB864" s="28">
        <f>ROUND(IF(AQ864="1",BH864,0),2)</f>
        <v>0</v>
      </c>
      <c r="AC864" s="28">
        <f>ROUND(IF(AQ864="1",BI864,0),2)</f>
        <v>0</v>
      </c>
      <c r="AD864" s="28">
        <f>ROUND(IF(AQ864="7",BH864,0),2)</f>
        <v>0</v>
      </c>
      <c r="AE864" s="28">
        <f>ROUND(IF(AQ864="7",BI864,0),2)</f>
        <v>0</v>
      </c>
      <c r="AF864" s="28">
        <f>ROUND(IF(AQ864="2",BH864,0),2)</f>
        <v>0</v>
      </c>
      <c r="AG864" s="28">
        <f>ROUND(IF(AQ864="2",BI864,0),2)</f>
        <v>0</v>
      </c>
      <c r="AH864" s="28">
        <f>ROUND(IF(AQ864="0",BJ864,0),2)</f>
        <v>0</v>
      </c>
      <c r="AI864" s="10" t="s">
        <v>1050</v>
      </c>
      <c r="AJ864" s="28">
        <f>IF(AN864=0,J864,0)</f>
        <v>0</v>
      </c>
      <c r="AK864" s="28">
        <f>IF(AN864=12,J864,0)</f>
        <v>0</v>
      </c>
      <c r="AL864" s="28">
        <f>IF(AN864=21,J864,0)</f>
        <v>0</v>
      </c>
      <c r="AN864" s="28">
        <v>21</v>
      </c>
      <c r="AO864" s="28">
        <f>G864*0</f>
        <v>0</v>
      </c>
      <c r="AP864" s="28">
        <f>G864*(1-0)</f>
        <v>0</v>
      </c>
      <c r="AQ864" s="30" t="s">
        <v>118</v>
      </c>
      <c r="AV864" s="28">
        <f>ROUND(AW864+AX864,2)</f>
        <v>0</v>
      </c>
      <c r="AW864" s="28">
        <f>ROUND(F864*AO864,2)</f>
        <v>0</v>
      </c>
      <c r="AX864" s="28">
        <f>ROUND(F864*AP864,2)</f>
        <v>0</v>
      </c>
      <c r="AY864" s="30" t="s">
        <v>1505</v>
      </c>
      <c r="AZ864" s="30" t="s">
        <v>1506</v>
      </c>
      <c r="BA864" s="10" t="s">
        <v>1055</v>
      </c>
      <c r="BC864" s="28">
        <f>AW864+AX864</f>
        <v>0</v>
      </c>
      <c r="BD864" s="28">
        <f>G864/(100-BE864)*100</f>
        <v>0</v>
      </c>
      <c r="BE864" s="28">
        <v>0</v>
      </c>
      <c r="BF864" s="28">
        <f>864</f>
        <v>864</v>
      </c>
      <c r="BH864" s="28">
        <f>F864*AO864</f>
        <v>0</v>
      </c>
      <c r="BI864" s="28">
        <f>F864*AP864</f>
        <v>0</v>
      </c>
      <c r="BJ864" s="28">
        <f>F864*G864</f>
        <v>0</v>
      </c>
      <c r="BK864" s="28"/>
      <c r="BL864" s="28">
        <v>783</v>
      </c>
      <c r="BW864" s="28">
        <v>21</v>
      </c>
      <c r="BX864" s="4" t="s">
        <v>1523</v>
      </c>
    </row>
    <row r="865" spans="1:76" ht="13.5" customHeight="1" x14ac:dyDescent="0.3">
      <c r="A865" s="31"/>
      <c r="B865" s="35" t="s">
        <v>105</v>
      </c>
      <c r="C865" s="96" t="s">
        <v>276</v>
      </c>
      <c r="D865" s="97"/>
      <c r="E865" s="97"/>
      <c r="F865" s="97"/>
      <c r="G865" s="97"/>
      <c r="H865" s="97"/>
      <c r="I865" s="97"/>
      <c r="J865" s="97"/>
      <c r="K865" s="98"/>
    </row>
    <row r="866" spans="1:76" ht="14.4" x14ac:dyDescent="0.3">
      <c r="A866" s="24" t="s">
        <v>51</v>
      </c>
      <c r="B866" s="25" t="s">
        <v>596</v>
      </c>
      <c r="C866" s="91" t="s">
        <v>1524</v>
      </c>
      <c r="D866" s="92"/>
      <c r="E866" s="26" t="s">
        <v>4</v>
      </c>
      <c r="F866" s="26" t="s">
        <v>4</v>
      </c>
      <c r="G866" s="26" t="s">
        <v>4</v>
      </c>
      <c r="H866" s="1">
        <f>SUM(H867:H867)</f>
        <v>0</v>
      </c>
      <c r="I866" s="1">
        <f>SUM(I867:I867)</f>
        <v>0</v>
      </c>
      <c r="J866" s="1">
        <f>SUM(J867:J867)</f>
        <v>0</v>
      </c>
      <c r="K866" s="27" t="s">
        <v>51</v>
      </c>
      <c r="AI866" s="10" t="s">
        <v>1050</v>
      </c>
      <c r="AS866" s="1">
        <f>SUM(AJ867:AJ867)</f>
        <v>0</v>
      </c>
      <c r="AT866" s="1">
        <f>SUM(AK867:AK867)</f>
        <v>0</v>
      </c>
      <c r="AU866" s="1">
        <f>SUM(AL867:AL867)</f>
        <v>0</v>
      </c>
    </row>
    <row r="867" spans="1:76" ht="14.4" x14ac:dyDescent="0.3">
      <c r="A867" s="2" t="s">
        <v>1525</v>
      </c>
      <c r="B867" s="3" t="s">
        <v>1526</v>
      </c>
      <c r="C867" s="75" t="s">
        <v>1527</v>
      </c>
      <c r="D867" s="70"/>
      <c r="E867" s="3" t="s">
        <v>103</v>
      </c>
      <c r="F867" s="28">
        <v>35.549999999999997</v>
      </c>
      <c r="G867" s="28">
        <v>0</v>
      </c>
      <c r="H867" s="28">
        <f>ROUND(F867*AO867,2)</f>
        <v>0</v>
      </c>
      <c r="I867" s="28">
        <f>ROUND(F867*AP867,2)</f>
        <v>0</v>
      </c>
      <c r="J867" s="28">
        <f>ROUND(F867*G867,2)</f>
        <v>0</v>
      </c>
      <c r="K867" s="29" t="s">
        <v>60</v>
      </c>
      <c r="Z867" s="28">
        <f>ROUND(IF(AQ867="5",BJ867,0),2)</f>
        <v>0</v>
      </c>
      <c r="AB867" s="28">
        <f>ROUND(IF(AQ867="1",BH867,0),2)</f>
        <v>0</v>
      </c>
      <c r="AC867" s="28">
        <f>ROUND(IF(AQ867="1",BI867,0),2)</f>
        <v>0</v>
      </c>
      <c r="AD867" s="28">
        <f>ROUND(IF(AQ867="7",BH867,0),2)</f>
        <v>0</v>
      </c>
      <c r="AE867" s="28">
        <f>ROUND(IF(AQ867="7",BI867,0),2)</f>
        <v>0</v>
      </c>
      <c r="AF867" s="28">
        <f>ROUND(IF(AQ867="2",BH867,0),2)</f>
        <v>0</v>
      </c>
      <c r="AG867" s="28">
        <f>ROUND(IF(AQ867="2",BI867,0),2)</f>
        <v>0</v>
      </c>
      <c r="AH867" s="28">
        <f>ROUND(IF(AQ867="0",BJ867,0),2)</f>
        <v>0</v>
      </c>
      <c r="AI867" s="10" t="s">
        <v>1050</v>
      </c>
      <c r="AJ867" s="28">
        <f>IF(AN867=0,J867,0)</f>
        <v>0</v>
      </c>
      <c r="AK867" s="28">
        <f>IF(AN867=12,J867,0)</f>
        <v>0</v>
      </c>
      <c r="AL867" s="28">
        <f>IF(AN867=21,J867,0)</f>
        <v>0</v>
      </c>
      <c r="AN867" s="28">
        <v>21</v>
      </c>
      <c r="AO867" s="28">
        <f>G867*0.00174002</f>
        <v>0</v>
      </c>
      <c r="AP867" s="28">
        <f>G867*(1-0.00174002)</f>
        <v>0</v>
      </c>
      <c r="AQ867" s="30" t="s">
        <v>56</v>
      </c>
      <c r="AV867" s="28">
        <f>ROUND(AW867+AX867,2)</f>
        <v>0</v>
      </c>
      <c r="AW867" s="28">
        <f>ROUND(F867*AO867,2)</f>
        <v>0</v>
      </c>
      <c r="AX867" s="28">
        <f>ROUND(F867*AP867,2)</f>
        <v>0</v>
      </c>
      <c r="AY867" s="30" t="s">
        <v>1528</v>
      </c>
      <c r="AZ867" s="30" t="s">
        <v>1529</v>
      </c>
      <c r="BA867" s="10" t="s">
        <v>1055</v>
      </c>
      <c r="BC867" s="28">
        <f>AW867+AX867</f>
        <v>0</v>
      </c>
      <c r="BD867" s="28">
        <f>G867/(100-BE867)*100</f>
        <v>0</v>
      </c>
      <c r="BE867" s="28">
        <v>0</v>
      </c>
      <c r="BF867" s="28">
        <f>867</f>
        <v>867</v>
      </c>
      <c r="BH867" s="28">
        <f>F867*AO867</f>
        <v>0</v>
      </c>
      <c r="BI867" s="28">
        <f>F867*AP867</f>
        <v>0</v>
      </c>
      <c r="BJ867" s="28">
        <f>F867*G867</f>
        <v>0</v>
      </c>
      <c r="BK867" s="28"/>
      <c r="BL867" s="28">
        <v>95</v>
      </c>
      <c r="BW867" s="28">
        <v>21</v>
      </c>
      <c r="BX867" s="4" t="s">
        <v>1527</v>
      </c>
    </row>
    <row r="868" spans="1:76" ht="27" customHeight="1" x14ac:dyDescent="0.3">
      <c r="A868" s="31"/>
      <c r="B868" s="35" t="s">
        <v>105</v>
      </c>
      <c r="C868" s="96" t="s">
        <v>1530</v>
      </c>
      <c r="D868" s="97"/>
      <c r="E868" s="97"/>
      <c r="F868" s="97"/>
      <c r="G868" s="97"/>
      <c r="H868" s="97"/>
      <c r="I868" s="97"/>
      <c r="J868" s="97"/>
      <c r="K868" s="98"/>
    </row>
    <row r="869" spans="1:76" ht="14.4" x14ac:dyDescent="0.3">
      <c r="A869" s="31"/>
      <c r="C869" s="32" t="s">
        <v>1531</v>
      </c>
      <c r="D869" s="32" t="s">
        <v>51</v>
      </c>
      <c r="F869" s="33">
        <v>35.549999999999997</v>
      </c>
      <c r="K869" s="34"/>
    </row>
    <row r="870" spans="1:76" ht="14.4" x14ac:dyDescent="0.3">
      <c r="A870" s="24" t="s">
        <v>51</v>
      </c>
      <c r="B870" s="25" t="s">
        <v>1532</v>
      </c>
      <c r="C870" s="91" t="s">
        <v>1533</v>
      </c>
      <c r="D870" s="92"/>
      <c r="E870" s="26" t="s">
        <v>4</v>
      </c>
      <c r="F870" s="26" t="s">
        <v>4</v>
      </c>
      <c r="G870" s="26" t="s">
        <v>4</v>
      </c>
      <c r="H870" s="1">
        <f>SUM(H871:H874)</f>
        <v>0</v>
      </c>
      <c r="I870" s="1">
        <f>SUM(I871:I874)</f>
        <v>0</v>
      </c>
      <c r="J870" s="1">
        <f>SUM(J871:J874)</f>
        <v>0</v>
      </c>
      <c r="K870" s="27" t="s">
        <v>51</v>
      </c>
      <c r="AI870" s="10" t="s">
        <v>1050</v>
      </c>
      <c r="AS870" s="1">
        <f>SUM(AJ871:AJ874)</f>
        <v>0</v>
      </c>
      <c r="AT870" s="1">
        <f>SUM(AK871:AK874)</f>
        <v>0</v>
      </c>
      <c r="AU870" s="1">
        <f>SUM(AL871:AL874)</f>
        <v>0</v>
      </c>
    </row>
    <row r="871" spans="1:76" ht="14.4" x14ac:dyDescent="0.3">
      <c r="A871" s="2" t="s">
        <v>1534</v>
      </c>
      <c r="B871" s="3" t="s">
        <v>1535</v>
      </c>
      <c r="C871" s="75" t="s">
        <v>1536</v>
      </c>
      <c r="D871" s="70"/>
      <c r="E871" s="3" t="s">
        <v>103</v>
      </c>
      <c r="F871" s="28">
        <v>35.130000000000003</v>
      </c>
      <c r="G871" s="28">
        <v>0</v>
      </c>
      <c r="H871" s="28">
        <f>ROUND(F871*AO871,2)</f>
        <v>0</v>
      </c>
      <c r="I871" s="28">
        <f>ROUND(F871*AP871,2)</f>
        <v>0</v>
      </c>
      <c r="J871" s="28">
        <f>ROUND(F871*G871,2)</f>
        <v>0</v>
      </c>
      <c r="K871" s="29" t="s">
        <v>60</v>
      </c>
      <c r="Z871" s="28">
        <f>ROUND(IF(AQ871="5",BJ871,0),2)</f>
        <v>0</v>
      </c>
      <c r="AB871" s="28">
        <f>ROUND(IF(AQ871="1",BH871,0),2)</f>
        <v>0</v>
      </c>
      <c r="AC871" s="28">
        <f>ROUND(IF(AQ871="1",BI871,0),2)</f>
        <v>0</v>
      </c>
      <c r="AD871" s="28">
        <f>ROUND(IF(AQ871="7",BH871,0),2)</f>
        <v>0</v>
      </c>
      <c r="AE871" s="28">
        <f>ROUND(IF(AQ871="7",BI871,0),2)</f>
        <v>0</v>
      </c>
      <c r="AF871" s="28">
        <f>ROUND(IF(AQ871="2",BH871,0),2)</f>
        <v>0</v>
      </c>
      <c r="AG871" s="28">
        <f>ROUND(IF(AQ871="2",BI871,0),2)</f>
        <v>0</v>
      </c>
      <c r="AH871" s="28">
        <f>ROUND(IF(AQ871="0",BJ871,0),2)</f>
        <v>0</v>
      </c>
      <c r="AI871" s="10" t="s">
        <v>1050</v>
      </c>
      <c r="AJ871" s="28">
        <f>IF(AN871=0,J871,0)</f>
        <v>0</v>
      </c>
      <c r="AK871" s="28">
        <f>IF(AN871=12,J871,0)</f>
        <v>0</v>
      </c>
      <c r="AL871" s="28">
        <f>IF(AN871=21,J871,0)</f>
        <v>0</v>
      </c>
      <c r="AN871" s="28">
        <v>21</v>
      </c>
      <c r="AO871" s="28">
        <f>G871*1</f>
        <v>0</v>
      </c>
      <c r="AP871" s="28">
        <f>G871*(1-1)</f>
        <v>0</v>
      </c>
      <c r="AQ871" s="30" t="s">
        <v>1537</v>
      </c>
      <c r="AV871" s="28">
        <f>ROUND(AW871+AX871,2)</f>
        <v>0</v>
      </c>
      <c r="AW871" s="28">
        <f>ROUND(F871*AO871,2)</f>
        <v>0</v>
      </c>
      <c r="AX871" s="28">
        <f>ROUND(F871*AP871,2)</f>
        <v>0</v>
      </c>
      <c r="AY871" s="30" t="s">
        <v>1538</v>
      </c>
      <c r="AZ871" s="30" t="s">
        <v>1539</v>
      </c>
      <c r="BA871" s="10" t="s">
        <v>1055</v>
      </c>
      <c r="BC871" s="28">
        <f>AW871+AX871</f>
        <v>0</v>
      </c>
      <c r="BD871" s="28">
        <f>G871/(100-BE871)*100</f>
        <v>0</v>
      </c>
      <c r="BE871" s="28">
        <v>0</v>
      </c>
      <c r="BF871" s="28">
        <f>871</f>
        <v>871</v>
      </c>
      <c r="BH871" s="28">
        <f>F871*AO871</f>
        <v>0</v>
      </c>
      <c r="BI871" s="28">
        <f>F871*AP871</f>
        <v>0</v>
      </c>
      <c r="BJ871" s="28">
        <f>F871*G871</f>
        <v>0</v>
      </c>
      <c r="BK871" s="28"/>
      <c r="BL871" s="28"/>
      <c r="BW871" s="28">
        <v>21</v>
      </c>
      <c r="BX871" s="4" t="s">
        <v>1536</v>
      </c>
    </row>
    <row r="872" spans="1:76" ht="14.4" x14ac:dyDescent="0.3">
      <c r="A872" s="31"/>
      <c r="C872" s="32" t="s">
        <v>1540</v>
      </c>
      <c r="D872" s="32" t="s">
        <v>1541</v>
      </c>
      <c r="F872" s="33">
        <v>31.72</v>
      </c>
      <c r="K872" s="34"/>
    </row>
    <row r="873" spans="1:76" ht="14.4" x14ac:dyDescent="0.3">
      <c r="A873" s="31"/>
      <c r="C873" s="32" t="s">
        <v>1542</v>
      </c>
      <c r="D873" s="32" t="s">
        <v>1543</v>
      </c>
      <c r="F873" s="33">
        <v>3.41</v>
      </c>
      <c r="K873" s="34"/>
    </row>
    <row r="874" spans="1:76" ht="14.4" x14ac:dyDescent="0.3">
      <c r="A874" s="2" t="s">
        <v>1544</v>
      </c>
      <c r="B874" s="3" t="s">
        <v>1545</v>
      </c>
      <c r="C874" s="75" t="s">
        <v>1546</v>
      </c>
      <c r="D874" s="70"/>
      <c r="E874" s="3" t="s">
        <v>103</v>
      </c>
      <c r="F874" s="28">
        <v>39.93</v>
      </c>
      <c r="G874" s="28">
        <v>0</v>
      </c>
      <c r="H874" s="28">
        <f>ROUND(F874*AO874,2)</f>
        <v>0</v>
      </c>
      <c r="I874" s="28">
        <f>ROUND(F874*AP874,2)</f>
        <v>0</v>
      </c>
      <c r="J874" s="28">
        <f>ROUND(F874*G874,2)</f>
        <v>0</v>
      </c>
      <c r="K874" s="29" t="s">
        <v>60</v>
      </c>
      <c r="Z874" s="28">
        <f>ROUND(IF(AQ874="5",BJ874,0),2)</f>
        <v>0</v>
      </c>
      <c r="AB874" s="28">
        <f>ROUND(IF(AQ874="1",BH874,0),2)</f>
        <v>0</v>
      </c>
      <c r="AC874" s="28">
        <f>ROUND(IF(AQ874="1",BI874,0),2)</f>
        <v>0</v>
      </c>
      <c r="AD874" s="28">
        <f>ROUND(IF(AQ874="7",BH874,0),2)</f>
        <v>0</v>
      </c>
      <c r="AE874" s="28">
        <f>ROUND(IF(AQ874="7",BI874,0),2)</f>
        <v>0</v>
      </c>
      <c r="AF874" s="28">
        <f>ROUND(IF(AQ874="2",BH874,0),2)</f>
        <v>0</v>
      </c>
      <c r="AG874" s="28">
        <f>ROUND(IF(AQ874="2",BI874,0),2)</f>
        <v>0</v>
      </c>
      <c r="AH874" s="28">
        <f>ROUND(IF(AQ874="0",BJ874,0),2)</f>
        <v>0</v>
      </c>
      <c r="AI874" s="10" t="s">
        <v>1050</v>
      </c>
      <c r="AJ874" s="28">
        <f>IF(AN874=0,J874,0)</f>
        <v>0</v>
      </c>
      <c r="AK874" s="28">
        <f>IF(AN874=12,J874,0)</f>
        <v>0</v>
      </c>
      <c r="AL874" s="28">
        <f>IF(AN874=21,J874,0)</f>
        <v>0</v>
      </c>
      <c r="AN874" s="28">
        <v>21</v>
      </c>
      <c r="AO874" s="28">
        <f>G874*1</f>
        <v>0</v>
      </c>
      <c r="AP874" s="28">
        <f>G874*(1-1)</f>
        <v>0</v>
      </c>
      <c r="AQ874" s="30" t="s">
        <v>1537</v>
      </c>
      <c r="AV874" s="28">
        <f>ROUND(AW874+AX874,2)</f>
        <v>0</v>
      </c>
      <c r="AW874" s="28">
        <f>ROUND(F874*AO874,2)</f>
        <v>0</v>
      </c>
      <c r="AX874" s="28">
        <f>ROUND(F874*AP874,2)</f>
        <v>0</v>
      </c>
      <c r="AY874" s="30" t="s">
        <v>1538</v>
      </c>
      <c r="AZ874" s="30" t="s">
        <v>1539</v>
      </c>
      <c r="BA874" s="10" t="s">
        <v>1055</v>
      </c>
      <c r="BC874" s="28">
        <f>AW874+AX874</f>
        <v>0</v>
      </c>
      <c r="BD874" s="28">
        <f>G874/(100-BE874)*100</f>
        <v>0</v>
      </c>
      <c r="BE874" s="28">
        <v>0</v>
      </c>
      <c r="BF874" s="28">
        <f>874</f>
        <v>874</v>
      </c>
      <c r="BH874" s="28">
        <f>F874*AO874</f>
        <v>0</v>
      </c>
      <c r="BI874" s="28">
        <f>F874*AP874</f>
        <v>0</v>
      </c>
      <c r="BJ874" s="28">
        <f>F874*G874</f>
        <v>0</v>
      </c>
      <c r="BK874" s="28"/>
      <c r="BL874" s="28"/>
      <c r="BW874" s="28">
        <v>21</v>
      </c>
      <c r="BX874" s="4" t="s">
        <v>1546</v>
      </c>
    </row>
    <row r="875" spans="1:76" ht="14.4" x14ac:dyDescent="0.3">
      <c r="A875" s="31"/>
      <c r="C875" s="32" t="s">
        <v>1547</v>
      </c>
      <c r="D875" s="32" t="s">
        <v>1548</v>
      </c>
      <c r="F875" s="33">
        <v>36.46</v>
      </c>
      <c r="K875" s="34"/>
    </row>
    <row r="876" spans="1:76" ht="14.4" x14ac:dyDescent="0.3">
      <c r="A876" s="31"/>
      <c r="C876" s="32" t="s">
        <v>1549</v>
      </c>
      <c r="D876" s="32" t="s">
        <v>1550</v>
      </c>
      <c r="F876" s="33">
        <v>3.47</v>
      </c>
      <c r="K876" s="34"/>
    </row>
    <row r="877" spans="1:76" ht="14.4" x14ac:dyDescent="0.3">
      <c r="A877" s="24" t="s">
        <v>51</v>
      </c>
      <c r="B877" s="25" t="s">
        <v>51</v>
      </c>
      <c r="C877" s="91" t="s">
        <v>1551</v>
      </c>
      <c r="D877" s="92"/>
      <c r="E877" s="26" t="s">
        <v>4</v>
      </c>
      <c r="F877" s="26" t="s">
        <v>4</v>
      </c>
      <c r="G877" s="26" t="s">
        <v>4</v>
      </c>
      <c r="H877" s="1">
        <f>H878+H887+H893+H1039+H1045</f>
        <v>0</v>
      </c>
      <c r="I877" s="1">
        <f>I878+I887+I893+I1039+I1045</f>
        <v>0</v>
      </c>
      <c r="J877" s="1">
        <f>J878+J887+J893+J1039+J1045</f>
        <v>0</v>
      </c>
      <c r="K877" s="27" t="s">
        <v>51</v>
      </c>
    </row>
    <row r="878" spans="1:76" ht="14.4" x14ac:dyDescent="0.3">
      <c r="A878" s="24" t="s">
        <v>51</v>
      </c>
      <c r="B878" s="25" t="s">
        <v>1552</v>
      </c>
      <c r="C878" s="91" t="s">
        <v>1553</v>
      </c>
      <c r="D878" s="92"/>
      <c r="E878" s="26" t="s">
        <v>4</v>
      </c>
      <c r="F878" s="26" t="s">
        <v>4</v>
      </c>
      <c r="G878" s="26" t="s">
        <v>4</v>
      </c>
      <c r="H878" s="1">
        <f>SUM(H879:H885)</f>
        <v>0</v>
      </c>
      <c r="I878" s="1">
        <f>SUM(I879:I885)</f>
        <v>0</v>
      </c>
      <c r="J878" s="1">
        <f>SUM(J879:J885)</f>
        <v>0</v>
      </c>
      <c r="K878" s="27" t="s">
        <v>51</v>
      </c>
      <c r="AI878" s="10" t="s">
        <v>1554</v>
      </c>
      <c r="AS878" s="1">
        <f>SUM(AJ879:AJ885)</f>
        <v>0</v>
      </c>
      <c r="AT878" s="1">
        <f>SUM(AK879:AK885)</f>
        <v>0</v>
      </c>
      <c r="AU878" s="1">
        <f>SUM(AL879:AL885)</f>
        <v>0</v>
      </c>
    </row>
    <row r="879" spans="1:76" ht="14.4" x14ac:dyDescent="0.3">
      <c r="A879" s="2" t="s">
        <v>1555</v>
      </c>
      <c r="B879" s="3" t="s">
        <v>1556</v>
      </c>
      <c r="C879" s="75" t="s">
        <v>1557</v>
      </c>
      <c r="D879" s="70"/>
      <c r="E879" s="3" t="s">
        <v>51</v>
      </c>
      <c r="F879" s="28">
        <v>1</v>
      </c>
      <c r="G879" s="28">
        <v>0</v>
      </c>
      <c r="H879" s="28">
        <f>ROUND(F879*AO879,2)</f>
        <v>0</v>
      </c>
      <c r="I879" s="28">
        <f>ROUND(F879*AP879,2)</f>
        <v>0</v>
      </c>
      <c r="J879" s="28">
        <f>ROUND(F879*G879,2)</f>
        <v>0</v>
      </c>
      <c r="K879" s="29" t="s">
        <v>1558</v>
      </c>
      <c r="Z879" s="28">
        <f>ROUND(IF(AQ879="5",BJ879,0),2)</f>
        <v>0</v>
      </c>
      <c r="AB879" s="28">
        <f>ROUND(IF(AQ879="1",BH879,0),2)</f>
        <v>0</v>
      </c>
      <c r="AC879" s="28">
        <f>ROUND(IF(AQ879="1",BI879,0),2)</f>
        <v>0</v>
      </c>
      <c r="AD879" s="28">
        <f>ROUND(IF(AQ879="7",BH879,0),2)</f>
        <v>0</v>
      </c>
      <c r="AE879" s="28">
        <f>ROUND(IF(AQ879="7",BI879,0),2)</f>
        <v>0</v>
      </c>
      <c r="AF879" s="28">
        <f>ROUND(IF(AQ879="2",BH879,0),2)</f>
        <v>0</v>
      </c>
      <c r="AG879" s="28">
        <f>ROUND(IF(AQ879="2",BI879,0),2)</f>
        <v>0</v>
      </c>
      <c r="AH879" s="28">
        <f>ROUND(IF(AQ879="0",BJ879,0),2)</f>
        <v>0</v>
      </c>
      <c r="AI879" s="10" t="s">
        <v>1554</v>
      </c>
      <c r="AJ879" s="28">
        <f>IF(AN879=0,J879,0)</f>
        <v>0</v>
      </c>
      <c r="AK879" s="28">
        <f>IF(AN879=12,J879,0)</f>
        <v>0</v>
      </c>
      <c r="AL879" s="28">
        <f>IF(AN879=21,J879,0)</f>
        <v>0</v>
      </c>
      <c r="AN879" s="28">
        <v>21</v>
      </c>
      <c r="AO879" s="28">
        <f>G879*0</f>
        <v>0</v>
      </c>
      <c r="AP879" s="28">
        <f>G879*(1-0)</f>
        <v>0</v>
      </c>
      <c r="AQ879" s="30" t="s">
        <v>56</v>
      </c>
      <c r="AV879" s="28">
        <f>ROUND(AW879+AX879,2)</f>
        <v>0</v>
      </c>
      <c r="AW879" s="28">
        <f>ROUND(F879*AO879,2)</f>
        <v>0</v>
      </c>
      <c r="AX879" s="28">
        <f>ROUND(F879*AP879,2)</f>
        <v>0</v>
      </c>
      <c r="AY879" s="30" t="s">
        <v>1559</v>
      </c>
      <c r="AZ879" s="30" t="s">
        <v>1560</v>
      </c>
      <c r="BA879" s="10" t="s">
        <v>1561</v>
      </c>
      <c r="BC879" s="28">
        <f>AW879+AX879</f>
        <v>0</v>
      </c>
      <c r="BD879" s="28">
        <f>G879/(100-BE879)*100</f>
        <v>0</v>
      </c>
      <c r="BE879" s="28">
        <v>0</v>
      </c>
      <c r="BF879" s="28">
        <f>879</f>
        <v>879</v>
      </c>
      <c r="BH879" s="28">
        <f>F879*AO879</f>
        <v>0</v>
      </c>
      <c r="BI879" s="28">
        <f>F879*AP879</f>
        <v>0</v>
      </c>
      <c r="BJ879" s="28">
        <f>F879*G879</f>
        <v>0</v>
      </c>
      <c r="BK879" s="28"/>
      <c r="BL879" s="28"/>
      <c r="BW879" s="28">
        <v>21</v>
      </c>
      <c r="BX879" s="4" t="s">
        <v>1557</v>
      </c>
    </row>
    <row r="880" spans="1:76" ht="13.5" customHeight="1" x14ac:dyDescent="0.3">
      <c r="A880" s="31"/>
      <c r="B880" s="35" t="s">
        <v>105</v>
      </c>
      <c r="C880" s="96" t="s">
        <v>1562</v>
      </c>
      <c r="D880" s="97"/>
      <c r="E880" s="97"/>
      <c r="F880" s="97"/>
      <c r="G880" s="97"/>
      <c r="H880" s="97"/>
      <c r="I880" s="97"/>
      <c r="J880" s="97"/>
      <c r="K880" s="98"/>
    </row>
    <row r="881" spans="1:76" ht="14.4" x14ac:dyDescent="0.3">
      <c r="A881" s="31"/>
      <c r="C881" s="32" t="s">
        <v>56</v>
      </c>
      <c r="D881" s="32" t="s">
        <v>1563</v>
      </c>
      <c r="F881" s="33">
        <v>1</v>
      </c>
      <c r="K881" s="34"/>
    </row>
    <row r="882" spans="1:76" ht="14.4" x14ac:dyDescent="0.3">
      <c r="A882" s="2" t="s">
        <v>1564</v>
      </c>
      <c r="B882" s="3" t="s">
        <v>1565</v>
      </c>
      <c r="C882" s="75" t="s">
        <v>1566</v>
      </c>
      <c r="D882" s="70"/>
      <c r="E882" s="3" t="s">
        <v>1381</v>
      </c>
      <c r="F882" s="28">
        <v>52</v>
      </c>
      <c r="G882" s="28">
        <v>0</v>
      </c>
      <c r="H882" s="28">
        <f>ROUND(F882*AO882,2)</f>
        <v>0</v>
      </c>
      <c r="I882" s="28">
        <f>ROUND(F882*AP882,2)</f>
        <v>0</v>
      </c>
      <c r="J882" s="28">
        <f>ROUND(F882*G882,2)</f>
        <v>0</v>
      </c>
      <c r="K882" s="29" t="s">
        <v>51</v>
      </c>
      <c r="Z882" s="28">
        <f>ROUND(IF(AQ882="5",BJ882,0),2)</f>
        <v>0</v>
      </c>
      <c r="AB882" s="28">
        <f>ROUND(IF(AQ882="1",BH882,0),2)</f>
        <v>0</v>
      </c>
      <c r="AC882" s="28">
        <f>ROUND(IF(AQ882="1",BI882,0),2)</f>
        <v>0</v>
      </c>
      <c r="AD882" s="28">
        <f>ROUND(IF(AQ882="7",BH882,0),2)</f>
        <v>0</v>
      </c>
      <c r="AE882" s="28">
        <f>ROUND(IF(AQ882="7",BI882,0),2)</f>
        <v>0</v>
      </c>
      <c r="AF882" s="28">
        <f>ROUND(IF(AQ882="2",BH882,0),2)</f>
        <v>0</v>
      </c>
      <c r="AG882" s="28">
        <f>ROUND(IF(AQ882="2",BI882,0),2)</f>
        <v>0</v>
      </c>
      <c r="AH882" s="28">
        <f>ROUND(IF(AQ882="0",BJ882,0),2)</f>
        <v>0</v>
      </c>
      <c r="AI882" s="10" t="s">
        <v>1554</v>
      </c>
      <c r="AJ882" s="28">
        <f>IF(AN882=0,J882,0)</f>
        <v>0</v>
      </c>
      <c r="AK882" s="28">
        <f>IF(AN882=12,J882,0)</f>
        <v>0</v>
      </c>
      <c r="AL882" s="28">
        <f>IF(AN882=21,J882,0)</f>
        <v>0</v>
      </c>
      <c r="AN882" s="28">
        <v>21</v>
      </c>
      <c r="AO882" s="28">
        <f>G882*0</f>
        <v>0</v>
      </c>
      <c r="AP882" s="28">
        <f>G882*(1-0)</f>
        <v>0</v>
      </c>
      <c r="AQ882" s="30" t="s">
        <v>56</v>
      </c>
      <c r="AV882" s="28">
        <f>ROUND(AW882+AX882,2)</f>
        <v>0</v>
      </c>
      <c r="AW882" s="28">
        <f>ROUND(F882*AO882,2)</f>
        <v>0</v>
      </c>
      <c r="AX882" s="28">
        <f>ROUND(F882*AP882,2)</f>
        <v>0</v>
      </c>
      <c r="AY882" s="30" t="s">
        <v>1559</v>
      </c>
      <c r="AZ882" s="30" t="s">
        <v>1560</v>
      </c>
      <c r="BA882" s="10" t="s">
        <v>1561</v>
      </c>
      <c r="BC882" s="28">
        <f>AW882+AX882</f>
        <v>0</v>
      </c>
      <c r="BD882" s="28">
        <f>G882/(100-BE882)*100</f>
        <v>0</v>
      </c>
      <c r="BE882" s="28">
        <v>0</v>
      </c>
      <c r="BF882" s="28">
        <f>882</f>
        <v>882</v>
      </c>
      <c r="BH882" s="28">
        <f>F882*AO882</f>
        <v>0</v>
      </c>
      <c r="BI882" s="28">
        <f>F882*AP882</f>
        <v>0</v>
      </c>
      <c r="BJ882" s="28">
        <f>F882*G882</f>
        <v>0</v>
      </c>
      <c r="BK882" s="28"/>
      <c r="BL882" s="28"/>
      <c r="BW882" s="28">
        <v>21</v>
      </c>
      <c r="BX882" s="4" t="s">
        <v>1566</v>
      </c>
    </row>
    <row r="883" spans="1:76" ht="14.4" x14ac:dyDescent="0.3">
      <c r="A883" s="31"/>
      <c r="C883" s="32" t="s">
        <v>1567</v>
      </c>
      <c r="D883" s="32" t="s">
        <v>1568</v>
      </c>
      <c r="F883" s="33">
        <v>26</v>
      </c>
      <c r="K883" s="34"/>
    </row>
    <row r="884" spans="1:76" ht="14.4" x14ac:dyDescent="0.3">
      <c r="A884" s="31"/>
      <c r="C884" s="32" t="s">
        <v>1567</v>
      </c>
      <c r="D884" s="32" t="s">
        <v>1569</v>
      </c>
      <c r="F884" s="33">
        <v>26</v>
      </c>
      <c r="K884" s="34"/>
    </row>
    <row r="885" spans="1:76" ht="14.4" x14ac:dyDescent="0.3">
      <c r="A885" s="2" t="s">
        <v>1570</v>
      </c>
      <c r="B885" s="3" t="s">
        <v>1571</v>
      </c>
      <c r="C885" s="75" t="s">
        <v>1572</v>
      </c>
      <c r="D885" s="70"/>
      <c r="E885" s="3" t="s">
        <v>51</v>
      </c>
      <c r="F885" s="28">
        <v>7</v>
      </c>
      <c r="G885" s="28">
        <v>0</v>
      </c>
      <c r="H885" s="28">
        <f>ROUND(F885*AO885,2)</f>
        <v>0</v>
      </c>
      <c r="I885" s="28">
        <f>ROUND(F885*AP885,2)</f>
        <v>0</v>
      </c>
      <c r="J885" s="28">
        <f>ROUND(F885*G885,2)</f>
        <v>0</v>
      </c>
      <c r="K885" s="29" t="s">
        <v>1558</v>
      </c>
      <c r="Z885" s="28">
        <f>ROUND(IF(AQ885="5",BJ885,0),2)</f>
        <v>0</v>
      </c>
      <c r="AB885" s="28">
        <f>ROUND(IF(AQ885="1",BH885,0),2)</f>
        <v>0</v>
      </c>
      <c r="AC885" s="28">
        <f>ROUND(IF(AQ885="1",BI885,0),2)</f>
        <v>0</v>
      </c>
      <c r="AD885" s="28">
        <f>ROUND(IF(AQ885="7",BH885,0),2)</f>
        <v>0</v>
      </c>
      <c r="AE885" s="28">
        <f>ROUND(IF(AQ885="7",BI885,0),2)</f>
        <v>0</v>
      </c>
      <c r="AF885" s="28">
        <f>ROUND(IF(AQ885="2",BH885,0),2)</f>
        <v>0</v>
      </c>
      <c r="AG885" s="28">
        <f>ROUND(IF(AQ885="2",BI885,0),2)</f>
        <v>0</v>
      </c>
      <c r="AH885" s="28">
        <f>ROUND(IF(AQ885="0",BJ885,0),2)</f>
        <v>0</v>
      </c>
      <c r="AI885" s="10" t="s">
        <v>1554</v>
      </c>
      <c r="AJ885" s="28">
        <f>IF(AN885=0,J885,0)</f>
        <v>0</v>
      </c>
      <c r="AK885" s="28">
        <f>IF(AN885=12,J885,0)</f>
        <v>0</v>
      </c>
      <c r="AL885" s="28">
        <f>IF(AN885=21,J885,0)</f>
        <v>0</v>
      </c>
      <c r="AN885" s="28">
        <v>21</v>
      </c>
      <c r="AO885" s="28">
        <f>G885*0</f>
        <v>0</v>
      </c>
      <c r="AP885" s="28">
        <f>G885*(1-0)</f>
        <v>0</v>
      </c>
      <c r="AQ885" s="30" t="s">
        <v>56</v>
      </c>
      <c r="AV885" s="28">
        <f>ROUND(AW885+AX885,2)</f>
        <v>0</v>
      </c>
      <c r="AW885" s="28">
        <f>ROUND(F885*AO885,2)</f>
        <v>0</v>
      </c>
      <c r="AX885" s="28">
        <f>ROUND(F885*AP885,2)</f>
        <v>0</v>
      </c>
      <c r="AY885" s="30" t="s">
        <v>1559</v>
      </c>
      <c r="AZ885" s="30" t="s">
        <v>1560</v>
      </c>
      <c r="BA885" s="10" t="s">
        <v>1561</v>
      </c>
      <c r="BC885" s="28">
        <f>AW885+AX885</f>
        <v>0</v>
      </c>
      <c r="BD885" s="28">
        <f>G885/(100-BE885)*100</f>
        <v>0</v>
      </c>
      <c r="BE885" s="28">
        <v>0</v>
      </c>
      <c r="BF885" s="28">
        <f>885</f>
        <v>885</v>
      </c>
      <c r="BH885" s="28">
        <f>F885*AO885</f>
        <v>0</v>
      </c>
      <c r="BI885" s="28">
        <f>F885*AP885</f>
        <v>0</v>
      </c>
      <c r="BJ885" s="28">
        <f>F885*G885</f>
        <v>0</v>
      </c>
      <c r="BK885" s="28"/>
      <c r="BL885" s="28"/>
      <c r="BW885" s="28">
        <v>21</v>
      </c>
      <c r="BX885" s="4" t="s">
        <v>1572</v>
      </c>
    </row>
    <row r="886" spans="1:76" ht="13.5" customHeight="1" x14ac:dyDescent="0.3">
      <c r="A886" s="31"/>
      <c r="B886" s="35" t="s">
        <v>105</v>
      </c>
      <c r="C886" s="96" t="s">
        <v>1562</v>
      </c>
      <c r="D886" s="97"/>
      <c r="E886" s="97"/>
      <c r="F886" s="97"/>
      <c r="G886" s="97"/>
      <c r="H886" s="97"/>
      <c r="I886" s="97"/>
      <c r="J886" s="97"/>
      <c r="K886" s="98"/>
    </row>
    <row r="887" spans="1:76" ht="14.4" x14ac:dyDescent="0.3">
      <c r="A887" s="24" t="s">
        <v>51</v>
      </c>
      <c r="B887" s="25" t="s">
        <v>1573</v>
      </c>
      <c r="C887" s="91" t="s">
        <v>1574</v>
      </c>
      <c r="D887" s="92"/>
      <c r="E887" s="26" t="s">
        <v>4</v>
      </c>
      <c r="F887" s="26" t="s">
        <v>4</v>
      </c>
      <c r="G887" s="26" t="s">
        <v>4</v>
      </c>
      <c r="H887" s="1">
        <f>SUM(H888:H892)</f>
        <v>0</v>
      </c>
      <c r="I887" s="1">
        <f>SUM(I888:I892)</f>
        <v>0</v>
      </c>
      <c r="J887" s="1">
        <f>SUM(J888:J892)</f>
        <v>0</v>
      </c>
      <c r="K887" s="27" t="s">
        <v>51</v>
      </c>
      <c r="AI887" s="10" t="s">
        <v>1554</v>
      </c>
      <c r="AS887" s="1">
        <f>SUM(AJ888:AJ892)</f>
        <v>0</v>
      </c>
      <c r="AT887" s="1">
        <f>SUM(AK888:AK892)</f>
        <v>0</v>
      </c>
      <c r="AU887" s="1">
        <f>SUM(AL888:AL892)</f>
        <v>0</v>
      </c>
    </row>
    <row r="888" spans="1:76" ht="14.4" x14ac:dyDescent="0.3">
      <c r="A888" s="2" t="s">
        <v>1575</v>
      </c>
      <c r="B888" s="3" t="s">
        <v>1576</v>
      </c>
      <c r="C888" s="75" t="s">
        <v>1577</v>
      </c>
      <c r="D888" s="70"/>
      <c r="E888" s="3" t="s">
        <v>459</v>
      </c>
      <c r="F888" s="28">
        <v>1</v>
      </c>
      <c r="G888" s="28">
        <v>0</v>
      </c>
      <c r="H888" s="28">
        <f>ROUND(F888*AO888,2)</f>
        <v>0</v>
      </c>
      <c r="I888" s="28">
        <f>ROUND(F888*AP888,2)</f>
        <v>0</v>
      </c>
      <c r="J888" s="28">
        <f>ROUND(F888*G888,2)</f>
        <v>0</v>
      </c>
      <c r="K888" s="29" t="s">
        <v>426</v>
      </c>
      <c r="Z888" s="28">
        <f>ROUND(IF(AQ888="5",BJ888,0),2)</f>
        <v>0</v>
      </c>
      <c r="AB888" s="28">
        <f>ROUND(IF(AQ888="1",BH888,0),2)</f>
        <v>0</v>
      </c>
      <c r="AC888" s="28">
        <f>ROUND(IF(AQ888="1",BI888,0),2)</f>
        <v>0</v>
      </c>
      <c r="AD888" s="28">
        <f>ROUND(IF(AQ888="7",BH888,0),2)</f>
        <v>0</v>
      </c>
      <c r="AE888" s="28">
        <f>ROUND(IF(AQ888="7",BI888,0),2)</f>
        <v>0</v>
      </c>
      <c r="AF888" s="28">
        <f>ROUND(IF(AQ888="2",BH888,0),2)</f>
        <v>0</v>
      </c>
      <c r="AG888" s="28">
        <f>ROUND(IF(AQ888="2",BI888,0),2)</f>
        <v>0</v>
      </c>
      <c r="AH888" s="28">
        <f>ROUND(IF(AQ888="0",BJ888,0),2)</f>
        <v>0</v>
      </c>
      <c r="AI888" s="10" t="s">
        <v>1554</v>
      </c>
      <c r="AJ888" s="28">
        <f>IF(AN888=0,J888,0)</f>
        <v>0</v>
      </c>
      <c r="AK888" s="28">
        <f>IF(AN888=12,J888,0)</f>
        <v>0</v>
      </c>
      <c r="AL888" s="28">
        <f>IF(AN888=21,J888,0)</f>
        <v>0</v>
      </c>
      <c r="AN888" s="28">
        <v>21</v>
      </c>
      <c r="AO888" s="28">
        <f>G888*0.625</f>
        <v>0</v>
      </c>
      <c r="AP888" s="28">
        <f>G888*(1-0.625)</f>
        <v>0</v>
      </c>
      <c r="AQ888" s="30" t="s">
        <v>56</v>
      </c>
      <c r="AV888" s="28">
        <f>ROUND(AW888+AX888,2)</f>
        <v>0</v>
      </c>
      <c r="AW888" s="28">
        <f>ROUND(F888*AO888,2)</f>
        <v>0</v>
      </c>
      <c r="AX888" s="28">
        <f>ROUND(F888*AP888,2)</f>
        <v>0</v>
      </c>
      <c r="AY888" s="30" t="s">
        <v>1578</v>
      </c>
      <c r="AZ888" s="30" t="s">
        <v>1560</v>
      </c>
      <c r="BA888" s="10" t="s">
        <v>1561</v>
      </c>
      <c r="BC888" s="28">
        <f>AW888+AX888</f>
        <v>0</v>
      </c>
      <c r="BD888" s="28">
        <f>G888/(100-BE888)*100</f>
        <v>0</v>
      </c>
      <c r="BE888" s="28">
        <v>0</v>
      </c>
      <c r="BF888" s="28">
        <f>888</f>
        <v>888</v>
      </c>
      <c r="BH888" s="28">
        <f>F888*AO888</f>
        <v>0</v>
      </c>
      <c r="BI888" s="28">
        <f>F888*AP888</f>
        <v>0</v>
      </c>
      <c r="BJ888" s="28">
        <f>F888*G888</f>
        <v>0</v>
      </c>
      <c r="BK888" s="28"/>
      <c r="BL888" s="28"/>
      <c r="BW888" s="28">
        <v>21</v>
      </c>
      <c r="BX888" s="4" t="s">
        <v>1577</v>
      </c>
    </row>
    <row r="889" spans="1:76" ht="13.5" customHeight="1" x14ac:dyDescent="0.3">
      <c r="A889" s="31"/>
      <c r="B889" s="35" t="s">
        <v>105</v>
      </c>
      <c r="C889" s="96" t="s">
        <v>1579</v>
      </c>
      <c r="D889" s="97"/>
      <c r="E889" s="97"/>
      <c r="F889" s="97"/>
      <c r="G889" s="97"/>
      <c r="H889" s="97"/>
      <c r="I889" s="97"/>
      <c r="J889" s="97"/>
      <c r="K889" s="98"/>
    </row>
    <row r="890" spans="1:76" ht="13.5" customHeight="1" x14ac:dyDescent="0.3">
      <c r="A890" s="31"/>
      <c r="B890" s="37" t="s">
        <v>72</v>
      </c>
      <c r="C890" s="96" t="s">
        <v>1580</v>
      </c>
      <c r="D890" s="97"/>
      <c r="E890" s="97"/>
      <c r="F890" s="97"/>
      <c r="G890" s="97"/>
      <c r="H890" s="97"/>
      <c r="I890" s="97"/>
      <c r="J890" s="97"/>
      <c r="K890" s="98"/>
    </row>
    <row r="891" spans="1:76" ht="26.4" x14ac:dyDescent="0.3">
      <c r="A891" s="2" t="s">
        <v>1581</v>
      </c>
      <c r="B891" s="3" t="s">
        <v>1582</v>
      </c>
      <c r="C891" s="75" t="s">
        <v>1583</v>
      </c>
      <c r="D891" s="70"/>
      <c r="E891" s="3" t="s">
        <v>1381</v>
      </c>
      <c r="F891" s="28">
        <v>1</v>
      </c>
      <c r="G891" s="28">
        <v>0</v>
      </c>
      <c r="H891" s="28">
        <f>ROUND(F891*AO891,2)</f>
        <v>0</v>
      </c>
      <c r="I891" s="28">
        <f>ROUND(F891*AP891,2)</f>
        <v>0</v>
      </c>
      <c r="J891" s="28">
        <f>ROUND(F891*G891,2)</f>
        <v>0</v>
      </c>
      <c r="K891" s="29" t="s">
        <v>1584</v>
      </c>
      <c r="Z891" s="28">
        <f>ROUND(IF(AQ891="5",BJ891,0),2)</f>
        <v>0</v>
      </c>
      <c r="AB891" s="28">
        <f>ROUND(IF(AQ891="1",BH891,0),2)</f>
        <v>0</v>
      </c>
      <c r="AC891" s="28">
        <f>ROUND(IF(AQ891="1",BI891,0),2)</f>
        <v>0</v>
      </c>
      <c r="AD891" s="28">
        <f>ROUND(IF(AQ891="7",BH891,0),2)</f>
        <v>0</v>
      </c>
      <c r="AE891" s="28">
        <f>ROUND(IF(AQ891="7",BI891,0),2)</f>
        <v>0</v>
      </c>
      <c r="AF891" s="28">
        <f>ROUND(IF(AQ891="2",BH891,0),2)</f>
        <v>0</v>
      </c>
      <c r="AG891" s="28">
        <f>ROUND(IF(AQ891="2",BI891,0),2)</f>
        <v>0</v>
      </c>
      <c r="AH891" s="28">
        <f>ROUND(IF(AQ891="0",BJ891,0),2)</f>
        <v>0</v>
      </c>
      <c r="AI891" s="10" t="s">
        <v>1554</v>
      </c>
      <c r="AJ891" s="28">
        <f>IF(AN891=0,J891,0)</f>
        <v>0</v>
      </c>
      <c r="AK891" s="28">
        <f>IF(AN891=12,J891,0)</f>
        <v>0</v>
      </c>
      <c r="AL891" s="28">
        <f>IF(AN891=21,J891,0)</f>
        <v>0</v>
      </c>
      <c r="AN891" s="28">
        <v>21</v>
      </c>
      <c r="AO891" s="28">
        <f>G891*0.333333333</f>
        <v>0</v>
      </c>
      <c r="AP891" s="28">
        <f>G891*(1-0.333333333)</f>
        <v>0</v>
      </c>
      <c r="AQ891" s="30" t="s">
        <v>56</v>
      </c>
      <c r="AV891" s="28">
        <f>ROUND(AW891+AX891,2)</f>
        <v>0</v>
      </c>
      <c r="AW891" s="28">
        <f>ROUND(F891*AO891,2)</f>
        <v>0</v>
      </c>
      <c r="AX891" s="28">
        <f>ROUND(F891*AP891,2)</f>
        <v>0</v>
      </c>
      <c r="AY891" s="30" t="s">
        <v>1578</v>
      </c>
      <c r="AZ891" s="30" t="s">
        <v>1560</v>
      </c>
      <c r="BA891" s="10" t="s">
        <v>1561</v>
      </c>
      <c r="BC891" s="28">
        <f>AW891+AX891</f>
        <v>0</v>
      </c>
      <c r="BD891" s="28">
        <f>G891/(100-BE891)*100</f>
        <v>0</v>
      </c>
      <c r="BE891" s="28">
        <v>0</v>
      </c>
      <c r="BF891" s="28">
        <f>891</f>
        <v>891</v>
      </c>
      <c r="BH891" s="28">
        <f>F891*AO891</f>
        <v>0</v>
      </c>
      <c r="BI891" s="28">
        <f>F891*AP891</f>
        <v>0</v>
      </c>
      <c r="BJ891" s="28">
        <f>F891*G891</f>
        <v>0</v>
      </c>
      <c r="BK891" s="28"/>
      <c r="BL891" s="28"/>
      <c r="BW891" s="28">
        <v>21</v>
      </c>
      <c r="BX891" s="4" t="s">
        <v>1583</v>
      </c>
    </row>
    <row r="892" spans="1:76" ht="14.4" x14ac:dyDescent="0.3">
      <c r="A892" s="2" t="s">
        <v>1585</v>
      </c>
      <c r="B892" s="3" t="s">
        <v>1586</v>
      </c>
      <c r="C892" s="75" t="s">
        <v>1587</v>
      </c>
      <c r="D892" s="70"/>
      <c r="E892" s="3" t="s">
        <v>201</v>
      </c>
      <c r="F892" s="28">
        <v>50</v>
      </c>
      <c r="G892" s="28">
        <v>0</v>
      </c>
      <c r="H892" s="28">
        <f>ROUND(F892*AO892,2)</f>
        <v>0</v>
      </c>
      <c r="I892" s="28">
        <f>ROUND(F892*AP892,2)</f>
        <v>0</v>
      </c>
      <c r="J892" s="28">
        <f>ROUND(F892*G892,2)</f>
        <v>0</v>
      </c>
      <c r="K892" s="29" t="s">
        <v>60</v>
      </c>
      <c r="Z892" s="28">
        <f>ROUND(IF(AQ892="5",BJ892,0),2)</f>
        <v>0</v>
      </c>
      <c r="AB892" s="28">
        <f>ROUND(IF(AQ892="1",BH892,0),2)</f>
        <v>0</v>
      </c>
      <c r="AC892" s="28">
        <f>ROUND(IF(AQ892="1",BI892,0),2)</f>
        <v>0</v>
      </c>
      <c r="AD892" s="28">
        <f>ROUND(IF(AQ892="7",BH892,0),2)</f>
        <v>0</v>
      </c>
      <c r="AE892" s="28">
        <f>ROUND(IF(AQ892="7",BI892,0),2)</f>
        <v>0</v>
      </c>
      <c r="AF892" s="28">
        <f>ROUND(IF(AQ892="2",BH892,0),2)</f>
        <v>0</v>
      </c>
      <c r="AG892" s="28">
        <f>ROUND(IF(AQ892="2",BI892,0),2)</f>
        <v>0</v>
      </c>
      <c r="AH892" s="28">
        <f>ROUND(IF(AQ892="0",BJ892,0),2)</f>
        <v>0</v>
      </c>
      <c r="AI892" s="10" t="s">
        <v>1554</v>
      </c>
      <c r="AJ892" s="28">
        <f>IF(AN892=0,J892,0)</f>
        <v>0</v>
      </c>
      <c r="AK892" s="28">
        <f>IF(AN892=12,J892,0)</f>
        <v>0</v>
      </c>
      <c r="AL892" s="28">
        <f>IF(AN892=21,J892,0)</f>
        <v>0</v>
      </c>
      <c r="AN892" s="28">
        <v>21</v>
      </c>
      <c r="AO892" s="28">
        <f>G892*0</f>
        <v>0</v>
      </c>
      <c r="AP892" s="28">
        <f>G892*(1-0)</f>
        <v>0</v>
      </c>
      <c r="AQ892" s="30" t="s">
        <v>56</v>
      </c>
      <c r="AV892" s="28">
        <f>ROUND(AW892+AX892,2)</f>
        <v>0</v>
      </c>
      <c r="AW892" s="28">
        <f>ROUND(F892*AO892,2)</f>
        <v>0</v>
      </c>
      <c r="AX892" s="28">
        <f>ROUND(F892*AP892,2)</f>
        <v>0</v>
      </c>
      <c r="AY892" s="30" t="s">
        <v>1578</v>
      </c>
      <c r="AZ892" s="30" t="s">
        <v>1560</v>
      </c>
      <c r="BA892" s="10" t="s">
        <v>1561</v>
      </c>
      <c r="BC892" s="28">
        <f>AW892+AX892</f>
        <v>0</v>
      </c>
      <c r="BD892" s="28">
        <f>G892/(100-BE892)*100</f>
        <v>0</v>
      </c>
      <c r="BE892" s="28">
        <v>0</v>
      </c>
      <c r="BF892" s="28">
        <f>892</f>
        <v>892</v>
      </c>
      <c r="BH892" s="28">
        <f>F892*AO892</f>
        <v>0</v>
      </c>
      <c r="BI892" s="28">
        <f>F892*AP892</f>
        <v>0</v>
      </c>
      <c r="BJ892" s="28">
        <f>F892*G892</f>
        <v>0</v>
      </c>
      <c r="BK892" s="28"/>
      <c r="BL892" s="28"/>
      <c r="BW892" s="28">
        <v>21</v>
      </c>
      <c r="BX892" s="4" t="s">
        <v>1587</v>
      </c>
    </row>
    <row r="893" spans="1:76" ht="14.4" x14ac:dyDescent="0.3">
      <c r="A893" s="24" t="s">
        <v>51</v>
      </c>
      <c r="B893" s="25" t="s">
        <v>185</v>
      </c>
      <c r="C893" s="91" t="s">
        <v>191</v>
      </c>
      <c r="D893" s="92"/>
      <c r="E893" s="26" t="s">
        <v>4</v>
      </c>
      <c r="F893" s="26" t="s">
        <v>4</v>
      </c>
      <c r="G893" s="26" t="s">
        <v>4</v>
      </c>
      <c r="H893" s="1">
        <f>SUM(H894:H1037)</f>
        <v>0</v>
      </c>
      <c r="I893" s="1">
        <f>SUM(I894:I1037)</f>
        <v>0</v>
      </c>
      <c r="J893" s="1">
        <f>SUM(J894:J1037)</f>
        <v>0</v>
      </c>
      <c r="K893" s="27" t="s">
        <v>51</v>
      </c>
      <c r="AI893" s="10" t="s">
        <v>1554</v>
      </c>
      <c r="AS893" s="1">
        <f>SUM(AJ894:AJ1037)</f>
        <v>0</v>
      </c>
      <c r="AT893" s="1">
        <f>SUM(AK894:AK1037)</f>
        <v>0</v>
      </c>
      <c r="AU893" s="1">
        <f>SUM(AL894:AL1037)</f>
        <v>0</v>
      </c>
    </row>
    <row r="894" spans="1:76" ht="14.4" x14ac:dyDescent="0.3">
      <c r="A894" s="2" t="s">
        <v>1588</v>
      </c>
      <c r="B894" s="3" t="s">
        <v>1589</v>
      </c>
      <c r="C894" s="75" t="s">
        <v>1590</v>
      </c>
      <c r="D894" s="70"/>
      <c r="E894" s="3" t="s">
        <v>293</v>
      </c>
      <c r="F894" s="28">
        <v>21</v>
      </c>
      <c r="G894" s="28">
        <v>0</v>
      </c>
      <c r="H894" s="28">
        <f>ROUND(F894*AO894,2)</f>
        <v>0</v>
      </c>
      <c r="I894" s="28">
        <f>ROUND(F894*AP894,2)</f>
        <v>0</v>
      </c>
      <c r="J894" s="28">
        <f>ROUND(F894*G894,2)</f>
        <v>0</v>
      </c>
      <c r="K894" s="29" t="s">
        <v>60</v>
      </c>
      <c r="Z894" s="28">
        <f>ROUND(IF(AQ894="5",BJ894,0),2)</f>
        <v>0</v>
      </c>
      <c r="AB894" s="28">
        <f>ROUND(IF(AQ894="1",BH894,0),2)</f>
        <v>0</v>
      </c>
      <c r="AC894" s="28">
        <f>ROUND(IF(AQ894="1",BI894,0),2)</f>
        <v>0</v>
      </c>
      <c r="AD894" s="28">
        <f>ROUND(IF(AQ894="7",BH894,0),2)</f>
        <v>0</v>
      </c>
      <c r="AE894" s="28">
        <f>ROUND(IF(AQ894="7",BI894,0),2)</f>
        <v>0</v>
      </c>
      <c r="AF894" s="28">
        <f>ROUND(IF(AQ894="2",BH894,0),2)</f>
        <v>0</v>
      </c>
      <c r="AG894" s="28">
        <f>ROUND(IF(AQ894="2",BI894,0),2)</f>
        <v>0</v>
      </c>
      <c r="AH894" s="28">
        <f>ROUND(IF(AQ894="0",BJ894,0),2)</f>
        <v>0</v>
      </c>
      <c r="AI894" s="10" t="s">
        <v>1554</v>
      </c>
      <c r="AJ894" s="28">
        <f>IF(AN894=0,J894,0)</f>
        <v>0</v>
      </c>
      <c r="AK894" s="28">
        <f>IF(AN894=12,J894,0)</f>
        <v>0</v>
      </c>
      <c r="AL894" s="28">
        <f>IF(AN894=21,J894,0)</f>
        <v>0</v>
      </c>
      <c r="AN894" s="28">
        <v>21</v>
      </c>
      <c r="AO894" s="28">
        <f>G894*0</f>
        <v>0</v>
      </c>
      <c r="AP894" s="28">
        <f>G894*(1-0)</f>
        <v>0</v>
      </c>
      <c r="AQ894" s="30" t="s">
        <v>56</v>
      </c>
      <c r="AV894" s="28">
        <f>ROUND(AW894+AX894,2)</f>
        <v>0</v>
      </c>
      <c r="AW894" s="28">
        <f>ROUND(F894*AO894,2)</f>
        <v>0</v>
      </c>
      <c r="AX894" s="28">
        <f>ROUND(F894*AP894,2)</f>
        <v>0</v>
      </c>
      <c r="AY894" s="30" t="s">
        <v>195</v>
      </c>
      <c r="AZ894" s="30" t="s">
        <v>1591</v>
      </c>
      <c r="BA894" s="10" t="s">
        <v>1561</v>
      </c>
      <c r="BC894" s="28">
        <f>AW894+AX894</f>
        <v>0</v>
      </c>
      <c r="BD894" s="28">
        <f>G894/(100-BE894)*100</f>
        <v>0</v>
      </c>
      <c r="BE894" s="28">
        <v>0</v>
      </c>
      <c r="BF894" s="28">
        <f>894</f>
        <v>894</v>
      </c>
      <c r="BH894" s="28">
        <f>F894*AO894</f>
        <v>0</v>
      </c>
      <c r="BI894" s="28">
        <f>F894*AP894</f>
        <v>0</v>
      </c>
      <c r="BJ894" s="28">
        <f>F894*G894</f>
        <v>0</v>
      </c>
      <c r="BK894" s="28"/>
      <c r="BL894" s="28">
        <v>18</v>
      </c>
      <c r="BW894" s="28">
        <v>21</v>
      </c>
      <c r="BX894" s="4" t="s">
        <v>1590</v>
      </c>
    </row>
    <row r="895" spans="1:76" ht="14.4" x14ac:dyDescent="0.3">
      <c r="A895" s="31"/>
      <c r="C895" s="32" t="s">
        <v>198</v>
      </c>
      <c r="D895" s="32" t="s">
        <v>1592</v>
      </c>
      <c r="F895" s="33">
        <v>20</v>
      </c>
      <c r="K895" s="34"/>
    </row>
    <row r="896" spans="1:76" ht="14.4" x14ac:dyDescent="0.3">
      <c r="A896" s="31"/>
      <c r="C896" s="32" t="s">
        <v>56</v>
      </c>
      <c r="D896" s="32" t="s">
        <v>1593</v>
      </c>
      <c r="F896" s="33">
        <v>1</v>
      </c>
      <c r="K896" s="34"/>
    </row>
    <row r="897" spans="1:76" ht="14.4" x14ac:dyDescent="0.3">
      <c r="A897" s="2" t="s">
        <v>1594</v>
      </c>
      <c r="B897" s="3" t="s">
        <v>1595</v>
      </c>
      <c r="C897" s="75" t="s">
        <v>1596</v>
      </c>
      <c r="D897" s="70"/>
      <c r="E897" s="3" t="s">
        <v>293</v>
      </c>
      <c r="F897" s="28">
        <v>100</v>
      </c>
      <c r="G897" s="28">
        <v>0</v>
      </c>
      <c r="H897" s="28">
        <f>ROUND(F897*AO897,2)</f>
        <v>0</v>
      </c>
      <c r="I897" s="28">
        <f>ROUND(F897*AP897,2)</f>
        <v>0</v>
      </c>
      <c r="J897" s="28">
        <f>ROUND(F897*G897,2)</f>
        <v>0</v>
      </c>
      <c r="K897" s="29" t="s">
        <v>60</v>
      </c>
      <c r="Z897" s="28">
        <f>ROUND(IF(AQ897="5",BJ897,0),2)</f>
        <v>0</v>
      </c>
      <c r="AB897" s="28">
        <f>ROUND(IF(AQ897="1",BH897,0),2)</f>
        <v>0</v>
      </c>
      <c r="AC897" s="28">
        <f>ROUND(IF(AQ897="1",BI897,0),2)</f>
        <v>0</v>
      </c>
      <c r="AD897" s="28">
        <f>ROUND(IF(AQ897="7",BH897,0),2)</f>
        <v>0</v>
      </c>
      <c r="AE897" s="28">
        <f>ROUND(IF(AQ897="7",BI897,0),2)</f>
        <v>0</v>
      </c>
      <c r="AF897" s="28">
        <f>ROUND(IF(AQ897="2",BH897,0),2)</f>
        <v>0</v>
      </c>
      <c r="AG897" s="28">
        <f>ROUND(IF(AQ897="2",BI897,0),2)</f>
        <v>0</v>
      </c>
      <c r="AH897" s="28">
        <f>ROUND(IF(AQ897="0",BJ897,0),2)</f>
        <v>0</v>
      </c>
      <c r="AI897" s="10" t="s">
        <v>1554</v>
      </c>
      <c r="AJ897" s="28">
        <f>IF(AN897=0,J897,0)</f>
        <v>0</v>
      </c>
      <c r="AK897" s="28">
        <f>IF(AN897=12,J897,0)</f>
        <v>0</v>
      </c>
      <c r="AL897" s="28">
        <f>IF(AN897=21,J897,0)</f>
        <v>0</v>
      </c>
      <c r="AN897" s="28">
        <v>21</v>
      </c>
      <c r="AO897" s="28">
        <f>G897*0</f>
        <v>0</v>
      </c>
      <c r="AP897" s="28">
        <f>G897*(1-0)</f>
        <v>0</v>
      </c>
      <c r="AQ897" s="30" t="s">
        <v>56</v>
      </c>
      <c r="AV897" s="28">
        <f>ROUND(AW897+AX897,2)</f>
        <v>0</v>
      </c>
      <c r="AW897" s="28">
        <f>ROUND(F897*AO897,2)</f>
        <v>0</v>
      </c>
      <c r="AX897" s="28">
        <f>ROUND(F897*AP897,2)</f>
        <v>0</v>
      </c>
      <c r="AY897" s="30" t="s">
        <v>195</v>
      </c>
      <c r="AZ897" s="30" t="s">
        <v>1591</v>
      </c>
      <c r="BA897" s="10" t="s">
        <v>1561</v>
      </c>
      <c r="BC897" s="28">
        <f>AW897+AX897</f>
        <v>0</v>
      </c>
      <c r="BD897" s="28">
        <f>G897/(100-BE897)*100</f>
        <v>0</v>
      </c>
      <c r="BE897" s="28">
        <v>0</v>
      </c>
      <c r="BF897" s="28">
        <f>897</f>
        <v>897</v>
      </c>
      <c r="BH897" s="28">
        <f>F897*AO897</f>
        <v>0</v>
      </c>
      <c r="BI897" s="28">
        <f>F897*AP897</f>
        <v>0</v>
      </c>
      <c r="BJ897" s="28">
        <f>F897*G897</f>
        <v>0</v>
      </c>
      <c r="BK897" s="28"/>
      <c r="BL897" s="28">
        <v>18</v>
      </c>
      <c r="BW897" s="28">
        <v>21</v>
      </c>
      <c r="BX897" s="4" t="s">
        <v>1596</v>
      </c>
    </row>
    <row r="898" spans="1:76" ht="14.4" x14ac:dyDescent="0.3">
      <c r="A898" s="31"/>
      <c r="C898" s="32" t="s">
        <v>620</v>
      </c>
      <c r="D898" s="32" t="s">
        <v>1597</v>
      </c>
      <c r="F898" s="33">
        <v>100</v>
      </c>
      <c r="K898" s="34"/>
    </row>
    <row r="899" spans="1:76" ht="14.4" x14ac:dyDescent="0.3">
      <c r="A899" s="2" t="s">
        <v>1598</v>
      </c>
      <c r="B899" s="3" t="s">
        <v>1599</v>
      </c>
      <c r="C899" s="75" t="s">
        <v>1600</v>
      </c>
      <c r="D899" s="70"/>
      <c r="E899" s="3" t="s">
        <v>293</v>
      </c>
      <c r="F899" s="28">
        <v>5350</v>
      </c>
      <c r="G899" s="28">
        <v>0</v>
      </c>
      <c r="H899" s="28">
        <f>ROUND(F899*AO899,2)</f>
        <v>0</v>
      </c>
      <c r="I899" s="28">
        <f>ROUND(F899*AP899,2)</f>
        <v>0</v>
      </c>
      <c r="J899" s="28">
        <f>ROUND(F899*G899,2)</f>
        <v>0</v>
      </c>
      <c r="K899" s="29" t="s">
        <v>60</v>
      </c>
      <c r="Z899" s="28">
        <f>ROUND(IF(AQ899="5",BJ899,0),2)</f>
        <v>0</v>
      </c>
      <c r="AB899" s="28">
        <f>ROUND(IF(AQ899="1",BH899,0),2)</f>
        <v>0</v>
      </c>
      <c r="AC899" s="28">
        <f>ROUND(IF(AQ899="1",BI899,0),2)</f>
        <v>0</v>
      </c>
      <c r="AD899" s="28">
        <f>ROUND(IF(AQ899="7",BH899,0),2)</f>
        <v>0</v>
      </c>
      <c r="AE899" s="28">
        <f>ROUND(IF(AQ899="7",BI899,0),2)</f>
        <v>0</v>
      </c>
      <c r="AF899" s="28">
        <f>ROUND(IF(AQ899="2",BH899,0),2)</f>
        <v>0</v>
      </c>
      <c r="AG899" s="28">
        <f>ROUND(IF(AQ899="2",BI899,0),2)</f>
        <v>0</v>
      </c>
      <c r="AH899" s="28">
        <f>ROUND(IF(AQ899="0",BJ899,0),2)</f>
        <v>0</v>
      </c>
      <c r="AI899" s="10" t="s">
        <v>1554</v>
      </c>
      <c r="AJ899" s="28">
        <f>IF(AN899=0,J899,0)</f>
        <v>0</v>
      </c>
      <c r="AK899" s="28">
        <f>IF(AN899=12,J899,0)</f>
        <v>0</v>
      </c>
      <c r="AL899" s="28">
        <f>IF(AN899=21,J899,0)</f>
        <v>0</v>
      </c>
      <c r="AN899" s="28">
        <v>21</v>
      </c>
      <c r="AO899" s="28">
        <f>G899*0</f>
        <v>0</v>
      </c>
      <c r="AP899" s="28">
        <f>G899*(1-0)</f>
        <v>0</v>
      </c>
      <c r="AQ899" s="30" t="s">
        <v>56</v>
      </c>
      <c r="AV899" s="28">
        <f>ROUND(AW899+AX899,2)</f>
        <v>0</v>
      </c>
      <c r="AW899" s="28">
        <f>ROUND(F899*AO899,2)</f>
        <v>0</v>
      </c>
      <c r="AX899" s="28">
        <f>ROUND(F899*AP899,2)</f>
        <v>0</v>
      </c>
      <c r="AY899" s="30" t="s">
        <v>195</v>
      </c>
      <c r="AZ899" s="30" t="s">
        <v>1591</v>
      </c>
      <c r="BA899" s="10" t="s">
        <v>1561</v>
      </c>
      <c r="BC899" s="28">
        <f>AW899+AX899</f>
        <v>0</v>
      </c>
      <c r="BD899" s="28">
        <f>G899/(100-BE899)*100</f>
        <v>0</v>
      </c>
      <c r="BE899" s="28">
        <v>0</v>
      </c>
      <c r="BF899" s="28">
        <f>899</f>
        <v>899</v>
      </c>
      <c r="BH899" s="28">
        <f>F899*AO899</f>
        <v>0</v>
      </c>
      <c r="BI899" s="28">
        <f>F899*AP899</f>
        <v>0</v>
      </c>
      <c r="BJ899" s="28">
        <f>F899*G899</f>
        <v>0</v>
      </c>
      <c r="BK899" s="28"/>
      <c r="BL899" s="28">
        <v>18</v>
      </c>
      <c r="BW899" s="28">
        <v>21</v>
      </c>
      <c r="BX899" s="4" t="s">
        <v>1600</v>
      </c>
    </row>
    <row r="900" spans="1:76" ht="14.4" x14ac:dyDescent="0.3">
      <c r="A900" s="31"/>
      <c r="C900" s="32" t="s">
        <v>1534</v>
      </c>
      <c r="D900" s="32" t="s">
        <v>1601</v>
      </c>
      <c r="F900" s="33">
        <v>300</v>
      </c>
      <c r="K900" s="34"/>
    </row>
    <row r="901" spans="1:76" ht="14.4" x14ac:dyDescent="0.3">
      <c r="A901" s="31"/>
      <c r="C901" s="32" t="s">
        <v>1602</v>
      </c>
      <c r="D901" s="32" t="s">
        <v>1603</v>
      </c>
      <c r="F901" s="33">
        <v>650</v>
      </c>
      <c r="K901" s="34"/>
    </row>
    <row r="902" spans="1:76" ht="14.4" x14ac:dyDescent="0.3">
      <c r="A902" s="31"/>
      <c r="C902" s="32" t="s">
        <v>1604</v>
      </c>
      <c r="D902" s="32" t="s">
        <v>1605</v>
      </c>
      <c r="F902" s="33">
        <v>900</v>
      </c>
      <c r="K902" s="34"/>
    </row>
    <row r="903" spans="1:76" ht="14.4" x14ac:dyDescent="0.3">
      <c r="A903" s="31"/>
      <c r="C903" s="32" t="s">
        <v>1606</v>
      </c>
      <c r="D903" s="32" t="s">
        <v>1607</v>
      </c>
      <c r="F903" s="33">
        <v>3500</v>
      </c>
      <c r="K903" s="34"/>
    </row>
    <row r="904" spans="1:76" ht="14.4" x14ac:dyDescent="0.3">
      <c r="A904" s="2" t="s">
        <v>1608</v>
      </c>
      <c r="B904" s="3" t="s">
        <v>1609</v>
      </c>
      <c r="C904" s="75" t="s">
        <v>1610</v>
      </c>
      <c r="D904" s="70"/>
      <c r="E904" s="3" t="s">
        <v>293</v>
      </c>
      <c r="F904" s="28">
        <v>200</v>
      </c>
      <c r="G904" s="28">
        <v>0</v>
      </c>
      <c r="H904" s="28">
        <f>ROUND(F904*AO904,2)</f>
        <v>0</v>
      </c>
      <c r="I904" s="28">
        <f>ROUND(F904*AP904,2)</f>
        <v>0</v>
      </c>
      <c r="J904" s="28">
        <f>ROUND(F904*G904,2)</f>
        <v>0</v>
      </c>
      <c r="K904" s="29" t="s">
        <v>60</v>
      </c>
      <c r="Z904" s="28">
        <f>ROUND(IF(AQ904="5",BJ904,0),2)</f>
        <v>0</v>
      </c>
      <c r="AB904" s="28">
        <f>ROUND(IF(AQ904="1",BH904,0),2)</f>
        <v>0</v>
      </c>
      <c r="AC904" s="28">
        <f>ROUND(IF(AQ904="1",BI904,0),2)</f>
        <v>0</v>
      </c>
      <c r="AD904" s="28">
        <f>ROUND(IF(AQ904="7",BH904,0),2)</f>
        <v>0</v>
      </c>
      <c r="AE904" s="28">
        <f>ROUND(IF(AQ904="7",BI904,0),2)</f>
        <v>0</v>
      </c>
      <c r="AF904" s="28">
        <f>ROUND(IF(AQ904="2",BH904,0),2)</f>
        <v>0</v>
      </c>
      <c r="AG904" s="28">
        <f>ROUND(IF(AQ904="2",BI904,0),2)</f>
        <v>0</v>
      </c>
      <c r="AH904" s="28">
        <f>ROUND(IF(AQ904="0",BJ904,0),2)</f>
        <v>0</v>
      </c>
      <c r="AI904" s="10" t="s">
        <v>1554</v>
      </c>
      <c r="AJ904" s="28">
        <f>IF(AN904=0,J904,0)</f>
        <v>0</v>
      </c>
      <c r="AK904" s="28">
        <f>IF(AN904=12,J904,0)</f>
        <v>0</v>
      </c>
      <c r="AL904" s="28">
        <f>IF(AN904=21,J904,0)</f>
        <v>0</v>
      </c>
      <c r="AN904" s="28">
        <v>21</v>
      </c>
      <c r="AO904" s="28">
        <f>G904*0</f>
        <v>0</v>
      </c>
      <c r="AP904" s="28">
        <f>G904*(1-0)</f>
        <v>0</v>
      </c>
      <c r="AQ904" s="30" t="s">
        <v>56</v>
      </c>
      <c r="AV904" s="28">
        <f>ROUND(AW904+AX904,2)</f>
        <v>0</v>
      </c>
      <c r="AW904" s="28">
        <f>ROUND(F904*AO904,2)</f>
        <v>0</v>
      </c>
      <c r="AX904" s="28">
        <f>ROUND(F904*AP904,2)</f>
        <v>0</v>
      </c>
      <c r="AY904" s="30" t="s">
        <v>195</v>
      </c>
      <c r="AZ904" s="30" t="s">
        <v>1591</v>
      </c>
      <c r="BA904" s="10" t="s">
        <v>1561</v>
      </c>
      <c r="BC904" s="28">
        <f>AW904+AX904</f>
        <v>0</v>
      </c>
      <c r="BD904" s="28">
        <f>G904/(100-BE904)*100</f>
        <v>0</v>
      </c>
      <c r="BE904" s="28">
        <v>0</v>
      </c>
      <c r="BF904" s="28">
        <f>904</f>
        <v>904</v>
      </c>
      <c r="BH904" s="28">
        <f>F904*AO904</f>
        <v>0</v>
      </c>
      <c r="BI904" s="28">
        <f>F904*AP904</f>
        <v>0</v>
      </c>
      <c r="BJ904" s="28">
        <f>F904*G904</f>
        <v>0</v>
      </c>
      <c r="BK904" s="28"/>
      <c r="BL904" s="28">
        <v>18</v>
      </c>
      <c r="BW904" s="28">
        <v>21</v>
      </c>
      <c r="BX904" s="4" t="s">
        <v>1610</v>
      </c>
    </row>
    <row r="905" spans="1:76" ht="14.4" x14ac:dyDescent="0.3">
      <c r="A905" s="31"/>
      <c r="C905" s="32" t="s">
        <v>1081</v>
      </c>
      <c r="D905" s="32" t="s">
        <v>1597</v>
      </c>
      <c r="F905" s="33">
        <v>200</v>
      </c>
      <c r="K905" s="34"/>
    </row>
    <row r="906" spans="1:76" ht="14.4" x14ac:dyDescent="0.3">
      <c r="A906" s="2" t="s">
        <v>1611</v>
      </c>
      <c r="B906" s="3" t="s">
        <v>1612</v>
      </c>
      <c r="C906" s="75" t="s">
        <v>1613</v>
      </c>
      <c r="D906" s="70"/>
      <c r="E906" s="3" t="s">
        <v>293</v>
      </c>
      <c r="F906" s="28">
        <v>21</v>
      </c>
      <c r="G906" s="28">
        <v>0</v>
      </c>
      <c r="H906" s="28">
        <f>ROUND(F906*AO906,2)</f>
        <v>0</v>
      </c>
      <c r="I906" s="28">
        <f>ROUND(F906*AP906,2)</f>
        <v>0</v>
      </c>
      <c r="J906" s="28">
        <f>ROUND(F906*G906,2)</f>
        <v>0</v>
      </c>
      <c r="K906" s="29" t="s">
        <v>60</v>
      </c>
      <c r="Z906" s="28">
        <f>ROUND(IF(AQ906="5",BJ906,0),2)</f>
        <v>0</v>
      </c>
      <c r="AB906" s="28">
        <f>ROUND(IF(AQ906="1",BH906,0),2)</f>
        <v>0</v>
      </c>
      <c r="AC906" s="28">
        <f>ROUND(IF(AQ906="1",BI906,0),2)</f>
        <v>0</v>
      </c>
      <c r="AD906" s="28">
        <f>ROUND(IF(AQ906="7",BH906,0),2)</f>
        <v>0</v>
      </c>
      <c r="AE906" s="28">
        <f>ROUND(IF(AQ906="7",BI906,0),2)</f>
        <v>0</v>
      </c>
      <c r="AF906" s="28">
        <f>ROUND(IF(AQ906="2",BH906,0),2)</f>
        <v>0</v>
      </c>
      <c r="AG906" s="28">
        <f>ROUND(IF(AQ906="2",BI906,0),2)</f>
        <v>0</v>
      </c>
      <c r="AH906" s="28">
        <f>ROUND(IF(AQ906="0",BJ906,0),2)</f>
        <v>0</v>
      </c>
      <c r="AI906" s="10" t="s">
        <v>1554</v>
      </c>
      <c r="AJ906" s="28">
        <f>IF(AN906=0,J906,0)</f>
        <v>0</v>
      </c>
      <c r="AK906" s="28">
        <f>IF(AN906=12,J906,0)</f>
        <v>0</v>
      </c>
      <c r="AL906" s="28">
        <f>IF(AN906=21,J906,0)</f>
        <v>0</v>
      </c>
      <c r="AN906" s="28">
        <v>21</v>
      </c>
      <c r="AO906" s="28">
        <f>G906*0.002526814</f>
        <v>0</v>
      </c>
      <c r="AP906" s="28">
        <f>G906*(1-0.002526814)</f>
        <v>0</v>
      </c>
      <c r="AQ906" s="30" t="s">
        <v>56</v>
      </c>
      <c r="AV906" s="28">
        <f>ROUND(AW906+AX906,2)</f>
        <v>0</v>
      </c>
      <c r="AW906" s="28">
        <f>ROUND(F906*AO906,2)</f>
        <v>0</v>
      </c>
      <c r="AX906" s="28">
        <f>ROUND(F906*AP906,2)</f>
        <v>0</v>
      </c>
      <c r="AY906" s="30" t="s">
        <v>195</v>
      </c>
      <c r="AZ906" s="30" t="s">
        <v>1591</v>
      </c>
      <c r="BA906" s="10" t="s">
        <v>1561</v>
      </c>
      <c r="BC906" s="28">
        <f>AW906+AX906</f>
        <v>0</v>
      </c>
      <c r="BD906" s="28">
        <f>G906/(100-BE906)*100</f>
        <v>0</v>
      </c>
      <c r="BE906" s="28">
        <v>0</v>
      </c>
      <c r="BF906" s="28">
        <f>906</f>
        <v>906</v>
      </c>
      <c r="BH906" s="28">
        <f>F906*AO906</f>
        <v>0</v>
      </c>
      <c r="BI906" s="28">
        <f>F906*AP906</f>
        <v>0</v>
      </c>
      <c r="BJ906" s="28">
        <f>F906*G906</f>
        <v>0</v>
      </c>
      <c r="BK906" s="28"/>
      <c r="BL906" s="28">
        <v>18</v>
      </c>
      <c r="BW906" s="28">
        <v>21</v>
      </c>
      <c r="BX906" s="4" t="s">
        <v>1613</v>
      </c>
    </row>
    <row r="907" spans="1:76" ht="14.4" x14ac:dyDescent="0.3">
      <c r="A907" s="31"/>
      <c r="C907" s="32" t="s">
        <v>198</v>
      </c>
      <c r="D907" s="32" t="s">
        <v>1592</v>
      </c>
      <c r="F907" s="33">
        <v>20</v>
      </c>
      <c r="K907" s="34"/>
    </row>
    <row r="908" spans="1:76" ht="14.4" x14ac:dyDescent="0.3">
      <c r="A908" s="31"/>
      <c r="C908" s="32" t="s">
        <v>56</v>
      </c>
      <c r="D908" s="32" t="s">
        <v>1593</v>
      </c>
      <c r="F908" s="33">
        <v>1</v>
      </c>
      <c r="K908" s="34"/>
    </row>
    <row r="909" spans="1:76" ht="14.4" x14ac:dyDescent="0.3">
      <c r="A909" s="2" t="s">
        <v>1614</v>
      </c>
      <c r="B909" s="3" t="s">
        <v>1615</v>
      </c>
      <c r="C909" s="75" t="s">
        <v>1616</v>
      </c>
      <c r="D909" s="70"/>
      <c r="E909" s="3" t="s">
        <v>293</v>
      </c>
      <c r="F909" s="28">
        <v>1</v>
      </c>
      <c r="G909" s="28">
        <v>0</v>
      </c>
      <c r="H909" s="28">
        <f>ROUND(F909*AO909,2)</f>
        <v>0</v>
      </c>
      <c r="I909" s="28">
        <f>ROUND(F909*AP909,2)</f>
        <v>0</v>
      </c>
      <c r="J909" s="28">
        <f>ROUND(F909*G909,2)</f>
        <v>0</v>
      </c>
      <c r="K909" s="29" t="s">
        <v>60</v>
      </c>
      <c r="Z909" s="28">
        <f>ROUND(IF(AQ909="5",BJ909,0),2)</f>
        <v>0</v>
      </c>
      <c r="AB909" s="28">
        <f>ROUND(IF(AQ909="1",BH909,0),2)</f>
        <v>0</v>
      </c>
      <c r="AC909" s="28">
        <f>ROUND(IF(AQ909="1",BI909,0),2)</f>
        <v>0</v>
      </c>
      <c r="AD909" s="28">
        <f>ROUND(IF(AQ909="7",BH909,0),2)</f>
        <v>0</v>
      </c>
      <c r="AE909" s="28">
        <f>ROUND(IF(AQ909="7",BI909,0),2)</f>
        <v>0</v>
      </c>
      <c r="AF909" s="28">
        <f>ROUND(IF(AQ909="2",BH909,0),2)</f>
        <v>0</v>
      </c>
      <c r="AG909" s="28">
        <f>ROUND(IF(AQ909="2",BI909,0),2)</f>
        <v>0</v>
      </c>
      <c r="AH909" s="28">
        <f>ROUND(IF(AQ909="0",BJ909,0),2)</f>
        <v>0</v>
      </c>
      <c r="AI909" s="10" t="s">
        <v>1554</v>
      </c>
      <c r="AJ909" s="28">
        <f>IF(AN909=0,J909,0)</f>
        <v>0</v>
      </c>
      <c r="AK909" s="28">
        <f>IF(AN909=12,J909,0)</f>
        <v>0</v>
      </c>
      <c r="AL909" s="28">
        <f>IF(AN909=21,J909,0)</f>
        <v>0</v>
      </c>
      <c r="AN909" s="28">
        <v>21</v>
      </c>
      <c r="AO909" s="28">
        <f>G909*1</f>
        <v>0</v>
      </c>
      <c r="AP909" s="28">
        <f>G909*(1-1)</f>
        <v>0</v>
      </c>
      <c r="AQ909" s="30" t="s">
        <v>56</v>
      </c>
      <c r="AV909" s="28">
        <f>ROUND(AW909+AX909,2)</f>
        <v>0</v>
      </c>
      <c r="AW909" s="28">
        <f>ROUND(F909*AO909,2)</f>
        <v>0</v>
      </c>
      <c r="AX909" s="28">
        <f>ROUND(F909*AP909,2)</f>
        <v>0</v>
      </c>
      <c r="AY909" s="30" t="s">
        <v>195</v>
      </c>
      <c r="AZ909" s="30" t="s">
        <v>1591</v>
      </c>
      <c r="BA909" s="10" t="s">
        <v>1561</v>
      </c>
      <c r="BC909" s="28">
        <f>AW909+AX909</f>
        <v>0</v>
      </c>
      <c r="BD909" s="28">
        <f>G909/(100-BE909)*100</f>
        <v>0</v>
      </c>
      <c r="BE909" s="28">
        <v>0</v>
      </c>
      <c r="BF909" s="28">
        <f>909</f>
        <v>909</v>
      </c>
      <c r="BH909" s="28">
        <f>F909*AO909</f>
        <v>0</v>
      </c>
      <c r="BI909" s="28">
        <f>F909*AP909</f>
        <v>0</v>
      </c>
      <c r="BJ909" s="28">
        <f>F909*G909</f>
        <v>0</v>
      </c>
      <c r="BK909" s="28"/>
      <c r="BL909" s="28">
        <v>18</v>
      </c>
      <c r="BW909" s="28">
        <v>21</v>
      </c>
      <c r="BX909" s="4" t="s">
        <v>1616</v>
      </c>
    </row>
    <row r="910" spans="1:76" ht="14.4" x14ac:dyDescent="0.3">
      <c r="A910" s="2" t="s">
        <v>1617</v>
      </c>
      <c r="B910" s="3" t="s">
        <v>1618</v>
      </c>
      <c r="C910" s="75" t="s">
        <v>1619</v>
      </c>
      <c r="D910" s="70"/>
      <c r="E910" s="3" t="s">
        <v>293</v>
      </c>
      <c r="F910" s="28">
        <v>19</v>
      </c>
      <c r="G910" s="28">
        <v>0</v>
      </c>
      <c r="H910" s="28">
        <f>ROUND(F910*AO910,2)</f>
        <v>0</v>
      </c>
      <c r="I910" s="28">
        <f>ROUND(F910*AP910,2)</f>
        <v>0</v>
      </c>
      <c r="J910" s="28">
        <f>ROUND(F910*G910,2)</f>
        <v>0</v>
      </c>
      <c r="K910" s="29" t="s">
        <v>60</v>
      </c>
      <c r="Z910" s="28">
        <f>ROUND(IF(AQ910="5",BJ910,0),2)</f>
        <v>0</v>
      </c>
      <c r="AB910" s="28">
        <f>ROUND(IF(AQ910="1",BH910,0),2)</f>
        <v>0</v>
      </c>
      <c r="AC910" s="28">
        <f>ROUND(IF(AQ910="1",BI910,0),2)</f>
        <v>0</v>
      </c>
      <c r="AD910" s="28">
        <f>ROUND(IF(AQ910="7",BH910,0),2)</f>
        <v>0</v>
      </c>
      <c r="AE910" s="28">
        <f>ROUND(IF(AQ910="7",BI910,0),2)</f>
        <v>0</v>
      </c>
      <c r="AF910" s="28">
        <f>ROUND(IF(AQ910="2",BH910,0),2)</f>
        <v>0</v>
      </c>
      <c r="AG910" s="28">
        <f>ROUND(IF(AQ910="2",BI910,0),2)</f>
        <v>0</v>
      </c>
      <c r="AH910" s="28">
        <f>ROUND(IF(AQ910="0",BJ910,0),2)</f>
        <v>0</v>
      </c>
      <c r="AI910" s="10" t="s">
        <v>1554</v>
      </c>
      <c r="AJ910" s="28">
        <f>IF(AN910=0,J910,0)</f>
        <v>0</v>
      </c>
      <c r="AK910" s="28">
        <f>IF(AN910=12,J910,0)</f>
        <v>0</v>
      </c>
      <c r="AL910" s="28">
        <f>IF(AN910=21,J910,0)</f>
        <v>0</v>
      </c>
      <c r="AN910" s="28">
        <v>21</v>
      </c>
      <c r="AO910" s="28">
        <f>G910*0</f>
        <v>0</v>
      </c>
      <c r="AP910" s="28">
        <f>G910*(1-0)</f>
        <v>0</v>
      </c>
      <c r="AQ910" s="30" t="s">
        <v>56</v>
      </c>
      <c r="AV910" s="28">
        <f>ROUND(AW910+AX910,2)</f>
        <v>0</v>
      </c>
      <c r="AW910" s="28">
        <f>ROUND(F910*AO910,2)</f>
        <v>0</v>
      </c>
      <c r="AX910" s="28">
        <f>ROUND(F910*AP910,2)</f>
        <v>0</v>
      </c>
      <c r="AY910" s="30" t="s">
        <v>195</v>
      </c>
      <c r="AZ910" s="30" t="s">
        <v>1591</v>
      </c>
      <c r="BA910" s="10" t="s">
        <v>1561</v>
      </c>
      <c r="BC910" s="28">
        <f>AW910+AX910</f>
        <v>0</v>
      </c>
      <c r="BD910" s="28">
        <f>G910/(100-BE910)*100</f>
        <v>0</v>
      </c>
      <c r="BE910" s="28">
        <v>0</v>
      </c>
      <c r="BF910" s="28">
        <f>910</f>
        <v>910</v>
      </c>
      <c r="BH910" s="28">
        <f>F910*AO910</f>
        <v>0</v>
      </c>
      <c r="BI910" s="28">
        <f>F910*AP910</f>
        <v>0</v>
      </c>
      <c r="BJ910" s="28">
        <f>F910*G910</f>
        <v>0</v>
      </c>
      <c r="BK910" s="28"/>
      <c r="BL910" s="28">
        <v>18</v>
      </c>
      <c r="BW910" s="28">
        <v>21</v>
      </c>
      <c r="BX910" s="4" t="s">
        <v>1619</v>
      </c>
    </row>
    <row r="911" spans="1:76" ht="13.5" customHeight="1" x14ac:dyDescent="0.3">
      <c r="A911" s="31"/>
      <c r="B911" s="35" t="s">
        <v>105</v>
      </c>
      <c r="C911" s="96" t="s">
        <v>1620</v>
      </c>
      <c r="D911" s="97"/>
      <c r="E911" s="97"/>
      <c r="F911" s="97"/>
      <c r="G911" s="97"/>
      <c r="H911" s="97"/>
      <c r="I911" s="97"/>
      <c r="J911" s="97"/>
      <c r="K911" s="98"/>
    </row>
    <row r="912" spans="1:76" ht="14.4" x14ac:dyDescent="0.3">
      <c r="A912" s="2" t="s">
        <v>1621</v>
      </c>
      <c r="B912" s="3" t="s">
        <v>1622</v>
      </c>
      <c r="C912" s="75" t="s">
        <v>1623</v>
      </c>
      <c r="D912" s="70"/>
      <c r="E912" s="3" t="s">
        <v>293</v>
      </c>
      <c r="F912" s="28">
        <v>195</v>
      </c>
      <c r="G912" s="28">
        <v>0</v>
      </c>
      <c r="H912" s="28">
        <f>ROUND(F912*AO912,2)</f>
        <v>0</v>
      </c>
      <c r="I912" s="28">
        <f>ROUND(F912*AP912,2)</f>
        <v>0</v>
      </c>
      <c r="J912" s="28">
        <f>ROUND(F912*G912,2)</f>
        <v>0</v>
      </c>
      <c r="K912" s="29" t="s">
        <v>60</v>
      </c>
      <c r="Z912" s="28">
        <f>ROUND(IF(AQ912="5",BJ912,0),2)</f>
        <v>0</v>
      </c>
      <c r="AB912" s="28">
        <f>ROUND(IF(AQ912="1",BH912,0),2)</f>
        <v>0</v>
      </c>
      <c r="AC912" s="28">
        <f>ROUND(IF(AQ912="1",BI912,0),2)</f>
        <v>0</v>
      </c>
      <c r="AD912" s="28">
        <f>ROUND(IF(AQ912="7",BH912,0),2)</f>
        <v>0</v>
      </c>
      <c r="AE912" s="28">
        <f>ROUND(IF(AQ912="7",BI912,0),2)</f>
        <v>0</v>
      </c>
      <c r="AF912" s="28">
        <f>ROUND(IF(AQ912="2",BH912,0),2)</f>
        <v>0</v>
      </c>
      <c r="AG912" s="28">
        <f>ROUND(IF(AQ912="2",BI912,0),2)</f>
        <v>0</v>
      </c>
      <c r="AH912" s="28">
        <f>ROUND(IF(AQ912="0",BJ912,0),2)</f>
        <v>0</v>
      </c>
      <c r="AI912" s="10" t="s">
        <v>1554</v>
      </c>
      <c r="AJ912" s="28">
        <f>IF(AN912=0,J912,0)</f>
        <v>0</v>
      </c>
      <c r="AK912" s="28">
        <f>IF(AN912=12,J912,0)</f>
        <v>0</v>
      </c>
      <c r="AL912" s="28">
        <f>IF(AN912=21,J912,0)</f>
        <v>0</v>
      </c>
      <c r="AN912" s="28">
        <v>21</v>
      </c>
      <c r="AO912" s="28">
        <f>G912*0.006349206</f>
        <v>0</v>
      </c>
      <c r="AP912" s="28">
        <f>G912*(1-0.006349206)</f>
        <v>0</v>
      </c>
      <c r="AQ912" s="30" t="s">
        <v>56</v>
      </c>
      <c r="AV912" s="28">
        <f>ROUND(AW912+AX912,2)</f>
        <v>0</v>
      </c>
      <c r="AW912" s="28">
        <f>ROUND(F912*AO912,2)</f>
        <v>0</v>
      </c>
      <c r="AX912" s="28">
        <f>ROUND(F912*AP912,2)</f>
        <v>0</v>
      </c>
      <c r="AY912" s="30" t="s">
        <v>195</v>
      </c>
      <c r="AZ912" s="30" t="s">
        <v>1591</v>
      </c>
      <c r="BA912" s="10" t="s">
        <v>1561</v>
      </c>
      <c r="BC912" s="28">
        <f>AW912+AX912</f>
        <v>0</v>
      </c>
      <c r="BD912" s="28">
        <f>G912/(100-BE912)*100</f>
        <v>0</v>
      </c>
      <c r="BE912" s="28">
        <v>0</v>
      </c>
      <c r="BF912" s="28">
        <f>912</f>
        <v>912</v>
      </c>
      <c r="BH912" s="28">
        <f>F912*AO912</f>
        <v>0</v>
      </c>
      <c r="BI912" s="28">
        <f>F912*AP912</f>
        <v>0</v>
      </c>
      <c r="BJ912" s="28">
        <f>F912*G912</f>
        <v>0</v>
      </c>
      <c r="BK912" s="28"/>
      <c r="BL912" s="28">
        <v>18</v>
      </c>
      <c r="BW912" s="28">
        <v>21</v>
      </c>
      <c r="BX912" s="4" t="s">
        <v>1623</v>
      </c>
    </row>
    <row r="913" spans="1:76" ht="14.4" x14ac:dyDescent="0.3">
      <c r="A913" s="31"/>
      <c r="C913" s="32" t="s">
        <v>1624</v>
      </c>
      <c r="D913" s="32" t="s">
        <v>51</v>
      </c>
      <c r="F913" s="33">
        <v>195</v>
      </c>
      <c r="K913" s="34"/>
    </row>
    <row r="914" spans="1:76" ht="14.4" x14ac:dyDescent="0.3">
      <c r="A914" s="2" t="s">
        <v>1625</v>
      </c>
      <c r="B914" s="3" t="s">
        <v>1626</v>
      </c>
      <c r="C914" s="75" t="s">
        <v>1627</v>
      </c>
      <c r="D914" s="70"/>
      <c r="E914" s="3" t="s">
        <v>293</v>
      </c>
      <c r="F914" s="28">
        <v>117</v>
      </c>
      <c r="G914" s="28">
        <v>0</v>
      </c>
      <c r="H914" s="28">
        <f>ROUND(F914*AO914,2)</f>
        <v>0</v>
      </c>
      <c r="I914" s="28">
        <f>ROUND(F914*AP914,2)</f>
        <v>0</v>
      </c>
      <c r="J914" s="28">
        <f>ROUND(F914*G914,2)</f>
        <v>0</v>
      </c>
      <c r="K914" s="29" t="s">
        <v>60</v>
      </c>
      <c r="Z914" s="28">
        <f>ROUND(IF(AQ914="5",BJ914,0),2)</f>
        <v>0</v>
      </c>
      <c r="AB914" s="28">
        <f>ROUND(IF(AQ914="1",BH914,0),2)</f>
        <v>0</v>
      </c>
      <c r="AC914" s="28">
        <f>ROUND(IF(AQ914="1",BI914,0),2)</f>
        <v>0</v>
      </c>
      <c r="AD914" s="28">
        <f>ROUND(IF(AQ914="7",BH914,0),2)</f>
        <v>0</v>
      </c>
      <c r="AE914" s="28">
        <f>ROUND(IF(AQ914="7",BI914,0),2)</f>
        <v>0</v>
      </c>
      <c r="AF914" s="28">
        <f>ROUND(IF(AQ914="2",BH914,0),2)</f>
        <v>0</v>
      </c>
      <c r="AG914" s="28">
        <f>ROUND(IF(AQ914="2",BI914,0),2)</f>
        <v>0</v>
      </c>
      <c r="AH914" s="28">
        <f>ROUND(IF(AQ914="0",BJ914,0),2)</f>
        <v>0</v>
      </c>
      <c r="AI914" s="10" t="s">
        <v>1554</v>
      </c>
      <c r="AJ914" s="28">
        <f>IF(AN914=0,J914,0)</f>
        <v>0</v>
      </c>
      <c r="AK914" s="28">
        <f>IF(AN914=12,J914,0)</f>
        <v>0</v>
      </c>
      <c r="AL914" s="28">
        <f>IF(AN914=21,J914,0)</f>
        <v>0</v>
      </c>
      <c r="AN914" s="28">
        <v>21</v>
      </c>
      <c r="AO914" s="28">
        <f>G914*0.011427734</f>
        <v>0</v>
      </c>
      <c r="AP914" s="28">
        <f>G914*(1-0.011427734)</f>
        <v>0</v>
      </c>
      <c r="AQ914" s="30" t="s">
        <v>56</v>
      </c>
      <c r="AV914" s="28">
        <f>ROUND(AW914+AX914,2)</f>
        <v>0</v>
      </c>
      <c r="AW914" s="28">
        <f>ROUND(F914*AO914,2)</f>
        <v>0</v>
      </c>
      <c r="AX914" s="28">
        <f>ROUND(F914*AP914,2)</f>
        <v>0</v>
      </c>
      <c r="AY914" s="30" t="s">
        <v>195</v>
      </c>
      <c r="AZ914" s="30" t="s">
        <v>1591</v>
      </c>
      <c r="BA914" s="10" t="s">
        <v>1561</v>
      </c>
      <c r="BC914" s="28">
        <f>AW914+AX914</f>
        <v>0</v>
      </c>
      <c r="BD914" s="28">
        <f>G914/(100-BE914)*100</f>
        <v>0</v>
      </c>
      <c r="BE914" s="28">
        <v>0</v>
      </c>
      <c r="BF914" s="28">
        <f>914</f>
        <v>914</v>
      </c>
      <c r="BH914" s="28">
        <f>F914*AO914</f>
        <v>0</v>
      </c>
      <c r="BI914" s="28">
        <f>F914*AP914</f>
        <v>0</v>
      </c>
      <c r="BJ914" s="28">
        <f>F914*G914</f>
        <v>0</v>
      </c>
      <c r="BK914" s="28"/>
      <c r="BL914" s="28">
        <v>18</v>
      </c>
      <c r="BW914" s="28">
        <v>21</v>
      </c>
      <c r="BX914" s="4" t="s">
        <v>1627</v>
      </c>
    </row>
    <row r="915" spans="1:76" ht="14.4" x14ac:dyDescent="0.3">
      <c r="A915" s="31"/>
      <c r="C915" s="32" t="s">
        <v>1628</v>
      </c>
      <c r="D915" s="32" t="s">
        <v>51</v>
      </c>
      <c r="F915" s="33">
        <v>117</v>
      </c>
      <c r="K915" s="34"/>
    </row>
    <row r="916" spans="1:76" ht="14.4" x14ac:dyDescent="0.3">
      <c r="A916" s="2" t="s">
        <v>1629</v>
      </c>
      <c r="B916" s="3" t="s">
        <v>1630</v>
      </c>
      <c r="C916" s="75" t="s">
        <v>1631</v>
      </c>
      <c r="D916" s="70"/>
      <c r="E916" s="3" t="s">
        <v>293</v>
      </c>
      <c r="F916" s="28">
        <v>312</v>
      </c>
      <c r="G916" s="28">
        <v>0</v>
      </c>
      <c r="H916" s="28">
        <f>ROUND(F916*AO916,2)</f>
        <v>0</v>
      </c>
      <c r="I916" s="28">
        <f>ROUND(F916*AP916,2)</f>
        <v>0</v>
      </c>
      <c r="J916" s="28">
        <f>ROUND(F916*G916,2)</f>
        <v>0</v>
      </c>
      <c r="K916" s="29" t="s">
        <v>60</v>
      </c>
      <c r="Z916" s="28">
        <f>ROUND(IF(AQ916="5",BJ916,0),2)</f>
        <v>0</v>
      </c>
      <c r="AB916" s="28">
        <f>ROUND(IF(AQ916="1",BH916,0),2)</f>
        <v>0</v>
      </c>
      <c r="AC916" s="28">
        <f>ROUND(IF(AQ916="1",BI916,0),2)</f>
        <v>0</v>
      </c>
      <c r="AD916" s="28">
        <f>ROUND(IF(AQ916="7",BH916,0),2)</f>
        <v>0</v>
      </c>
      <c r="AE916" s="28">
        <f>ROUND(IF(AQ916="7",BI916,0),2)</f>
        <v>0</v>
      </c>
      <c r="AF916" s="28">
        <f>ROUND(IF(AQ916="2",BH916,0),2)</f>
        <v>0</v>
      </c>
      <c r="AG916" s="28">
        <f>ROUND(IF(AQ916="2",BI916,0),2)</f>
        <v>0</v>
      </c>
      <c r="AH916" s="28">
        <f>ROUND(IF(AQ916="0",BJ916,0),2)</f>
        <v>0</v>
      </c>
      <c r="AI916" s="10" t="s">
        <v>1554</v>
      </c>
      <c r="AJ916" s="28">
        <f>IF(AN916=0,J916,0)</f>
        <v>0</v>
      </c>
      <c r="AK916" s="28">
        <f>IF(AN916=12,J916,0)</f>
        <v>0</v>
      </c>
      <c r="AL916" s="28">
        <f>IF(AN916=21,J916,0)</f>
        <v>0</v>
      </c>
      <c r="AN916" s="28">
        <v>21</v>
      </c>
      <c r="AO916" s="28">
        <f>G916*0.8</f>
        <v>0</v>
      </c>
      <c r="AP916" s="28">
        <f>G916*(1-0.8)</f>
        <v>0</v>
      </c>
      <c r="AQ916" s="30" t="s">
        <v>56</v>
      </c>
      <c r="AV916" s="28">
        <f>ROUND(AW916+AX916,2)</f>
        <v>0</v>
      </c>
      <c r="AW916" s="28">
        <f>ROUND(F916*AO916,2)</f>
        <v>0</v>
      </c>
      <c r="AX916" s="28">
        <f>ROUND(F916*AP916,2)</f>
        <v>0</v>
      </c>
      <c r="AY916" s="30" t="s">
        <v>195</v>
      </c>
      <c r="AZ916" s="30" t="s">
        <v>1591</v>
      </c>
      <c r="BA916" s="10" t="s">
        <v>1561</v>
      </c>
      <c r="BC916" s="28">
        <f>AW916+AX916</f>
        <v>0</v>
      </c>
      <c r="BD916" s="28">
        <f>G916/(100-BE916)*100</f>
        <v>0</v>
      </c>
      <c r="BE916" s="28">
        <v>0</v>
      </c>
      <c r="BF916" s="28">
        <f>916</f>
        <v>916</v>
      </c>
      <c r="BH916" s="28">
        <f>F916*AO916</f>
        <v>0</v>
      </c>
      <c r="BI916" s="28">
        <f>F916*AP916</f>
        <v>0</v>
      </c>
      <c r="BJ916" s="28">
        <f>F916*G916</f>
        <v>0</v>
      </c>
      <c r="BK916" s="28"/>
      <c r="BL916" s="28">
        <v>18</v>
      </c>
      <c r="BW916" s="28">
        <v>21</v>
      </c>
      <c r="BX916" s="4" t="s">
        <v>1631</v>
      </c>
    </row>
    <row r="917" spans="1:76" ht="14.4" x14ac:dyDescent="0.3">
      <c r="A917" s="31"/>
      <c r="C917" s="32" t="s">
        <v>1051</v>
      </c>
      <c r="D917" s="32" t="s">
        <v>1632</v>
      </c>
      <c r="F917" s="33">
        <v>195</v>
      </c>
      <c r="K917" s="34"/>
    </row>
    <row r="918" spans="1:76" ht="14.4" x14ac:dyDescent="0.3">
      <c r="A918" s="31"/>
      <c r="C918" s="32" t="s">
        <v>682</v>
      </c>
      <c r="D918" s="32" t="s">
        <v>1633</v>
      </c>
      <c r="F918" s="33">
        <v>117</v>
      </c>
      <c r="K918" s="34"/>
    </row>
    <row r="919" spans="1:76" ht="14.4" x14ac:dyDescent="0.3">
      <c r="A919" s="31"/>
      <c r="B919" s="35" t="s">
        <v>68</v>
      </c>
      <c r="C919" s="93" t="s">
        <v>1634</v>
      </c>
      <c r="D919" s="94"/>
      <c r="E919" s="94"/>
      <c r="F919" s="94"/>
      <c r="G919" s="94"/>
      <c r="H919" s="94"/>
      <c r="I919" s="94"/>
      <c r="J919" s="94"/>
      <c r="K919" s="95"/>
      <c r="BX919" s="36" t="s">
        <v>1634</v>
      </c>
    </row>
    <row r="920" spans="1:76" ht="14.4" x14ac:dyDescent="0.3">
      <c r="A920" s="2" t="s">
        <v>1635</v>
      </c>
      <c r="B920" s="3" t="s">
        <v>1636</v>
      </c>
      <c r="C920" s="75" t="s">
        <v>1637</v>
      </c>
      <c r="D920" s="70"/>
      <c r="E920" s="3" t="s">
        <v>293</v>
      </c>
      <c r="F920" s="28">
        <v>345</v>
      </c>
      <c r="G920" s="28">
        <v>0</v>
      </c>
      <c r="H920" s="28">
        <f>ROUND(F920*AO920,2)</f>
        <v>0</v>
      </c>
      <c r="I920" s="28">
        <f>ROUND(F920*AP920,2)</f>
        <v>0</v>
      </c>
      <c r="J920" s="28">
        <f>ROUND(F920*G920,2)</f>
        <v>0</v>
      </c>
      <c r="K920" s="29" t="s">
        <v>60</v>
      </c>
      <c r="Z920" s="28">
        <f>ROUND(IF(AQ920="5",BJ920,0),2)</f>
        <v>0</v>
      </c>
      <c r="AB920" s="28">
        <f>ROUND(IF(AQ920="1",BH920,0),2)</f>
        <v>0</v>
      </c>
      <c r="AC920" s="28">
        <f>ROUND(IF(AQ920="1",BI920,0),2)</f>
        <v>0</v>
      </c>
      <c r="AD920" s="28">
        <f>ROUND(IF(AQ920="7",BH920,0),2)</f>
        <v>0</v>
      </c>
      <c r="AE920" s="28">
        <f>ROUND(IF(AQ920="7",BI920,0),2)</f>
        <v>0</v>
      </c>
      <c r="AF920" s="28">
        <f>ROUND(IF(AQ920="2",BH920,0),2)</f>
        <v>0</v>
      </c>
      <c r="AG920" s="28">
        <f>ROUND(IF(AQ920="2",BI920,0),2)</f>
        <v>0</v>
      </c>
      <c r="AH920" s="28">
        <f>ROUND(IF(AQ920="0",BJ920,0),2)</f>
        <v>0</v>
      </c>
      <c r="AI920" s="10" t="s">
        <v>1554</v>
      </c>
      <c r="AJ920" s="28">
        <f>IF(AN920=0,J920,0)</f>
        <v>0</v>
      </c>
      <c r="AK920" s="28">
        <f>IF(AN920=12,J920,0)</f>
        <v>0</v>
      </c>
      <c r="AL920" s="28">
        <f>IF(AN920=21,J920,0)</f>
        <v>0</v>
      </c>
      <c r="AN920" s="28">
        <v>21</v>
      </c>
      <c r="AO920" s="28">
        <f>G920*0.015006525</f>
        <v>0</v>
      </c>
      <c r="AP920" s="28">
        <f>G920*(1-0.015006525)</f>
        <v>0</v>
      </c>
      <c r="AQ920" s="30" t="s">
        <v>56</v>
      </c>
      <c r="AV920" s="28">
        <f>ROUND(AW920+AX920,2)</f>
        <v>0</v>
      </c>
      <c r="AW920" s="28">
        <f>ROUND(F920*AO920,2)</f>
        <v>0</v>
      </c>
      <c r="AX920" s="28">
        <f>ROUND(F920*AP920,2)</f>
        <v>0</v>
      </c>
      <c r="AY920" s="30" t="s">
        <v>195</v>
      </c>
      <c r="AZ920" s="30" t="s">
        <v>1591</v>
      </c>
      <c r="BA920" s="10" t="s">
        <v>1561</v>
      </c>
      <c r="BC920" s="28">
        <f>AW920+AX920</f>
        <v>0</v>
      </c>
      <c r="BD920" s="28">
        <f>G920/(100-BE920)*100</f>
        <v>0</v>
      </c>
      <c r="BE920" s="28">
        <v>0</v>
      </c>
      <c r="BF920" s="28">
        <f>920</f>
        <v>920</v>
      </c>
      <c r="BH920" s="28">
        <f>F920*AO920</f>
        <v>0</v>
      </c>
      <c r="BI920" s="28">
        <f>F920*AP920</f>
        <v>0</v>
      </c>
      <c r="BJ920" s="28">
        <f>F920*G920</f>
        <v>0</v>
      </c>
      <c r="BK920" s="28"/>
      <c r="BL920" s="28">
        <v>18</v>
      </c>
      <c r="BW920" s="28">
        <v>21</v>
      </c>
      <c r="BX920" s="4" t="s">
        <v>1637</v>
      </c>
    </row>
    <row r="921" spans="1:76" ht="14.4" x14ac:dyDescent="0.3">
      <c r="A921" s="2" t="s">
        <v>1638</v>
      </c>
      <c r="B921" s="3" t="s">
        <v>1639</v>
      </c>
      <c r="C921" s="75" t="s">
        <v>1640</v>
      </c>
      <c r="D921" s="70"/>
      <c r="E921" s="3" t="s">
        <v>293</v>
      </c>
      <c r="F921" s="28">
        <v>345</v>
      </c>
      <c r="G921" s="28">
        <v>0</v>
      </c>
      <c r="H921" s="28">
        <f>ROUND(F921*AO921,2)</f>
        <v>0</v>
      </c>
      <c r="I921" s="28">
        <f>ROUND(F921*AP921,2)</f>
        <v>0</v>
      </c>
      <c r="J921" s="28">
        <f>ROUND(F921*G921,2)</f>
        <v>0</v>
      </c>
      <c r="K921" s="29" t="s">
        <v>60</v>
      </c>
      <c r="Z921" s="28">
        <f>ROUND(IF(AQ921="5",BJ921,0),2)</f>
        <v>0</v>
      </c>
      <c r="AB921" s="28">
        <f>ROUND(IF(AQ921="1",BH921,0),2)</f>
        <v>0</v>
      </c>
      <c r="AC921" s="28">
        <f>ROUND(IF(AQ921="1",BI921,0),2)</f>
        <v>0</v>
      </c>
      <c r="AD921" s="28">
        <f>ROUND(IF(AQ921="7",BH921,0),2)</f>
        <v>0</v>
      </c>
      <c r="AE921" s="28">
        <f>ROUND(IF(AQ921="7",BI921,0),2)</f>
        <v>0</v>
      </c>
      <c r="AF921" s="28">
        <f>ROUND(IF(AQ921="2",BH921,0),2)</f>
        <v>0</v>
      </c>
      <c r="AG921" s="28">
        <f>ROUND(IF(AQ921="2",BI921,0),2)</f>
        <v>0</v>
      </c>
      <c r="AH921" s="28">
        <f>ROUND(IF(AQ921="0",BJ921,0),2)</f>
        <v>0</v>
      </c>
      <c r="AI921" s="10" t="s">
        <v>1554</v>
      </c>
      <c r="AJ921" s="28">
        <f>IF(AN921=0,J921,0)</f>
        <v>0</v>
      </c>
      <c r="AK921" s="28">
        <f>IF(AN921=12,J921,0)</f>
        <v>0</v>
      </c>
      <c r="AL921" s="28">
        <f>IF(AN921=21,J921,0)</f>
        <v>0</v>
      </c>
      <c r="AN921" s="28">
        <v>21</v>
      </c>
      <c r="AO921" s="28">
        <f>G921*0</f>
        <v>0</v>
      </c>
      <c r="AP921" s="28">
        <f>G921*(1-0)</f>
        <v>0</v>
      </c>
      <c r="AQ921" s="30" t="s">
        <v>56</v>
      </c>
      <c r="AV921" s="28">
        <f>ROUND(AW921+AX921,2)</f>
        <v>0</v>
      </c>
      <c r="AW921" s="28">
        <f>ROUND(F921*AO921,2)</f>
        <v>0</v>
      </c>
      <c r="AX921" s="28">
        <f>ROUND(F921*AP921,2)</f>
        <v>0</v>
      </c>
      <c r="AY921" s="30" t="s">
        <v>195</v>
      </c>
      <c r="AZ921" s="30" t="s">
        <v>1591</v>
      </c>
      <c r="BA921" s="10" t="s">
        <v>1561</v>
      </c>
      <c r="BC921" s="28">
        <f>AW921+AX921</f>
        <v>0</v>
      </c>
      <c r="BD921" s="28">
        <f>G921/(100-BE921)*100</f>
        <v>0</v>
      </c>
      <c r="BE921" s="28">
        <v>0</v>
      </c>
      <c r="BF921" s="28">
        <f>921</f>
        <v>921</v>
      </c>
      <c r="BH921" s="28">
        <f>F921*AO921</f>
        <v>0</v>
      </c>
      <c r="BI921" s="28">
        <f>F921*AP921</f>
        <v>0</v>
      </c>
      <c r="BJ921" s="28">
        <f>F921*G921</f>
        <v>0</v>
      </c>
      <c r="BK921" s="28"/>
      <c r="BL921" s="28">
        <v>18</v>
      </c>
      <c r="BW921" s="28">
        <v>21</v>
      </c>
      <c r="BX921" s="4" t="s">
        <v>1640</v>
      </c>
    </row>
    <row r="922" spans="1:76" ht="26.4" x14ac:dyDescent="0.3">
      <c r="A922" s="31"/>
      <c r="B922" s="35" t="s">
        <v>68</v>
      </c>
      <c r="C922" s="93" t="s">
        <v>1641</v>
      </c>
      <c r="D922" s="94"/>
      <c r="E922" s="94"/>
      <c r="F922" s="94"/>
      <c r="G922" s="94"/>
      <c r="H922" s="94"/>
      <c r="I922" s="94"/>
      <c r="J922" s="94"/>
      <c r="K922" s="95"/>
      <c r="BX922" s="36" t="s">
        <v>1641</v>
      </c>
    </row>
    <row r="923" spans="1:76" ht="14.4" x14ac:dyDescent="0.3">
      <c r="A923" s="2" t="s">
        <v>1642</v>
      </c>
      <c r="B923" s="3" t="s">
        <v>1643</v>
      </c>
      <c r="C923" s="75" t="s">
        <v>1644</v>
      </c>
      <c r="D923" s="70"/>
      <c r="E923" s="3" t="s">
        <v>293</v>
      </c>
      <c r="F923" s="28">
        <v>1550</v>
      </c>
      <c r="G923" s="28">
        <v>0</v>
      </c>
      <c r="H923" s="28">
        <f>ROUND(F923*AO923,2)</f>
        <v>0</v>
      </c>
      <c r="I923" s="28">
        <f>ROUND(F923*AP923,2)</f>
        <v>0</v>
      </c>
      <c r="J923" s="28">
        <f>ROUND(F923*G923,2)</f>
        <v>0</v>
      </c>
      <c r="K923" s="29" t="s">
        <v>60</v>
      </c>
      <c r="Z923" s="28">
        <f>ROUND(IF(AQ923="5",BJ923,0),2)</f>
        <v>0</v>
      </c>
      <c r="AB923" s="28">
        <f>ROUND(IF(AQ923="1",BH923,0),2)</f>
        <v>0</v>
      </c>
      <c r="AC923" s="28">
        <f>ROUND(IF(AQ923="1",BI923,0),2)</f>
        <v>0</v>
      </c>
      <c r="AD923" s="28">
        <f>ROUND(IF(AQ923="7",BH923,0),2)</f>
        <v>0</v>
      </c>
      <c r="AE923" s="28">
        <f>ROUND(IF(AQ923="7",BI923,0),2)</f>
        <v>0</v>
      </c>
      <c r="AF923" s="28">
        <f>ROUND(IF(AQ923="2",BH923,0),2)</f>
        <v>0</v>
      </c>
      <c r="AG923" s="28">
        <f>ROUND(IF(AQ923="2",BI923,0),2)</f>
        <v>0</v>
      </c>
      <c r="AH923" s="28">
        <f>ROUND(IF(AQ923="0",BJ923,0),2)</f>
        <v>0</v>
      </c>
      <c r="AI923" s="10" t="s">
        <v>1554</v>
      </c>
      <c r="AJ923" s="28">
        <f>IF(AN923=0,J923,0)</f>
        <v>0</v>
      </c>
      <c r="AK923" s="28">
        <f>IF(AN923=12,J923,0)</f>
        <v>0</v>
      </c>
      <c r="AL923" s="28">
        <f>IF(AN923=21,J923,0)</f>
        <v>0</v>
      </c>
      <c r="AN923" s="28">
        <v>21</v>
      </c>
      <c r="AO923" s="28">
        <f>G923*0.009016393</f>
        <v>0</v>
      </c>
      <c r="AP923" s="28">
        <f>G923*(1-0.009016393)</f>
        <v>0</v>
      </c>
      <c r="AQ923" s="30" t="s">
        <v>56</v>
      </c>
      <c r="AV923" s="28">
        <f>ROUND(AW923+AX923,2)</f>
        <v>0</v>
      </c>
      <c r="AW923" s="28">
        <f>ROUND(F923*AO923,2)</f>
        <v>0</v>
      </c>
      <c r="AX923" s="28">
        <f>ROUND(F923*AP923,2)</f>
        <v>0</v>
      </c>
      <c r="AY923" s="30" t="s">
        <v>195</v>
      </c>
      <c r="AZ923" s="30" t="s">
        <v>1591</v>
      </c>
      <c r="BA923" s="10" t="s">
        <v>1561</v>
      </c>
      <c r="BC923" s="28">
        <f>AW923+AX923</f>
        <v>0</v>
      </c>
      <c r="BD923" s="28">
        <f>G923/(100-BE923)*100</f>
        <v>0</v>
      </c>
      <c r="BE923" s="28">
        <v>0</v>
      </c>
      <c r="BF923" s="28">
        <f>923</f>
        <v>923</v>
      </c>
      <c r="BH923" s="28">
        <f>F923*AO923</f>
        <v>0</v>
      </c>
      <c r="BI923" s="28">
        <f>F923*AP923</f>
        <v>0</v>
      </c>
      <c r="BJ923" s="28">
        <f>F923*G923</f>
        <v>0</v>
      </c>
      <c r="BK923" s="28"/>
      <c r="BL923" s="28">
        <v>18</v>
      </c>
      <c r="BW923" s="28">
        <v>21</v>
      </c>
      <c r="BX923" s="4" t="s">
        <v>1644</v>
      </c>
    </row>
    <row r="924" spans="1:76" ht="14.4" x14ac:dyDescent="0.3">
      <c r="A924" s="31"/>
      <c r="C924" s="32" t="s">
        <v>1602</v>
      </c>
      <c r="D924" s="32" t="s">
        <v>1603</v>
      </c>
      <c r="F924" s="33">
        <v>650</v>
      </c>
      <c r="K924" s="34"/>
    </row>
    <row r="925" spans="1:76" ht="14.4" x14ac:dyDescent="0.3">
      <c r="A925" s="31"/>
      <c r="C925" s="32" t="s">
        <v>1604</v>
      </c>
      <c r="D925" s="32" t="s">
        <v>1605</v>
      </c>
      <c r="F925" s="33">
        <v>900</v>
      </c>
      <c r="K925" s="34"/>
    </row>
    <row r="926" spans="1:76" ht="14.4" x14ac:dyDescent="0.3">
      <c r="A926" s="2" t="s">
        <v>1645</v>
      </c>
      <c r="B926" s="3" t="s">
        <v>1646</v>
      </c>
      <c r="C926" s="75" t="s">
        <v>1647</v>
      </c>
      <c r="D926" s="70"/>
      <c r="E926" s="3" t="s">
        <v>293</v>
      </c>
      <c r="F926" s="28">
        <v>1550</v>
      </c>
      <c r="G926" s="28">
        <v>0</v>
      </c>
      <c r="H926" s="28">
        <f>ROUND(F926*AO926,2)</f>
        <v>0</v>
      </c>
      <c r="I926" s="28">
        <f>ROUND(F926*AP926,2)</f>
        <v>0</v>
      </c>
      <c r="J926" s="28">
        <f>ROUND(F926*G926,2)</f>
        <v>0</v>
      </c>
      <c r="K926" s="29" t="s">
        <v>60</v>
      </c>
      <c r="Z926" s="28">
        <f>ROUND(IF(AQ926="5",BJ926,0),2)</f>
        <v>0</v>
      </c>
      <c r="AB926" s="28">
        <f>ROUND(IF(AQ926="1",BH926,0),2)</f>
        <v>0</v>
      </c>
      <c r="AC926" s="28">
        <f>ROUND(IF(AQ926="1",BI926,0),2)</f>
        <v>0</v>
      </c>
      <c r="AD926" s="28">
        <f>ROUND(IF(AQ926="7",BH926,0),2)</f>
        <v>0</v>
      </c>
      <c r="AE926" s="28">
        <f>ROUND(IF(AQ926="7",BI926,0),2)</f>
        <v>0</v>
      </c>
      <c r="AF926" s="28">
        <f>ROUND(IF(AQ926="2",BH926,0),2)</f>
        <v>0</v>
      </c>
      <c r="AG926" s="28">
        <f>ROUND(IF(AQ926="2",BI926,0),2)</f>
        <v>0</v>
      </c>
      <c r="AH926" s="28">
        <f>ROUND(IF(AQ926="0",BJ926,0),2)</f>
        <v>0</v>
      </c>
      <c r="AI926" s="10" t="s">
        <v>1554</v>
      </c>
      <c r="AJ926" s="28">
        <f>IF(AN926=0,J926,0)</f>
        <v>0</v>
      </c>
      <c r="AK926" s="28">
        <f>IF(AN926=12,J926,0)</f>
        <v>0</v>
      </c>
      <c r="AL926" s="28">
        <f>IF(AN926=21,J926,0)</f>
        <v>0</v>
      </c>
      <c r="AN926" s="28">
        <v>21</v>
      </c>
      <c r="AO926" s="28">
        <f>G926*0</f>
        <v>0</v>
      </c>
      <c r="AP926" s="28">
        <f>G926*(1-0)</f>
        <v>0</v>
      </c>
      <c r="AQ926" s="30" t="s">
        <v>56</v>
      </c>
      <c r="AV926" s="28">
        <f>ROUND(AW926+AX926,2)</f>
        <v>0</v>
      </c>
      <c r="AW926" s="28">
        <f>ROUND(F926*AO926,2)</f>
        <v>0</v>
      </c>
      <c r="AX926" s="28">
        <f>ROUND(F926*AP926,2)</f>
        <v>0</v>
      </c>
      <c r="AY926" s="30" t="s">
        <v>195</v>
      </c>
      <c r="AZ926" s="30" t="s">
        <v>1591</v>
      </c>
      <c r="BA926" s="10" t="s">
        <v>1561</v>
      </c>
      <c r="BC926" s="28">
        <f>AW926+AX926</f>
        <v>0</v>
      </c>
      <c r="BD926" s="28">
        <f>G926/(100-BE926)*100</f>
        <v>0</v>
      </c>
      <c r="BE926" s="28">
        <v>0</v>
      </c>
      <c r="BF926" s="28">
        <f>926</f>
        <v>926</v>
      </c>
      <c r="BH926" s="28">
        <f>F926*AO926</f>
        <v>0</v>
      </c>
      <c r="BI926" s="28">
        <f>F926*AP926</f>
        <v>0</v>
      </c>
      <c r="BJ926" s="28">
        <f>F926*G926</f>
        <v>0</v>
      </c>
      <c r="BK926" s="28"/>
      <c r="BL926" s="28">
        <v>18</v>
      </c>
      <c r="BW926" s="28">
        <v>21</v>
      </c>
      <c r="BX926" s="4" t="s">
        <v>1647</v>
      </c>
    </row>
    <row r="927" spans="1:76" ht="14.4" x14ac:dyDescent="0.3">
      <c r="A927" s="31"/>
      <c r="C927" s="32" t="s">
        <v>1602</v>
      </c>
      <c r="D927" s="32" t="s">
        <v>1603</v>
      </c>
      <c r="F927" s="33">
        <v>650</v>
      </c>
      <c r="K927" s="34"/>
    </row>
    <row r="928" spans="1:76" ht="14.4" x14ac:dyDescent="0.3">
      <c r="A928" s="31"/>
      <c r="C928" s="32" t="s">
        <v>1604</v>
      </c>
      <c r="D928" s="32" t="s">
        <v>1605</v>
      </c>
      <c r="F928" s="33">
        <v>900</v>
      </c>
      <c r="K928" s="34"/>
    </row>
    <row r="929" spans="1:76" ht="14.4" x14ac:dyDescent="0.3">
      <c r="A929" s="2" t="s">
        <v>1648</v>
      </c>
      <c r="B929" s="3" t="s">
        <v>1649</v>
      </c>
      <c r="C929" s="75" t="s">
        <v>1650</v>
      </c>
      <c r="D929" s="70"/>
      <c r="E929" s="3" t="s">
        <v>293</v>
      </c>
      <c r="F929" s="28">
        <v>3500</v>
      </c>
      <c r="G929" s="28">
        <v>0</v>
      </c>
      <c r="H929" s="28">
        <f>ROUND(F929*AO929,2)</f>
        <v>0</v>
      </c>
      <c r="I929" s="28">
        <f>ROUND(F929*AP929,2)</f>
        <v>0</v>
      </c>
      <c r="J929" s="28">
        <f>ROUND(F929*G929,2)</f>
        <v>0</v>
      </c>
      <c r="K929" s="29" t="s">
        <v>60</v>
      </c>
      <c r="Z929" s="28">
        <f>ROUND(IF(AQ929="5",BJ929,0),2)</f>
        <v>0</v>
      </c>
      <c r="AB929" s="28">
        <f>ROUND(IF(AQ929="1",BH929,0),2)</f>
        <v>0</v>
      </c>
      <c r="AC929" s="28">
        <f>ROUND(IF(AQ929="1",BI929,0),2)</f>
        <v>0</v>
      </c>
      <c r="AD929" s="28">
        <f>ROUND(IF(AQ929="7",BH929,0),2)</f>
        <v>0</v>
      </c>
      <c r="AE929" s="28">
        <f>ROUND(IF(AQ929="7",BI929,0),2)</f>
        <v>0</v>
      </c>
      <c r="AF929" s="28">
        <f>ROUND(IF(AQ929="2",BH929,0),2)</f>
        <v>0</v>
      </c>
      <c r="AG929" s="28">
        <f>ROUND(IF(AQ929="2",BI929,0),2)</f>
        <v>0</v>
      </c>
      <c r="AH929" s="28">
        <f>ROUND(IF(AQ929="0",BJ929,0),2)</f>
        <v>0</v>
      </c>
      <c r="AI929" s="10" t="s">
        <v>1554</v>
      </c>
      <c r="AJ929" s="28">
        <f>IF(AN929=0,J929,0)</f>
        <v>0</v>
      </c>
      <c r="AK929" s="28">
        <f>IF(AN929=12,J929,0)</f>
        <v>0</v>
      </c>
      <c r="AL929" s="28">
        <f>IF(AN929=21,J929,0)</f>
        <v>0</v>
      </c>
      <c r="AN929" s="28">
        <v>21</v>
      </c>
      <c r="AO929" s="28">
        <f>G929*0.018062397</f>
        <v>0</v>
      </c>
      <c r="AP929" s="28">
        <f>G929*(1-0.018062397)</f>
        <v>0</v>
      </c>
      <c r="AQ929" s="30" t="s">
        <v>56</v>
      </c>
      <c r="AV929" s="28">
        <f>ROUND(AW929+AX929,2)</f>
        <v>0</v>
      </c>
      <c r="AW929" s="28">
        <f>ROUND(F929*AO929,2)</f>
        <v>0</v>
      </c>
      <c r="AX929" s="28">
        <f>ROUND(F929*AP929,2)</f>
        <v>0</v>
      </c>
      <c r="AY929" s="30" t="s">
        <v>195</v>
      </c>
      <c r="AZ929" s="30" t="s">
        <v>1591</v>
      </c>
      <c r="BA929" s="10" t="s">
        <v>1561</v>
      </c>
      <c r="BC929" s="28">
        <f>AW929+AX929</f>
        <v>0</v>
      </c>
      <c r="BD929" s="28">
        <f>G929/(100-BE929)*100</f>
        <v>0</v>
      </c>
      <c r="BE929" s="28">
        <v>0</v>
      </c>
      <c r="BF929" s="28">
        <f>929</f>
        <v>929</v>
      </c>
      <c r="BH929" s="28">
        <f>F929*AO929</f>
        <v>0</v>
      </c>
      <c r="BI929" s="28">
        <f>F929*AP929</f>
        <v>0</v>
      </c>
      <c r="BJ929" s="28">
        <f>F929*G929</f>
        <v>0</v>
      </c>
      <c r="BK929" s="28"/>
      <c r="BL929" s="28">
        <v>18</v>
      </c>
      <c r="BW929" s="28">
        <v>21</v>
      </c>
      <c r="BX929" s="4" t="s">
        <v>1650</v>
      </c>
    </row>
    <row r="930" spans="1:76" ht="14.4" x14ac:dyDescent="0.3">
      <c r="A930" s="31"/>
      <c r="C930" s="32" t="s">
        <v>1606</v>
      </c>
      <c r="D930" s="32" t="s">
        <v>1607</v>
      </c>
      <c r="F930" s="33">
        <v>3500</v>
      </c>
      <c r="K930" s="34"/>
    </row>
    <row r="931" spans="1:76" ht="14.4" x14ac:dyDescent="0.3">
      <c r="A931" s="2" t="s">
        <v>1651</v>
      </c>
      <c r="B931" s="3" t="s">
        <v>1652</v>
      </c>
      <c r="C931" s="75" t="s">
        <v>1653</v>
      </c>
      <c r="D931" s="70"/>
      <c r="E931" s="3" t="s">
        <v>1381</v>
      </c>
      <c r="F931" s="28">
        <v>3500</v>
      </c>
      <c r="G931" s="28">
        <v>0</v>
      </c>
      <c r="H931" s="28">
        <f>ROUND(F931*AO931,2)</f>
        <v>0</v>
      </c>
      <c r="I931" s="28">
        <f>ROUND(F931*AP931,2)</f>
        <v>0</v>
      </c>
      <c r="J931" s="28">
        <f>ROUND(F931*G931,2)</f>
        <v>0</v>
      </c>
      <c r="K931" s="29" t="s">
        <v>60</v>
      </c>
      <c r="Z931" s="28">
        <f>ROUND(IF(AQ931="5",BJ931,0),2)</f>
        <v>0</v>
      </c>
      <c r="AB931" s="28">
        <f>ROUND(IF(AQ931="1",BH931,0),2)</f>
        <v>0</v>
      </c>
      <c r="AC931" s="28">
        <f>ROUND(IF(AQ931="1",BI931,0),2)</f>
        <v>0</v>
      </c>
      <c r="AD931" s="28">
        <f>ROUND(IF(AQ931="7",BH931,0),2)</f>
        <v>0</v>
      </c>
      <c r="AE931" s="28">
        <f>ROUND(IF(AQ931="7",BI931,0),2)</f>
        <v>0</v>
      </c>
      <c r="AF931" s="28">
        <f>ROUND(IF(AQ931="2",BH931,0),2)</f>
        <v>0</v>
      </c>
      <c r="AG931" s="28">
        <f>ROUND(IF(AQ931="2",BI931,0),2)</f>
        <v>0</v>
      </c>
      <c r="AH931" s="28">
        <f>ROUND(IF(AQ931="0",BJ931,0),2)</f>
        <v>0</v>
      </c>
      <c r="AI931" s="10" t="s">
        <v>1554</v>
      </c>
      <c r="AJ931" s="28">
        <f>IF(AN931=0,J931,0)</f>
        <v>0</v>
      </c>
      <c r="AK931" s="28">
        <f>IF(AN931=12,J931,0)</f>
        <v>0</v>
      </c>
      <c r="AL931" s="28">
        <f>IF(AN931=21,J931,0)</f>
        <v>0</v>
      </c>
      <c r="AN931" s="28">
        <v>21</v>
      </c>
      <c r="AO931" s="28">
        <f>G931*1</f>
        <v>0</v>
      </c>
      <c r="AP931" s="28">
        <f>G931*(1-1)</f>
        <v>0</v>
      </c>
      <c r="AQ931" s="30" t="s">
        <v>56</v>
      </c>
      <c r="AV931" s="28">
        <f>ROUND(AW931+AX931,2)</f>
        <v>0</v>
      </c>
      <c r="AW931" s="28">
        <f>ROUND(F931*AO931,2)</f>
        <v>0</v>
      </c>
      <c r="AX931" s="28">
        <f>ROUND(F931*AP931,2)</f>
        <v>0</v>
      </c>
      <c r="AY931" s="30" t="s">
        <v>195</v>
      </c>
      <c r="AZ931" s="30" t="s">
        <v>1591</v>
      </c>
      <c r="BA931" s="10" t="s">
        <v>1561</v>
      </c>
      <c r="BC931" s="28">
        <f>AW931+AX931</f>
        <v>0</v>
      </c>
      <c r="BD931" s="28">
        <f>G931/(100-BE931)*100</f>
        <v>0</v>
      </c>
      <c r="BE931" s="28">
        <v>0</v>
      </c>
      <c r="BF931" s="28">
        <f>931</f>
        <v>931</v>
      </c>
      <c r="BH931" s="28">
        <f>F931*AO931</f>
        <v>0</v>
      </c>
      <c r="BI931" s="28">
        <f>F931*AP931</f>
        <v>0</v>
      </c>
      <c r="BJ931" s="28">
        <f>F931*G931</f>
        <v>0</v>
      </c>
      <c r="BK931" s="28"/>
      <c r="BL931" s="28">
        <v>18</v>
      </c>
      <c r="BW931" s="28">
        <v>21</v>
      </c>
      <c r="BX931" s="4" t="s">
        <v>1653</v>
      </c>
    </row>
    <row r="932" spans="1:76" ht="14.4" x14ac:dyDescent="0.3">
      <c r="A932" s="2" t="s">
        <v>1654</v>
      </c>
      <c r="B932" s="3" t="s">
        <v>1655</v>
      </c>
      <c r="C932" s="75" t="s">
        <v>1656</v>
      </c>
      <c r="D932" s="70"/>
      <c r="E932" s="3" t="s">
        <v>103</v>
      </c>
      <c r="F932" s="28">
        <v>1391</v>
      </c>
      <c r="G932" s="28">
        <v>0</v>
      </c>
      <c r="H932" s="28">
        <f>ROUND(F932*AO932,2)</f>
        <v>0</v>
      </c>
      <c r="I932" s="28">
        <f>ROUND(F932*AP932,2)</f>
        <v>0</v>
      </c>
      <c r="J932" s="28">
        <f>ROUND(F932*G932,2)</f>
        <v>0</v>
      </c>
      <c r="K932" s="29" t="s">
        <v>1657</v>
      </c>
      <c r="Z932" s="28">
        <f>ROUND(IF(AQ932="5",BJ932,0),2)</f>
        <v>0</v>
      </c>
      <c r="AB932" s="28">
        <f>ROUND(IF(AQ932="1",BH932,0),2)</f>
        <v>0</v>
      </c>
      <c r="AC932" s="28">
        <f>ROUND(IF(AQ932="1",BI932,0),2)</f>
        <v>0</v>
      </c>
      <c r="AD932" s="28">
        <f>ROUND(IF(AQ932="7",BH932,0),2)</f>
        <v>0</v>
      </c>
      <c r="AE932" s="28">
        <f>ROUND(IF(AQ932="7",BI932,0),2)</f>
        <v>0</v>
      </c>
      <c r="AF932" s="28">
        <f>ROUND(IF(AQ932="2",BH932,0),2)</f>
        <v>0</v>
      </c>
      <c r="AG932" s="28">
        <f>ROUND(IF(AQ932="2",BI932,0),2)</f>
        <v>0</v>
      </c>
      <c r="AH932" s="28">
        <f>ROUND(IF(AQ932="0",BJ932,0),2)</f>
        <v>0</v>
      </c>
      <c r="AI932" s="10" t="s">
        <v>1554</v>
      </c>
      <c r="AJ932" s="28">
        <f>IF(AN932=0,J932,0)</f>
        <v>0</v>
      </c>
      <c r="AK932" s="28">
        <f>IF(AN932=12,J932,0)</f>
        <v>0</v>
      </c>
      <c r="AL932" s="28">
        <f>IF(AN932=21,J932,0)</f>
        <v>0</v>
      </c>
      <c r="AN932" s="28">
        <v>21</v>
      </c>
      <c r="AO932" s="28">
        <f>G932*0</f>
        <v>0</v>
      </c>
      <c r="AP932" s="28">
        <f>G932*(1-0)</f>
        <v>0</v>
      </c>
      <c r="AQ932" s="30" t="s">
        <v>56</v>
      </c>
      <c r="AV932" s="28">
        <f>ROUND(AW932+AX932,2)</f>
        <v>0</v>
      </c>
      <c r="AW932" s="28">
        <f>ROUND(F932*AO932,2)</f>
        <v>0</v>
      </c>
      <c r="AX932" s="28">
        <f>ROUND(F932*AP932,2)</f>
        <v>0</v>
      </c>
      <c r="AY932" s="30" t="s">
        <v>195</v>
      </c>
      <c r="AZ932" s="30" t="s">
        <v>1591</v>
      </c>
      <c r="BA932" s="10" t="s">
        <v>1561</v>
      </c>
      <c r="BC932" s="28">
        <f>AW932+AX932</f>
        <v>0</v>
      </c>
      <c r="BD932" s="28">
        <f>G932/(100-BE932)*100</f>
        <v>0</v>
      </c>
      <c r="BE932" s="28">
        <v>0</v>
      </c>
      <c r="BF932" s="28">
        <f>932</f>
        <v>932</v>
      </c>
      <c r="BH932" s="28">
        <f>F932*AO932</f>
        <v>0</v>
      </c>
      <c r="BI932" s="28">
        <f>F932*AP932</f>
        <v>0</v>
      </c>
      <c r="BJ932" s="28">
        <f>F932*G932</f>
        <v>0</v>
      </c>
      <c r="BK932" s="28"/>
      <c r="BL932" s="28">
        <v>18</v>
      </c>
      <c r="BW932" s="28">
        <v>21</v>
      </c>
      <c r="BX932" s="4" t="s">
        <v>1656</v>
      </c>
    </row>
    <row r="933" spans="1:76" ht="14.4" x14ac:dyDescent="0.3">
      <c r="A933" s="31"/>
      <c r="C933" s="32" t="s">
        <v>495</v>
      </c>
      <c r="D933" s="32" t="s">
        <v>1603</v>
      </c>
      <c r="F933" s="33">
        <v>70</v>
      </c>
      <c r="K933" s="34"/>
    </row>
    <row r="934" spans="1:76" ht="14.4" x14ac:dyDescent="0.3">
      <c r="A934" s="31"/>
      <c r="C934" s="32" t="s">
        <v>499</v>
      </c>
      <c r="D934" s="32" t="s">
        <v>1658</v>
      </c>
      <c r="F934" s="33">
        <v>71</v>
      </c>
      <c r="K934" s="34"/>
    </row>
    <row r="935" spans="1:76" ht="14.4" x14ac:dyDescent="0.3">
      <c r="A935" s="31"/>
      <c r="C935" s="32" t="s">
        <v>1602</v>
      </c>
      <c r="D935" s="32" t="s">
        <v>1659</v>
      </c>
      <c r="F935" s="33">
        <v>650</v>
      </c>
      <c r="K935" s="34"/>
    </row>
    <row r="936" spans="1:76" ht="14.4" x14ac:dyDescent="0.3">
      <c r="A936" s="31"/>
      <c r="C936" s="32" t="s">
        <v>1660</v>
      </c>
      <c r="D936" s="32" t="s">
        <v>1661</v>
      </c>
      <c r="F936" s="33">
        <v>600</v>
      </c>
      <c r="K936" s="34"/>
    </row>
    <row r="937" spans="1:76" ht="14.4" x14ac:dyDescent="0.3">
      <c r="A937" s="2" t="s">
        <v>1662</v>
      </c>
      <c r="B937" s="3" t="s">
        <v>1663</v>
      </c>
      <c r="C937" s="75" t="s">
        <v>1664</v>
      </c>
      <c r="D937" s="70"/>
      <c r="E937" s="3" t="s">
        <v>103</v>
      </c>
      <c r="F937" s="28">
        <v>310</v>
      </c>
      <c r="G937" s="28">
        <v>0</v>
      </c>
      <c r="H937" s="28">
        <f>ROUND(F937*AO937,2)</f>
        <v>0</v>
      </c>
      <c r="I937" s="28">
        <f>ROUND(F937*AP937,2)</f>
        <v>0</v>
      </c>
      <c r="J937" s="28">
        <f>ROUND(F937*G937,2)</f>
        <v>0</v>
      </c>
      <c r="K937" s="29" t="s">
        <v>1657</v>
      </c>
      <c r="Z937" s="28">
        <f>ROUND(IF(AQ937="5",BJ937,0),2)</f>
        <v>0</v>
      </c>
      <c r="AB937" s="28">
        <f>ROUND(IF(AQ937="1",BH937,0),2)</f>
        <v>0</v>
      </c>
      <c r="AC937" s="28">
        <f>ROUND(IF(AQ937="1",BI937,0),2)</f>
        <v>0</v>
      </c>
      <c r="AD937" s="28">
        <f>ROUND(IF(AQ937="7",BH937,0),2)</f>
        <v>0</v>
      </c>
      <c r="AE937" s="28">
        <f>ROUND(IF(AQ937="7",BI937,0),2)</f>
        <v>0</v>
      </c>
      <c r="AF937" s="28">
        <f>ROUND(IF(AQ937="2",BH937,0),2)</f>
        <v>0</v>
      </c>
      <c r="AG937" s="28">
        <f>ROUND(IF(AQ937="2",BI937,0),2)</f>
        <v>0</v>
      </c>
      <c r="AH937" s="28">
        <f>ROUND(IF(AQ937="0",BJ937,0),2)</f>
        <v>0</v>
      </c>
      <c r="AI937" s="10" t="s">
        <v>1554</v>
      </c>
      <c r="AJ937" s="28">
        <f>IF(AN937=0,J937,0)</f>
        <v>0</v>
      </c>
      <c r="AK937" s="28">
        <f>IF(AN937=12,J937,0)</f>
        <v>0</v>
      </c>
      <c r="AL937" s="28">
        <f>IF(AN937=21,J937,0)</f>
        <v>0</v>
      </c>
      <c r="AN937" s="28">
        <v>21</v>
      </c>
      <c r="AO937" s="28">
        <f>G937*0</f>
        <v>0</v>
      </c>
      <c r="AP937" s="28">
        <f>G937*(1-0)</f>
        <v>0</v>
      </c>
      <c r="AQ937" s="30" t="s">
        <v>56</v>
      </c>
      <c r="AV937" s="28">
        <f>ROUND(AW937+AX937,2)</f>
        <v>0</v>
      </c>
      <c r="AW937" s="28">
        <f>ROUND(F937*AO937,2)</f>
        <v>0</v>
      </c>
      <c r="AX937" s="28">
        <f>ROUND(F937*AP937,2)</f>
        <v>0</v>
      </c>
      <c r="AY937" s="30" t="s">
        <v>195</v>
      </c>
      <c r="AZ937" s="30" t="s">
        <v>1591</v>
      </c>
      <c r="BA937" s="10" t="s">
        <v>1561</v>
      </c>
      <c r="BC937" s="28">
        <f>AW937+AX937</f>
        <v>0</v>
      </c>
      <c r="BD937" s="28">
        <f>G937/(100-BE937)*100</f>
        <v>0</v>
      </c>
      <c r="BE937" s="28">
        <v>0</v>
      </c>
      <c r="BF937" s="28">
        <f>937</f>
        <v>937</v>
      </c>
      <c r="BH937" s="28">
        <f>F937*AO937</f>
        <v>0</v>
      </c>
      <c r="BI937" s="28">
        <f>F937*AP937</f>
        <v>0</v>
      </c>
      <c r="BJ937" s="28">
        <f>F937*G937</f>
        <v>0</v>
      </c>
      <c r="BK937" s="28"/>
      <c r="BL937" s="28">
        <v>18</v>
      </c>
      <c r="BW937" s="28">
        <v>21</v>
      </c>
      <c r="BX937" s="4" t="s">
        <v>1664</v>
      </c>
    </row>
    <row r="938" spans="1:76" ht="14.4" x14ac:dyDescent="0.3">
      <c r="A938" s="31"/>
      <c r="C938" s="32" t="s">
        <v>382</v>
      </c>
      <c r="D938" s="32" t="s">
        <v>1665</v>
      </c>
      <c r="F938" s="33">
        <v>50</v>
      </c>
      <c r="K938" s="34"/>
    </row>
    <row r="939" spans="1:76" ht="14.4" x14ac:dyDescent="0.3">
      <c r="A939" s="31"/>
      <c r="C939" s="32" t="s">
        <v>1397</v>
      </c>
      <c r="D939" s="32" t="s">
        <v>1666</v>
      </c>
      <c r="F939" s="33">
        <v>260</v>
      </c>
      <c r="K939" s="34"/>
    </row>
    <row r="940" spans="1:76" ht="14.4" x14ac:dyDescent="0.3">
      <c r="A940" s="2" t="s">
        <v>1667</v>
      </c>
      <c r="B940" s="3" t="s">
        <v>1668</v>
      </c>
      <c r="C940" s="75" t="s">
        <v>1669</v>
      </c>
      <c r="D940" s="70"/>
      <c r="E940" s="3" t="s">
        <v>103</v>
      </c>
      <c r="F940" s="28">
        <v>235</v>
      </c>
      <c r="G940" s="28">
        <v>0</v>
      </c>
      <c r="H940" s="28">
        <f>ROUND(F940*AO940,2)</f>
        <v>0</v>
      </c>
      <c r="I940" s="28">
        <f>ROUND(F940*AP940,2)</f>
        <v>0</v>
      </c>
      <c r="J940" s="28">
        <f>ROUND(F940*G940,2)</f>
        <v>0</v>
      </c>
      <c r="K940" s="29" t="s">
        <v>60</v>
      </c>
      <c r="Z940" s="28">
        <f>ROUND(IF(AQ940="5",BJ940,0),2)</f>
        <v>0</v>
      </c>
      <c r="AB940" s="28">
        <f>ROUND(IF(AQ940="1",BH940,0),2)</f>
        <v>0</v>
      </c>
      <c r="AC940" s="28">
        <f>ROUND(IF(AQ940="1",BI940,0),2)</f>
        <v>0</v>
      </c>
      <c r="AD940" s="28">
        <f>ROUND(IF(AQ940="7",BH940,0),2)</f>
        <v>0</v>
      </c>
      <c r="AE940" s="28">
        <f>ROUND(IF(AQ940="7",BI940,0),2)</f>
        <v>0</v>
      </c>
      <c r="AF940" s="28">
        <f>ROUND(IF(AQ940="2",BH940,0),2)</f>
        <v>0</v>
      </c>
      <c r="AG940" s="28">
        <f>ROUND(IF(AQ940="2",BI940,0),2)</f>
        <v>0</v>
      </c>
      <c r="AH940" s="28">
        <f>ROUND(IF(AQ940="0",BJ940,0),2)</f>
        <v>0</v>
      </c>
      <c r="AI940" s="10" t="s">
        <v>1554</v>
      </c>
      <c r="AJ940" s="28">
        <f>IF(AN940=0,J940,0)</f>
        <v>0</v>
      </c>
      <c r="AK940" s="28">
        <f>IF(AN940=12,J940,0)</f>
        <v>0</v>
      </c>
      <c r="AL940" s="28">
        <f>IF(AN940=21,J940,0)</f>
        <v>0</v>
      </c>
      <c r="AN940" s="28">
        <v>21</v>
      </c>
      <c r="AO940" s="28">
        <f>G940*0</f>
        <v>0</v>
      </c>
      <c r="AP940" s="28">
        <f>G940*(1-0)</f>
        <v>0</v>
      </c>
      <c r="AQ940" s="30" t="s">
        <v>56</v>
      </c>
      <c r="AV940" s="28">
        <f>ROUND(AW940+AX940,2)</f>
        <v>0</v>
      </c>
      <c r="AW940" s="28">
        <f>ROUND(F940*AO940,2)</f>
        <v>0</v>
      </c>
      <c r="AX940" s="28">
        <f>ROUND(F940*AP940,2)</f>
        <v>0</v>
      </c>
      <c r="AY940" s="30" t="s">
        <v>195</v>
      </c>
      <c r="AZ940" s="30" t="s">
        <v>1591</v>
      </c>
      <c r="BA940" s="10" t="s">
        <v>1561</v>
      </c>
      <c r="BC940" s="28">
        <f>AW940+AX940</f>
        <v>0</v>
      </c>
      <c r="BD940" s="28">
        <f>G940/(100-BE940)*100</f>
        <v>0</v>
      </c>
      <c r="BE940" s="28">
        <v>0</v>
      </c>
      <c r="BF940" s="28">
        <f>940</f>
        <v>940</v>
      </c>
      <c r="BH940" s="28">
        <f>F940*AO940</f>
        <v>0</v>
      </c>
      <c r="BI940" s="28">
        <f>F940*AP940</f>
        <v>0</v>
      </c>
      <c r="BJ940" s="28">
        <f>F940*G940</f>
        <v>0</v>
      </c>
      <c r="BK940" s="28"/>
      <c r="BL940" s="28">
        <v>18</v>
      </c>
      <c r="BW940" s="28">
        <v>21</v>
      </c>
      <c r="BX940" s="4" t="s">
        <v>1669</v>
      </c>
    </row>
    <row r="941" spans="1:76" ht="14.4" x14ac:dyDescent="0.3">
      <c r="A941" s="31"/>
      <c r="C941" s="32" t="s">
        <v>495</v>
      </c>
      <c r="D941" s="32" t="s">
        <v>1603</v>
      </c>
      <c r="F941" s="33">
        <v>70</v>
      </c>
      <c r="K941" s="34"/>
    </row>
    <row r="942" spans="1:76" ht="14.4" x14ac:dyDescent="0.3">
      <c r="A942" s="31"/>
      <c r="C942" s="32" t="s">
        <v>832</v>
      </c>
      <c r="D942" s="32" t="s">
        <v>1658</v>
      </c>
      <c r="F942" s="33">
        <v>145</v>
      </c>
      <c r="K942" s="34"/>
    </row>
    <row r="943" spans="1:76" ht="14.4" x14ac:dyDescent="0.3">
      <c r="A943" s="31"/>
      <c r="C943" s="32" t="s">
        <v>198</v>
      </c>
      <c r="D943" s="32" t="s">
        <v>1670</v>
      </c>
      <c r="F943" s="33">
        <v>20</v>
      </c>
      <c r="K943" s="34"/>
    </row>
    <row r="944" spans="1:76" ht="14.4" x14ac:dyDescent="0.3">
      <c r="A944" s="2" t="s">
        <v>1671</v>
      </c>
      <c r="B944" s="3" t="s">
        <v>1672</v>
      </c>
      <c r="C944" s="75" t="s">
        <v>1673</v>
      </c>
      <c r="D944" s="70"/>
      <c r="E944" s="3" t="s">
        <v>103</v>
      </c>
      <c r="F944" s="28">
        <v>25</v>
      </c>
      <c r="G944" s="28">
        <v>0</v>
      </c>
      <c r="H944" s="28">
        <f>ROUND(F944*AO944,2)</f>
        <v>0</v>
      </c>
      <c r="I944" s="28">
        <f>ROUND(F944*AP944,2)</f>
        <v>0</v>
      </c>
      <c r="J944" s="28">
        <f>ROUND(F944*G944,2)</f>
        <v>0</v>
      </c>
      <c r="K944" s="29" t="s">
        <v>60</v>
      </c>
      <c r="Z944" s="28">
        <f>ROUND(IF(AQ944="5",BJ944,0),2)</f>
        <v>0</v>
      </c>
      <c r="AB944" s="28">
        <f>ROUND(IF(AQ944="1",BH944,0),2)</f>
        <v>0</v>
      </c>
      <c r="AC944" s="28">
        <f>ROUND(IF(AQ944="1",BI944,0),2)</f>
        <v>0</v>
      </c>
      <c r="AD944" s="28">
        <f>ROUND(IF(AQ944="7",BH944,0),2)</f>
        <v>0</v>
      </c>
      <c r="AE944" s="28">
        <f>ROUND(IF(AQ944="7",BI944,0),2)</f>
        <v>0</v>
      </c>
      <c r="AF944" s="28">
        <f>ROUND(IF(AQ944="2",BH944,0),2)</f>
        <v>0</v>
      </c>
      <c r="AG944" s="28">
        <f>ROUND(IF(AQ944="2",BI944,0),2)</f>
        <v>0</v>
      </c>
      <c r="AH944" s="28">
        <f>ROUND(IF(AQ944="0",BJ944,0),2)</f>
        <v>0</v>
      </c>
      <c r="AI944" s="10" t="s">
        <v>1554</v>
      </c>
      <c r="AJ944" s="28">
        <f>IF(AN944=0,J944,0)</f>
        <v>0</v>
      </c>
      <c r="AK944" s="28">
        <f>IF(AN944=12,J944,0)</f>
        <v>0</v>
      </c>
      <c r="AL944" s="28">
        <f>IF(AN944=21,J944,0)</f>
        <v>0</v>
      </c>
      <c r="AN944" s="28">
        <v>21</v>
      </c>
      <c r="AO944" s="28">
        <f>G944*0</f>
        <v>0</v>
      </c>
      <c r="AP944" s="28">
        <f>G944*(1-0)</f>
        <v>0</v>
      </c>
      <c r="AQ944" s="30" t="s">
        <v>56</v>
      </c>
      <c r="AV944" s="28">
        <f>ROUND(AW944+AX944,2)</f>
        <v>0</v>
      </c>
      <c r="AW944" s="28">
        <f>ROUND(F944*AO944,2)</f>
        <v>0</v>
      </c>
      <c r="AX944" s="28">
        <f>ROUND(F944*AP944,2)</f>
        <v>0</v>
      </c>
      <c r="AY944" s="30" t="s">
        <v>195</v>
      </c>
      <c r="AZ944" s="30" t="s">
        <v>1591</v>
      </c>
      <c r="BA944" s="10" t="s">
        <v>1561</v>
      </c>
      <c r="BC944" s="28">
        <f>AW944+AX944</f>
        <v>0</v>
      </c>
      <c r="BD944" s="28">
        <f>G944/(100-BE944)*100</f>
        <v>0</v>
      </c>
      <c r="BE944" s="28">
        <v>0</v>
      </c>
      <c r="BF944" s="28">
        <f>944</f>
        <v>944</v>
      </c>
      <c r="BH944" s="28">
        <f>F944*AO944</f>
        <v>0</v>
      </c>
      <c r="BI944" s="28">
        <f>F944*AP944</f>
        <v>0</v>
      </c>
      <c r="BJ944" s="28">
        <f>F944*G944</f>
        <v>0</v>
      </c>
      <c r="BK944" s="28"/>
      <c r="BL944" s="28">
        <v>18</v>
      </c>
      <c r="BW944" s="28">
        <v>21</v>
      </c>
      <c r="BX944" s="4" t="s">
        <v>1673</v>
      </c>
    </row>
    <row r="945" spans="1:76" ht="14.4" x14ac:dyDescent="0.3">
      <c r="A945" s="31"/>
      <c r="C945" s="32" t="s">
        <v>224</v>
      </c>
      <c r="D945" s="32" t="s">
        <v>1665</v>
      </c>
      <c r="F945" s="33">
        <v>25</v>
      </c>
      <c r="K945" s="34"/>
    </row>
    <row r="946" spans="1:76" ht="14.4" x14ac:dyDescent="0.3">
      <c r="A946" s="2" t="s">
        <v>1674</v>
      </c>
      <c r="B946" s="3" t="s">
        <v>1675</v>
      </c>
      <c r="C946" s="75" t="s">
        <v>1676</v>
      </c>
      <c r="D946" s="70"/>
      <c r="E946" s="3" t="s">
        <v>59</v>
      </c>
      <c r="F946" s="28">
        <v>25</v>
      </c>
      <c r="G946" s="28">
        <v>0</v>
      </c>
      <c r="H946" s="28">
        <f>ROUND(F946*AO946,2)</f>
        <v>0</v>
      </c>
      <c r="I946" s="28">
        <f>ROUND(F946*AP946,2)</f>
        <v>0</v>
      </c>
      <c r="J946" s="28">
        <f>ROUND(F946*G946,2)</f>
        <v>0</v>
      </c>
      <c r="K946" s="29" t="s">
        <v>60</v>
      </c>
      <c r="Z946" s="28">
        <f>ROUND(IF(AQ946="5",BJ946,0),2)</f>
        <v>0</v>
      </c>
      <c r="AB946" s="28">
        <f>ROUND(IF(AQ946="1",BH946,0),2)</f>
        <v>0</v>
      </c>
      <c r="AC946" s="28">
        <f>ROUND(IF(AQ946="1",BI946,0),2)</f>
        <v>0</v>
      </c>
      <c r="AD946" s="28">
        <f>ROUND(IF(AQ946="7",BH946,0),2)</f>
        <v>0</v>
      </c>
      <c r="AE946" s="28">
        <f>ROUND(IF(AQ946="7",BI946,0),2)</f>
        <v>0</v>
      </c>
      <c r="AF946" s="28">
        <f>ROUND(IF(AQ946="2",BH946,0),2)</f>
        <v>0</v>
      </c>
      <c r="AG946" s="28">
        <f>ROUND(IF(AQ946="2",BI946,0),2)</f>
        <v>0</v>
      </c>
      <c r="AH946" s="28">
        <f>ROUND(IF(AQ946="0",BJ946,0),2)</f>
        <v>0</v>
      </c>
      <c r="AI946" s="10" t="s">
        <v>1554</v>
      </c>
      <c r="AJ946" s="28">
        <f>IF(AN946=0,J946,0)</f>
        <v>0</v>
      </c>
      <c r="AK946" s="28">
        <f>IF(AN946=12,J946,0)</f>
        <v>0</v>
      </c>
      <c r="AL946" s="28">
        <f>IF(AN946=21,J946,0)</f>
        <v>0</v>
      </c>
      <c r="AN946" s="28">
        <v>21</v>
      </c>
      <c r="AO946" s="28">
        <f>G946*1</f>
        <v>0</v>
      </c>
      <c r="AP946" s="28">
        <f>G946*(1-1)</f>
        <v>0</v>
      </c>
      <c r="AQ946" s="30" t="s">
        <v>56</v>
      </c>
      <c r="AV946" s="28">
        <f>ROUND(AW946+AX946,2)</f>
        <v>0</v>
      </c>
      <c r="AW946" s="28">
        <f>ROUND(F946*AO946,2)</f>
        <v>0</v>
      </c>
      <c r="AX946" s="28">
        <f>ROUND(F946*AP946,2)</f>
        <v>0</v>
      </c>
      <c r="AY946" s="30" t="s">
        <v>195</v>
      </c>
      <c r="AZ946" s="30" t="s">
        <v>1591</v>
      </c>
      <c r="BA946" s="10" t="s">
        <v>1561</v>
      </c>
      <c r="BC946" s="28">
        <f>AW946+AX946</f>
        <v>0</v>
      </c>
      <c r="BD946" s="28">
        <f>G946/(100-BE946)*100</f>
        <v>0</v>
      </c>
      <c r="BE946" s="28">
        <v>0</v>
      </c>
      <c r="BF946" s="28">
        <f>946</f>
        <v>946</v>
      </c>
      <c r="BH946" s="28">
        <f>F946*AO946</f>
        <v>0</v>
      </c>
      <c r="BI946" s="28">
        <f>F946*AP946</f>
        <v>0</v>
      </c>
      <c r="BJ946" s="28">
        <f>F946*G946</f>
        <v>0</v>
      </c>
      <c r="BK946" s="28"/>
      <c r="BL946" s="28">
        <v>18</v>
      </c>
      <c r="BW946" s="28">
        <v>21</v>
      </c>
      <c r="BX946" s="4" t="s">
        <v>1676</v>
      </c>
    </row>
    <row r="947" spans="1:76" ht="14.4" x14ac:dyDescent="0.3">
      <c r="A947" s="2" t="s">
        <v>1677</v>
      </c>
      <c r="B947" s="3" t="s">
        <v>1678</v>
      </c>
      <c r="C947" s="75" t="s">
        <v>1679</v>
      </c>
      <c r="D947" s="70"/>
      <c r="E947" s="3" t="s">
        <v>103</v>
      </c>
      <c r="F947" s="28">
        <v>1035</v>
      </c>
      <c r="G947" s="28">
        <v>0</v>
      </c>
      <c r="H947" s="28">
        <f>ROUND(F947*AO947,2)</f>
        <v>0</v>
      </c>
      <c r="I947" s="28">
        <f>ROUND(F947*AP947,2)</f>
        <v>0</v>
      </c>
      <c r="J947" s="28">
        <f>ROUND(F947*G947,2)</f>
        <v>0</v>
      </c>
      <c r="K947" s="29" t="s">
        <v>1657</v>
      </c>
      <c r="Z947" s="28">
        <f>ROUND(IF(AQ947="5",BJ947,0),2)</f>
        <v>0</v>
      </c>
      <c r="AB947" s="28">
        <f>ROUND(IF(AQ947="1",BH947,0),2)</f>
        <v>0</v>
      </c>
      <c r="AC947" s="28">
        <f>ROUND(IF(AQ947="1",BI947,0),2)</f>
        <v>0</v>
      </c>
      <c r="AD947" s="28">
        <f>ROUND(IF(AQ947="7",BH947,0),2)</f>
        <v>0</v>
      </c>
      <c r="AE947" s="28">
        <f>ROUND(IF(AQ947="7",BI947,0),2)</f>
        <v>0</v>
      </c>
      <c r="AF947" s="28">
        <f>ROUND(IF(AQ947="2",BH947,0),2)</f>
        <v>0</v>
      </c>
      <c r="AG947" s="28">
        <f>ROUND(IF(AQ947="2",BI947,0),2)</f>
        <v>0</v>
      </c>
      <c r="AH947" s="28">
        <f>ROUND(IF(AQ947="0",BJ947,0),2)</f>
        <v>0</v>
      </c>
      <c r="AI947" s="10" t="s">
        <v>1554</v>
      </c>
      <c r="AJ947" s="28">
        <f>IF(AN947=0,J947,0)</f>
        <v>0</v>
      </c>
      <c r="AK947" s="28">
        <f>IF(AN947=12,J947,0)</f>
        <v>0</v>
      </c>
      <c r="AL947" s="28">
        <f>IF(AN947=21,J947,0)</f>
        <v>0</v>
      </c>
      <c r="AN947" s="28">
        <v>21</v>
      </c>
      <c r="AO947" s="28">
        <f>G947*0.189727803</f>
        <v>0</v>
      </c>
      <c r="AP947" s="28">
        <f>G947*(1-0.189727803)</f>
        <v>0</v>
      </c>
      <c r="AQ947" s="30" t="s">
        <v>56</v>
      </c>
      <c r="AV947" s="28">
        <f>ROUND(AW947+AX947,2)</f>
        <v>0</v>
      </c>
      <c r="AW947" s="28">
        <f>ROUND(F947*AO947,2)</f>
        <v>0</v>
      </c>
      <c r="AX947" s="28">
        <f>ROUND(F947*AP947,2)</f>
        <v>0</v>
      </c>
      <c r="AY947" s="30" t="s">
        <v>195</v>
      </c>
      <c r="AZ947" s="30" t="s">
        <v>1591</v>
      </c>
      <c r="BA947" s="10" t="s">
        <v>1561</v>
      </c>
      <c r="BC947" s="28">
        <f>AW947+AX947</f>
        <v>0</v>
      </c>
      <c r="BD947" s="28">
        <f>G947/(100-BE947)*100</f>
        <v>0</v>
      </c>
      <c r="BE947" s="28">
        <v>0</v>
      </c>
      <c r="BF947" s="28">
        <f>947</f>
        <v>947</v>
      </c>
      <c r="BH947" s="28">
        <f>F947*AO947</f>
        <v>0</v>
      </c>
      <c r="BI947" s="28">
        <f>F947*AP947</f>
        <v>0</v>
      </c>
      <c r="BJ947" s="28">
        <f>F947*G947</f>
        <v>0</v>
      </c>
      <c r="BK947" s="28"/>
      <c r="BL947" s="28">
        <v>18</v>
      </c>
      <c r="BW947" s="28">
        <v>21</v>
      </c>
      <c r="BX947" s="4" t="s">
        <v>1679</v>
      </c>
    </row>
    <row r="948" spans="1:76" ht="14.4" x14ac:dyDescent="0.3">
      <c r="A948" s="31"/>
      <c r="C948" s="32" t="s">
        <v>1680</v>
      </c>
      <c r="D948" s="32" t="s">
        <v>1659</v>
      </c>
      <c r="F948" s="33">
        <v>620</v>
      </c>
      <c r="K948" s="34"/>
    </row>
    <row r="949" spans="1:76" ht="14.4" x14ac:dyDescent="0.3">
      <c r="A949" s="31"/>
      <c r="C949" s="32" t="s">
        <v>751</v>
      </c>
      <c r="D949" s="32" t="s">
        <v>1681</v>
      </c>
      <c r="F949" s="33">
        <v>415</v>
      </c>
      <c r="K949" s="34"/>
    </row>
    <row r="950" spans="1:76" ht="39.6" x14ac:dyDescent="0.3">
      <c r="A950" s="31"/>
      <c r="B950" s="35" t="s">
        <v>68</v>
      </c>
      <c r="C950" s="93" t="s">
        <v>1682</v>
      </c>
      <c r="D950" s="94"/>
      <c r="E950" s="94"/>
      <c r="F950" s="94"/>
      <c r="G950" s="94"/>
      <c r="H950" s="94"/>
      <c r="I950" s="94"/>
      <c r="J950" s="94"/>
      <c r="K950" s="95"/>
      <c r="BX950" s="36" t="s">
        <v>1682</v>
      </c>
    </row>
    <row r="951" spans="1:76" ht="14.4" x14ac:dyDescent="0.3">
      <c r="A951" s="2" t="s">
        <v>1683</v>
      </c>
      <c r="B951" s="3" t="s">
        <v>1684</v>
      </c>
      <c r="C951" s="75" t="s">
        <v>1685</v>
      </c>
      <c r="D951" s="70"/>
      <c r="E951" s="3" t="s">
        <v>103</v>
      </c>
      <c r="F951" s="28">
        <v>550</v>
      </c>
      <c r="G951" s="28">
        <v>0</v>
      </c>
      <c r="H951" s="28">
        <f>ROUND(F951*AO951,2)</f>
        <v>0</v>
      </c>
      <c r="I951" s="28">
        <f>ROUND(F951*AP951,2)</f>
        <v>0</v>
      </c>
      <c r="J951" s="28">
        <f>ROUND(F951*G951,2)</f>
        <v>0</v>
      </c>
      <c r="K951" s="29" t="s">
        <v>60</v>
      </c>
      <c r="Z951" s="28">
        <f>ROUND(IF(AQ951="5",BJ951,0),2)</f>
        <v>0</v>
      </c>
      <c r="AB951" s="28">
        <f>ROUND(IF(AQ951="1",BH951,0),2)</f>
        <v>0</v>
      </c>
      <c r="AC951" s="28">
        <f>ROUND(IF(AQ951="1",BI951,0),2)</f>
        <v>0</v>
      </c>
      <c r="AD951" s="28">
        <f>ROUND(IF(AQ951="7",BH951,0),2)</f>
        <v>0</v>
      </c>
      <c r="AE951" s="28">
        <f>ROUND(IF(AQ951="7",BI951,0),2)</f>
        <v>0</v>
      </c>
      <c r="AF951" s="28">
        <f>ROUND(IF(AQ951="2",BH951,0),2)</f>
        <v>0</v>
      </c>
      <c r="AG951" s="28">
        <f>ROUND(IF(AQ951="2",BI951,0),2)</f>
        <v>0</v>
      </c>
      <c r="AH951" s="28">
        <f>ROUND(IF(AQ951="0",BJ951,0),2)</f>
        <v>0</v>
      </c>
      <c r="AI951" s="10" t="s">
        <v>1554</v>
      </c>
      <c r="AJ951" s="28">
        <f>IF(AN951=0,J951,0)</f>
        <v>0</v>
      </c>
      <c r="AK951" s="28">
        <f>IF(AN951=12,J951,0)</f>
        <v>0</v>
      </c>
      <c r="AL951" s="28">
        <f>IF(AN951=21,J951,0)</f>
        <v>0</v>
      </c>
      <c r="AN951" s="28">
        <v>21</v>
      </c>
      <c r="AO951" s="28">
        <f>G951*0.069565217</f>
        <v>0</v>
      </c>
      <c r="AP951" s="28">
        <f>G951*(1-0.069565217)</f>
        <v>0</v>
      </c>
      <c r="AQ951" s="30" t="s">
        <v>56</v>
      </c>
      <c r="AV951" s="28">
        <f>ROUND(AW951+AX951,2)</f>
        <v>0</v>
      </c>
      <c r="AW951" s="28">
        <f>ROUND(F951*AO951,2)</f>
        <v>0</v>
      </c>
      <c r="AX951" s="28">
        <f>ROUND(F951*AP951,2)</f>
        <v>0</v>
      </c>
      <c r="AY951" s="30" t="s">
        <v>195</v>
      </c>
      <c r="AZ951" s="30" t="s">
        <v>1591</v>
      </c>
      <c r="BA951" s="10" t="s">
        <v>1561</v>
      </c>
      <c r="BC951" s="28">
        <f>AW951+AX951</f>
        <v>0</v>
      </c>
      <c r="BD951" s="28">
        <f>G951/(100-BE951)*100</f>
        <v>0</v>
      </c>
      <c r="BE951" s="28">
        <v>0</v>
      </c>
      <c r="BF951" s="28">
        <f>951</f>
        <v>951</v>
      </c>
      <c r="BH951" s="28">
        <f>F951*AO951</f>
        <v>0</v>
      </c>
      <c r="BI951" s="28">
        <f>F951*AP951</f>
        <v>0</v>
      </c>
      <c r="BJ951" s="28">
        <f>F951*G951</f>
        <v>0</v>
      </c>
      <c r="BK951" s="28"/>
      <c r="BL951" s="28">
        <v>18</v>
      </c>
      <c r="BW951" s="28">
        <v>21</v>
      </c>
      <c r="BX951" s="4" t="s">
        <v>1685</v>
      </c>
    </row>
    <row r="952" spans="1:76" ht="14.4" x14ac:dyDescent="0.3">
      <c r="A952" s="31"/>
      <c r="C952" s="32" t="s">
        <v>1686</v>
      </c>
      <c r="D952" s="32" t="s">
        <v>1661</v>
      </c>
      <c r="F952" s="33">
        <v>550</v>
      </c>
      <c r="K952" s="34"/>
    </row>
    <row r="953" spans="1:76" ht="14.4" x14ac:dyDescent="0.3">
      <c r="A953" s="31"/>
      <c r="B953" s="35" t="s">
        <v>68</v>
      </c>
      <c r="C953" s="93" t="s">
        <v>1687</v>
      </c>
      <c r="D953" s="94"/>
      <c r="E953" s="94"/>
      <c r="F953" s="94"/>
      <c r="G953" s="94"/>
      <c r="H953" s="94"/>
      <c r="I953" s="94"/>
      <c r="J953" s="94"/>
      <c r="K953" s="95"/>
      <c r="BX953" s="36" t="s">
        <v>1687</v>
      </c>
    </row>
    <row r="954" spans="1:76" ht="14.4" x14ac:dyDescent="0.3">
      <c r="A954" s="2" t="s">
        <v>1688</v>
      </c>
      <c r="B954" s="3" t="s">
        <v>1689</v>
      </c>
      <c r="C954" s="75" t="s">
        <v>1690</v>
      </c>
      <c r="D954" s="70"/>
      <c r="E954" s="3" t="s">
        <v>103</v>
      </c>
      <c r="F954" s="28">
        <v>260</v>
      </c>
      <c r="G954" s="28">
        <v>0</v>
      </c>
      <c r="H954" s="28">
        <f>ROUND(F954*AO954,2)</f>
        <v>0</v>
      </c>
      <c r="I954" s="28">
        <f>ROUND(F954*AP954,2)</f>
        <v>0</v>
      </c>
      <c r="J954" s="28">
        <f>ROUND(F954*G954,2)</f>
        <v>0</v>
      </c>
      <c r="K954" s="29" t="s">
        <v>60</v>
      </c>
      <c r="Z954" s="28">
        <f>ROUND(IF(AQ954="5",BJ954,0),2)</f>
        <v>0</v>
      </c>
      <c r="AB954" s="28">
        <f>ROUND(IF(AQ954="1",BH954,0),2)</f>
        <v>0</v>
      </c>
      <c r="AC954" s="28">
        <f>ROUND(IF(AQ954="1",BI954,0),2)</f>
        <v>0</v>
      </c>
      <c r="AD954" s="28">
        <f>ROUND(IF(AQ954="7",BH954,0),2)</f>
        <v>0</v>
      </c>
      <c r="AE954" s="28">
        <f>ROUND(IF(AQ954="7",BI954,0),2)</f>
        <v>0</v>
      </c>
      <c r="AF954" s="28">
        <f>ROUND(IF(AQ954="2",BH954,0),2)</f>
        <v>0</v>
      </c>
      <c r="AG954" s="28">
        <f>ROUND(IF(AQ954="2",BI954,0),2)</f>
        <v>0</v>
      </c>
      <c r="AH954" s="28">
        <f>ROUND(IF(AQ954="0",BJ954,0),2)</f>
        <v>0</v>
      </c>
      <c r="AI954" s="10" t="s">
        <v>1554</v>
      </c>
      <c r="AJ954" s="28">
        <f>IF(AN954=0,J954,0)</f>
        <v>0</v>
      </c>
      <c r="AK954" s="28">
        <f>IF(AN954=12,J954,0)</f>
        <v>0</v>
      </c>
      <c r="AL954" s="28">
        <f>IF(AN954=21,J954,0)</f>
        <v>0</v>
      </c>
      <c r="AN954" s="28">
        <v>21</v>
      </c>
      <c r="AO954" s="28">
        <f>G954*0.024615385</f>
        <v>0</v>
      </c>
      <c r="AP954" s="28">
        <f>G954*(1-0.024615385)</f>
        <v>0</v>
      </c>
      <c r="AQ954" s="30" t="s">
        <v>56</v>
      </c>
      <c r="AV954" s="28">
        <f>ROUND(AW954+AX954,2)</f>
        <v>0</v>
      </c>
      <c r="AW954" s="28">
        <f>ROUND(F954*AO954,2)</f>
        <v>0</v>
      </c>
      <c r="AX954" s="28">
        <f>ROUND(F954*AP954,2)</f>
        <v>0</v>
      </c>
      <c r="AY954" s="30" t="s">
        <v>195</v>
      </c>
      <c r="AZ954" s="30" t="s">
        <v>1591</v>
      </c>
      <c r="BA954" s="10" t="s">
        <v>1561</v>
      </c>
      <c r="BC954" s="28">
        <f>AW954+AX954</f>
        <v>0</v>
      </c>
      <c r="BD954" s="28">
        <f>G954/(100-BE954)*100</f>
        <v>0</v>
      </c>
      <c r="BE954" s="28">
        <v>0</v>
      </c>
      <c r="BF954" s="28">
        <f>954</f>
        <v>954</v>
      </c>
      <c r="BH954" s="28">
        <f>F954*AO954</f>
        <v>0</v>
      </c>
      <c r="BI954" s="28">
        <f>F954*AP954</f>
        <v>0</v>
      </c>
      <c r="BJ954" s="28">
        <f>F954*G954</f>
        <v>0</v>
      </c>
      <c r="BK954" s="28"/>
      <c r="BL954" s="28">
        <v>18</v>
      </c>
      <c r="BW954" s="28">
        <v>21</v>
      </c>
      <c r="BX954" s="4" t="s">
        <v>1690</v>
      </c>
    </row>
    <row r="955" spans="1:76" ht="14.4" x14ac:dyDescent="0.3">
      <c r="A955" s="31"/>
      <c r="C955" s="32" t="s">
        <v>1397</v>
      </c>
      <c r="D955" s="32" t="s">
        <v>1666</v>
      </c>
      <c r="F955" s="33">
        <v>260</v>
      </c>
      <c r="K955" s="34"/>
    </row>
    <row r="956" spans="1:76" ht="14.4" x14ac:dyDescent="0.3">
      <c r="A956" s="31"/>
      <c r="B956" s="35" t="s">
        <v>68</v>
      </c>
      <c r="C956" s="93" t="s">
        <v>1687</v>
      </c>
      <c r="D956" s="94"/>
      <c r="E956" s="94"/>
      <c r="F956" s="94"/>
      <c r="G956" s="94"/>
      <c r="H956" s="94"/>
      <c r="I956" s="94"/>
      <c r="J956" s="94"/>
      <c r="K956" s="95"/>
      <c r="BX956" s="36" t="s">
        <v>1687</v>
      </c>
    </row>
    <row r="957" spans="1:76" ht="14.4" x14ac:dyDescent="0.3">
      <c r="A957" s="2" t="s">
        <v>1691</v>
      </c>
      <c r="B957" s="3" t="s">
        <v>1692</v>
      </c>
      <c r="C957" s="75" t="s">
        <v>1693</v>
      </c>
      <c r="D957" s="70"/>
      <c r="E957" s="3" t="s">
        <v>1306</v>
      </c>
      <c r="F957" s="28">
        <v>6</v>
      </c>
      <c r="G957" s="28">
        <v>0</v>
      </c>
      <c r="H957" s="28">
        <f>ROUND(F957*AO957,2)</f>
        <v>0</v>
      </c>
      <c r="I957" s="28">
        <f>ROUND(F957*AP957,2)</f>
        <v>0</v>
      </c>
      <c r="J957" s="28">
        <f>ROUND(F957*G957,2)</f>
        <v>0</v>
      </c>
      <c r="K957" s="29" t="s">
        <v>1694</v>
      </c>
      <c r="Z957" s="28">
        <f>ROUND(IF(AQ957="5",BJ957,0),2)</f>
        <v>0</v>
      </c>
      <c r="AB957" s="28">
        <f>ROUND(IF(AQ957="1",BH957,0),2)</f>
        <v>0</v>
      </c>
      <c r="AC957" s="28">
        <f>ROUND(IF(AQ957="1",BI957,0),2)</f>
        <v>0</v>
      </c>
      <c r="AD957" s="28">
        <f>ROUND(IF(AQ957="7",BH957,0),2)</f>
        <v>0</v>
      </c>
      <c r="AE957" s="28">
        <f>ROUND(IF(AQ957="7",BI957,0),2)</f>
        <v>0</v>
      </c>
      <c r="AF957" s="28">
        <f>ROUND(IF(AQ957="2",BH957,0),2)</f>
        <v>0</v>
      </c>
      <c r="AG957" s="28">
        <f>ROUND(IF(AQ957="2",BI957,0),2)</f>
        <v>0</v>
      </c>
      <c r="AH957" s="28">
        <f>ROUND(IF(AQ957="0",BJ957,0),2)</f>
        <v>0</v>
      </c>
      <c r="AI957" s="10" t="s">
        <v>1554</v>
      </c>
      <c r="AJ957" s="28">
        <f>IF(AN957=0,J957,0)</f>
        <v>0</v>
      </c>
      <c r="AK957" s="28">
        <f>IF(AN957=12,J957,0)</f>
        <v>0</v>
      </c>
      <c r="AL957" s="28">
        <f>IF(AN957=21,J957,0)</f>
        <v>0</v>
      </c>
      <c r="AN957" s="28">
        <v>21</v>
      </c>
      <c r="AO957" s="28">
        <f>G957*1</f>
        <v>0</v>
      </c>
      <c r="AP957" s="28">
        <f>G957*(1-1)</f>
        <v>0</v>
      </c>
      <c r="AQ957" s="30" t="s">
        <v>56</v>
      </c>
      <c r="AV957" s="28">
        <f>ROUND(AW957+AX957,2)</f>
        <v>0</v>
      </c>
      <c r="AW957" s="28">
        <f>ROUND(F957*AO957,2)</f>
        <v>0</v>
      </c>
      <c r="AX957" s="28">
        <f>ROUND(F957*AP957,2)</f>
        <v>0</v>
      </c>
      <c r="AY957" s="30" t="s">
        <v>195</v>
      </c>
      <c r="AZ957" s="30" t="s">
        <v>1591</v>
      </c>
      <c r="BA957" s="10" t="s">
        <v>1561</v>
      </c>
      <c r="BC957" s="28">
        <f>AW957+AX957</f>
        <v>0</v>
      </c>
      <c r="BD957" s="28">
        <f>G957/(100-BE957)*100</f>
        <v>0</v>
      </c>
      <c r="BE957" s="28">
        <v>0</v>
      </c>
      <c r="BF957" s="28">
        <f>957</f>
        <v>957</v>
      </c>
      <c r="BH957" s="28">
        <f>F957*AO957</f>
        <v>0</v>
      </c>
      <c r="BI957" s="28">
        <f>F957*AP957</f>
        <v>0</v>
      </c>
      <c r="BJ957" s="28">
        <f>F957*G957</f>
        <v>0</v>
      </c>
      <c r="BK957" s="28"/>
      <c r="BL957" s="28">
        <v>18</v>
      </c>
      <c r="BW957" s="28">
        <v>21</v>
      </c>
      <c r="BX957" s="4" t="s">
        <v>1693</v>
      </c>
    </row>
    <row r="958" spans="1:76" ht="14.4" x14ac:dyDescent="0.3">
      <c r="A958" s="2" t="s">
        <v>1695</v>
      </c>
      <c r="B958" s="3" t="s">
        <v>1696</v>
      </c>
      <c r="C958" s="75" t="s">
        <v>1697</v>
      </c>
      <c r="D958" s="70"/>
      <c r="E958" s="3" t="s">
        <v>1306</v>
      </c>
      <c r="F958" s="28">
        <v>13.23</v>
      </c>
      <c r="G958" s="28">
        <v>0</v>
      </c>
      <c r="H958" s="28">
        <f>ROUND(F958*AO958,2)</f>
        <v>0</v>
      </c>
      <c r="I958" s="28">
        <f>ROUND(F958*AP958,2)</f>
        <v>0</v>
      </c>
      <c r="J958" s="28">
        <f>ROUND(F958*G958,2)</f>
        <v>0</v>
      </c>
      <c r="K958" s="29" t="s">
        <v>1694</v>
      </c>
      <c r="Z958" s="28">
        <f>ROUND(IF(AQ958="5",BJ958,0),2)</f>
        <v>0</v>
      </c>
      <c r="AB958" s="28">
        <f>ROUND(IF(AQ958="1",BH958,0),2)</f>
        <v>0</v>
      </c>
      <c r="AC958" s="28">
        <f>ROUND(IF(AQ958="1",BI958,0),2)</f>
        <v>0</v>
      </c>
      <c r="AD958" s="28">
        <f>ROUND(IF(AQ958="7",BH958,0),2)</f>
        <v>0</v>
      </c>
      <c r="AE958" s="28">
        <f>ROUND(IF(AQ958="7",BI958,0),2)</f>
        <v>0</v>
      </c>
      <c r="AF958" s="28">
        <f>ROUND(IF(AQ958="2",BH958,0),2)</f>
        <v>0</v>
      </c>
      <c r="AG958" s="28">
        <f>ROUND(IF(AQ958="2",BI958,0),2)</f>
        <v>0</v>
      </c>
      <c r="AH958" s="28">
        <f>ROUND(IF(AQ958="0",BJ958,0),2)</f>
        <v>0</v>
      </c>
      <c r="AI958" s="10" t="s">
        <v>1554</v>
      </c>
      <c r="AJ958" s="28">
        <f>IF(AN958=0,J958,0)</f>
        <v>0</v>
      </c>
      <c r="AK958" s="28">
        <f>IF(AN958=12,J958,0)</f>
        <v>0</v>
      </c>
      <c r="AL958" s="28">
        <f>IF(AN958=21,J958,0)</f>
        <v>0</v>
      </c>
      <c r="AN958" s="28">
        <v>21</v>
      </c>
      <c r="AO958" s="28">
        <f>G958*1</f>
        <v>0</v>
      </c>
      <c r="AP958" s="28">
        <f>G958*(1-1)</f>
        <v>0</v>
      </c>
      <c r="AQ958" s="30" t="s">
        <v>56</v>
      </c>
      <c r="AV958" s="28">
        <f>ROUND(AW958+AX958,2)</f>
        <v>0</v>
      </c>
      <c r="AW958" s="28">
        <f>ROUND(F958*AO958,2)</f>
        <v>0</v>
      </c>
      <c r="AX958" s="28">
        <f>ROUND(F958*AP958,2)</f>
        <v>0</v>
      </c>
      <c r="AY958" s="30" t="s">
        <v>195</v>
      </c>
      <c r="AZ958" s="30" t="s">
        <v>1591</v>
      </c>
      <c r="BA958" s="10" t="s">
        <v>1561</v>
      </c>
      <c r="BC958" s="28">
        <f>AW958+AX958</f>
        <v>0</v>
      </c>
      <c r="BD958" s="28">
        <f>G958/(100-BE958)*100</f>
        <v>0</v>
      </c>
      <c r="BE958" s="28">
        <v>0</v>
      </c>
      <c r="BF958" s="28">
        <f>958</f>
        <v>958</v>
      </c>
      <c r="BH958" s="28">
        <f>F958*AO958</f>
        <v>0</v>
      </c>
      <c r="BI958" s="28">
        <f>F958*AP958</f>
        <v>0</v>
      </c>
      <c r="BJ958" s="28">
        <f>F958*G958</f>
        <v>0</v>
      </c>
      <c r="BK958" s="28"/>
      <c r="BL958" s="28">
        <v>18</v>
      </c>
      <c r="BW958" s="28">
        <v>21</v>
      </c>
      <c r="BX958" s="4" t="s">
        <v>1697</v>
      </c>
    </row>
    <row r="959" spans="1:76" ht="14.4" x14ac:dyDescent="0.3">
      <c r="A959" s="31"/>
      <c r="C959" s="32" t="s">
        <v>1698</v>
      </c>
      <c r="D959" s="32" t="s">
        <v>51</v>
      </c>
      <c r="F959" s="33">
        <v>12.6</v>
      </c>
      <c r="K959" s="34"/>
    </row>
    <row r="960" spans="1:76" ht="14.4" x14ac:dyDescent="0.3">
      <c r="A960" s="31"/>
      <c r="C960" s="32" t="s">
        <v>1699</v>
      </c>
      <c r="D960" s="32" t="s">
        <v>51</v>
      </c>
      <c r="F960" s="33">
        <v>0.63</v>
      </c>
      <c r="K960" s="34"/>
    </row>
    <row r="961" spans="1:76" ht="14.4" x14ac:dyDescent="0.3">
      <c r="A961" s="2" t="s">
        <v>1700</v>
      </c>
      <c r="B961" s="3" t="s">
        <v>1701</v>
      </c>
      <c r="C961" s="75" t="s">
        <v>1702</v>
      </c>
      <c r="D961" s="70"/>
      <c r="E961" s="3" t="s">
        <v>1306</v>
      </c>
      <c r="F961" s="28">
        <v>19.53</v>
      </c>
      <c r="G961" s="28">
        <v>0</v>
      </c>
      <c r="H961" s="28">
        <f>ROUND(F961*AO961,2)</f>
        <v>0</v>
      </c>
      <c r="I961" s="28">
        <f>ROUND(F961*AP961,2)</f>
        <v>0</v>
      </c>
      <c r="J961" s="28">
        <f>ROUND(F961*G961,2)</f>
        <v>0</v>
      </c>
      <c r="K961" s="29" t="s">
        <v>1657</v>
      </c>
      <c r="Z961" s="28">
        <f>ROUND(IF(AQ961="5",BJ961,0),2)</f>
        <v>0</v>
      </c>
      <c r="AB961" s="28">
        <f>ROUND(IF(AQ961="1",BH961,0),2)</f>
        <v>0</v>
      </c>
      <c r="AC961" s="28">
        <f>ROUND(IF(AQ961="1",BI961,0),2)</f>
        <v>0</v>
      </c>
      <c r="AD961" s="28">
        <f>ROUND(IF(AQ961="7",BH961,0),2)</f>
        <v>0</v>
      </c>
      <c r="AE961" s="28">
        <f>ROUND(IF(AQ961="7",BI961,0),2)</f>
        <v>0</v>
      </c>
      <c r="AF961" s="28">
        <f>ROUND(IF(AQ961="2",BH961,0),2)</f>
        <v>0</v>
      </c>
      <c r="AG961" s="28">
        <f>ROUND(IF(AQ961="2",BI961,0),2)</f>
        <v>0</v>
      </c>
      <c r="AH961" s="28">
        <f>ROUND(IF(AQ961="0",BJ961,0),2)</f>
        <v>0</v>
      </c>
      <c r="AI961" s="10" t="s">
        <v>1554</v>
      </c>
      <c r="AJ961" s="28">
        <f>IF(AN961=0,J961,0)</f>
        <v>0</v>
      </c>
      <c r="AK961" s="28">
        <f>IF(AN961=12,J961,0)</f>
        <v>0</v>
      </c>
      <c r="AL961" s="28">
        <f>IF(AN961=21,J961,0)</f>
        <v>0</v>
      </c>
      <c r="AN961" s="28">
        <v>21</v>
      </c>
      <c r="AO961" s="28">
        <f>G961*1</f>
        <v>0</v>
      </c>
      <c r="AP961" s="28">
        <f>G961*(1-1)</f>
        <v>0</v>
      </c>
      <c r="AQ961" s="30" t="s">
        <v>56</v>
      </c>
      <c r="AV961" s="28">
        <f>ROUND(AW961+AX961,2)</f>
        <v>0</v>
      </c>
      <c r="AW961" s="28">
        <f>ROUND(F961*AO961,2)</f>
        <v>0</v>
      </c>
      <c r="AX961" s="28">
        <f>ROUND(F961*AP961,2)</f>
        <v>0</v>
      </c>
      <c r="AY961" s="30" t="s">
        <v>195</v>
      </c>
      <c r="AZ961" s="30" t="s">
        <v>1591</v>
      </c>
      <c r="BA961" s="10" t="s">
        <v>1561</v>
      </c>
      <c r="BC961" s="28">
        <f>AW961+AX961</f>
        <v>0</v>
      </c>
      <c r="BD961" s="28">
        <f>G961/(100-BE961)*100</f>
        <v>0</v>
      </c>
      <c r="BE961" s="28">
        <v>0</v>
      </c>
      <c r="BF961" s="28">
        <f>961</f>
        <v>961</v>
      </c>
      <c r="BH961" s="28">
        <f>F961*AO961</f>
        <v>0</v>
      </c>
      <c r="BI961" s="28">
        <f>F961*AP961</f>
        <v>0</v>
      </c>
      <c r="BJ961" s="28">
        <f>F961*G961</f>
        <v>0</v>
      </c>
      <c r="BK961" s="28"/>
      <c r="BL961" s="28">
        <v>18</v>
      </c>
      <c r="BW961" s="28">
        <v>21</v>
      </c>
      <c r="BX961" s="4" t="s">
        <v>1702</v>
      </c>
    </row>
    <row r="962" spans="1:76" ht="14.4" x14ac:dyDescent="0.3">
      <c r="A962" s="31"/>
      <c r="C962" s="32" t="s">
        <v>1703</v>
      </c>
      <c r="D962" s="32" t="s">
        <v>51</v>
      </c>
      <c r="F962" s="33">
        <v>18.600000000000001</v>
      </c>
      <c r="K962" s="34"/>
    </row>
    <row r="963" spans="1:76" ht="14.4" x14ac:dyDescent="0.3">
      <c r="A963" s="31"/>
      <c r="C963" s="32" t="s">
        <v>1704</v>
      </c>
      <c r="D963" s="32" t="s">
        <v>51</v>
      </c>
      <c r="F963" s="33">
        <v>0.93</v>
      </c>
      <c r="K963" s="34"/>
    </row>
    <row r="964" spans="1:76" ht="14.4" x14ac:dyDescent="0.3">
      <c r="A964" s="31"/>
      <c r="B964" s="35" t="s">
        <v>68</v>
      </c>
      <c r="C964" s="93" t="s">
        <v>1705</v>
      </c>
      <c r="D964" s="94"/>
      <c r="E964" s="94"/>
      <c r="F964" s="94"/>
      <c r="G964" s="94"/>
      <c r="H964" s="94"/>
      <c r="I964" s="94"/>
      <c r="J964" s="94"/>
      <c r="K964" s="95"/>
      <c r="BX964" s="36" t="s">
        <v>1705</v>
      </c>
    </row>
    <row r="965" spans="1:76" ht="14.4" x14ac:dyDescent="0.3">
      <c r="A965" s="2" t="s">
        <v>1706</v>
      </c>
      <c r="B965" s="3" t="s">
        <v>1707</v>
      </c>
      <c r="C965" s="75" t="s">
        <v>1708</v>
      </c>
      <c r="D965" s="70"/>
      <c r="E965" s="3" t="s">
        <v>293</v>
      </c>
      <c r="F965" s="28">
        <v>1</v>
      </c>
      <c r="G965" s="28">
        <v>0</v>
      </c>
      <c r="H965" s="28">
        <f>ROUND(F965*AO965,2)</f>
        <v>0</v>
      </c>
      <c r="I965" s="28">
        <f>ROUND(F965*AP965,2)</f>
        <v>0</v>
      </c>
      <c r="J965" s="28">
        <f>ROUND(F965*G965,2)</f>
        <v>0</v>
      </c>
      <c r="K965" s="29" t="s">
        <v>60</v>
      </c>
      <c r="Z965" s="28">
        <f>ROUND(IF(AQ965="5",BJ965,0),2)</f>
        <v>0</v>
      </c>
      <c r="AB965" s="28">
        <f>ROUND(IF(AQ965="1",BH965,0),2)</f>
        <v>0</v>
      </c>
      <c r="AC965" s="28">
        <f>ROUND(IF(AQ965="1",BI965,0),2)</f>
        <v>0</v>
      </c>
      <c r="AD965" s="28">
        <f>ROUND(IF(AQ965="7",BH965,0),2)</f>
        <v>0</v>
      </c>
      <c r="AE965" s="28">
        <f>ROUND(IF(AQ965="7",BI965,0),2)</f>
        <v>0</v>
      </c>
      <c r="AF965" s="28">
        <f>ROUND(IF(AQ965="2",BH965,0),2)</f>
        <v>0</v>
      </c>
      <c r="AG965" s="28">
        <f>ROUND(IF(AQ965="2",BI965,0),2)</f>
        <v>0</v>
      </c>
      <c r="AH965" s="28">
        <f>ROUND(IF(AQ965="0",BJ965,0),2)</f>
        <v>0</v>
      </c>
      <c r="AI965" s="10" t="s">
        <v>1554</v>
      </c>
      <c r="AJ965" s="28">
        <f>IF(AN965=0,J965,0)</f>
        <v>0</v>
      </c>
      <c r="AK965" s="28">
        <f>IF(AN965=12,J965,0)</f>
        <v>0</v>
      </c>
      <c r="AL965" s="28">
        <f>IF(AN965=21,J965,0)</f>
        <v>0</v>
      </c>
      <c r="AN965" s="28">
        <v>21</v>
      </c>
      <c r="AO965" s="28">
        <f>G965*0.014520619</f>
        <v>0</v>
      </c>
      <c r="AP965" s="28">
        <f>G965*(1-0.014520619)</f>
        <v>0</v>
      </c>
      <c r="AQ965" s="30" t="s">
        <v>56</v>
      </c>
      <c r="AV965" s="28">
        <f>ROUND(AW965+AX965,2)</f>
        <v>0</v>
      </c>
      <c r="AW965" s="28">
        <f>ROUND(F965*AO965,2)</f>
        <v>0</v>
      </c>
      <c r="AX965" s="28">
        <f>ROUND(F965*AP965,2)</f>
        <v>0</v>
      </c>
      <c r="AY965" s="30" t="s">
        <v>195</v>
      </c>
      <c r="AZ965" s="30" t="s">
        <v>1591</v>
      </c>
      <c r="BA965" s="10" t="s">
        <v>1561</v>
      </c>
      <c r="BC965" s="28">
        <f>AW965+AX965</f>
        <v>0</v>
      </c>
      <c r="BD965" s="28">
        <f>G965/(100-BE965)*100</f>
        <v>0</v>
      </c>
      <c r="BE965" s="28">
        <v>0</v>
      </c>
      <c r="BF965" s="28">
        <f>965</f>
        <v>965</v>
      </c>
      <c r="BH965" s="28">
        <f>F965*AO965</f>
        <v>0</v>
      </c>
      <c r="BI965" s="28">
        <f>F965*AP965</f>
        <v>0</v>
      </c>
      <c r="BJ965" s="28">
        <f>F965*G965</f>
        <v>0</v>
      </c>
      <c r="BK965" s="28"/>
      <c r="BL965" s="28">
        <v>18</v>
      </c>
      <c r="BW965" s="28">
        <v>21</v>
      </c>
      <c r="BX965" s="4" t="s">
        <v>1708</v>
      </c>
    </row>
    <row r="966" spans="1:76" ht="14.4" x14ac:dyDescent="0.3">
      <c r="A966" s="2" t="s">
        <v>1709</v>
      </c>
      <c r="B966" s="3" t="s">
        <v>1710</v>
      </c>
      <c r="C966" s="75" t="s">
        <v>1711</v>
      </c>
      <c r="D966" s="70"/>
      <c r="E966" s="3" t="s">
        <v>293</v>
      </c>
      <c r="F966" s="28">
        <v>63</v>
      </c>
      <c r="G966" s="28">
        <v>0</v>
      </c>
      <c r="H966" s="28">
        <f>ROUND(F966*AO966,2)</f>
        <v>0</v>
      </c>
      <c r="I966" s="28">
        <f>ROUND(F966*AP966,2)</f>
        <v>0</v>
      </c>
      <c r="J966" s="28">
        <f>ROUND(F966*G966,2)</f>
        <v>0</v>
      </c>
      <c r="K966" s="29" t="s">
        <v>60</v>
      </c>
      <c r="Z966" s="28">
        <f>ROUND(IF(AQ966="5",BJ966,0),2)</f>
        <v>0</v>
      </c>
      <c r="AB966" s="28">
        <f>ROUND(IF(AQ966="1",BH966,0),2)</f>
        <v>0</v>
      </c>
      <c r="AC966" s="28">
        <f>ROUND(IF(AQ966="1",BI966,0),2)</f>
        <v>0</v>
      </c>
      <c r="AD966" s="28">
        <f>ROUND(IF(AQ966="7",BH966,0),2)</f>
        <v>0</v>
      </c>
      <c r="AE966" s="28">
        <f>ROUND(IF(AQ966="7",BI966,0),2)</f>
        <v>0</v>
      </c>
      <c r="AF966" s="28">
        <f>ROUND(IF(AQ966="2",BH966,0),2)</f>
        <v>0</v>
      </c>
      <c r="AG966" s="28">
        <f>ROUND(IF(AQ966="2",BI966,0),2)</f>
        <v>0</v>
      </c>
      <c r="AH966" s="28">
        <f>ROUND(IF(AQ966="0",BJ966,0),2)</f>
        <v>0</v>
      </c>
      <c r="AI966" s="10" t="s">
        <v>1554</v>
      </c>
      <c r="AJ966" s="28">
        <f>IF(AN966=0,J966,0)</f>
        <v>0</v>
      </c>
      <c r="AK966" s="28">
        <f>IF(AN966=12,J966,0)</f>
        <v>0</v>
      </c>
      <c r="AL966" s="28">
        <f>IF(AN966=21,J966,0)</f>
        <v>0</v>
      </c>
      <c r="AN966" s="28">
        <v>21</v>
      </c>
      <c r="AO966" s="28">
        <f>G966*0.097635934</f>
        <v>0</v>
      </c>
      <c r="AP966" s="28">
        <f>G966*(1-0.097635934)</f>
        <v>0</v>
      </c>
      <c r="AQ966" s="30" t="s">
        <v>56</v>
      </c>
      <c r="AV966" s="28">
        <f>ROUND(AW966+AX966,2)</f>
        <v>0</v>
      </c>
      <c r="AW966" s="28">
        <f>ROUND(F966*AO966,2)</f>
        <v>0</v>
      </c>
      <c r="AX966" s="28">
        <f>ROUND(F966*AP966,2)</f>
        <v>0</v>
      </c>
      <c r="AY966" s="30" t="s">
        <v>195</v>
      </c>
      <c r="AZ966" s="30" t="s">
        <v>1591</v>
      </c>
      <c r="BA966" s="10" t="s">
        <v>1561</v>
      </c>
      <c r="BC966" s="28">
        <f>AW966+AX966</f>
        <v>0</v>
      </c>
      <c r="BD966" s="28">
        <f>G966/(100-BE966)*100</f>
        <v>0</v>
      </c>
      <c r="BE966" s="28">
        <v>0</v>
      </c>
      <c r="BF966" s="28">
        <f>966</f>
        <v>966</v>
      </c>
      <c r="BH966" s="28">
        <f>F966*AO966</f>
        <v>0</v>
      </c>
      <c r="BI966" s="28">
        <f>F966*AP966</f>
        <v>0</v>
      </c>
      <c r="BJ966" s="28">
        <f>F966*G966</f>
        <v>0</v>
      </c>
      <c r="BK966" s="28"/>
      <c r="BL966" s="28">
        <v>18</v>
      </c>
      <c r="BW966" s="28">
        <v>21</v>
      </c>
      <c r="BX966" s="4" t="s">
        <v>1711</v>
      </c>
    </row>
    <row r="967" spans="1:76" ht="14.4" x14ac:dyDescent="0.3">
      <c r="A967" s="2" t="s">
        <v>1712</v>
      </c>
      <c r="B967" s="3" t="s">
        <v>1713</v>
      </c>
      <c r="C967" s="75" t="s">
        <v>1714</v>
      </c>
      <c r="D967" s="70"/>
      <c r="E967" s="3" t="s">
        <v>188</v>
      </c>
      <c r="F967" s="28">
        <v>44.1</v>
      </c>
      <c r="G967" s="28">
        <v>0</v>
      </c>
      <c r="H967" s="28">
        <f>ROUND(F967*AO967,2)</f>
        <v>0</v>
      </c>
      <c r="I967" s="28">
        <f>ROUND(F967*AP967,2)</f>
        <v>0</v>
      </c>
      <c r="J967" s="28">
        <f>ROUND(F967*G967,2)</f>
        <v>0</v>
      </c>
      <c r="K967" s="29" t="s">
        <v>60</v>
      </c>
      <c r="Z967" s="28">
        <f>ROUND(IF(AQ967="5",BJ967,0),2)</f>
        <v>0</v>
      </c>
      <c r="AB967" s="28">
        <f>ROUND(IF(AQ967="1",BH967,0),2)</f>
        <v>0</v>
      </c>
      <c r="AC967" s="28">
        <f>ROUND(IF(AQ967="1",BI967,0),2)</f>
        <v>0</v>
      </c>
      <c r="AD967" s="28">
        <f>ROUND(IF(AQ967="7",BH967,0),2)</f>
        <v>0</v>
      </c>
      <c r="AE967" s="28">
        <f>ROUND(IF(AQ967="7",BI967,0),2)</f>
        <v>0</v>
      </c>
      <c r="AF967" s="28">
        <f>ROUND(IF(AQ967="2",BH967,0),2)</f>
        <v>0</v>
      </c>
      <c r="AG967" s="28">
        <f>ROUND(IF(AQ967="2",BI967,0),2)</f>
        <v>0</v>
      </c>
      <c r="AH967" s="28">
        <f>ROUND(IF(AQ967="0",BJ967,0),2)</f>
        <v>0</v>
      </c>
      <c r="AI967" s="10" t="s">
        <v>1554</v>
      </c>
      <c r="AJ967" s="28">
        <f>IF(AN967=0,J967,0)</f>
        <v>0</v>
      </c>
      <c r="AK967" s="28">
        <f>IF(AN967=12,J967,0)</f>
        <v>0</v>
      </c>
      <c r="AL967" s="28">
        <f>IF(AN967=21,J967,0)</f>
        <v>0</v>
      </c>
      <c r="AN967" s="28">
        <v>21</v>
      </c>
      <c r="AO967" s="28">
        <f>G967*1</f>
        <v>0</v>
      </c>
      <c r="AP967" s="28">
        <f>G967*(1-1)</f>
        <v>0</v>
      </c>
      <c r="AQ967" s="30" t="s">
        <v>56</v>
      </c>
      <c r="AV967" s="28">
        <f>ROUND(AW967+AX967,2)</f>
        <v>0</v>
      </c>
      <c r="AW967" s="28">
        <f>ROUND(F967*AO967,2)</f>
        <v>0</v>
      </c>
      <c r="AX967" s="28">
        <f>ROUND(F967*AP967,2)</f>
        <v>0</v>
      </c>
      <c r="AY967" s="30" t="s">
        <v>195</v>
      </c>
      <c r="AZ967" s="30" t="s">
        <v>1591</v>
      </c>
      <c r="BA967" s="10" t="s">
        <v>1561</v>
      </c>
      <c r="BC967" s="28">
        <f>AW967+AX967</f>
        <v>0</v>
      </c>
      <c r="BD967" s="28">
        <f>G967/(100-BE967)*100</f>
        <v>0</v>
      </c>
      <c r="BE967" s="28">
        <v>0</v>
      </c>
      <c r="BF967" s="28">
        <f>967</f>
        <v>967</v>
      </c>
      <c r="BH967" s="28">
        <f>F967*AO967</f>
        <v>0</v>
      </c>
      <c r="BI967" s="28">
        <f>F967*AP967</f>
        <v>0</v>
      </c>
      <c r="BJ967" s="28">
        <f>F967*G967</f>
        <v>0</v>
      </c>
      <c r="BK967" s="28"/>
      <c r="BL967" s="28">
        <v>18</v>
      </c>
      <c r="BW967" s="28">
        <v>21</v>
      </c>
      <c r="BX967" s="4" t="s">
        <v>1714</v>
      </c>
    </row>
    <row r="968" spans="1:76" ht="14.4" x14ac:dyDescent="0.3">
      <c r="A968" s="31"/>
      <c r="C968" s="32" t="s">
        <v>1715</v>
      </c>
      <c r="D968" s="32" t="s">
        <v>51</v>
      </c>
      <c r="F968" s="33">
        <v>44.1</v>
      </c>
      <c r="K968" s="34"/>
    </row>
    <row r="969" spans="1:76" ht="26.4" x14ac:dyDescent="0.3">
      <c r="A969" s="31"/>
      <c r="B969" s="35" t="s">
        <v>68</v>
      </c>
      <c r="C969" s="93" t="s">
        <v>1716</v>
      </c>
      <c r="D969" s="94"/>
      <c r="E969" s="94"/>
      <c r="F969" s="94"/>
      <c r="G969" s="94"/>
      <c r="H969" s="94"/>
      <c r="I969" s="94"/>
      <c r="J969" s="94"/>
      <c r="K969" s="95"/>
      <c r="BX969" s="36" t="s">
        <v>1716</v>
      </c>
    </row>
    <row r="970" spans="1:76" ht="14.4" x14ac:dyDescent="0.3">
      <c r="A970" s="2" t="s">
        <v>1717</v>
      </c>
      <c r="B970" s="3" t="s">
        <v>1718</v>
      </c>
      <c r="C970" s="75" t="s">
        <v>1719</v>
      </c>
      <c r="D970" s="70"/>
      <c r="E970" s="3" t="s">
        <v>293</v>
      </c>
      <c r="F970" s="28">
        <v>63</v>
      </c>
      <c r="G970" s="28">
        <v>0</v>
      </c>
      <c r="H970" s="28">
        <f>ROUND(F970*AO970,2)</f>
        <v>0</v>
      </c>
      <c r="I970" s="28">
        <f>ROUND(F970*AP970,2)</f>
        <v>0</v>
      </c>
      <c r="J970" s="28">
        <f>ROUND(F970*G970,2)</f>
        <v>0</v>
      </c>
      <c r="K970" s="29" t="s">
        <v>60</v>
      </c>
      <c r="Z970" s="28">
        <f>ROUND(IF(AQ970="5",BJ970,0),2)</f>
        <v>0</v>
      </c>
      <c r="AB970" s="28">
        <f>ROUND(IF(AQ970="1",BH970,0),2)</f>
        <v>0</v>
      </c>
      <c r="AC970" s="28">
        <f>ROUND(IF(AQ970="1",BI970,0),2)</f>
        <v>0</v>
      </c>
      <c r="AD970" s="28">
        <f>ROUND(IF(AQ970="7",BH970,0),2)</f>
        <v>0</v>
      </c>
      <c r="AE970" s="28">
        <f>ROUND(IF(AQ970="7",BI970,0),2)</f>
        <v>0</v>
      </c>
      <c r="AF970" s="28">
        <f>ROUND(IF(AQ970="2",BH970,0),2)</f>
        <v>0</v>
      </c>
      <c r="AG970" s="28">
        <f>ROUND(IF(AQ970="2",BI970,0),2)</f>
        <v>0</v>
      </c>
      <c r="AH970" s="28">
        <f>ROUND(IF(AQ970="0",BJ970,0),2)</f>
        <v>0</v>
      </c>
      <c r="AI970" s="10" t="s">
        <v>1554</v>
      </c>
      <c r="AJ970" s="28">
        <f>IF(AN970=0,J970,0)</f>
        <v>0</v>
      </c>
      <c r="AK970" s="28">
        <f>IF(AN970=12,J970,0)</f>
        <v>0</v>
      </c>
      <c r="AL970" s="28">
        <f>IF(AN970=21,J970,0)</f>
        <v>0</v>
      </c>
      <c r="AN970" s="28">
        <v>21</v>
      </c>
      <c r="AO970" s="28">
        <f>G970*1</f>
        <v>0</v>
      </c>
      <c r="AP970" s="28">
        <f>G970*(1-1)</f>
        <v>0</v>
      </c>
      <c r="AQ970" s="30" t="s">
        <v>56</v>
      </c>
      <c r="AV970" s="28">
        <f>ROUND(AW970+AX970,2)</f>
        <v>0</v>
      </c>
      <c r="AW970" s="28">
        <f>ROUND(F970*AO970,2)</f>
        <v>0</v>
      </c>
      <c r="AX970" s="28">
        <f>ROUND(F970*AP970,2)</f>
        <v>0</v>
      </c>
      <c r="AY970" s="30" t="s">
        <v>195</v>
      </c>
      <c r="AZ970" s="30" t="s">
        <v>1591</v>
      </c>
      <c r="BA970" s="10" t="s">
        <v>1561</v>
      </c>
      <c r="BC970" s="28">
        <f>AW970+AX970</f>
        <v>0</v>
      </c>
      <c r="BD970" s="28">
        <f>G970/(100-BE970)*100</f>
        <v>0</v>
      </c>
      <c r="BE970" s="28">
        <v>0</v>
      </c>
      <c r="BF970" s="28">
        <f>970</f>
        <v>970</v>
      </c>
      <c r="BH970" s="28">
        <f>F970*AO970</f>
        <v>0</v>
      </c>
      <c r="BI970" s="28">
        <f>F970*AP970</f>
        <v>0</v>
      </c>
      <c r="BJ970" s="28">
        <f>F970*G970</f>
        <v>0</v>
      </c>
      <c r="BK970" s="28"/>
      <c r="BL970" s="28">
        <v>18</v>
      </c>
      <c r="BW970" s="28">
        <v>21</v>
      </c>
      <c r="BX970" s="4" t="s">
        <v>1719</v>
      </c>
    </row>
    <row r="971" spans="1:76" ht="14.4" x14ac:dyDescent="0.3">
      <c r="A971" s="31"/>
      <c r="C971" s="32" t="s">
        <v>1720</v>
      </c>
      <c r="D971" s="32" t="s">
        <v>51</v>
      </c>
      <c r="F971" s="33">
        <v>63</v>
      </c>
      <c r="K971" s="34"/>
    </row>
    <row r="972" spans="1:76" ht="26.4" x14ac:dyDescent="0.3">
      <c r="A972" s="31"/>
      <c r="B972" s="35" t="s">
        <v>68</v>
      </c>
      <c r="C972" s="93" t="s">
        <v>1721</v>
      </c>
      <c r="D972" s="94"/>
      <c r="E972" s="94"/>
      <c r="F972" s="94"/>
      <c r="G972" s="94"/>
      <c r="H972" s="94"/>
      <c r="I972" s="94"/>
      <c r="J972" s="94"/>
      <c r="K972" s="95"/>
      <c r="BX972" s="36" t="s">
        <v>1721</v>
      </c>
    </row>
    <row r="973" spans="1:76" ht="14.4" x14ac:dyDescent="0.3">
      <c r="A973" s="2" t="s">
        <v>1722</v>
      </c>
      <c r="B973" s="3" t="s">
        <v>1723</v>
      </c>
      <c r="C973" s="75" t="s">
        <v>1724</v>
      </c>
      <c r="D973" s="70"/>
      <c r="E973" s="3" t="s">
        <v>293</v>
      </c>
      <c r="F973" s="28">
        <v>63</v>
      </c>
      <c r="G973" s="28">
        <v>0</v>
      </c>
      <c r="H973" s="28">
        <f>ROUND(F973*AO973,2)</f>
        <v>0</v>
      </c>
      <c r="I973" s="28">
        <f>ROUND(F973*AP973,2)</f>
        <v>0</v>
      </c>
      <c r="J973" s="28">
        <f>ROUND(F973*G973,2)</f>
        <v>0</v>
      </c>
      <c r="K973" s="29" t="s">
        <v>60</v>
      </c>
      <c r="Z973" s="28">
        <f>ROUND(IF(AQ973="5",BJ973,0),2)</f>
        <v>0</v>
      </c>
      <c r="AB973" s="28">
        <f>ROUND(IF(AQ973="1",BH973,0),2)</f>
        <v>0</v>
      </c>
      <c r="AC973" s="28">
        <f>ROUND(IF(AQ973="1",BI973,0),2)</f>
        <v>0</v>
      </c>
      <c r="AD973" s="28">
        <f>ROUND(IF(AQ973="7",BH973,0),2)</f>
        <v>0</v>
      </c>
      <c r="AE973" s="28">
        <f>ROUND(IF(AQ973="7",BI973,0),2)</f>
        <v>0</v>
      </c>
      <c r="AF973" s="28">
        <f>ROUND(IF(AQ973="2",BH973,0),2)</f>
        <v>0</v>
      </c>
      <c r="AG973" s="28">
        <f>ROUND(IF(AQ973="2",BI973,0),2)</f>
        <v>0</v>
      </c>
      <c r="AH973" s="28">
        <f>ROUND(IF(AQ973="0",BJ973,0),2)</f>
        <v>0</v>
      </c>
      <c r="AI973" s="10" t="s">
        <v>1554</v>
      </c>
      <c r="AJ973" s="28">
        <f>IF(AN973=0,J973,0)</f>
        <v>0</v>
      </c>
      <c r="AK973" s="28">
        <f>IF(AN973=12,J973,0)</f>
        <v>0</v>
      </c>
      <c r="AL973" s="28">
        <f>IF(AN973=21,J973,0)</f>
        <v>0</v>
      </c>
      <c r="AN973" s="28">
        <v>21</v>
      </c>
      <c r="AO973" s="28">
        <f>G973*1</f>
        <v>0</v>
      </c>
      <c r="AP973" s="28">
        <f>G973*(1-1)</f>
        <v>0</v>
      </c>
      <c r="AQ973" s="30" t="s">
        <v>56</v>
      </c>
      <c r="AV973" s="28">
        <f>ROUND(AW973+AX973,2)</f>
        <v>0</v>
      </c>
      <c r="AW973" s="28">
        <f>ROUND(F973*AO973,2)</f>
        <v>0</v>
      </c>
      <c r="AX973" s="28">
        <f>ROUND(F973*AP973,2)</f>
        <v>0</v>
      </c>
      <c r="AY973" s="30" t="s">
        <v>195</v>
      </c>
      <c r="AZ973" s="30" t="s">
        <v>1591</v>
      </c>
      <c r="BA973" s="10" t="s">
        <v>1561</v>
      </c>
      <c r="BC973" s="28">
        <f>AW973+AX973</f>
        <v>0</v>
      </c>
      <c r="BD973" s="28">
        <f>G973/(100-BE973)*100</f>
        <v>0</v>
      </c>
      <c r="BE973" s="28">
        <v>0</v>
      </c>
      <c r="BF973" s="28">
        <f>973</f>
        <v>973</v>
      </c>
      <c r="BH973" s="28">
        <f>F973*AO973</f>
        <v>0</v>
      </c>
      <c r="BI973" s="28">
        <f>F973*AP973</f>
        <v>0</v>
      </c>
      <c r="BJ973" s="28">
        <f>F973*G973</f>
        <v>0</v>
      </c>
      <c r="BK973" s="28"/>
      <c r="BL973" s="28">
        <v>18</v>
      </c>
      <c r="BW973" s="28">
        <v>21</v>
      </c>
      <c r="BX973" s="4" t="s">
        <v>1724</v>
      </c>
    </row>
    <row r="974" spans="1:76" ht="14.4" x14ac:dyDescent="0.3">
      <c r="A974" s="31"/>
      <c r="C974" s="32" t="s">
        <v>1725</v>
      </c>
      <c r="D974" s="32" t="s">
        <v>51</v>
      </c>
      <c r="F974" s="33">
        <v>63</v>
      </c>
      <c r="K974" s="34"/>
    </row>
    <row r="975" spans="1:76" ht="14.4" x14ac:dyDescent="0.3">
      <c r="A975" s="31"/>
      <c r="B975" s="35" t="s">
        <v>68</v>
      </c>
      <c r="C975" s="93" t="s">
        <v>1726</v>
      </c>
      <c r="D975" s="94"/>
      <c r="E975" s="94"/>
      <c r="F975" s="94"/>
      <c r="G975" s="94"/>
      <c r="H975" s="94"/>
      <c r="I975" s="94"/>
      <c r="J975" s="94"/>
      <c r="K975" s="95"/>
      <c r="BX975" s="36" t="s">
        <v>1726</v>
      </c>
    </row>
    <row r="976" spans="1:76" ht="14.4" x14ac:dyDescent="0.3">
      <c r="A976" s="2" t="s">
        <v>1727</v>
      </c>
      <c r="B976" s="3" t="s">
        <v>1728</v>
      </c>
      <c r="C976" s="75" t="s">
        <v>1729</v>
      </c>
      <c r="D976" s="70"/>
      <c r="E976" s="3" t="s">
        <v>103</v>
      </c>
      <c r="F976" s="28">
        <v>445</v>
      </c>
      <c r="G976" s="28">
        <v>0</v>
      </c>
      <c r="H976" s="28">
        <f>ROUND(F976*AO976,2)</f>
        <v>0</v>
      </c>
      <c r="I976" s="28">
        <f>ROUND(F976*AP976,2)</f>
        <v>0</v>
      </c>
      <c r="J976" s="28">
        <f>ROUND(F976*G976,2)</f>
        <v>0</v>
      </c>
      <c r="K976" s="29" t="s">
        <v>60</v>
      </c>
      <c r="Z976" s="28">
        <f>ROUND(IF(AQ976="5",BJ976,0),2)</f>
        <v>0</v>
      </c>
      <c r="AB976" s="28">
        <f>ROUND(IF(AQ976="1",BH976,0),2)</f>
        <v>0</v>
      </c>
      <c r="AC976" s="28">
        <f>ROUND(IF(AQ976="1",BI976,0),2)</f>
        <v>0</v>
      </c>
      <c r="AD976" s="28">
        <f>ROUND(IF(AQ976="7",BH976,0),2)</f>
        <v>0</v>
      </c>
      <c r="AE976" s="28">
        <f>ROUND(IF(AQ976="7",BI976,0),2)</f>
        <v>0</v>
      </c>
      <c r="AF976" s="28">
        <f>ROUND(IF(AQ976="2",BH976,0),2)</f>
        <v>0</v>
      </c>
      <c r="AG976" s="28">
        <f>ROUND(IF(AQ976="2",BI976,0),2)</f>
        <v>0</v>
      </c>
      <c r="AH976" s="28">
        <f>ROUND(IF(AQ976="0",BJ976,0),2)</f>
        <v>0</v>
      </c>
      <c r="AI976" s="10" t="s">
        <v>1554</v>
      </c>
      <c r="AJ976" s="28">
        <f>IF(AN976=0,J976,0)</f>
        <v>0</v>
      </c>
      <c r="AK976" s="28">
        <f>IF(AN976=12,J976,0)</f>
        <v>0</v>
      </c>
      <c r="AL976" s="28">
        <f>IF(AN976=21,J976,0)</f>
        <v>0</v>
      </c>
      <c r="AN976" s="28">
        <v>21</v>
      </c>
      <c r="AO976" s="28">
        <f>G976*0.021143832</f>
        <v>0</v>
      </c>
      <c r="AP976" s="28">
        <f>G976*(1-0.021143832)</f>
        <v>0</v>
      </c>
      <c r="AQ976" s="30" t="s">
        <v>56</v>
      </c>
      <c r="AV976" s="28">
        <f>ROUND(AW976+AX976,2)</f>
        <v>0</v>
      </c>
      <c r="AW976" s="28">
        <f>ROUND(F976*AO976,2)</f>
        <v>0</v>
      </c>
      <c r="AX976" s="28">
        <f>ROUND(F976*AP976,2)</f>
        <v>0</v>
      </c>
      <c r="AY976" s="30" t="s">
        <v>195</v>
      </c>
      <c r="AZ976" s="30" t="s">
        <v>1591</v>
      </c>
      <c r="BA976" s="10" t="s">
        <v>1561</v>
      </c>
      <c r="BC976" s="28">
        <f>AW976+AX976</f>
        <v>0</v>
      </c>
      <c r="BD976" s="28">
        <f>G976/(100-BE976)*100</f>
        <v>0</v>
      </c>
      <c r="BE976" s="28">
        <v>0</v>
      </c>
      <c r="BF976" s="28">
        <f>976</f>
        <v>976</v>
      </c>
      <c r="BH976" s="28">
        <f>F976*AO976</f>
        <v>0</v>
      </c>
      <c r="BI976" s="28">
        <f>F976*AP976</f>
        <v>0</v>
      </c>
      <c r="BJ976" s="28">
        <f>F976*G976</f>
        <v>0</v>
      </c>
      <c r="BK976" s="28"/>
      <c r="BL976" s="28">
        <v>18</v>
      </c>
      <c r="BW976" s="28">
        <v>21</v>
      </c>
      <c r="BX976" s="4" t="s">
        <v>1729</v>
      </c>
    </row>
    <row r="977" spans="1:76" ht="13.5" customHeight="1" x14ac:dyDescent="0.3">
      <c r="A977" s="31"/>
      <c r="B977" s="35" t="s">
        <v>105</v>
      </c>
      <c r="C977" s="96" t="s">
        <v>1730</v>
      </c>
      <c r="D977" s="97"/>
      <c r="E977" s="97"/>
      <c r="F977" s="97"/>
      <c r="G977" s="97"/>
      <c r="H977" s="97"/>
      <c r="I977" s="97"/>
      <c r="J977" s="97"/>
      <c r="K977" s="98"/>
    </row>
    <row r="978" spans="1:76" ht="14.4" x14ac:dyDescent="0.3">
      <c r="A978" s="2" t="s">
        <v>1731</v>
      </c>
      <c r="B978" s="3" t="s">
        <v>1732</v>
      </c>
      <c r="C978" s="75" t="s">
        <v>1733</v>
      </c>
      <c r="D978" s="70"/>
      <c r="E978" s="3" t="s">
        <v>1381</v>
      </c>
      <c r="F978" s="28">
        <v>19</v>
      </c>
      <c r="G978" s="28">
        <v>0</v>
      </c>
      <c r="H978" s="28">
        <f>ROUND(F978*AO978,2)</f>
        <v>0</v>
      </c>
      <c r="I978" s="28">
        <f>ROUND(F978*AP978,2)</f>
        <v>0</v>
      </c>
      <c r="J978" s="28">
        <f>ROUND(F978*G978,2)</f>
        <v>0</v>
      </c>
      <c r="K978" s="29" t="s">
        <v>1734</v>
      </c>
      <c r="Z978" s="28">
        <f>ROUND(IF(AQ978="5",BJ978,0),2)</f>
        <v>0</v>
      </c>
      <c r="AB978" s="28">
        <f>ROUND(IF(AQ978="1",BH978,0),2)</f>
        <v>0</v>
      </c>
      <c r="AC978" s="28">
        <f>ROUND(IF(AQ978="1",BI978,0),2)</f>
        <v>0</v>
      </c>
      <c r="AD978" s="28">
        <f>ROUND(IF(AQ978="7",BH978,0),2)</f>
        <v>0</v>
      </c>
      <c r="AE978" s="28">
        <f>ROUND(IF(AQ978="7",BI978,0),2)</f>
        <v>0</v>
      </c>
      <c r="AF978" s="28">
        <f>ROUND(IF(AQ978="2",BH978,0),2)</f>
        <v>0</v>
      </c>
      <c r="AG978" s="28">
        <f>ROUND(IF(AQ978="2",BI978,0),2)</f>
        <v>0</v>
      </c>
      <c r="AH978" s="28">
        <f>ROUND(IF(AQ978="0",BJ978,0),2)</f>
        <v>0</v>
      </c>
      <c r="AI978" s="10" t="s">
        <v>1554</v>
      </c>
      <c r="AJ978" s="28">
        <f>IF(AN978=0,J978,0)</f>
        <v>0</v>
      </c>
      <c r="AK978" s="28">
        <f>IF(AN978=12,J978,0)</f>
        <v>0</v>
      </c>
      <c r="AL978" s="28">
        <f>IF(AN978=21,J978,0)</f>
        <v>0</v>
      </c>
      <c r="AN978" s="28">
        <v>21</v>
      </c>
      <c r="AO978" s="28">
        <f>G978*0</f>
        <v>0</v>
      </c>
      <c r="AP978" s="28">
        <f>G978*(1-0)</f>
        <v>0</v>
      </c>
      <c r="AQ978" s="30" t="s">
        <v>56</v>
      </c>
      <c r="AV978" s="28">
        <f>ROUND(AW978+AX978,2)</f>
        <v>0</v>
      </c>
      <c r="AW978" s="28">
        <f>ROUND(F978*AO978,2)</f>
        <v>0</v>
      </c>
      <c r="AX978" s="28">
        <f>ROUND(F978*AP978,2)</f>
        <v>0</v>
      </c>
      <c r="AY978" s="30" t="s">
        <v>195</v>
      </c>
      <c r="AZ978" s="30" t="s">
        <v>1591</v>
      </c>
      <c r="BA978" s="10" t="s">
        <v>1561</v>
      </c>
      <c r="BC978" s="28">
        <f>AW978+AX978</f>
        <v>0</v>
      </c>
      <c r="BD978" s="28">
        <f>G978/(100-BE978)*100</f>
        <v>0</v>
      </c>
      <c r="BE978" s="28">
        <v>0</v>
      </c>
      <c r="BF978" s="28">
        <f>978</f>
        <v>978</v>
      </c>
      <c r="BH978" s="28">
        <f>F978*AO978</f>
        <v>0</v>
      </c>
      <c r="BI978" s="28">
        <f>F978*AP978</f>
        <v>0</v>
      </c>
      <c r="BJ978" s="28">
        <f>F978*G978</f>
        <v>0</v>
      </c>
      <c r="BK978" s="28"/>
      <c r="BL978" s="28">
        <v>18</v>
      </c>
      <c r="BW978" s="28">
        <v>21</v>
      </c>
      <c r="BX978" s="4" t="s">
        <v>1733</v>
      </c>
    </row>
    <row r="979" spans="1:76" ht="14.4" x14ac:dyDescent="0.3">
      <c r="A979" s="2" t="s">
        <v>1735</v>
      </c>
      <c r="B979" s="3" t="s">
        <v>1736</v>
      </c>
      <c r="C979" s="75" t="s">
        <v>1737</v>
      </c>
      <c r="D979" s="70"/>
      <c r="E979" s="3" t="s">
        <v>1738</v>
      </c>
      <c r="F979" s="28">
        <v>10</v>
      </c>
      <c r="G979" s="28">
        <v>0</v>
      </c>
      <c r="H979" s="28">
        <f>ROUND(F979*AO979,2)</f>
        <v>0</v>
      </c>
      <c r="I979" s="28">
        <f>ROUND(F979*AP979,2)</f>
        <v>0</v>
      </c>
      <c r="J979" s="28">
        <f>ROUND(F979*G979,2)</f>
        <v>0</v>
      </c>
      <c r="K979" s="29" t="s">
        <v>60</v>
      </c>
      <c r="Z979" s="28">
        <f>ROUND(IF(AQ979="5",BJ979,0),2)</f>
        <v>0</v>
      </c>
      <c r="AB979" s="28">
        <f>ROUND(IF(AQ979="1",BH979,0),2)</f>
        <v>0</v>
      </c>
      <c r="AC979" s="28">
        <f>ROUND(IF(AQ979="1",BI979,0),2)</f>
        <v>0</v>
      </c>
      <c r="AD979" s="28">
        <f>ROUND(IF(AQ979="7",BH979,0),2)</f>
        <v>0</v>
      </c>
      <c r="AE979" s="28">
        <f>ROUND(IF(AQ979="7",BI979,0),2)</f>
        <v>0</v>
      </c>
      <c r="AF979" s="28">
        <f>ROUND(IF(AQ979="2",BH979,0),2)</f>
        <v>0</v>
      </c>
      <c r="AG979" s="28">
        <f>ROUND(IF(AQ979="2",BI979,0),2)</f>
        <v>0</v>
      </c>
      <c r="AH979" s="28">
        <f>ROUND(IF(AQ979="0",BJ979,0),2)</f>
        <v>0</v>
      </c>
      <c r="AI979" s="10" t="s">
        <v>1554</v>
      </c>
      <c r="AJ979" s="28">
        <f>IF(AN979=0,J979,0)</f>
        <v>0</v>
      </c>
      <c r="AK979" s="28">
        <f>IF(AN979=12,J979,0)</f>
        <v>0</v>
      </c>
      <c r="AL979" s="28">
        <f>IF(AN979=21,J979,0)</f>
        <v>0</v>
      </c>
      <c r="AN979" s="28">
        <v>21</v>
      </c>
      <c r="AO979" s="28">
        <f>G979*1</f>
        <v>0</v>
      </c>
      <c r="AP979" s="28">
        <f>G979*(1-1)</f>
        <v>0</v>
      </c>
      <c r="AQ979" s="30" t="s">
        <v>56</v>
      </c>
      <c r="AV979" s="28">
        <f>ROUND(AW979+AX979,2)</f>
        <v>0</v>
      </c>
      <c r="AW979" s="28">
        <f>ROUND(F979*AO979,2)</f>
        <v>0</v>
      </c>
      <c r="AX979" s="28">
        <f>ROUND(F979*AP979,2)</f>
        <v>0</v>
      </c>
      <c r="AY979" s="30" t="s">
        <v>195</v>
      </c>
      <c r="AZ979" s="30" t="s">
        <v>1591</v>
      </c>
      <c r="BA979" s="10" t="s">
        <v>1561</v>
      </c>
      <c r="BC979" s="28">
        <f>AW979+AX979</f>
        <v>0</v>
      </c>
      <c r="BD979" s="28">
        <f>G979/(100-BE979)*100</f>
        <v>0</v>
      </c>
      <c r="BE979" s="28">
        <v>0</v>
      </c>
      <c r="BF979" s="28">
        <f>979</f>
        <v>979</v>
      </c>
      <c r="BH979" s="28">
        <f>F979*AO979</f>
        <v>0</v>
      </c>
      <c r="BI979" s="28">
        <f>F979*AP979</f>
        <v>0</v>
      </c>
      <c r="BJ979" s="28">
        <f>F979*G979</f>
        <v>0</v>
      </c>
      <c r="BK979" s="28"/>
      <c r="BL979" s="28">
        <v>18</v>
      </c>
      <c r="BW979" s="28">
        <v>21</v>
      </c>
      <c r="BX979" s="4" t="s">
        <v>1737</v>
      </c>
    </row>
    <row r="980" spans="1:76" ht="14.4" x14ac:dyDescent="0.3">
      <c r="A980" s="2" t="s">
        <v>1739</v>
      </c>
      <c r="B980" s="3" t="s">
        <v>1740</v>
      </c>
      <c r="C980" s="75" t="s">
        <v>1741</v>
      </c>
      <c r="D980" s="70"/>
      <c r="E980" s="3" t="s">
        <v>1418</v>
      </c>
      <c r="F980" s="28">
        <v>2</v>
      </c>
      <c r="G980" s="28">
        <v>0</v>
      </c>
      <c r="H980" s="28">
        <f>ROUND(F980*AO980,2)</f>
        <v>0</v>
      </c>
      <c r="I980" s="28">
        <f>ROUND(F980*AP980,2)</f>
        <v>0</v>
      </c>
      <c r="J980" s="28">
        <f>ROUND(F980*G980,2)</f>
        <v>0</v>
      </c>
      <c r="K980" s="29" t="s">
        <v>60</v>
      </c>
      <c r="Z980" s="28">
        <f>ROUND(IF(AQ980="5",BJ980,0),2)</f>
        <v>0</v>
      </c>
      <c r="AB980" s="28">
        <f>ROUND(IF(AQ980="1",BH980,0),2)</f>
        <v>0</v>
      </c>
      <c r="AC980" s="28">
        <f>ROUND(IF(AQ980="1",BI980,0),2)</f>
        <v>0</v>
      </c>
      <c r="AD980" s="28">
        <f>ROUND(IF(AQ980="7",BH980,0),2)</f>
        <v>0</v>
      </c>
      <c r="AE980" s="28">
        <f>ROUND(IF(AQ980="7",BI980,0),2)</f>
        <v>0</v>
      </c>
      <c r="AF980" s="28">
        <f>ROUND(IF(AQ980="2",BH980,0),2)</f>
        <v>0</v>
      </c>
      <c r="AG980" s="28">
        <f>ROUND(IF(AQ980="2",BI980,0),2)</f>
        <v>0</v>
      </c>
      <c r="AH980" s="28">
        <f>ROUND(IF(AQ980="0",BJ980,0),2)</f>
        <v>0</v>
      </c>
      <c r="AI980" s="10" t="s">
        <v>1554</v>
      </c>
      <c r="AJ980" s="28">
        <f>IF(AN980=0,J980,0)</f>
        <v>0</v>
      </c>
      <c r="AK980" s="28">
        <f>IF(AN980=12,J980,0)</f>
        <v>0</v>
      </c>
      <c r="AL980" s="28">
        <f>IF(AN980=21,J980,0)</f>
        <v>0</v>
      </c>
      <c r="AN980" s="28">
        <v>21</v>
      </c>
      <c r="AO980" s="28">
        <f>G980*1</f>
        <v>0</v>
      </c>
      <c r="AP980" s="28">
        <f>G980*(1-1)</f>
        <v>0</v>
      </c>
      <c r="AQ980" s="30" t="s">
        <v>56</v>
      </c>
      <c r="AV980" s="28">
        <f>ROUND(AW980+AX980,2)</f>
        <v>0</v>
      </c>
      <c r="AW980" s="28">
        <f>ROUND(F980*AO980,2)</f>
        <v>0</v>
      </c>
      <c r="AX980" s="28">
        <f>ROUND(F980*AP980,2)</f>
        <v>0</v>
      </c>
      <c r="AY980" s="30" t="s">
        <v>195</v>
      </c>
      <c r="AZ980" s="30" t="s">
        <v>1591</v>
      </c>
      <c r="BA980" s="10" t="s">
        <v>1561</v>
      </c>
      <c r="BC980" s="28">
        <f>AW980+AX980</f>
        <v>0</v>
      </c>
      <c r="BD980" s="28">
        <f>G980/(100-BE980)*100</f>
        <v>0</v>
      </c>
      <c r="BE980" s="28">
        <v>0</v>
      </c>
      <c r="BF980" s="28">
        <f>980</f>
        <v>980</v>
      </c>
      <c r="BH980" s="28">
        <f>F980*AO980</f>
        <v>0</v>
      </c>
      <c r="BI980" s="28">
        <f>F980*AP980</f>
        <v>0</v>
      </c>
      <c r="BJ980" s="28">
        <f>F980*G980</f>
        <v>0</v>
      </c>
      <c r="BK980" s="28"/>
      <c r="BL980" s="28">
        <v>18</v>
      </c>
      <c r="BW980" s="28">
        <v>21</v>
      </c>
      <c r="BX980" s="4" t="s">
        <v>1741</v>
      </c>
    </row>
    <row r="981" spans="1:76" ht="14.4" x14ac:dyDescent="0.3">
      <c r="A981" s="31"/>
      <c r="C981" s="32" t="s">
        <v>1742</v>
      </c>
      <c r="D981" s="32" t="s">
        <v>51</v>
      </c>
      <c r="F981" s="33">
        <v>2</v>
      </c>
      <c r="K981" s="34"/>
    </row>
    <row r="982" spans="1:76" ht="14.4" x14ac:dyDescent="0.3">
      <c r="A982" s="2" t="s">
        <v>1743</v>
      </c>
      <c r="B982" s="3" t="s">
        <v>1744</v>
      </c>
      <c r="C982" s="75" t="s">
        <v>1745</v>
      </c>
      <c r="D982" s="70"/>
      <c r="E982" s="3" t="s">
        <v>103</v>
      </c>
      <c r="F982" s="28">
        <v>405</v>
      </c>
      <c r="G982" s="28">
        <v>0</v>
      </c>
      <c r="H982" s="28">
        <f>ROUND(F982*AO982,2)</f>
        <v>0</v>
      </c>
      <c r="I982" s="28">
        <f>ROUND(F982*AP982,2)</f>
        <v>0</v>
      </c>
      <c r="J982" s="28">
        <f>ROUND(F982*G982,2)</f>
        <v>0</v>
      </c>
      <c r="K982" s="29" t="s">
        <v>60</v>
      </c>
      <c r="Z982" s="28">
        <f>ROUND(IF(AQ982="5",BJ982,0),2)</f>
        <v>0</v>
      </c>
      <c r="AB982" s="28">
        <f>ROUND(IF(AQ982="1",BH982,0),2)</f>
        <v>0</v>
      </c>
      <c r="AC982" s="28">
        <f>ROUND(IF(AQ982="1",BI982,0),2)</f>
        <v>0</v>
      </c>
      <c r="AD982" s="28">
        <f>ROUND(IF(AQ982="7",BH982,0),2)</f>
        <v>0</v>
      </c>
      <c r="AE982" s="28">
        <f>ROUND(IF(AQ982="7",BI982,0),2)</f>
        <v>0</v>
      </c>
      <c r="AF982" s="28">
        <f>ROUND(IF(AQ982="2",BH982,0),2)</f>
        <v>0</v>
      </c>
      <c r="AG982" s="28">
        <f>ROUND(IF(AQ982="2",BI982,0),2)</f>
        <v>0</v>
      </c>
      <c r="AH982" s="28">
        <f>ROUND(IF(AQ982="0",BJ982,0),2)</f>
        <v>0</v>
      </c>
      <c r="AI982" s="10" t="s">
        <v>1554</v>
      </c>
      <c r="AJ982" s="28">
        <f>IF(AN982=0,J982,0)</f>
        <v>0</v>
      </c>
      <c r="AK982" s="28">
        <f>IF(AN982=12,J982,0)</f>
        <v>0</v>
      </c>
      <c r="AL982" s="28">
        <f>IF(AN982=21,J982,0)</f>
        <v>0</v>
      </c>
      <c r="AN982" s="28">
        <v>21</v>
      </c>
      <c r="AO982" s="28">
        <f>G982*0</f>
        <v>0</v>
      </c>
      <c r="AP982" s="28">
        <f>G982*(1-0)</f>
        <v>0</v>
      </c>
      <c r="AQ982" s="30" t="s">
        <v>56</v>
      </c>
      <c r="AV982" s="28">
        <f>ROUND(AW982+AX982,2)</f>
        <v>0</v>
      </c>
      <c r="AW982" s="28">
        <f>ROUND(F982*AO982,2)</f>
        <v>0</v>
      </c>
      <c r="AX982" s="28">
        <f>ROUND(F982*AP982,2)</f>
        <v>0</v>
      </c>
      <c r="AY982" s="30" t="s">
        <v>195</v>
      </c>
      <c r="AZ982" s="30" t="s">
        <v>1591</v>
      </c>
      <c r="BA982" s="10" t="s">
        <v>1561</v>
      </c>
      <c r="BC982" s="28">
        <f>AW982+AX982</f>
        <v>0</v>
      </c>
      <c r="BD982" s="28">
        <f>G982/(100-BE982)*100</f>
        <v>0</v>
      </c>
      <c r="BE982" s="28">
        <v>0</v>
      </c>
      <c r="BF982" s="28">
        <f>982</f>
        <v>982</v>
      </c>
      <c r="BH982" s="28">
        <f>F982*AO982</f>
        <v>0</v>
      </c>
      <c r="BI982" s="28">
        <f>F982*AP982</f>
        <v>0</v>
      </c>
      <c r="BJ982" s="28">
        <f>F982*G982</f>
        <v>0</v>
      </c>
      <c r="BK982" s="28"/>
      <c r="BL982" s="28">
        <v>18</v>
      </c>
      <c r="BW982" s="28">
        <v>21</v>
      </c>
      <c r="BX982" s="4" t="s">
        <v>1745</v>
      </c>
    </row>
    <row r="983" spans="1:76" ht="14.4" x14ac:dyDescent="0.3">
      <c r="A983" s="31"/>
      <c r="B983" s="35" t="s">
        <v>68</v>
      </c>
      <c r="C983" s="93" t="s">
        <v>1746</v>
      </c>
      <c r="D983" s="94"/>
      <c r="E983" s="94"/>
      <c r="F983" s="94"/>
      <c r="G983" s="94"/>
      <c r="H983" s="94"/>
      <c r="I983" s="94"/>
      <c r="J983" s="94"/>
      <c r="K983" s="95"/>
      <c r="BX983" s="36" t="s">
        <v>1746</v>
      </c>
    </row>
    <row r="984" spans="1:76" ht="14.4" x14ac:dyDescent="0.3">
      <c r="A984" s="2" t="s">
        <v>1747</v>
      </c>
      <c r="B984" s="3" t="s">
        <v>1748</v>
      </c>
      <c r="C984" s="75" t="s">
        <v>1749</v>
      </c>
      <c r="D984" s="70"/>
      <c r="E984" s="3" t="s">
        <v>103</v>
      </c>
      <c r="F984" s="28">
        <v>618</v>
      </c>
      <c r="G984" s="28">
        <v>0</v>
      </c>
      <c r="H984" s="28">
        <f>ROUND(F984*AO984,2)</f>
        <v>0</v>
      </c>
      <c r="I984" s="28">
        <f>ROUND(F984*AP984,2)</f>
        <v>0</v>
      </c>
      <c r="J984" s="28">
        <f>ROUND(F984*G984,2)</f>
        <v>0</v>
      </c>
      <c r="K984" s="29" t="s">
        <v>60</v>
      </c>
      <c r="Z984" s="28">
        <f>ROUND(IF(AQ984="5",BJ984,0),2)</f>
        <v>0</v>
      </c>
      <c r="AB984" s="28">
        <f>ROUND(IF(AQ984="1",BH984,0),2)</f>
        <v>0</v>
      </c>
      <c r="AC984" s="28">
        <f>ROUND(IF(AQ984="1",BI984,0),2)</f>
        <v>0</v>
      </c>
      <c r="AD984" s="28">
        <f>ROUND(IF(AQ984="7",BH984,0),2)</f>
        <v>0</v>
      </c>
      <c r="AE984" s="28">
        <f>ROUND(IF(AQ984="7",BI984,0),2)</f>
        <v>0</v>
      </c>
      <c r="AF984" s="28">
        <f>ROUND(IF(AQ984="2",BH984,0),2)</f>
        <v>0</v>
      </c>
      <c r="AG984" s="28">
        <f>ROUND(IF(AQ984="2",BI984,0),2)</f>
        <v>0</v>
      </c>
      <c r="AH984" s="28">
        <f>ROUND(IF(AQ984="0",BJ984,0),2)</f>
        <v>0</v>
      </c>
      <c r="AI984" s="10" t="s">
        <v>1554</v>
      </c>
      <c r="AJ984" s="28">
        <f>IF(AN984=0,J984,0)</f>
        <v>0</v>
      </c>
      <c r="AK984" s="28">
        <f>IF(AN984=12,J984,0)</f>
        <v>0</v>
      </c>
      <c r="AL984" s="28">
        <f>IF(AN984=21,J984,0)</f>
        <v>0</v>
      </c>
      <c r="AN984" s="28">
        <v>21</v>
      </c>
      <c r="AO984" s="28">
        <f>G984*0</f>
        <v>0</v>
      </c>
      <c r="AP984" s="28">
        <f>G984*(1-0)</f>
        <v>0</v>
      </c>
      <c r="AQ984" s="30" t="s">
        <v>56</v>
      </c>
      <c r="AV984" s="28">
        <f>ROUND(AW984+AX984,2)</f>
        <v>0</v>
      </c>
      <c r="AW984" s="28">
        <f>ROUND(F984*AO984,2)</f>
        <v>0</v>
      </c>
      <c r="AX984" s="28">
        <f>ROUND(F984*AP984,2)</f>
        <v>0</v>
      </c>
      <c r="AY984" s="30" t="s">
        <v>195</v>
      </c>
      <c r="AZ984" s="30" t="s">
        <v>1591</v>
      </c>
      <c r="BA984" s="10" t="s">
        <v>1561</v>
      </c>
      <c r="BC984" s="28">
        <f>AW984+AX984</f>
        <v>0</v>
      </c>
      <c r="BD984" s="28">
        <f>G984/(100-BE984)*100</f>
        <v>0</v>
      </c>
      <c r="BE984" s="28">
        <v>0</v>
      </c>
      <c r="BF984" s="28">
        <f>984</f>
        <v>984</v>
      </c>
      <c r="BH984" s="28">
        <f>F984*AO984</f>
        <v>0</v>
      </c>
      <c r="BI984" s="28">
        <f>F984*AP984</f>
        <v>0</v>
      </c>
      <c r="BJ984" s="28">
        <f>F984*G984</f>
        <v>0</v>
      </c>
      <c r="BK984" s="28"/>
      <c r="BL984" s="28">
        <v>18</v>
      </c>
      <c r="BW984" s="28">
        <v>21</v>
      </c>
      <c r="BX984" s="4" t="s">
        <v>1749</v>
      </c>
    </row>
    <row r="985" spans="1:76" ht="14.4" x14ac:dyDescent="0.3">
      <c r="A985" s="31"/>
      <c r="C985" s="32" t="s">
        <v>135</v>
      </c>
      <c r="D985" s="32" t="s">
        <v>1750</v>
      </c>
      <c r="F985" s="33">
        <v>10</v>
      </c>
      <c r="K985" s="34"/>
    </row>
    <row r="986" spans="1:76" ht="14.4" x14ac:dyDescent="0.3">
      <c r="A986" s="31"/>
      <c r="C986" s="32" t="s">
        <v>1751</v>
      </c>
      <c r="D986" s="32" t="s">
        <v>1752</v>
      </c>
      <c r="F986" s="33">
        <v>440</v>
      </c>
      <c r="K986" s="34"/>
    </row>
    <row r="987" spans="1:76" ht="14.4" x14ac:dyDescent="0.3">
      <c r="A987" s="31"/>
      <c r="C987" s="32" t="s">
        <v>939</v>
      </c>
      <c r="D987" s="32" t="s">
        <v>1753</v>
      </c>
      <c r="F987" s="33">
        <v>168</v>
      </c>
      <c r="K987" s="34"/>
    </row>
    <row r="988" spans="1:76" ht="14.4" x14ac:dyDescent="0.3">
      <c r="A988" s="31"/>
      <c r="B988" s="35" t="s">
        <v>68</v>
      </c>
      <c r="C988" s="93" t="s">
        <v>1746</v>
      </c>
      <c r="D988" s="94"/>
      <c r="E988" s="94"/>
      <c r="F988" s="94"/>
      <c r="G988" s="94"/>
      <c r="H988" s="94"/>
      <c r="I988" s="94"/>
      <c r="J988" s="94"/>
      <c r="K988" s="95"/>
      <c r="BX988" s="36" t="s">
        <v>1746</v>
      </c>
    </row>
    <row r="989" spans="1:76" ht="14.4" x14ac:dyDescent="0.3">
      <c r="A989" s="2" t="s">
        <v>1754</v>
      </c>
      <c r="B989" s="3" t="s">
        <v>961</v>
      </c>
      <c r="C989" s="75" t="s">
        <v>962</v>
      </c>
      <c r="D989" s="70"/>
      <c r="E989" s="3" t="s">
        <v>59</v>
      </c>
      <c r="F989" s="28">
        <v>206.39</v>
      </c>
      <c r="G989" s="28">
        <v>0</v>
      </c>
      <c r="H989" s="28">
        <f>ROUND(F989*AO989,2)</f>
        <v>0</v>
      </c>
      <c r="I989" s="28">
        <f>ROUND(F989*AP989,2)</f>
        <v>0</v>
      </c>
      <c r="J989" s="28">
        <f>ROUND(F989*G989,2)</f>
        <v>0</v>
      </c>
      <c r="K989" s="29" t="s">
        <v>60</v>
      </c>
      <c r="Z989" s="28">
        <f>ROUND(IF(AQ989="5",BJ989,0),2)</f>
        <v>0</v>
      </c>
      <c r="AB989" s="28">
        <f>ROUND(IF(AQ989="1",BH989,0),2)</f>
        <v>0</v>
      </c>
      <c r="AC989" s="28">
        <f>ROUND(IF(AQ989="1",BI989,0),2)</f>
        <v>0</v>
      </c>
      <c r="AD989" s="28">
        <f>ROUND(IF(AQ989="7",BH989,0),2)</f>
        <v>0</v>
      </c>
      <c r="AE989" s="28">
        <f>ROUND(IF(AQ989="7",BI989,0),2)</f>
        <v>0</v>
      </c>
      <c r="AF989" s="28">
        <f>ROUND(IF(AQ989="2",BH989,0),2)</f>
        <v>0</v>
      </c>
      <c r="AG989" s="28">
        <f>ROUND(IF(AQ989="2",BI989,0),2)</f>
        <v>0</v>
      </c>
      <c r="AH989" s="28">
        <f>ROUND(IF(AQ989="0",BJ989,0),2)</f>
        <v>0</v>
      </c>
      <c r="AI989" s="10" t="s">
        <v>1554</v>
      </c>
      <c r="AJ989" s="28">
        <f>IF(AN989=0,J989,0)</f>
        <v>0</v>
      </c>
      <c r="AK989" s="28">
        <f>IF(AN989=12,J989,0)</f>
        <v>0</v>
      </c>
      <c r="AL989" s="28">
        <f>IF(AN989=21,J989,0)</f>
        <v>0</v>
      </c>
      <c r="AN989" s="28">
        <v>21</v>
      </c>
      <c r="AO989" s="28">
        <f>G989*1</f>
        <v>0</v>
      </c>
      <c r="AP989" s="28">
        <f>G989*(1-1)</f>
        <v>0</v>
      </c>
      <c r="AQ989" s="30" t="s">
        <v>56</v>
      </c>
      <c r="AV989" s="28">
        <f>ROUND(AW989+AX989,2)</f>
        <v>0</v>
      </c>
      <c r="AW989" s="28">
        <f>ROUND(F989*AO989,2)</f>
        <v>0</v>
      </c>
      <c r="AX989" s="28">
        <f>ROUND(F989*AP989,2)</f>
        <v>0</v>
      </c>
      <c r="AY989" s="30" t="s">
        <v>195</v>
      </c>
      <c r="AZ989" s="30" t="s">
        <v>1591</v>
      </c>
      <c r="BA989" s="10" t="s">
        <v>1561</v>
      </c>
      <c r="BC989" s="28">
        <f>AW989+AX989</f>
        <v>0</v>
      </c>
      <c r="BD989" s="28">
        <f>G989/(100-BE989)*100</f>
        <v>0</v>
      </c>
      <c r="BE989" s="28">
        <v>0</v>
      </c>
      <c r="BF989" s="28">
        <f>989</f>
        <v>989</v>
      </c>
      <c r="BH989" s="28">
        <f>F989*AO989</f>
        <v>0</v>
      </c>
      <c r="BI989" s="28">
        <f>F989*AP989</f>
        <v>0</v>
      </c>
      <c r="BJ989" s="28">
        <f>F989*G989</f>
        <v>0</v>
      </c>
      <c r="BK989" s="28"/>
      <c r="BL989" s="28">
        <v>18</v>
      </c>
      <c r="BW989" s="28">
        <v>21</v>
      </c>
      <c r="BX989" s="4" t="s">
        <v>962</v>
      </c>
    </row>
    <row r="990" spans="1:76" ht="14.4" x14ac:dyDescent="0.3">
      <c r="A990" s="31"/>
      <c r="C990" s="32" t="s">
        <v>1755</v>
      </c>
      <c r="D990" s="32" t="s">
        <v>1756</v>
      </c>
      <c r="F990" s="33">
        <v>111.24</v>
      </c>
      <c r="K990" s="34"/>
    </row>
    <row r="991" spans="1:76" ht="14.4" x14ac:dyDescent="0.3">
      <c r="A991" s="31"/>
      <c r="C991" s="32" t="s">
        <v>1757</v>
      </c>
      <c r="D991" s="32" t="s">
        <v>1758</v>
      </c>
      <c r="F991" s="33">
        <v>60.75</v>
      </c>
      <c r="K991" s="34"/>
    </row>
    <row r="992" spans="1:76" ht="14.4" x14ac:dyDescent="0.3">
      <c r="A992" s="31"/>
      <c r="C992" s="32" t="s">
        <v>1759</v>
      </c>
      <c r="D992" s="32" t="s">
        <v>51</v>
      </c>
      <c r="F992" s="33">
        <v>34.4</v>
      </c>
      <c r="K992" s="34"/>
    </row>
    <row r="993" spans="1:76" ht="66" x14ac:dyDescent="0.3">
      <c r="A993" s="31"/>
      <c r="B993" s="35" t="s">
        <v>68</v>
      </c>
      <c r="C993" s="93" t="s">
        <v>963</v>
      </c>
      <c r="D993" s="94"/>
      <c r="E993" s="94"/>
      <c r="F993" s="94"/>
      <c r="G993" s="94"/>
      <c r="H993" s="94"/>
      <c r="I993" s="94"/>
      <c r="J993" s="94"/>
      <c r="K993" s="95"/>
      <c r="BX993" s="36" t="s">
        <v>963</v>
      </c>
    </row>
    <row r="994" spans="1:76" ht="14.4" x14ac:dyDescent="0.3">
      <c r="A994" s="2" t="s">
        <v>1760</v>
      </c>
      <c r="B994" s="3" t="s">
        <v>1761</v>
      </c>
      <c r="C994" s="75" t="s">
        <v>1762</v>
      </c>
      <c r="D994" s="70"/>
      <c r="E994" s="3" t="s">
        <v>201</v>
      </c>
      <c r="F994" s="28">
        <v>0.71</v>
      </c>
      <c r="G994" s="28">
        <v>0</v>
      </c>
      <c r="H994" s="28">
        <f>ROUND(F994*AO994,2)</f>
        <v>0</v>
      </c>
      <c r="I994" s="28">
        <f>ROUND(F994*AP994,2)</f>
        <v>0</v>
      </c>
      <c r="J994" s="28">
        <f>ROUND(F994*G994,2)</f>
        <v>0</v>
      </c>
      <c r="K994" s="29" t="s">
        <v>60</v>
      </c>
      <c r="Z994" s="28">
        <f>ROUND(IF(AQ994="5",BJ994,0),2)</f>
        <v>0</v>
      </c>
      <c r="AB994" s="28">
        <f>ROUND(IF(AQ994="1",BH994,0),2)</f>
        <v>0</v>
      </c>
      <c r="AC994" s="28">
        <f>ROUND(IF(AQ994="1",BI994,0),2)</f>
        <v>0</v>
      </c>
      <c r="AD994" s="28">
        <f>ROUND(IF(AQ994="7",BH994,0),2)</f>
        <v>0</v>
      </c>
      <c r="AE994" s="28">
        <f>ROUND(IF(AQ994="7",BI994,0),2)</f>
        <v>0</v>
      </c>
      <c r="AF994" s="28">
        <f>ROUND(IF(AQ994="2",BH994,0),2)</f>
        <v>0</v>
      </c>
      <c r="AG994" s="28">
        <f>ROUND(IF(AQ994="2",BI994,0),2)</f>
        <v>0</v>
      </c>
      <c r="AH994" s="28">
        <f>ROUND(IF(AQ994="0",BJ994,0),2)</f>
        <v>0</v>
      </c>
      <c r="AI994" s="10" t="s">
        <v>1554</v>
      </c>
      <c r="AJ994" s="28">
        <f>IF(AN994=0,J994,0)</f>
        <v>0</v>
      </c>
      <c r="AK994" s="28">
        <f>IF(AN994=12,J994,0)</f>
        <v>0</v>
      </c>
      <c r="AL994" s="28">
        <f>IF(AN994=21,J994,0)</f>
        <v>0</v>
      </c>
      <c r="AN994" s="28">
        <v>21</v>
      </c>
      <c r="AO994" s="28">
        <f>G994*0</f>
        <v>0</v>
      </c>
      <c r="AP994" s="28">
        <f>G994*(1-0)</f>
        <v>0</v>
      </c>
      <c r="AQ994" s="30" t="s">
        <v>56</v>
      </c>
      <c r="AV994" s="28">
        <f>ROUND(AW994+AX994,2)</f>
        <v>0</v>
      </c>
      <c r="AW994" s="28">
        <f>ROUND(F994*AO994,2)</f>
        <v>0</v>
      </c>
      <c r="AX994" s="28">
        <f>ROUND(F994*AP994,2)</f>
        <v>0</v>
      </c>
      <c r="AY994" s="30" t="s">
        <v>195</v>
      </c>
      <c r="AZ994" s="30" t="s">
        <v>1591</v>
      </c>
      <c r="BA994" s="10" t="s">
        <v>1561</v>
      </c>
      <c r="BC994" s="28">
        <f>AW994+AX994</f>
        <v>0</v>
      </c>
      <c r="BD994" s="28">
        <f>G994/(100-BE994)*100</f>
        <v>0</v>
      </c>
      <c r="BE994" s="28">
        <v>0</v>
      </c>
      <c r="BF994" s="28">
        <f>994</f>
        <v>994</v>
      </c>
      <c r="BH994" s="28">
        <f>F994*AO994</f>
        <v>0</v>
      </c>
      <c r="BI994" s="28">
        <f>F994*AP994</f>
        <v>0</v>
      </c>
      <c r="BJ994" s="28">
        <f>F994*G994</f>
        <v>0</v>
      </c>
      <c r="BK994" s="28"/>
      <c r="BL994" s="28">
        <v>18</v>
      </c>
      <c r="BW994" s="28">
        <v>21</v>
      </c>
      <c r="BX994" s="4" t="s">
        <v>1762</v>
      </c>
    </row>
    <row r="995" spans="1:76" ht="14.4" x14ac:dyDescent="0.3">
      <c r="A995" s="31"/>
      <c r="C995" s="32" t="s">
        <v>1763</v>
      </c>
      <c r="D995" s="32" t="s">
        <v>1764</v>
      </c>
      <c r="F995" s="33">
        <v>0.02</v>
      </c>
      <c r="K995" s="34"/>
    </row>
    <row r="996" spans="1:76" ht="14.4" x14ac:dyDescent="0.3">
      <c r="A996" s="31"/>
      <c r="C996" s="32" t="s">
        <v>1765</v>
      </c>
      <c r="D996" s="32" t="s">
        <v>1766</v>
      </c>
      <c r="F996" s="33">
        <v>0.62</v>
      </c>
      <c r="K996" s="34"/>
    </row>
    <row r="997" spans="1:76" ht="14.4" x14ac:dyDescent="0.3">
      <c r="A997" s="31"/>
      <c r="C997" s="32" t="s">
        <v>1767</v>
      </c>
      <c r="D997" s="32" t="s">
        <v>1768</v>
      </c>
      <c r="F997" s="33">
        <v>7.0000000000000007E-2</v>
      </c>
      <c r="K997" s="34"/>
    </row>
    <row r="998" spans="1:76" ht="14.4" x14ac:dyDescent="0.3">
      <c r="A998" s="2" t="s">
        <v>1769</v>
      </c>
      <c r="B998" s="3" t="s">
        <v>1770</v>
      </c>
      <c r="C998" s="75" t="s">
        <v>1771</v>
      </c>
      <c r="D998" s="70"/>
      <c r="E998" s="3" t="s">
        <v>1306</v>
      </c>
      <c r="F998" s="28">
        <v>90.3</v>
      </c>
      <c r="G998" s="28">
        <v>0</v>
      </c>
      <c r="H998" s="28">
        <f>ROUND(F998*AO998,2)</f>
        <v>0</v>
      </c>
      <c r="I998" s="28">
        <f>ROUND(F998*AP998,2)</f>
        <v>0</v>
      </c>
      <c r="J998" s="28">
        <f>ROUND(F998*G998,2)</f>
        <v>0</v>
      </c>
      <c r="K998" s="29" t="s">
        <v>60</v>
      </c>
      <c r="Z998" s="28">
        <f>ROUND(IF(AQ998="5",BJ998,0),2)</f>
        <v>0</v>
      </c>
      <c r="AB998" s="28">
        <f>ROUND(IF(AQ998="1",BH998,0),2)</f>
        <v>0</v>
      </c>
      <c r="AC998" s="28">
        <f>ROUND(IF(AQ998="1",BI998,0),2)</f>
        <v>0</v>
      </c>
      <c r="AD998" s="28">
        <f>ROUND(IF(AQ998="7",BH998,0),2)</f>
        <v>0</v>
      </c>
      <c r="AE998" s="28">
        <f>ROUND(IF(AQ998="7",BI998,0),2)</f>
        <v>0</v>
      </c>
      <c r="AF998" s="28">
        <f>ROUND(IF(AQ998="2",BH998,0),2)</f>
        <v>0</v>
      </c>
      <c r="AG998" s="28">
        <f>ROUND(IF(AQ998="2",BI998,0),2)</f>
        <v>0</v>
      </c>
      <c r="AH998" s="28">
        <f>ROUND(IF(AQ998="0",BJ998,0),2)</f>
        <v>0</v>
      </c>
      <c r="AI998" s="10" t="s">
        <v>1554</v>
      </c>
      <c r="AJ998" s="28">
        <f>IF(AN998=0,J998,0)</f>
        <v>0</v>
      </c>
      <c r="AK998" s="28">
        <f>IF(AN998=12,J998,0)</f>
        <v>0</v>
      </c>
      <c r="AL998" s="28">
        <f>IF(AN998=21,J998,0)</f>
        <v>0</v>
      </c>
      <c r="AN998" s="28">
        <v>21</v>
      </c>
      <c r="AO998" s="28">
        <f>G998*1</f>
        <v>0</v>
      </c>
      <c r="AP998" s="28">
        <f>G998*(1-1)</f>
        <v>0</v>
      </c>
      <c r="AQ998" s="30" t="s">
        <v>56</v>
      </c>
      <c r="AV998" s="28">
        <f>ROUND(AW998+AX998,2)</f>
        <v>0</v>
      </c>
      <c r="AW998" s="28">
        <f>ROUND(F998*AO998,2)</f>
        <v>0</v>
      </c>
      <c r="AX998" s="28">
        <f>ROUND(F998*AP998,2)</f>
        <v>0</v>
      </c>
      <c r="AY998" s="30" t="s">
        <v>195</v>
      </c>
      <c r="AZ998" s="30" t="s">
        <v>1591</v>
      </c>
      <c r="BA998" s="10" t="s">
        <v>1561</v>
      </c>
      <c r="BC998" s="28">
        <f>AW998+AX998</f>
        <v>0</v>
      </c>
      <c r="BD998" s="28">
        <f>G998/(100-BE998)*100</f>
        <v>0</v>
      </c>
      <c r="BE998" s="28">
        <v>0</v>
      </c>
      <c r="BF998" s="28">
        <f>998</f>
        <v>998</v>
      </c>
      <c r="BH998" s="28">
        <f>F998*AO998</f>
        <v>0</v>
      </c>
      <c r="BI998" s="28">
        <f>F998*AP998</f>
        <v>0</v>
      </c>
      <c r="BJ998" s="28">
        <f>F998*G998</f>
        <v>0</v>
      </c>
      <c r="BK998" s="28"/>
      <c r="BL998" s="28">
        <v>18</v>
      </c>
      <c r="BW998" s="28">
        <v>21</v>
      </c>
      <c r="BX998" s="4" t="s">
        <v>1771</v>
      </c>
    </row>
    <row r="999" spans="1:76" ht="14.4" x14ac:dyDescent="0.3">
      <c r="A999" s="31"/>
      <c r="C999" s="32" t="s">
        <v>1772</v>
      </c>
      <c r="D999" s="32" t="s">
        <v>1764</v>
      </c>
      <c r="F999" s="33">
        <v>21</v>
      </c>
      <c r="K999" s="34"/>
    </row>
    <row r="1000" spans="1:76" ht="14.4" x14ac:dyDescent="0.3">
      <c r="A1000" s="31"/>
      <c r="C1000" s="32" t="s">
        <v>1773</v>
      </c>
      <c r="D1000" s="32" t="s">
        <v>1774</v>
      </c>
      <c r="F1000" s="33">
        <v>62.4</v>
      </c>
      <c r="K1000" s="34"/>
    </row>
    <row r="1001" spans="1:76" ht="14.4" x14ac:dyDescent="0.3">
      <c r="A1001" s="31"/>
      <c r="C1001" s="32" t="s">
        <v>1775</v>
      </c>
      <c r="D1001" s="32" t="s">
        <v>1776</v>
      </c>
      <c r="F1001" s="33">
        <v>6.9</v>
      </c>
      <c r="K1001" s="34"/>
    </row>
    <row r="1002" spans="1:76" ht="52.8" x14ac:dyDescent="0.3">
      <c r="A1002" s="31"/>
      <c r="B1002" s="35" t="s">
        <v>68</v>
      </c>
      <c r="C1002" s="93" t="s">
        <v>1777</v>
      </c>
      <c r="D1002" s="94"/>
      <c r="E1002" s="94"/>
      <c r="F1002" s="94"/>
      <c r="G1002" s="94"/>
      <c r="H1002" s="94"/>
      <c r="I1002" s="94"/>
      <c r="J1002" s="94"/>
      <c r="K1002" s="95"/>
      <c r="BX1002" s="36" t="s">
        <v>1777</v>
      </c>
    </row>
    <row r="1003" spans="1:76" ht="14.4" x14ac:dyDescent="0.3">
      <c r="A1003" s="2" t="s">
        <v>1778</v>
      </c>
      <c r="B1003" s="3" t="s">
        <v>1779</v>
      </c>
      <c r="C1003" s="75" t="s">
        <v>1780</v>
      </c>
      <c r="D1003" s="70"/>
      <c r="E1003" s="3" t="s">
        <v>59</v>
      </c>
      <c r="F1003" s="28">
        <v>63.55</v>
      </c>
      <c r="G1003" s="28">
        <v>0</v>
      </c>
      <c r="H1003" s="28">
        <f>ROUND(F1003*AO1003,2)</f>
        <v>0</v>
      </c>
      <c r="I1003" s="28">
        <f>ROUND(F1003*AP1003,2)</f>
        <v>0</v>
      </c>
      <c r="J1003" s="28">
        <f>ROUND(F1003*G1003,2)</f>
        <v>0</v>
      </c>
      <c r="K1003" s="29" t="s">
        <v>60</v>
      </c>
      <c r="Z1003" s="28">
        <f>ROUND(IF(AQ1003="5",BJ1003,0),2)</f>
        <v>0</v>
      </c>
      <c r="AB1003" s="28">
        <f>ROUND(IF(AQ1003="1",BH1003,0),2)</f>
        <v>0</v>
      </c>
      <c r="AC1003" s="28">
        <f>ROUND(IF(AQ1003="1",BI1003,0),2)</f>
        <v>0</v>
      </c>
      <c r="AD1003" s="28">
        <f>ROUND(IF(AQ1003="7",BH1003,0),2)</f>
        <v>0</v>
      </c>
      <c r="AE1003" s="28">
        <f>ROUND(IF(AQ1003="7",BI1003,0),2)</f>
        <v>0</v>
      </c>
      <c r="AF1003" s="28">
        <f>ROUND(IF(AQ1003="2",BH1003,0),2)</f>
        <v>0</v>
      </c>
      <c r="AG1003" s="28">
        <f>ROUND(IF(AQ1003="2",BI1003,0),2)</f>
        <v>0</v>
      </c>
      <c r="AH1003" s="28">
        <f>ROUND(IF(AQ1003="0",BJ1003,0),2)</f>
        <v>0</v>
      </c>
      <c r="AI1003" s="10" t="s">
        <v>1554</v>
      </c>
      <c r="AJ1003" s="28">
        <f>IF(AN1003=0,J1003,0)</f>
        <v>0</v>
      </c>
      <c r="AK1003" s="28">
        <f>IF(AN1003=12,J1003,0)</f>
        <v>0</v>
      </c>
      <c r="AL1003" s="28">
        <f>IF(AN1003=21,J1003,0)</f>
        <v>0</v>
      </c>
      <c r="AN1003" s="28">
        <v>21</v>
      </c>
      <c r="AO1003" s="28">
        <f>G1003*0.089629426</f>
        <v>0</v>
      </c>
      <c r="AP1003" s="28">
        <f>G1003*(1-0.089629426)</f>
        <v>0</v>
      </c>
      <c r="AQ1003" s="30" t="s">
        <v>56</v>
      </c>
      <c r="AV1003" s="28">
        <f>ROUND(AW1003+AX1003,2)</f>
        <v>0</v>
      </c>
      <c r="AW1003" s="28">
        <f>ROUND(F1003*AO1003,2)</f>
        <v>0</v>
      </c>
      <c r="AX1003" s="28">
        <f>ROUND(F1003*AP1003,2)</f>
        <v>0</v>
      </c>
      <c r="AY1003" s="30" t="s">
        <v>195</v>
      </c>
      <c r="AZ1003" s="30" t="s">
        <v>1591</v>
      </c>
      <c r="BA1003" s="10" t="s">
        <v>1561</v>
      </c>
      <c r="BC1003" s="28">
        <f>AW1003+AX1003</f>
        <v>0</v>
      </c>
      <c r="BD1003" s="28">
        <f>G1003/(100-BE1003)*100</f>
        <v>0</v>
      </c>
      <c r="BE1003" s="28">
        <v>0</v>
      </c>
      <c r="BF1003" s="28">
        <f>1003</f>
        <v>1003</v>
      </c>
      <c r="BH1003" s="28">
        <f>F1003*AO1003</f>
        <v>0</v>
      </c>
      <c r="BI1003" s="28">
        <f>F1003*AP1003</f>
        <v>0</v>
      </c>
      <c r="BJ1003" s="28">
        <f>F1003*G1003</f>
        <v>0</v>
      </c>
      <c r="BK1003" s="28"/>
      <c r="BL1003" s="28">
        <v>18</v>
      </c>
      <c r="BW1003" s="28">
        <v>21</v>
      </c>
      <c r="BX1003" s="4" t="s">
        <v>1780</v>
      </c>
    </row>
    <row r="1004" spans="1:76" ht="13.5" customHeight="1" x14ac:dyDescent="0.3">
      <c r="A1004" s="31"/>
      <c r="B1004" s="35" t="s">
        <v>105</v>
      </c>
      <c r="C1004" s="96" t="s">
        <v>1781</v>
      </c>
      <c r="D1004" s="97"/>
      <c r="E1004" s="97"/>
      <c r="F1004" s="97"/>
      <c r="G1004" s="97"/>
      <c r="H1004" s="97"/>
      <c r="I1004" s="97"/>
      <c r="J1004" s="97"/>
      <c r="K1004" s="98"/>
    </row>
    <row r="1005" spans="1:76" ht="14.4" x14ac:dyDescent="0.3">
      <c r="A1005" s="31"/>
      <c r="C1005" s="32" t="s">
        <v>1782</v>
      </c>
      <c r="D1005" s="32" t="s">
        <v>1764</v>
      </c>
      <c r="F1005" s="33">
        <v>2.1</v>
      </c>
      <c r="K1005" s="34"/>
    </row>
    <row r="1006" spans="1:76" ht="14.4" x14ac:dyDescent="0.3">
      <c r="A1006" s="31"/>
      <c r="C1006" s="32" t="s">
        <v>1783</v>
      </c>
      <c r="D1006" s="32" t="s">
        <v>1784</v>
      </c>
      <c r="F1006" s="33">
        <v>17.25</v>
      </c>
      <c r="K1006" s="34"/>
    </row>
    <row r="1007" spans="1:76" ht="14.4" x14ac:dyDescent="0.3">
      <c r="A1007" s="31"/>
      <c r="C1007" s="32" t="s">
        <v>1785</v>
      </c>
      <c r="D1007" s="32" t="s">
        <v>1774</v>
      </c>
      <c r="F1007" s="33">
        <v>31.2</v>
      </c>
      <c r="K1007" s="34"/>
    </row>
    <row r="1008" spans="1:76" ht="14.4" x14ac:dyDescent="0.3">
      <c r="A1008" s="31"/>
      <c r="C1008" s="32" t="s">
        <v>1786</v>
      </c>
      <c r="D1008" s="32" t="s">
        <v>1603</v>
      </c>
      <c r="F1008" s="33">
        <v>13</v>
      </c>
      <c r="K1008" s="34"/>
    </row>
    <row r="1009" spans="1:76" ht="14.4" x14ac:dyDescent="0.3">
      <c r="A1009" s="2" t="s">
        <v>1787</v>
      </c>
      <c r="B1009" s="3" t="s">
        <v>1788</v>
      </c>
      <c r="C1009" s="75" t="s">
        <v>1789</v>
      </c>
      <c r="D1009" s="70"/>
      <c r="E1009" s="3" t="s">
        <v>59</v>
      </c>
      <c r="F1009" s="28">
        <v>64</v>
      </c>
      <c r="G1009" s="28">
        <v>0</v>
      </c>
      <c r="H1009" s="28">
        <f>ROUND(F1009*AO1009,2)</f>
        <v>0</v>
      </c>
      <c r="I1009" s="28">
        <f>ROUND(F1009*AP1009,2)</f>
        <v>0</v>
      </c>
      <c r="J1009" s="28">
        <f>ROUND(F1009*G1009,2)</f>
        <v>0</v>
      </c>
      <c r="K1009" s="29" t="s">
        <v>60</v>
      </c>
      <c r="Z1009" s="28">
        <f>ROUND(IF(AQ1009="5",BJ1009,0),2)</f>
        <v>0</v>
      </c>
      <c r="AB1009" s="28">
        <f>ROUND(IF(AQ1009="1",BH1009,0),2)</f>
        <v>0</v>
      </c>
      <c r="AC1009" s="28">
        <f>ROUND(IF(AQ1009="1",BI1009,0),2)</f>
        <v>0</v>
      </c>
      <c r="AD1009" s="28">
        <f>ROUND(IF(AQ1009="7",BH1009,0),2)</f>
        <v>0</v>
      </c>
      <c r="AE1009" s="28">
        <f>ROUND(IF(AQ1009="7",BI1009,0),2)</f>
        <v>0</v>
      </c>
      <c r="AF1009" s="28">
        <f>ROUND(IF(AQ1009="2",BH1009,0),2)</f>
        <v>0</v>
      </c>
      <c r="AG1009" s="28">
        <f>ROUND(IF(AQ1009="2",BI1009,0),2)</f>
        <v>0</v>
      </c>
      <c r="AH1009" s="28">
        <f>ROUND(IF(AQ1009="0",BJ1009,0),2)</f>
        <v>0</v>
      </c>
      <c r="AI1009" s="10" t="s">
        <v>1554</v>
      </c>
      <c r="AJ1009" s="28">
        <f>IF(AN1009=0,J1009,0)</f>
        <v>0</v>
      </c>
      <c r="AK1009" s="28">
        <f>IF(AN1009=12,J1009,0)</f>
        <v>0</v>
      </c>
      <c r="AL1009" s="28">
        <f>IF(AN1009=21,J1009,0)</f>
        <v>0</v>
      </c>
      <c r="AN1009" s="28">
        <v>21</v>
      </c>
      <c r="AO1009" s="28">
        <f>G1009*0</f>
        <v>0</v>
      </c>
      <c r="AP1009" s="28">
        <f>G1009*(1-0)</f>
        <v>0</v>
      </c>
      <c r="AQ1009" s="30" t="s">
        <v>56</v>
      </c>
      <c r="AV1009" s="28">
        <f>ROUND(AW1009+AX1009,2)</f>
        <v>0</v>
      </c>
      <c r="AW1009" s="28">
        <f>ROUND(F1009*AO1009,2)</f>
        <v>0</v>
      </c>
      <c r="AX1009" s="28">
        <f>ROUND(F1009*AP1009,2)</f>
        <v>0</v>
      </c>
      <c r="AY1009" s="30" t="s">
        <v>195</v>
      </c>
      <c r="AZ1009" s="30" t="s">
        <v>1591</v>
      </c>
      <c r="BA1009" s="10" t="s">
        <v>1561</v>
      </c>
      <c r="BC1009" s="28">
        <f>AW1009+AX1009</f>
        <v>0</v>
      </c>
      <c r="BD1009" s="28">
        <f>G1009/(100-BE1009)*100</f>
        <v>0</v>
      </c>
      <c r="BE1009" s="28">
        <v>0</v>
      </c>
      <c r="BF1009" s="28">
        <f>1009</f>
        <v>1009</v>
      </c>
      <c r="BH1009" s="28">
        <f>F1009*AO1009</f>
        <v>0</v>
      </c>
      <c r="BI1009" s="28">
        <f>F1009*AP1009</f>
        <v>0</v>
      </c>
      <c r="BJ1009" s="28">
        <f>F1009*G1009</f>
        <v>0</v>
      </c>
      <c r="BK1009" s="28"/>
      <c r="BL1009" s="28">
        <v>18</v>
      </c>
      <c r="BW1009" s="28">
        <v>21</v>
      </c>
      <c r="BX1009" s="4" t="s">
        <v>1789</v>
      </c>
    </row>
    <row r="1010" spans="1:76" ht="14.4" x14ac:dyDescent="0.3">
      <c r="A1010" s="2" t="s">
        <v>1790</v>
      </c>
      <c r="B1010" s="3" t="s">
        <v>1779</v>
      </c>
      <c r="C1010" s="75" t="s">
        <v>1780</v>
      </c>
      <c r="D1010" s="70"/>
      <c r="E1010" s="3" t="s">
        <v>59</v>
      </c>
      <c r="F1010" s="28">
        <v>701.4</v>
      </c>
      <c r="G1010" s="28">
        <v>0</v>
      </c>
      <c r="H1010" s="28">
        <f>ROUND(F1010*AO1010,2)</f>
        <v>0</v>
      </c>
      <c r="I1010" s="28">
        <f>ROUND(F1010*AP1010,2)</f>
        <v>0</v>
      </c>
      <c r="J1010" s="28">
        <f>ROUND(F1010*G1010,2)</f>
        <v>0</v>
      </c>
      <c r="K1010" s="29" t="s">
        <v>60</v>
      </c>
      <c r="Z1010" s="28">
        <f>ROUND(IF(AQ1010="5",BJ1010,0),2)</f>
        <v>0</v>
      </c>
      <c r="AB1010" s="28">
        <f>ROUND(IF(AQ1010="1",BH1010,0),2)</f>
        <v>0</v>
      </c>
      <c r="AC1010" s="28">
        <f>ROUND(IF(AQ1010="1",BI1010,0),2)</f>
        <v>0</v>
      </c>
      <c r="AD1010" s="28">
        <f>ROUND(IF(AQ1010="7",BH1010,0),2)</f>
        <v>0</v>
      </c>
      <c r="AE1010" s="28">
        <f>ROUND(IF(AQ1010="7",BI1010,0),2)</f>
        <v>0</v>
      </c>
      <c r="AF1010" s="28">
        <f>ROUND(IF(AQ1010="2",BH1010,0),2)</f>
        <v>0</v>
      </c>
      <c r="AG1010" s="28">
        <f>ROUND(IF(AQ1010="2",BI1010,0),2)</f>
        <v>0</v>
      </c>
      <c r="AH1010" s="28">
        <f>ROUND(IF(AQ1010="0",BJ1010,0),2)</f>
        <v>0</v>
      </c>
      <c r="AI1010" s="10" t="s">
        <v>1554</v>
      </c>
      <c r="AJ1010" s="28">
        <f>IF(AN1010=0,J1010,0)</f>
        <v>0</v>
      </c>
      <c r="AK1010" s="28">
        <f>IF(AN1010=12,J1010,0)</f>
        <v>0</v>
      </c>
      <c r="AL1010" s="28">
        <f>IF(AN1010=21,J1010,0)</f>
        <v>0</v>
      </c>
      <c r="AN1010" s="28">
        <v>21</v>
      </c>
      <c r="AO1010" s="28">
        <f>G1010*0.089629376</f>
        <v>0</v>
      </c>
      <c r="AP1010" s="28">
        <f>G1010*(1-0.089629376)</f>
        <v>0</v>
      </c>
      <c r="AQ1010" s="30" t="s">
        <v>56</v>
      </c>
      <c r="AV1010" s="28">
        <f>ROUND(AW1010+AX1010,2)</f>
        <v>0</v>
      </c>
      <c r="AW1010" s="28">
        <f>ROUND(F1010*AO1010,2)</f>
        <v>0</v>
      </c>
      <c r="AX1010" s="28">
        <f>ROUND(F1010*AP1010,2)</f>
        <v>0</v>
      </c>
      <c r="AY1010" s="30" t="s">
        <v>195</v>
      </c>
      <c r="AZ1010" s="30" t="s">
        <v>1591</v>
      </c>
      <c r="BA1010" s="10" t="s">
        <v>1561</v>
      </c>
      <c r="BC1010" s="28">
        <f>AW1010+AX1010</f>
        <v>0</v>
      </c>
      <c r="BD1010" s="28">
        <f>G1010/(100-BE1010)*100</f>
        <v>0</v>
      </c>
      <c r="BE1010" s="28">
        <v>0</v>
      </c>
      <c r="BF1010" s="28">
        <f>1010</f>
        <v>1010</v>
      </c>
      <c r="BH1010" s="28">
        <f>F1010*AO1010</f>
        <v>0</v>
      </c>
      <c r="BI1010" s="28">
        <f>F1010*AP1010</f>
        <v>0</v>
      </c>
      <c r="BJ1010" s="28">
        <f>F1010*G1010</f>
        <v>0</v>
      </c>
      <c r="BK1010" s="28"/>
      <c r="BL1010" s="28">
        <v>18</v>
      </c>
      <c r="BW1010" s="28">
        <v>21</v>
      </c>
      <c r="BX1010" s="4" t="s">
        <v>1780</v>
      </c>
    </row>
    <row r="1011" spans="1:76" ht="14.4" x14ac:dyDescent="0.3">
      <c r="A1011" s="31"/>
      <c r="C1011" s="32" t="s">
        <v>1791</v>
      </c>
      <c r="D1011" s="32" t="s">
        <v>1792</v>
      </c>
      <c r="F1011" s="33">
        <v>25.2</v>
      </c>
      <c r="K1011" s="34"/>
    </row>
    <row r="1012" spans="1:76" ht="14.4" x14ac:dyDescent="0.3">
      <c r="A1012" s="31"/>
      <c r="C1012" s="32" t="s">
        <v>1793</v>
      </c>
      <c r="D1012" s="32" t="s">
        <v>1794</v>
      </c>
      <c r="F1012" s="33">
        <v>16.8</v>
      </c>
      <c r="K1012" s="34"/>
    </row>
    <row r="1013" spans="1:76" ht="14.4" x14ac:dyDescent="0.3">
      <c r="A1013" s="31"/>
      <c r="C1013" s="32" t="s">
        <v>1795</v>
      </c>
      <c r="D1013" s="32" t="s">
        <v>1796</v>
      </c>
      <c r="F1013" s="33">
        <v>138</v>
      </c>
      <c r="K1013" s="34"/>
    </row>
    <row r="1014" spans="1:76" ht="14.4" x14ac:dyDescent="0.3">
      <c r="A1014" s="31"/>
      <c r="C1014" s="32" t="s">
        <v>1797</v>
      </c>
      <c r="D1014" s="32" t="s">
        <v>1798</v>
      </c>
      <c r="F1014" s="33">
        <v>69</v>
      </c>
      <c r="K1014" s="34"/>
    </row>
    <row r="1015" spans="1:76" ht="14.4" x14ac:dyDescent="0.3">
      <c r="A1015" s="31"/>
      <c r="C1015" s="32" t="s">
        <v>1799</v>
      </c>
      <c r="D1015" s="32" t="s">
        <v>1800</v>
      </c>
      <c r="F1015" s="33">
        <v>249.6</v>
      </c>
      <c r="K1015" s="34"/>
    </row>
    <row r="1016" spans="1:76" ht="14.4" x14ac:dyDescent="0.3">
      <c r="A1016" s="31"/>
      <c r="C1016" s="32" t="s">
        <v>1801</v>
      </c>
      <c r="D1016" s="32" t="s">
        <v>1802</v>
      </c>
      <c r="F1016" s="33">
        <v>124.8</v>
      </c>
      <c r="K1016" s="34"/>
    </row>
    <row r="1017" spans="1:76" ht="14.4" x14ac:dyDescent="0.3">
      <c r="A1017" s="31"/>
      <c r="C1017" s="32" t="s">
        <v>1803</v>
      </c>
      <c r="D1017" s="32" t="s">
        <v>1804</v>
      </c>
      <c r="F1017" s="33">
        <v>52</v>
      </c>
      <c r="K1017" s="34"/>
    </row>
    <row r="1018" spans="1:76" ht="14.4" x14ac:dyDescent="0.3">
      <c r="A1018" s="31"/>
      <c r="C1018" s="32" t="s">
        <v>1805</v>
      </c>
      <c r="D1018" s="32" t="s">
        <v>1806</v>
      </c>
      <c r="F1018" s="33">
        <v>26</v>
      </c>
      <c r="K1018" s="34"/>
    </row>
    <row r="1019" spans="1:76" ht="14.4" x14ac:dyDescent="0.3">
      <c r="A1019" s="2" t="s">
        <v>1807</v>
      </c>
      <c r="B1019" s="3" t="s">
        <v>1788</v>
      </c>
      <c r="C1019" s="75" t="s">
        <v>1789</v>
      </c>
      <c r="D1019" s="70"/>
      <c r="E1019" s="3" t="s">
        <v>59</v>
      </c>
      <c r="F1019" s="28">
        <v>702</v>
      </c>
      <c r="G1019" s="28">
        <v>0</v>
      </c>
      <c r="H1019" s="28">
        <f>ROUND(F1019*AO1019,2)</f>
        <v>0</v>
      </c>
      <c r="I1019" s="28">
        <f>ROUND(F1019*AP1019,2)</f>
        <v>0</v>
      </c>
      <c r="J1019" s="28">
        <f>ROUND(F1019*G1019,2)</f>
        <v>0</v>
      </c>
      <c r="K1019" s="29" t="s">
        <v>60</v>
      </c>
      <c r="Z1019" s="28">
        <f>ROUND(IF(AQ1019="5",BJ1019,0),2)</f>
        <v>0</v>
      </c>
      <c r="AB1019" s="28">
        <f>ROUND(IF(AQ1019="1",BH1019,0),2)</f>
        <v>0</v>
      </c>
      <c r="AC1019" s="28">
        <f>ROUND(IF(AQ1019="1",BI1019,0),2)</f>
        <v>0</v>
      </c>
      <c r="AD1019" s="28">
        <f>ROUND(IF(AQ1019="7",BH1019,0),2)</f>
        <v>0</v>
      </c>
      <c r="AE1019" s="28">
        <f>ROUND(IF(AQ1019="7",BI1019,0),2)</f>
        <v>0</v>
      </c>
      <c r="AF1019" s="28">
        <f>ROUND(IF(AQ1019="2",BH1019,0),2)</f>
        <v>0</v>
      </c>
      <c r="AG1019" s="28">
        <f>ROUND(IF(AQ1019="2",BI1019,0),2)</f>
        <v>0</v>
      </c>
      <c r="AH1019" s="28">
        <f>ROUND(IF(AQ1019="0",BJ1019,0),2)</f>
        <v>0</v>
      </c>
      <c r="AI1019" s="10" t="s">
        <v>1554</v>
      </c>
      <c r="AJ1019" s="28">
        <f>IF(AN1019=0,J1019,0)</f>
        <v>0</v>
      </c>
      <c r="AK1019" s="28">
        <f>IF(AN1019=12,J1019,0)</f>
        <v>0</v>
      </c>
      <c r="AL1019" s="28">
        <f>IF(AN1019=21,J1019,0)</f>
        <v>0</v>
      </c>
      <c r="AN1019" s="28">
        <v>21</v>
      </c>
      <c r="AO1019" s="28">
        <f>G1019*0</f>
        <v>0</v>
      </c>
      <c r="AP1019" s="28">
        <f>G1019*(1-0)</f>
        <v>0</v>
      </c>
      <c r="AQ1019" s="30" t="s">
        <v>56</v>
      </c>
      <c r="AV1019" s="28">
        <f>ROUND(AW1019+AX1019,2)</f>
        <v>0</v>
      </c>
      <c r="AW1019" s="28">
        <f>ROUND(F1019*AO1019,2)</f>
        <v>0</v>
      </c>
      <c r="AX1019" s="28">
        <f>ROUND(F1019*AP1019,2)</f>
        <v>0</v>
      </c>
      <c r="AY1019" s="30" t="s">
        <v>195</v>
      </c>
      <c r="AZ1019" s="30" t="s">
        <v>1591</v>
      </c>
      <c r="BA1019" s="10" t="s">
        <v>1561</v>
      </c>
      <c r="BC1019" s="28">
        <f>AW1019+AX1019</f>
        <v>0</v>
      </c>
      <c r="BD1019" s="28">
        <f>G1019/(100-BE1019)*100</f>
        <v>0</v>
      </c>
      <c r="BE1019" s="28">
        <v>0</v>
      </c>
      <c r="BF1019" s="28">
        <f>1019</f>
        <v>1019</v>
      </c>
      <c r="BH1019" s="28">
        <f>F1019*AO1019</f>
        <v>0</v>
      </c>
      <c r="BI1019" s="28">
        <f>F1019*AP1019</f>
        <v>0</v>
      </c>
      <c r="BJ1019" s="28">
        <f>F1019*G1019</f>
        <v>0</v>
      </c>
      <c r="BK1019" s="28"/>
      <c r="BL1019" s="28">
        <v>18</v>
      </c>
      <c r="BW1019" s="28">
        <v>21</v>
      </c>
      <c r="BX1019" s="4" t="s">
        <v>1789</v>
      </c>
    </row>
    <row r="1020" spans="1:76" ht="14.4" x14ac:dyDescent="0.3">
      <c r="A1020" s="2" t="s">
        <v>1808</v>
      </c>
      <c r="B1020" s="3" t="s">
        <v>1809</v>
      </c>
      <c r="C1020" s="75" t="s">
        <v>1810</v>
      </c>
      <c r="D1020" s="70"/>
      <c r="E1020" s="3" t="s">
        <v>103</v>
      </c>
      <c r="F1020" s="28">
        <v>1015</v>
      </c>
      <c r="G1020" s="28">
        <v>0</v>
      </c>
      <c r="H1020" s="28">
        <f>ROUND(F1020*AO1020,2)</f>
        <v>0</v>
      </c>
      <c r="I1020" s="28">
        <f>ROUND(F1020*AP1020,2)</f>
        <v>0</v>
      </c>
      <c r="J1020" s="28">
        <f>ROUND(F1020*G1020,2)</f>
        <v>0</v>
      </c>
      <c r="K1020" s="29" t="s">
        <v>60</v>
      </c>
      <c r="Z1020" s="28">
        <f>ROUND(IF(AQ1020="5",BJ1020,0),2)</f>
        <v>0</v>
      </c>
      <c r="AB1020" s="28">
        <f>ROUND(IF(AQ1020="1",BH1020,0),2)</f>
        <v>0</v>
      </c>
      <c r="AC1020" s="28">
        <f>ROUND(IF(AQ1020="1",BI1020,0),2)</f>
        <v>0</v>
      </c>
      <c r="AD1020" s="28">
        <f>ROUND(IF(AQ1020="7",BH1020,0),2)</f>
        <v>0</v>
      </c>
      <c r="AE1020" s="28">
        <f>ROUND(IF(AQ1020="7",BI1020,0),2)</f>
        <v>0</v>
      </c>
      <c r="AF1020" s="28">
        <f>ROUND(IF(AQ1020="2",BH1020,0),2)</f>
        <v>0</v>
      </c>
      <c r="AG1020" s="28">
        <f>ROUND(IF(AQ1020="2",BI1020,0),2)</f>
        <v>0</v>
      </c>
      <c r="AH1020" s="28">
        <f>ROUND(IF(AQ1020="0",BJ1020,0),2)</f>
        <v>0</v>
      </c>
      <c r="AI1020" s="10" t="s">
        <v>1554</v>
      </c>
      <c r="AJ1020" s="28">
        <f>IF(AN1020=0,J1020,0)</f>
        <v>0</v>
      </c>
      <c r="AK1020" s="28">
        <f>IF(AN1020=12,J1020,0)</f>
        <v>0</v>
      </c>
      <c r="AL1020" s="28">
        <f>IF(AN1020=21,J1020,0)</f>
        <v>0</v>
      </c>
      <c r="AN1020" s="28">
        <v>21</v>
      </c>
      <c r="AO1020" s="28">
        <f>G1020*0</f>
        <v>0</v>
      </c>
      <c r="AP1020" s="28">
        <f>G1020*(1-0)</f>
        <v>0</v>
      </c>
      <c r="AQ1020" s="30" t="s">
        <v>56</v>
      </c>
      <c r="AV1020" s="28">
        <f>ROUND(AW1020+AX1020,2)</f>
        <v>0</v>
      </c>
      <c r="AW1020" s="28">
        <f>ROUND(F1020*AO1020,2)</f>
        <v>0</v>
      </c>
      <c r="AX1020" s="28">
        <f>ROUND(F1020*AP1020,2)</f>
        <v>0</v>
      </c>
      <c r="AY1020" s="30" t="s">
        <v>195</v>
      </c>
      <c r="AZ1020" s="30" t="s">
        <v>1591</v>
      </c>
      <c r="BA1020" s="10" t="s">
        <v>1561</v>
      </c>
      <c r="BC1020" s="28">
        <f>AW1020+AX1020</f>
        <v>0</v>
      </c>
      <c r="BD1020" s="28">
        <f>G1020/(100-BE1020)*100</f>
        <v>0</v>
      </c>
      <c r="BE1020" s="28">
        <v>0</v>
      </c>
      <c r="BF1020" s="28">
        <f>1020</f>
        <v>1020</v>
      </c>
      <c r="BH1020" s="28">
        <f>F1020*AO1020</f>
        <v>0</v>
      </c>
      <c r="BI1020" s="28">
        <f>F1020*AP1020</f>
        <v>0</v>
      </c>
      <c r="BJ1020" s="28">
        <f>F1020*G1020</f>
        <v>0</v>
      </c>
      <c r="BK1020" s="28"/>
      <c r="BL1020" s="28">
        <v>18</v>
      </c>
      <c r="BW1020" s="28">
        <v>21</v>
      </c>
      <c r="BX1020" s="4" t="s">
        <v>1810</v>
      </c>
    </row>
    <row r="1021" spans="1:76" ht="14.4" x14ac:dyDescent="0.3">
      <c r="A1021" s="31"/>
      <c r="C1021" s="32" t="s">
        <v>1811</v>
      </c>
      <c r="D1021" s="32" t="s">
        <v>1812</v>
      </c>
      <c r="F1021" s="33">
        <v>580</v>
      </c>
      <c r="K1021" s="34"/>
    </row>
    <row r="1022" spans="1:76" ht="14.4" x14ac:dyDescent="0.3">
      <c r="A1022" s="31"/>
      <c r="C1022" s="32" t="s">
        <v>1813</v>
      </c>
      <c r="D1022" s="32" t="s">
        <v>1814</v>
      </c>
      <c r="F1022" s="33">
        <v>435</v>
      </c>
      <c r="K1022" s="34"/>
    </row>
    <row r="1023" spans="1:76" ht="14.4" x14ac:dyDescent="0.3">
      <c r="A1023" s="2" t="s">
        <v>1815</v>
      </c>
      <c r="B1023" s="3" t="s">
        <v>1816</v>
      </c>
      <c r="C1023" s="75" t="s">
        <v>1817</v>
      </c>
      <c r="D1023" s="70"/>
      <c r="E1023" s="3" t="s">
        <v>103</v>
      </c>
      <c r="F1023" s="28">
        <v>1470</v>
      </c>
      <c r="G1023" s="28">
        <v>0</v>
      </c>
      <c r="H1023" s="28">
        <f>ROUND(F1023*AO1023,2)</f>
        <v>0</v>
      </c>
      <c r="I1023" s="28">
        <f>ROUND(F1023*AP1023,2)</f>
        <v>0</v>
      </c>
      <c r="J1023" s="28">
        <f>ROUND(F1023*G1023,2)</f>
        <v>0</v>
      </c>
      <c r="K1023" s="29" t="s">
        <v>60</v>
      </c>
      <c r="Z1023" s="28">
        <f>ROUND(IF(AQ1023="5",BJ1023,0),2)</f>
        <v>0</v>
      </c>
      <c r="AB1023" s="28">
        <f>ROUND(IF(AQ1023="1",BH1023,0),2)</f>
        <v>0</v>
      </c>
      <c r="AC1023" s="28">
        <f>ROUND(IF(AQ1023="1",BI1023,0),2)</f>
        <v>0</v>
      </c>
      <c r="AD1023" s="28">
        <f>ROUND(IF(AQ1023="7",BH1023,0),2)</f>
        <v>0</v>
      </c>
      <c r="AE1023" s="28">
        <f>ROUND(IF(AQ1023="7",BI1023,0),2)</f>
        <v>0</v>
      </c>
      <c r="AF1023" s="28">
        <f>ROUND(IF(AQ1023="2",BH1023,0),2)</f>
        <v>0</v>
      </c>
      <c r="AG1023" s="28">
        <f>ROUND(IF(AQ1023="2",BI1023,0),2)</f>
        <v>0</v>
      </c>
      <c r="AH1023" s="28">
        <f>ROUND(IF(AQ1023="0",BJ1023,0),2)</f>
        <v>0</v>
      </c>
      <c r="AI1023" s="10" t="s">
        <v>1554</v>
      </c>
      <c r="AJ1023" s="28">
        <f>IF(AN1023=0,J1023,0)</f>
        <v>0</v>
      </c>
      <c r="AK1023" s="28">
        <f>IF(AN1023=12,J1023,0)</f>
        <v>0</v>
      </c>
      <c r="AL1023" s="28">
        <f>IF(AN1023=21,J1023,0)</f>
        <v>0</v>
      </c>
      <c r="AN1023" s="28">
        <v>21</v>
      </c>
      <c r="AO1023" s="28">
        <f>G1023*0</f>
        <v>0</v>
      </c>
      <c r="AP1023" s="28">
        <f>G1023*(1-0)</f>
        <v>0</v>
      </c>
      <c r="AQ1023" s="30" t="s">
        <v>56</v>
      </c>
      <c r="AV1023" s="28">
        <f>ROUND(AW1023+AX1023,2)</f>
        <v>0</v>
      </c>
      <c r="AW1023" s="28">
        <f>ROUND(F1023*AO1023,2)</f>
        <v>0</v>
      </c>
      <c r="AX1023" s="28">
        <f>ROUND(F1023*AP1023,2)</f>
        <v>0</v>
      </c>
      <c r="AY1023" s="30" t="s">
        <v>195</v>
      </c>
      <c r="AZ1023" s="30" t="s">
        <v>1591</v>
      </c>
      <c r="BA1023" s="10" t="s">
        <v>1561</v>
      </c>
      <c r="BC1023" s="28">
        <f>AW1023+AX1023</f>
        <v>0</v>
      </c>
      <c r="BD1023" s="28">
        <f>G1023/(100-BE1023)*100</f>
        <v>0</v>
      </c>
      <c r="BE1023" s="28">
        <v>0</v>
      </c>
      <c r="BF1023" s="28">
        <f>1023</f>
        <v>1023</v>
      </c>
      <c r="BH1023" s="28">
        <f>F1023*AO1023</f>
        <v>0</v>
      </c>
      <c r="BI1023" s="28">
        <f>F1023*AP1023</f>
        <v>0</v>
      </c>
      <c r="BJ1023" s="28">
        <f>F1023*G1023</f>
        <v>0</v>
      </c>
      <c r="BK1023" s="28"/>
      <c r="BL1023" s="28">
        <v>18</v>
      </c>
      <c r="BW1023" s="28">
        <v>21</v>
      </c>
      <c r="BX1023" s="4" t="s">
        <v>1817</v>
      </c>
    </row>
    <row r="1024" spans="1:76" ht="14.4" x14ac:dyDescent="0.3">
      <c r="A1024" s="31"/>
      <c r="C1024" s="32" t="s">
        <v>1818</v>
      </c>
      <c r="D1024" s="32" t="s">
        <v>1804</v>
      </c>
      <c r="F1024" s="33">
        <v>840</v>
      </c>
      <c r="K1024" s="34"/>
    </row>
    <row r="1025" spans="1:76" ht="14.4" x14ac:dyDescent="0.3">
      <c r="A1025" s="31"/>
      <c r="C1025" s="32" t="s">
        <v>1819</v>
      </c>
      <c r="D1025" s="32" t="s">
        <v>1806</v>
      </c>
      <c r="F1025" s="33">
        <v>630</v>
      </c>
      <c r="K1025" s="34"/>
    </row>
    <row r="1026" spans="1:76" ht="14.4" x14ac:dyDescent="0.3">
      <c r="A1026" s="2" t="s">
        <v>1820</v>
      </c>
      <c r="B1026" s="3" t="s">
        <v>1821</v>
      </c>
      <c r="C1026" s="75" t="s">
        <v>1822</v>
      </c>
      <c r="D1026" s="70"/>
      <c r="E1026" s="3" t="s">
        <v>103</v>
      </c>
      <c r="F1026" s="28">
        <v>420</v>
      </c>
      <c r="G1026" s="28">
        <v>0</v>
      </c>
      <c r="H1026" s="28">
        <f>ROUND(F1026*AO1026,2)</f>
        <v>0</v>
      </c>
      <c r="I1026" s="28">
        <f>ROUND(F1026*AP1026,2)</f>
        <v>0</v>
      </c>
      <c r="J1026" s="28">
        <f>ROUND(F1026*G1026,2)</f>
        <v>0</v>
      </c>
      <c r="K1026" s="29" t="s">
        <v>60</v>
      </c>
      <c r="Z1026" s="28">
        <f>ROUND(IF(AQ1026="5",BJ1026,0),2)</f>
        <v>0</v>
      </c>
      <c r="AB1026" s="28">
        <f>ROUND(IF(AQ1026="1",BH1026,0),2)</f>
        <v>0</v>
      </c>
      <c r="AC1026" s="28">
        <f>ROUND(IF(AQ1026="1",BI1026,0),2)</f>
        <v>0</v>
      </c>
      <c r="AD1026" s="28">
        <f>ROUND(IF(AQ1026="7",BH1026,0),2)</f>
        <v>0</v>
      </c>
      <c r="AE1026" s="28">
        <f>ROUND(IF(AQ1026="7",BI1026,0),2)</f>
        <v>0</v>
      </c>
      <c r="AF1026" s="28">
        <f>ROUND(IF(AQ1026="2",BH1026,0),2)</f>
        <v>0</v>
      </c>
      <c r="AG1026" s="28">
        <f>ROUND(IF(AQ1026="2",BI1026,0),2)</f>
        <v>0</v>
      </c>
      <c r="AH1026" s="28">
        <f>ROUND(IF(AQ1026="0",BJ1026,0),2)</f>
        <v>0</v>
      </c>
      <c r="AI1026" s="10" t="s">
        <v>1554</v>
      </c>
      <c r="AJ1026" s="28">
        <f>IF(AN1026=0,J1026,0)</f>
        <v>0</v>
      </c>
      <c r="AK1026" s="28">
        <f>IF(AN1026=12,J1026,0)</f>
        <v>0</v>
      </c>
      <c r="AL1026" s="28">
        <f>IF(AN1026=21,J1026,0)</f>
        <v>0</v>
      </c>
      <c r="AN1026" s="28">
        <v>21</v>
      </c>
      <c r="AO1026" s="28">
        <f>G1026*0</f>
        <v>0</v>
      </c>
      <c r="AP1026" s="28">
        <f>G1026*(1-0)</f>
        <v>0</v>
      </c>
      <c r="AQ1026" s="30" t="s">
        <v>56</v>
      </c>
      <c r="AV1026" s="28">
        <f>ROUND(AW1026+AX1026,2)</f>
        <v>0</v>
      </c>
      <c r="AW1026" s="28">
        <f>ROUND(F1026*AO1026,2)</f>
        <v>0</v>
      </c>
      <c r="AX1026" s="28">
        <f>ROUND(F1026*AP1026,2)</f>
        <v>0</v>
      </c>
      <c r="AY1026" s="30" t="s">
        <v>195</v>
      </c>
      <c r="AZ1026" s="30" t="s">
        <v>1591</v>
      </c>
      <c r="BA1026" s="10" t="s">
        <v>1561</v>
      </c>
      <c r="BC1026" s="28">
        <f>AW1026+AX1026</f>
        <v>0</v>
      </c>
      <c r="BD1026" s="28">
        <f>G1026/(100-BE1026)*100</f>
        <v>0</v>
      </c>
      <c r="BE1026" s="28">
        <v>0</v>
      </c>
      <c r="BF1026" s="28">
        <f>1026</f>
        <v>1026</v>
      </c>
      <c r="BH1026" s="28">
        <f>F1026*AO1026</f>
        <v>0</v>
      </c>
      <c r="BI1026" s="28">
        <f>F1026*AP1026</f>
        <v>0</v>
      </c>
      <c r="BJ1026" s="28">
        <f>F1026*G1026</f>
        <v>0</v>
      </c>
      <c r="BK1026" s="28"/>
      <c r="BL1026" s="28">
        <v>18</v>
      </c>
      <c r="BW1026" s="28">
        <v>21</v>
      </c>
      <c r="BX1026" s="4" t="s">
        <v>1822</v>
      </c>
    </row>
    <row r="1027" spans="1:76" ht="14.4" x14ac:dyDescent="0.3">
      <c r="A1027" s="31"/>
      <c r="C1027" s="32" t="s">
        <v>1823</v>
      </c>
      <c r="D1027" s="32" t="s">
        <v>1568</v>
      </c>
      <c r="F1027" s="33">
        <v>210</v>
      </c>
      <c r="K1027" s="34"/>
    </row>
    <row r="1028" spans="1:76" ht="14.4" x14ac:dyDescent="0.3">
      <c r="A1028" s="31"/>
      <c r="C1028" s="32" t="s">
        <v>1823</v>
      </c>
      <c r="D1028" s="32" t="s">
        <v>1569</v>
      </c>
      <c r="F1028" s="33">
        <v>210</v>
      </c>
      <c r="K1028" s="34"/>
    </row>
    <row r="1029" spans="1:76" ht="14.4" x14ac:dyDescent="0.3">
      <c r="A1029" s="2" t="s">
        <v>1824</v>
      </c>
      <c r="B1029" s="3" t="s">
        <v>1825</v>
      </c>
      <c r="C1029" s="75" t="s">
        <v>1826</v>
      </c>
      <c r="D1029" s="70"/>
      <c r="E1029" s="3" t="s">
        <v>293</v>
      </c>
      <c r="F1029" s="28">
        <v>42</v>
      </c>
      <c r="G1029" s="28">
        <v>0</v>
      </c>
      <c r="H1029" s="28">
        <f>ROUND(F1029*AO1029,2)</f>
        <v>0</v>
      </c>
      <c r="I1029" s="28">
        <f>ROUND(F1029*AP1029,2)</f>
        <v>0</v>
      </c>
      <c r="J1029" s="28">
        <f>ROUND(F1029*G1029,2)</f>
        <v>0</v>
      </c>
      <c r="K1029" s="29" t="s">
        <v>60</v>
      </c>
      <c r="Z1029" s="28">
        <f>ROUND(IF(AQ1029="5",BJ1029,0),2)</f>
        <v>0</v>
      </c>
      <c r="AB1029" s="28">
        <f>ROUND(IF(AQ1029="1",BH1029,0),2)</f>
        <v>0</v>
      </c>
      <c r="AC1029" s="28">
        <f>ROUND(IF(AQ1029="1",BI1029,0),2)</f>
        <v>0</v>
      </c>
      <c r="AD1029" s="28">
        <f>ROUND(IF(AQ1029="7",BH1029,0),2)</f>
        <v>0</v>
      </c>
      <c r="AE1029" s="28">
        <f>ROUND(IF(AQ1029="7",BI1029,0),2)</f>
        <v>0</v>
      </c>
      <c r="AF1029" s="28">
        <f>ROUND(IF(AQ1029="2",BH1029,0),2)</f>
        <v>0</v>
      </c>
      <c r="AG1029" s="28">
        <f>ROUND(IF(AQ1029="2",BI1029,0),2)</f>
        <v>0</v>
      </c>
      <c r="AH1029" s="28">
        <f>ROUND(IF(AQ1029="0",BJ1029,0),2)</f>
        <v>0</v>
      </c>
      <c r="AI1029" s="10" t="s">
        <v>1554</v>
      </c>
      <c r="AJ1029" s="28">
        <f>IF(AN1029=0,J1029,0)</f>
        <v>0</v>
      </c>
      <c r="AK1029" s="28">
        <f>IF(AN1029=12,J1029,0)</f>
        <v>0</v>
      </c>
      <c r="AL1029" s="28">
        <f>IF(AN1029=21,J1029,0)</f>
        <v>0</v>
      </c>
      <c r="AN1029" s="28">
        <v>21</v>
      </c>
      <c r="AO1029" s="28">
        <f>G1029*0.295774648</f>
        <v>0</v>
      </c>
      <c r="AP1029" s="28">
        <f>G1029*(1-0.295774648)</f>
        <v>0</v>
      </c>
      <c r="AQ1029" s="30" t="s">
        <v>56</v>
      </c>
      <c r="AV1029" s="28">
        <f>ROUND(AW1029+AX1029,2)</f>
        <v>0</v>
      </c>
      <c r="AW1029" s="28">
        <f>ROUND(F1029*AO1029,2)</f>
        <v>0</v>
      </c>
      <c r="AX1029" s="28">
        <f>ROUND(F1029*AP1029,2)</f>
        <v>0</v>
      </c>
      <c r="AY1029" s="30" t="s">
        <v>195</v>
      </c>
      <c r="AZ1029" s="30" t="s">
        <v>1591</v>
      </c>
      <c r="BA1029" s="10" t="s">
        <v>1561</v>
      </c>
      <c r="BC1029" s="28">
        <f>AW1029+AX1029</f>
        <v>0</v>
      </c>
      <c r="BD1029" s="28">
        <f>G1029/(100-BE1029)*100</f>
        <v>0</v>
      </c>
      <c r="BE1029" s="28">
        <v>0</v>
      </c>
      <c r="BF1029" s="28">
        <f>1029</f>
        <v>1029</v>
      </c>
      <c r="BH1029" s="28">
        <f>F1029*AO1029</f>
        <v>0</v>
      </c>
      <c r="BI1029" s="28">
        <f>F1029*AP1029</f>
        <v>0</v>
      </c>
      <c r="BJ1029" s="28">
        <f>F1029*G1029</f>
        <v>0</v>
      </c>
      <c r="BK1029" s="28"/>
      <c r="BL1029" s="28">
        <v>18</v>
      </c>
      <c r="BW1029" s="28">
        <v>21</v>
      </c>
      <c r="BX1029" s="4" t="s">
        <v>1826</v>
      </c>
    </row>
    <row r="1030" spans="1:76" ht="14.4" x14ac:dyDescent="0.3">
      <c r="A1030" s="31"/>
      <c r="C1030" s="32" t="s">
        <v>202</v>
      </c>
      <c r="D1030" s="32" t="s">
        <v>1568</v>
      </c>
      <c r="F1030" s="33">
        <v>21</v>
      </c>
      <c r="K1030" s="34"/>
    </row>
    <row r="1031" spans="1:76" ht="14.4" x14ac:dyDescent="0.3">
      <c r="A1031" s="31"/>
      <c r="C1031" s="32" t="s">
        <v>202</v>
      </c>
      <c r="D1031" s="32" t="s">
        <v>1569</v>
      </c>
      <c r="F1031" s="33">
        <v>21</v>
      </c>
      <c r="K1031" s="34"/>
    </row>
    <row r="1032" spans="1:76" ht="14.4" x14ac:dyDescent="0.3">
      <c r="A1032" s="2" t="s">
        <v>1827</v>
      </c>
      <c r="B1032" s="3" t="s">
        <v>1828</v>
      </c>
      <c r="C1032" s="75" t="s">
        <v>1829</v>
      </c>
      <c r="D1032" s="70"/>
      <c r="E1032" s="3" t="s">
        <v>103</v>
      </c>
      <c r="F1032" s="28">
        <v>175</v>
      </c>
      <c r="G1032" s="28">
        <v>0</v>
      </c>
      <c r="H1032" s="28">
        <f>ROUND(F1032*AO1032,2)</f>
        <v>0</v>
      </c>
      <c r="I1032" s="28">
        <f>ROUND(F1032*AP1032,2)</f>
        <v>0</v>
      </c>
      <c r="J1032" s="28">
        <f>ROUND(F1032*G1032,2)</f>
        <v>0</v>
      </c>
      <c r="K1032" s="29" t="s">
        <v>60</v>
      </c>
      <c r="Z1032" s="28">
        <f>ROUND(IF(AQ1032="5",BJ1032,0),2)</f>
        <v>0</v>
      </c>
      <c r="AB1032" s="28">
        <f>ROUND(IF(AQ1032="1",BH1032,0),2)</f>
        <v>0</v>
      </c>
      <c r="AC1032" s="28">
        <f>ROUND(IF(AQ1032="1",BI1032,0),2)</f>
        <v>0</v>
      </c>
      <c r="AD1032" s="28">
        <f>ROUND(IF(AQ1032="7",BH1032,0),2)</f>
        <v>0</v>
      </c>
      <c r="AE1032" s="28">
        <f>ROUND(IF(AQ1032="7",BI1032,0),2)</f>
        <v>0</v>
      </c>
      <c r="AF1032" s="28">
        <f>ROUND(IF(AQ1032="2",BH1032,0),2)</f>
        <v>0</v>
      </c>
      <c r="AG1032" s="28">
        <f>ROUND(IF(AQ1032="2",BI1032,0),2)</f>
        <v>0</v>
      </c>
      <c r="AH1032" s="28">
        <f>ROUND(IF(AQ1032="0",BJ1032,0),2)</f>
        <v>0</v>
      </c>
      <c r="AI1032" s="10" t="s">
        <v>1554</v>
      </c>
      <c r="AJ1032" s="28">
        <f>IF(AN1032=0,J1032,0)</f>
        <v>0</v>
      </c>
      <c r="AK1032" s="28">
        <f>IF(AN1032=12,J1032,0)</f>
        <v>0</v>
      </c>
      <c r="AL1032" s="28">
        <f>IF(AN1032=21,J1032,0)</f>
        <v>0</v>
      </c>
      <c r="AN1032" s="28">
        <v>21</v>
      </c>
      <c r="AO1032" s="28">
        <f>G1032*0</f>
        <v>0</v>
      </c>
      <c r="AP1032" s="28">
        <f>G1032*(1-0)</f>
        <v>0</v>
      </c>
      <c r="AQ1032" s="30" t="s">
        <v>56</v>
      </c>
      <c r="AV1032" s="28">
        <f>ROUND(AW1032+AX1032,2)</f>
        <v>0</v>
      </c>
      <c r="AW1032" s="28">
        <f>ROUND(F1032*AO1032,2)</f>
        <v>0</v>
      </c>
      <c r="AX1032" s="28">
        <f>ROUND(F1032*AP1032,2)</f>
        <v>0</v>
      </c>
      <c r="AY1032" s="30" t="s">
        <v>195</v>
      </c>
      <c r="AZ1032" s="30" t="s">
        <v>1591</v>
      </c>
      <c r="BA1032" s="10" t="s">
        <v>1561</v>
      </c>
      <c r="BC1032" s="28">
        <f>AW1032+AX1032</f>
        <v>0</v>
      </c>
      <c r="BD1032" s="28">
        <f>G1032/(100-BE1032)*100</f>
        <v>0</v>
      </c>
      <c r="BE1032" s="28">
        <v>0</v>
      </c>
      <c r="BF1032" s="28">
        <f>1032</f>
        <v>1032</v>
      </c>
      <c r="BH1032" s="28">
        <f>F1032*AO1032</f>
        <v>0</v>
      </c>
      <c r="BI1032" s="28">
        <f>F1032*AP1032</f>
        <v>0</v>
      </c>
      <c r="BJ1032" s="28">
        <f>F1032*G1032</f>
        <v>0</v>
      </c>
      <c r="BK1032" s="28"/>
      <c r="BL1032" s="28">
        <v>18</v>
      </c>
      <c r="BW1032" s="28">
        <v>21</v>
      </c>
      <c r="BX1032" s="4" t="s">
        <v>1829</v>
      </c>
    </row>
    <row r="1033" spans="1:76" ht="14.4" x14ac:dyDescent="0.3">
      <c r="A1033" s="31"/>
      <c r="C1033" s="32" t="s">
        <v>1830</v>
      </c>
      <c r="D1033" s="32" t="s">
        <v>1812</v>
      </c>
      <c r="F1033" s="33">
        <v>100</v>
      </c>
      <c r="K1033" s="34"/>
    </row>
    <row r="1034" spans="1:76" ht="14.4" x14ac:dyDescent="0.3">
      <c r="A1034" s="31"/>
      <c r="C1034" s="32" t="s">
        <v>1831</v>
      </c>
      <c r="D1034" s="32" t="s">
        <v>1814</v>
      </c>
      <c r="F1034" s="33">
        <v>75</v>
      </c>
      <c r="K1034" s="34"/>
    </row>
    <row r="1035" spans="1:76" ht="14.4" x14ac:dyDescent="0.3">
      <c r="A1035" s="2" t="s">
        <v>1832</v>
      </c>
      <c r="B1035" s="3" t="s">
        <v>1833</v>
      </c>
      <c r="C1035" s="75" t="s">
        <v>1834</v>
      </c>
      <c r="D1035" s="70"/>
      <c r="E1035" s="3" t="s">
        <v>103</v>
      </c>
      <c r="F1035" s="28">
        <v>1391</v>
      </c>
      <c r="G1035" s="28">
        <v>0</v>
      </c>
      <c r="H1035" s="28">
        <f>ROUND(F1035*AO1035,2)</f>
        <v>0</v>
      </c>
      <c r="I1035" s="28">
        <f>ROUND(F1035*AP1035,2)</f>
        <v>0</v>
      </c>
      <c r="J1035" s="28">
        <f>ROUND(F1035*G1035,2)</f>
        <v>0</v>
      </c>
      <c r="K1035" s="29" t="s">
        <v>60</v>
      </c>
      <c r="Z1035" s="28">
        <f>ROUND(IF(AQ1035="5",BJ1035,0),2)</f>
        <v>0</v>
      </c>
      <c r="AB1035" s="28">
        <f>ROUND(IF(AQ1035="1",BH1035,0),2)</f>
        <v>0</v>
      </c>
      <c r="AC1035" s="28">
        <f>ROUND(IF(AQ1035="1",BI1035,0),2)</f>
        <v>0</v>
      </c>
      <c r="AD1035" s="28">
        <f>ROUND(IF(AQ1035="7",BH1035,0),2)</f>
        <v>0</v>
      </c>
      <c r="AE1035" s="28">
        <f>ROUND(IF(AQ1035="7",BI1035,0),2)</f>
        <v>0</v>
      </c>
      <c r="AF1035" s="28">
        <f>ROUND(IF(AQ1035="2",BH1035,0),2)</f>
        <v>0</v>
      </c>
      <c r="AG1035" s="28">
        <f>ROUND(IF(AQ1035="2",BI1035,0),2)</f>
        <v>0</v>
      </c>
      <c r="AH1035" s="28">
        <f>ROUND(IF(AQ1035="0",BJ1035,0),2)</f>
        <v>0</v>
      </c>
      <c r="AI1035" s="10" t="s">
        <v>1554</v>
      </c>
      <c r="AJ1035" s="28">
        <f>IF(AN1035=0,J1035,0)</f>
        <v>0</v>
      </c>
      <c r="AK1035" s="28">
        <f>IF(AN1035=12,J1035,0)</f>
        <v>0</v>
      </c>
      <c r="AL1035" s="28">
        <f>IF(AN1035=21,J1035,0)</f>
        <v>0</v>
      </c>
      <c r="AN1035" s="28">
        <v>21</v>
      </c>
      <c r="AO1035" s="28">
        <f>G1035*0.289949749</f>
        <v>0</v>
      </c>
      <c r="AP1035" s="28">
        <f>G1035*(1-0.289949749)</f>
        <v>0</v>
      </c>
      <c r="AQ1035" s="30" t="s">
        <v>56</v>
      </c>
      <c r="AV1035" s="28">
        <f>ROUND(AW1035+AX1035,2)</f>
        <v>0</v>
      </c>
      <c r="AW1035" s="28">
        <f>ROUND(F1035*AO1035,2)</f>
        <v>0</v>
      </c>
      <c r="AX1035" s="28">
        <f>ROUND(F1035*AP1035,2)</f>
        <v>0</v>
      </c>
      <c r="AY1035" s="30" t="s">
        <v>195</v>
      </c>
      <c r="AZ1035" s="30" t="s">
        <v>1591</v>
      </c>
      <c r="BA1035" s="10" t="s">
        <v>1561</v>
      </c>
      <c r="BC1035" s="28">
        <f>AW1035+AX1035</f>
        <v>0</v>
      </c>
      <c r="BD1035" s="28">
        <f>G1035/(100-BE1035)*100</f>
        <v>0</v>
      </c>
      <c r="BE1035" s="28">
        <v>0</v>
      </c>
      <c r="BF1035" s="28">
        <f>1035</f>
        <v>1035</v>
      </c>
      <c r="BH1035" s="28">
        <f>F1035*AO1035</f>
        <v>0</v>
      </c>
      <c r="BI1035" s="28">
        <f>F1035*AP1035</f>
        <v>0</v>
      </c>
      <c r="BJ1035" s="28">
        <f>F1035*G1035</f>
        <v>0</v>
      </c>
      <c r="BK1035" s="28"/>
      <c r="BL1035" s="28">
        <v>18</v>
      </c>
      <c r="BW1035" s="28">
        <v>21</v>
      </c>
      <c r="BX1035" s="4" t="s">
        <v>1834</v>
      </c>
    </row>
    <row r="1036" spans="1:76" ht="13.5" customHeight="1" x14ac:dyDescent="0.3">
      <c r="A1036" s="31"/>
      <c r="B1036" s="35" t="s">
        <v>105</v>
      </c>
      <c r="C1036" s="96" t="s">
        <v>1835</v>
      </c>
      <c r="D1036" s="97"/>
      <c r="E1036" s="97"/>
      <c r="F1036" s="97"/>
      <c r="G1036" s="97"/>
      <c r="H1036" s="97"/>
      <c r="I1036" s="97"/>
      <c r="J1036" s="97"/>
      <c r="K1036" s="98"/>
    </row>
    <row r="1037" spans="1:76" ht="14.4" x14ac:dyDescent="0.3">
      <c r="A1037" s="2" t="s">
        <v>1836</v>
      </c>
      <c r="B1037" s="3" t="s">
        <v>1837</v>
      </c>
      <c r="C1037" s="75" t="s">
        <v>1838</v>
      </c>
      <c r="D1037" s="70"/>
      <c r="E1037" s="3" t="s">
        <v>103</v>
      </c>
      <c r="F1037" s="28">
        <v>310</v>
      </c>
      <c r="G1037" s="28">
        <v>0</v>
      </c>
      <c r="H1037" s="28">
        <f>ROUND(F1037*AO1037,2)</f>
        <v>0</v>
      </c>
      <c r="I1037" s="28">
        <f>ROUND(F1037*AP1037,2)</f>
        <v>0</v>
      </c>
      <c r="J1037" s="28">
        <f>ROUND(F1037*G1037,2)</f>
        <v>0</v>
      </c>
      <c r="K1037" s="29" t="s">
        <v>60</v>
      </c>
      <c r="Z1037" s="28">
        <f>ROUND(IF(AQ1037="5",BJ1037,0),2)</f>
        <v>0</v>
      </c>
      <c r="AB1037" s="28">
        <f>ROUND(IF(AQ1037="1",BH1037,0),2)</f>
        <v>0</v>
      </c>
      <c r="AC1037" s="28">
        <f>ROUND(IF(AQ1037="1",BI1037,0),2)</f>
        <v>0</v>
      </c>
      <c r="AD1037" s="28">
        <f>ROUND(IF(AQ1037="7",BH1037,0),2)</f>
        <v>0</v>
      </c>
      <c r="AE1037" s="28">
        <f>ROUND(IF(AQ1037="7",BI1037,0),2)</f>
        <v>0</v>
      </c>
      <c r="AF1037" s="28">
        <f>ROUND(IF(AQ1037="2",BH1037,0),2)</f>
        <v>0</v>
      </c>
      <c r="AG1037" s="28">
        <f>ROUND(IF(AQ1037="2",BI1037,0),2)</f>
        <v>0</v>
      </c>
      <c r="AH1037" s="28">
        <f>ROUND(IF(AQ1037="0",BJ1037,0),2)</f>
        <v>0</v>
      </c>
      <c r="AI1037" s="10" t="s">
        <v>1554</v>
      </c>
      <c r="AJ1037" s="28">
        <f>IF(AN1037=0,J1037,0)</f>
        <v>0</v>
      </c>
      <c r="AK1037" s="28">
        <f>IF(AN1037=12,J1037,0)</f>
        <v>0</v>
      </c>
      <c r="AL1037" s="28">
        <f>IF(AN1037=21,J1037,0)</f>
        <v>0</v>
      </c>
      <c r="AN1037" s="28">
        <v>21</v>
      </c>
      <c r="AO1037" s="28">
        <f>G1037*0.689760489</f>
        <v>0</v>
      </c>
      <c r="AP1037" s="28">
        <f>G1037*(1-0.689760489)</f>
        <v>0</v>
      </c>
      <c r="AQ1037" s="30" t="s">
        <v>56</v>
      </c>
      <c r="AV1037" s="28">
        <f>ROUND(AW1037+AX1037,2)</f>
        <v>0</v>
      </c>
      <c r="AW1037" s="28">
        <f>ROUND(F1037*AO1037,2)</f>
        <v>0</v>
      </c>
      <c r="AX1037" s="28">
        <f>ROUND(F1037*AP1037,2)</f>
        <v>0</v>
      </c>
      <c r="AY1037" s="30" t="s">
        <v>195</v>
      </c>
      <c r="AZ1037" s="30" t="s">
        <v>1591</v>
      </c>
      <c r="BA1037" s="10" t="s">
        <v>1561</v>
      </c>
      <c r="BC1037" s="28">
        <f>AW1037+AX1037</f>
        <v>0</v>
      </c>
      <c r="BD1037" s="28">
        <f>G1037/(100-BE1037)*100</f>
        <v>0</v>
      </c>
      <c r="BE1037" s="28">
        <v>0</v>
      </c>
      <c r="BF1037" s="28">
        <f>1037</f>
        <v>1037</v>
      </c>
      <c r="BH1037" s="28">
        <f>F1037*AO1037</f>
        <v>0</v>
      </c>
      <c r="BI1037" s="28">
        <f>F1037*AP1037</f>
        <v>0</v>
      </c>
      <c r="BJ1037" s="28">
        <f>F1037*G1037</f>
        <v>0</v>
      </c>
      <c r="BK1037" s="28"/>
      <c r="BL1037" s="28">
        <v>18</v>
      </c>
      <c r="BW1037" s="28">
        <v>21</v>
      </c>
      <c r="BX1037" s="4" t="s">
        <v>1838</v>
      </c>
    </row>
    <row r="1038" spans="1:76" ht="13.5" customHeight="1" x14ac:dyDescent="0.3">
      <c r="A1038" s="31"/>
      <c r="B1038" s="35" t="s">
        <v>105</v>
      </c>
      <c r="C1038" s="96" t="s">
        <v>1835</v>
      </c>
      <c r="D1038" s="97"/>
      <c r="E1038" s="97"/>
      <c r="F1038" s="97"/>
      <c r="G1038" s="97"/>
      <c r="H1038" s="97"/>
      <c r="I1038" s="97"/>
      <c r="J1038" s="97"/>
      <c r="K1038" s="98"/>
    </row>
    <row r="1039" spans="1:76" ht="14.4" x14ac:dyDescent="0.3">
      <c r="A1039" s="24" t="s">
        <v>51</v>
      </c>
      <c r="B1039" s="25" t="s">
        <v>362</v>
      </c>
      <c r="C1039" s="91" t="s">
        <v>363</v>
      </c>
      <c r="D1039" s="92"/>
      <c r="E1039" s="26" t="s">
        <v>4</v>
      </c>
      <c r="F1039" s="26" t="s">
        <v>4</v>
      </c>
      <c r="G1039" s="26" t="s">
        <v>4</v>
      </c>
      <c r="H1039" s="1">
        <f>SUM(H1040:H1043)</f>
        <v>0</v>
      </c>
      <c r="I1039" s="1">
        <f>SUM(I1040:I1043)</f>
        <v>0</v>
      </c>
      <c r="J1039" s="1">
        <f>SUM(J1040:J1043)</f>
        <v>0</v>
      </c>
      <c r="K1039" s="27" t="s">
        <v>51</v>
      </c>
      <c r="AI1039" s="10" t="s">
        <v>1554</v>
      </c>
      <c r="AS1039" s="1">
        <f>SUM(AJ1040:AJ1043)</f>
        <v>0</v>
      </c>
      <c r="AT1039" s="1">
        <f>SUM(AK1040:AK1043)</f>
        <v>0</v>
      </c>
      <c r="AU1039" s="1">
        <f>SUM(AL1040:AL1043)</f>
        <v>0</v>
      </c>
    </row>
    <row r="1040" spans="1:76" ht="14.4" x14ac:dyDescent="0.3">
      <c r="A1040" s="2" t="s">
        <v>1839</v>
      </c>
      <c r="B1040" s="3" t="s">
        <v>1840</v>
      </c>
      <c r="C1040" s="75" t="s">
        <v>861</v>
      </c>
      <c r="D1040" s="70"/>
      <c r="E1040" s="3" t="s">
        <v>103</v>
      </c>
      <c r="F1040" s="28">
        <v>9.4499999999999993</v>
      </c>
      <c r="G1040" s="28">
        <v>0</v>
      </c>
      <c r="H1040" s="28">
        <f>ROUND(F1040*AO1040,2)</f>
        <v>0</v>
      </c>
      <c r="I1040" s="28">
        <f>ROUND(F1040*AP1040,2)</f>
        <v>0</v>
      </c>
      <c r="J1040" s="28">
        <f>ROUND(F1040*G1040,2)</f>
        <v>0</v>
      </c>
      <c r="K1040" s="29" t="s">
        <v>60</v>
      </c>
      <c r="Z1040" s="28">
        <f>ROUND(IF(AQ1040="5",BJ1040,0),2)</f>
        <v>0</v>
      </c>
      <c r="AB1040" s="28">
        <f>ROUND(IF(AQ1040="1",BH1040,0),2)</f>
        <v>0</v>
      </c>
      <c r="AC1040" s="28">
        <f>ROUND(IF(AQ1040="1",BI1040,0),2)</f>
        <v>0</v>
      </c>
      <c r="AD1040" s="28">
        <f>ROUND(IF(AQ1040="7",BH1040,0),2)</f>
        <v>0</v>
      </c>
      <c r="AE1040" s="28">
        <f>ROUND(IF(AQ1040="7",BI1040,0),2)</f>
        <v>0</v>
      </c>
      <c r="AF1040" s="28">
        <f>ROUND(IF(AQ1040="2",BH1040,0),2)</f>
        <v>0</v>
      </c>
      <c r="AG1040" s="28">
        <f>ROUND(IF(AQ1040="2",BI1040,0),2)</f>
        <v>0</v>
      </c>
      <c r="AH1040" s="28">
        <f>ROUND(IF(AQ1040="0",BJ1040,0),2)</f>
        <v>0</v>
      </c>
      <c r="AI1040" s="10" t="s">
        <v>1554</v>
      </c>
      <c r="AJ1040" s="28">
        <f>IF(AN1040=0,J1040,0)</f>
        <v>0</v>
      </c>
      <c r="AK1040" s="28">
        <f>IF(AN1040=12,J1040,0)</f>
        <v>0</v>
      </c>
      <c r="AL1040" s="28">
        <f>IF(AN1040=21,J1040,0)</f>
        <v>0</v>
      </c>
      <c r="AN1040" s="28">
        <v>21</v>
      </c>
      <c r="AO1040" s="28">
        <f>G1040*0</f>
        <v>0</v>
      </c>
      <c r="AP1040" s="28">
        <f>G1040*(1-0)</f>
        <v>0</v>
      </c>
      <c r="AQ1040" s="30" t="s">
        <v>118</v>
      </c>
      <c r="AV1040" s="28">
        <f>ROUND(AW1040+AX1040,2)</f>
        <v>0</v>
      </c>
      <c r="AW1040" s="28">
        <f>ROUND(F1040*AO1040,2)</f>
        <v>0</v>
      </c>
      <c r="AX1040" s="28">
        <f>ROUND(F1040*AP1040,2)</f>
        <v>0</v>
      </c>
      <c r="AY1040" s="30" t="s">
        <v>367</v>
      </c>
      <c r="AZ1040" s="30" t="s">
        <v>1841</v>
      </c>
      <c r="BA1040" s="10" t="s">
        <v>1561</v>
      </c>
      <c r="BC1040" s="28">
        <f>AW1040+AX1040</f>
        <v>0</v>
      </c>
      <c r="BD1040" s="28">
        <f>G1040/(100-BE1040)*100</f>
        <v>0</v>
      </c>
      <c r="BE1040" s="28">
        <v>0</v>
      </c>
      <c r="BF1040" s="28">
        <f>1040</f>
        <v>1040</v>
      </c>
      <c r="BH1040" s="28">
        <f>F1040*AO1040</f>
        <v>0</v>
      </c>
      <c r="BI1040" s="28">
        <f>F1040*AP1040</f>
        <v>0</v>
      </c>
      <c r="BJ1040" s="28">
        <f>F1040*G1040</f>
        <v>0</v>
      </c>
      <c r="BK1040" s="28"/>
      <c r="BL1040" s="28">
        <v>711</v>
      </c>
      <c r="BW1040" s="28">
        <v>21</v>
      </c>
      <c r="BX1040" s="4" t="s">
        <v>861</v>
      </c>
    </row>
    <row r="1041" spans="1:76" ht="13.5" customHeight="1" x14ac:dyDescent="0.3">
      <c r="A1041" s="31"/>
      <c r="B1041" s="35" t="s">
        <v>105</v>
      </c>
      <c r="C1041" s="96" t="s">
        <v>1842</v>
      </c>
      <c r="D1041" s="97"/>
      <c r="E1041" s="97"/>
      <c r="F1041" s="97"/>
      <c r="G1041" s="97"/>
      <c r="H1041" s="97"/>
      <c r="I1041" s="97"/>
      <c r="J1041" s="97"/>
      <c r="K1041" s="98"/>
    </row>
    <row r="1042" spans="1:76" ht="14.4" x14ac:dyDescent="0.3">
      <c r="A1042" s="2" t="s">
        <v>1843</v>
      </c>
      <c r="B1042" s="3" t="s">
        <v>1844</v>
      </c>
      <c r="C1042" s="75" t="s">
        <v>1845</v>
      </c>
      <c r="D1042" s="70"/>
      <c r="E1042" s="3" t="s">
        <v>1381</v>
      </c>
      <c r="F1042" s="28">
        <v>21</v>
      </c>
      <c r="G1042" s="28">
        <v>0</v>
      </c>
      <c r="H1042" s="28">
        <f>ROUND(F1042*AO1042,2)</f>
        <v>0</v>
      </c>
      <c r="I1042" s="28">
        <f>ROUND(F1042*AP1042,2)</f>
        <v>0</v>
      </c>
      <c r="J1042" s="28">
        <f>ROUND(F1042*G1042,2)</f>
        <v>0</v>
      </c>
      <c r="K1042" s="29" t="s">
        <v>60</v>
      </c>
      <c r="Z1042" s="28">
        <f>ROUND(IF(AQ1042="5",BJ1042,0),2)</f>
        <v>0</v>
      </c>
      <c r="AB1042" s="28">
        <f>ROUND(IF(AQ1042="1",BH1042,0),2)</f>
        <v>0</v>
      </c>
      <c r="AC1042" s="28">
        <f>ROUND(IF(AQ1042="1",BI1042,0),2)</f>
        <v>0</v>
      </c>
      <c r="AD1042" s="28">
        <f>ROUND(IF(AQ1042="7",BH1042,0),2)</f>
        <v>0</v>
      </c>
      <c r="AE1042" s="28">
        <f>ROUND(IF(AQ1042="7",BI1042,0),2)</f>
        <v>0</v>
      </c>
      <c r="AF1042" s="28">
        <f>ROUND(IF(AQ1042="2",BH1042,0),2)</f>
        <v>0</v>
      </c>
      <c r="AG1042" s="28">
        <f>ROUND(IF(AQ1042="2",BI1042,0),2)</f>
        <v>0</v>
      </c>
      <c r="AH1042" s="28">
        <f>ROUND(IF(AQ1042="0",BJ1042,0),2)</f>
        <v>0</v>
      </c>
      <c r="AI1042" s="10" t="s">
        <v>1554</v>
      </c>
      <c r="AJ1042" s="28">
        <f>IF(AN1042=0,J1042,0)</f>
        <v>0</v>
      </c>
      <c r="AK1042" s="28">
        <f>IF(AN1042=12,J1042,0)</f>
        <v>0</v>
      </c>
      <c r="AL1042" s="28">
        <f>IF(AN1042=21,J1042,0)</f>
        <v>0</v>
      </c>
      <c r="AN1042" s="28">
        <v>21</v>
      </c>
      <c r="AO1042" s="28">
        <f>G1042*1</f>
        <v>0</v>
      </c>
      <c r="AP1042" s="28">
        <f>G1042*(1-1)</f>
        <v>0</v>
      </c>
      <c r="AQ1042" s="30" t="s">
        <v>118</v>
      </c>
      <c r="AV1042" s="28">
        <f>ROUND(AW1042+AX1042,2)</f>
        <v>0</v>
      </c>
      <c r="AW1042" s="28">
        <f>ROUND(F1042*AO1042,2)</f>
        <v>0</v>
      </c>
      <c r="AX1042" s="28">
        <f>ROUND(F1042*AP1042,2)</f>
        <v>0</v>
      </c>
      <c r="AY1042" s="30" t="s">
        <v>367</v>
      </c>
      <c r="AZ1042" s="30" t="s">
        <v>1841</v>
      </c>
      <c r="BA1042" s="10" t="s">
        <v>1561</v>
      </c>
      <c r="BC1042" s="28">
        <f>AW1042+AX1042</f>
        <v>0</v>
      </c>
      <c r="BD1042" s="28">
        <f>G1042/(100-BE1042)*100</f>
        <v>0</v>
      </c>
      <c r="BE1042" s="28">
        <v>0</v>
      </c>
      <c r="BF1042" s="28">
        <f>1042</f>
        <v>1042</v>
      </c>
      <c r="BH1042" s="28">
        <f>F1042*AO1042</f>
        <v>0</v>
      </c>
      <c r="BI1042" s="28">
        <f>F1042*AP1042</f>
        <v>0</v>
      </c>
      <c r="BJ1042" s="28">
        <f>F1042*G1042</f>
        <v>0</v>
      </c>
      <c r="BK1042" s="28"/>
      <c r="BL1042" s="28">
        <v>711</v>
      </c>
      <c r="BW1042" s="28">
        <v>21</v>
      </c>
      <c r="BX1042" s="4" t="s">
        <v>1845</v>
      </c>
    </row>
    <row r="1043" spans="1:76" ht="14.4" x14ac:dyDescent="0.3">
      <c r="A1043" s="2" t="s">
        <v>1846</v>
      </c>
      <c r="B1043" s="3" t="s">
        <v>1847</v>
      </c>
      <c r="C1043" s="75" t="s">
        <v>1848</v>
      </c>
      <c r="D1043" s="70"/>
      <c r="E1043" s="3" t="s">
        <v>931</v>
      </c>
      <c r="F1043" s="28">
        <v>31.5</v>
      </c>
      <c r="G1043" s="28">
        <v>0</v>
      </c>
      <c r="H1043" s="28">
        <f>ROUND(F1043*AO1043,2)</f>
        <v>0</v>
      </c>
      <c r="I1043" s="28">
        <f>ROUND(F1043*AP1043,2)</f>
        <v>0</v>
      </c>
      <c r="J1043" s="28">
        <f>ROUND(F1043*G1043,2)</f>
        <v>0</v>
      </c>
      <c r="K1043" s="29" t="s">
        <v>60</v>
      </c>
      <c r="Z1043" s="28">
        <f>ROUND(IF(AQ1043="5",BJ1043,0),2)</f>
        <v>0</v>
      </c>
      <c r="AB1043" s="28">
        <f>ROUND(IF(AQ1043="1",BH1043,0),2)</f>
        <v>0</v>
      </c>
      <c r="AC1043" s="28">
        <f>ROUND(IF(AQ1043="1",BI1043,0),2)</f>
        <v>0</v>
      </c>
      <c r="AD1043" s="28">
        <f>ROUND(IF(AQ1043="7",BH1043,0),2)</f>
        <v>0</v>
      </c>
      <c r="AE1043" s="28">
        <f>ROUND(IF(AQ1043="7",BI1043,0),2)</f>
        <v>0</v>
      </c>
      <c r="AF1043" s="28">
        <f>ROUND(IF(AQ1043="2",BH1043,0),2)</f>
        <v>0</v>
      </c>
      <c r="AG1043" s="28">
        <f>ROUND(IF(AQ1043="2",BI1043,0),2)</f>
        <v>0</v>
      </c>
      <c r="AH1043" s="28">
        <f>ROUND(IF(AQ1043="0",BJ1043,0),2)</f>
        <v>0</v>
      </c>
      <c r="AI1043" s="10" t="s">
        <v>1554</v>
      </c>
      <c r="AJ1043" s="28">
        <f>IF(AN1043=0,J1043,0)</f>
        <v>0</v>
      </c>
      <c r="AK1043" s="28">
        <f>IF(AN1043=12,J1043,0)</f>
        <v>0</v>
      </c>
      <c r="AL1043" s="28">
        <f>IF(AN1043=21,J1043,0)</f>
        <v>0</v>
      </c>
      <c r="AN1043" s="28">
        <v>21</v>
      </c>
      <c r="AO1043" s="28">
        <f>G1043*1</f>
        <v>0</v>
      </c>
      <c r="AP1043" s="28">
        <f>G1043*(1-1)</f>
        <v>0</v>
      </c>
      <c r="AQ1043" s="30" t="s">
        <v>118</v>
      </c>
      <c r="AV1043" s="28">
        <f>ROUND(AW1043+AX1043,2)</f>
        <v>0</v>
      </c>
      <c r="AW1043" s="28">
        <f>ROUND(F1043*AO1043,2)</f>
        <v>0</v>
      </c>
      <c r="AX1043" s="28">
        <f>ROUND(F1043*AP1043,2)</f>
        <v>0</v>
      </c>
      <c r="AY1043" s="30" t="s">
        <v>367</v>
      </c>
      <c r="AZ1043" s="30" t="s">
        <v>1841</v>
      </c>
      <c r="BA1043" s="10" t="s">
        <v>1561</v>
      </c>
      <c r="BC1043" s="28">
        <f>AW1043+AX1043</f>
        <v>0</v>
      </c>
      <c r="BD1043" s="28">
        <f>G1043/(100-BE1043)*100</f>
        <v>0</v>
      </c>
      <c r="BE1043" s="28">
        <v>0</v>
      </c>
      <c r="BF1043" s="28">
        <f>1043</f>
        <v>1043</v>
      </c>
      <c r="BH1043" s="28">
        <f>F1043*AO1043</f>
        <v>0</v>
      </c>
      <c r="BI1043" s="28">
        <f>F1043*AP1043</f>
        <v>0</v>
      </c>
      <c r="BJ1043" s="28">
        <f>F1043*G1043</f>
        <v>0</v>
      </c>
      <c r="BK1043" s="28"/>
      <c r="BL1043" s="28">
        <v>711</v>
      </c>
      <c r="BW1043" s="28">
        <v>21</v>
      </c>
      <c r="BX1043" s="4" t="s">
        <v>1848</v>
      </c>
    </row>
    <row r="1044" spans="1:76" ht="14.4" x14ac:dyDescent="0.3">
      <c r="A1044" s="31"/>
      <c r="C1044" s="32" t="s">
        <v>1849</v>
      </c>
      <c r="D1044" s="32" t="s">
        <v>51</v>
      </c>
      <c r="F1044" s="33">
        <v>31.5</v>
      </c>
      <c r="K1044" s="34"/>
    </row>
    <row r="1045" spans="1:76" ht="14.4" x14ac:dyDescent="0.3">
      <c r="A1045" s="24" t="s">
        <v>51</v>
      </c>
      <c r="B1045" s="25" t="s">
        <v>1850</v>
      </c>
      <c r="C1045" s="91" t="s">
        <v>1851</v>
      </c>
      <c r="D1045" s="92"/>
      <c r="E1045" s="26" t="s">
        <v>4</v>
      </c>
      <c r="F1045" s="26" t="s">
        <v>4</v>
      </c>
      <c r="G1045" s="26" t="s">
        <v>4</v>
      </c>
      <c r="H1045" s="1">
        <f>SUM(H1046:H1046)</f>
        <v>0</v>
      </c>
      <c r="I1045" s="1">
        <f>SUM(I1046:I1046)</f>
        <v>0</v>
      </c>
      <c r="J1045" s="1">
        <f>SUM(J1046:J1046)</f>
        <v>0</v>
      </c>
      <c r="K1045" s="27" t="s">
        <v>51</v>
      </c>
      <c r="AI1045" s="10" t="s">
        <v>1554</v>
      </c>
      <c r="AS1045" s="1">
        <f>SUM(AJ1046:AJ1046)</f>
        <v>0</v>
      </c>
      <c r="AT1045" s="1">
        <f>SUM(AK1046:AK1046)</f>
        <v>0</v>
      </c>
      <c r="AU1045" s="1">
        <f>SUM(AL1046:AL1046)</f>
        <v>0</v>
      </c>
    </row>
    <row r="1046" spans="1:76" ht="14.4" x14ac:dyDescent="0.3">
      <c r="A1046" s="2" t="s">
        <v>1852</v>
      </c>
      <c r="B1046" s="3" t="s">
        <v>1853</v>
      </c>
      <c r="C1046" s="75" t="s">
        <v>1854</v>
      </c>
      <c r="D1046" s="70"/>
      <c r="E1046" s="3" t="s">
        <v>201</v>
      </c>
      <c r="F1046" s="28">
        <v>122.63</v>
      </c>
      <c r="G1046" s="28">
        <v>0</v>
      </c>
      <c r="H1046" s="28">
        <f>ROUND(F1046*AO1046,2)</f>
        <v>0</v>
      </c>
      <c r="I1046" s="28">
        <f>ROUND(F1046*AP1046,2)</f>
        <v>0</v>
      </c>
      <c r="J1046" s="28">
        <f>ROUND(F1046*G1046,2)</f>
        <v>0</v>
      </c>
      <c r="K1046" s="29" t="s">
        <v>60</v>
      </c>
      <c r="Z1046" s="28">
        <f>ROUND(IF(AQ1046="5",BJ1046,0),2)</f>
        <v>0</v>
      </c>
      <c r="AB1046" s="28">
        <f>ROUND(IF(AQ1046="1",BH1046,0),2)</f>
        <v>0</v>
      </c>
      <c r="AC1046" s="28">
        <f>ROUND(IF(AQ1046="1",BI1046,0),2)</f>
        <v>0</v>
      </c>
      <c r="AD1046" s="28">
        <f>ROUND(IF(AQ1046="7",BH1046,0),2)</f>
        <v>0</v>
      </c>
      <c r="AE1046" s="28">
        <f>ROUND(IF(AQ1046="7",BI1046,0),2)</f>
        <v>0</v>
      </c>
      <c r="AF1046" s="28">
        <f>ROUND(IF(AQ1046="2",BH1046,0),2)</f>
        <v>0</v>
      </c>
      <c r="AG1046" s="28">
        <f>ROUND(IF(AQ1046="2",BI1046,0),2)</f>
        <v>0</v>
      </c>
      <c r="AH1046" s="28">
        <f>ROUND(IF(AQ1046="0",BJ1046,0),2)</f>
        <v>0</v>
      </c>
      <c r="AI1046" s="10" t="s">
        <v>1554</v>
      </c>
      <c r="AJ1046" s="28">
        <f>IF(AN1046=0,J1046,0)</f>
        <v>0</v>
      </c>
      <c r="AK1046" s="28">
        <f>IF(AN1046=12,J1046,0)</f>
        <v>0</v>
      </c>
      <c r="AL1046" s="28">
        <f>IF(AN1046=21,J1046,0)</f>
        <v>0</v>
      </c>
      <c r="AN1046" s="28">
        <v>21</v>
      </c>
      <c r="AO1046" s="28">
        <f>G1046*0</f>
        <v>0</v>
      </c>
      <c r="AP1046" s="28">
        <f>G1046*(1-0)</f>
        <v>0</v>
      </c>
      <c r="AQ1046" s="30" t="s">
        <v>100</v>
      </c>
      <c r="AV1046" s="28">
        <f>ROUND(AW1046+AX1046,2)</f>
        <v>0</v>
      </c>
      <c r="AW1046" s="28">
        <f>ROUND(F1046*AO1046,2)</f>
        <v>0</v>
      </c>
      <c r="AX1046" s="28">
        <f>ROUND(F1046*AP1046,2)</f>
        <v>0</v>
      </c>
      <c r="AY1046" s="30" t="s">
        <v>1855</v>
      </c>
      <c r="AZ1046" s="30" t="s">
        <v>1856</v>
      </c>
      <c r="BA1046" s="10" t="s">
        <v>1561</v>
      </c>
      <c r="BC1046" s="28">
        <f>AW1046+AX1046</f>
        <v>0</v>
      </c>
      <c r="BD1046" s="28">
        <f>G1046/(100-BE1046)*100</f>
        <v>0</v>
      </c>
      <c r="BE1046" s="28">
        <v>0</v>
      </c>
      <c r="BF1046" s="28">
        <f>1046</f>
        <v>1046</v>
      </c>
      <c r="BH1046" s="28">
        <f>F1046*AO1046</f>
        <v>0</v>
      </c>
      <c r="BI1046" s="28">
        <f>F1046*AP1046</f>
        <v>0</v>
      </c>
      <c r="BJ1046" s="28">
        <f>F1046*G1046</f>
        <v>0</v>
      </c>
      <c r="BK1046" s="28"/>
      <c r="BL1046" s="28"/>
      <c r="BW1046" s="28">
        <v>21</v>
      </c>
      <c r="BX1046" s="4" t="s">
        <v>1854</v>
      </c>
    </row>
    <row r="1047" spans="1:76" ht="14.4" x14ac:dyDescent="0.3">
      <c r="A1047" s="24" t="s">
        <v>51</v>
      </c>
      <c r="B1047" s="25" t="s">
        <v>51</v>
      </c>
      <c r="C1047" s="91" t="s">
        <v>1857</v>
      </c>
      <c r="D1047" s="92"/>
      <c r="E1047" s="26" t="s">
        <v>4</v>
      </c>
      <c r="F1047" s="26" t="s">
        <v>4</v>
      </c>
      <c r="G1047" s="26" t="s">
        <v>4</v>
      </c>
      <c r="H1047" s="1">
        <f>H1048+H1078+H1087+H1093+H1110</f>
        <v>0</v>
      </c>
      <c r="I1047" s="1">
        <f>I1048+I1078+I1087+I1093+I1110</f>
        <v>0</v>
      </c>
      <c r="J1047" s="1">
        <f>J1048+J1078+J1087+J1093+J1110</f>
        <v>0</v>
      </c>
      <c r="K1047" s="27" t="s">
        <v>51</v>
      </c>
    </row>
    <row r="1048" spans="1:76" ht="14.4" x14ac:dyDescent="0.3">
      <c r="A1048" s="24" t="s">
        <v>51</v>
      </c>
      <c r="B1048" s="25" t="s">
        <v>145</v>
      </c>
      <c r="C1048" s="91" t="s">
        <v>1858</v>
      </c>
      <c r="D1048" s="92"/>
      <c r="E1048" s="26" t="s">
        <v>4</v>
      </c>
      <c r="F1048" s="26" t="s">
        <v>4</v>
      </c>
      <c r="G1048" s="26" t="s">
        <v>4</v>
      </c>
      <c r="H1048" s="1">
        <f>SUM(H1049:H1074)</f>
        <v>0</v>
      </c>
      <c r="I1048" s="1">
        <f>SUM(I1049:I1074)</f>
        <v>0</v>
      </c>
      <c r="J1048" s="1">
        <f>SUM(J1049:J1074)</f>
        <v>0</v>
      </c>
      <c r="K1048" s="27" t="s">
        <v>51</v>
      </c>
      <c r="AI1048" s="10" t="s">
        <v>1859</v>
      </c>
      <c r="AS1048" s="1">
        <f>SUM(AJ1049:AJ1074)</f>
        <v>0</v>
      </c>
      <c r="AT1048" s="1">
        <f>SUM(AK1049:AK1074)</f>
        <v>0</v>
      </c>
      <c r="AU1048" s="1">
        <f>SUM(AL1049:AL1074)</f>
        <v>0</v>
      </c>
    </row>
    <row r="1049" spans="1:76" ht="14.4" x14ac:dyDescent="0.3">
      <c r="A1049" s="2" t="s">
        <v>1860</v>
      </c>
      <c r="B1049" s="3" t="s">
        <v>1861</v>
      </c>
      <c r="C1049" s="75" t="s">
        <v>1862</v>
      </c>
      <c r="D1049" s="70"/>
      <c r="E1049" s="3" t="s">
        <v>103</v>
      </c>
      <c r="F1049" s="28">
        <v>22</v>
      </c>
      <c r="G1049" s="28">
        <v>0</v>
      </c>
      <c r="H1049" s="28">
        <f>ROUND(F1049*AO1049,2)</f>
        <v>0</v>
      </c>
      <c r="I1049" s="28">
        <f>ROUND(F1049*AP1049,2)</f>
        <v>0</v>
      </c>
      <c r="J1049" s="28">
        <f>ROUND(F1049*G1049,2)</f>
        <v>0</v>
      </c>
      <c r="K1049" s="29" t="s">
        <v>60</v>
      </c>
      <c r="Z1049" s="28">
        <f>ROUND(IF(AQ1049="5",BJ1049,0),2)</f>
        <v>0</v>
      </c>
      <c r="AB1049" s="28">
        <f>ROUND(IF(AQ1049="1",BH1049,0),2)</f>
        <v>0</v>
      </c>
      <c r="AC1049" s="28">
        <f>ROUND(IF(AQ1049="1",BI1049,0),2)</f>
        <v>0</v>
      </c>
      <c r="AD1049" s="28">
        <f>ROUND(IF(AQ1049="7",BH1049,0),2)</f>
        <v>0</v>
      </c>
      <c r="AE1049" s="28">
        <f>ROUND(IF(AQ1049="7",BI1049,0),2)</f>
        <v>0</v>
      </c>
      <c r="AF1049" s="28">
        <f>ROUND(IF(AQ1049="2",BH1049,0),2)</f>
        <v>0</v>
      </c>
      <c r="AG1049" s="28">
        <f>ROUND(IF(AQ1049="2",BI1049,0),2)</f>
        <v>0</v>
      </c>
      <c r="AH1049" s="28">
        <f>ROUND(IF(AQ1049="0",BJ1049,0),2)</f>
        <v>0</v>
      </c>
      <c r="AI1049" s="10" t="s">
        <v>1859</v>
      </c>
      <c r="AJ1049" s="28">
        <f>IF(AN1049=0,J1049,0)</f>
        <v>0</v>
      </c>
      <c r="AK1049" s="28">
        <f>IF(AN1049=12,J1049,0)</f>
        <v>0</v>
      </c>
      <c r="AL1049" s="28">
        <f>IF(AN1049=21,J1049,0)</f>
        <v>0</v>
      </c>
      <c r="AN1049" s="28">
        <v>21</v>
      </c>
      <c r="AO1049" s="28">
        <f>G1049*0</f>
        <v>0</v>
      </c>
      <c r="AP1049" s="28">
        <f>G1049*(1-0)</f>
        <v>0</v>
      </c>
      <c r="AQ1049" s="30" t="s">
        <v>56</v>
      </c>
      <c r="AV1049" s="28">
        <f>ROUND(AW1049+AX1049,2)</f>
        <v>0</v>
      </c>
      <c r="AW1049" s="28">
        <f>ROUND(F1049*AO1049,2)</f>
        <v>0</v>
      </c>
      <c r="AX1049" s="28">
        <f>ROUND(F1049*AP1049,2)</f>
        <v>0</v>
      </c>
      <c r="AY1049" s="30" t="s">
        <v>1863</v>
      </c>
      <c r="AZ1049" s="30" t="s">
        <v>1864</v>
      </c>
      <c r="BA1049" s="10" t="s">
        <v>1865</v>
      </c>
      <c r="BC1049" s="28">
        <f>AW1049+AX1049</f>
        <v>0</v>
      </c>
      <c r="BD1049" s="28">
        <f>G1049/(100-BE1049)*100</f>
        <v>0</v>
      </c>
      <c r="BE1049" s="28">
        <v>0</v>
      </c>
      <c r="BF1049" s="28">
        <f>1049</f>
        <v>1049</v>
      </c>
      <c r="BH1049" s="28">
        <f>F1049*AO1049</f>
        <v>0</v>
      </c>
      <c r="BI1049" s="28">
        <f>F1049*AP1049</f>
        <v>0</v>
      </c>
      <c r="BJ1049" s="28">
        <f>F1049*G1049</f>
        <v>0</v>
      </c>
      <c r="BK1049" s="28"/>
      <c r="BL1049" s="28">
        <v>11</v>
      </c>
      <c r="BW1049" s="28">
        <v>21</v>
      </c>
      <c r="BX1049" s="4" t="s">
        <v>1862</v>
      </c>
    </row>
    <row r="1050" spans="1:76" ht="14.4" x14ac:dyDescent="0.3">
      <c r="A1050" s="2" t="s">
        <v>1866</v>
      </c>
      <c r="B1050" s="3" t="s">
        <v>1867</v>
      </c>
      <c r="C1050" s="75" t="s">
        <v>1868</v>
      </c>
      <c r="D1050" s="70"/>
      <c r="E1050" s="3" t="s">
        <v>293</v>
      </c>
      <c r="F1050" s="28">
        <v>1</v>
      </c>
      <c r="G1050" s="28">
        <v>0</v>
      </c>
      <c r="H1050" s="28">
        <f>ROUND(F1050*AO1050,2)</f>
        <v>0</v>
      </c>
      <c r="I1050" s="28">
        <f>ROUND(F1050*AP1050,2)</f>
        <v>0</v>
      </c>
      <c r="J1050" s="28">
        <f>ROUND(F1050*G1050,2)</f>
        <v>0</v>
      </c>
      <c r="K1050" s="29" t="s">
        <v>60</v>
      </c>
      <c r="Z1050" s="28">
        <f>ROUND(IF(AQ1050="5",BJ1050,0),2)</f>
        <v>0</v>
      </c>
      <c r="AB1050" s="28">
        <f>ROUND(IF(AQ1050="1",BH1050,0),2)</f>
        <v>0</v>
      </c>
      <c r="AC1050" s="28">
        <f>ROUND(IF(AQ1050="1",BI1050,0),2)</f>
        <v>0</v>
      </c>
      <c r="AD1050" s="28">
        <f>ROUND(IF(AQ1050="7",BH1050,0),2)</f>
        <v>0</v>
      </c>
      <c r="AE1050" s="28">
        <f>ROUND(IF(AQ1050="7",BI1050,0),2)</f>
        <v>0</v>
      </c>
      <c r="AF1050" s="28">
        <f>ROUND(IF(AQ1050="2",BH1050,0),2)</f>
        <v>0</v>
      </c>
      <c r="AG1050" s="28">
        <f>ROUND(IF(AQ1050="2",BI1050,0),2)</f>
        <v>0</v>
      </c>
      <c r="AH1050" s="28">
        <f>ROUND(IF(AQ1050="0",BJ1050,0),2)</f>
        <v>0</v>
      </c>
      <c r="AI1050" s="10" t="s">
        <v>1859</v>
      </c>
      <c r="AJ1050" s="28">
        <f>IF(AN1050=0,J1050,0)</f>
        <v>0</v>
      </c>
      <c r="AK1050" s="28">
        <f>IF(AN1050=12,J1050,0)</f>
        <v>0</v>
      </c>
      <c r="AL1050" s="28">
        <f>IF(AN1050=21,J1050,0)</f>
        <v>0</v>
      </c>
      <c r="AN1050" s="28">
        <v>21</v>
      </c>
      <c r="AO1050" s="28">
        <f>G1050*0</f>
        <v>0</v>
      </c>
      <c r="AP1050" s="28">
        <f>G1050*(1-0)</f>
        <v>0</v>
      </c>
      <c r="AQ1050" s="30" t="s">
        <v>56</v>
      </c>
      <c r="AV1050" s="28">
        <f>ROUND(AW1050+AX1050,2)</f>
        <v>0</v>
      </c>
      <c r="AW1050" s="28">
        <f>ROUND(F1050*AO1050,2)</f>
        <v>0</v>
      </c>
      <c r="AX1050" s="28">
        <f>ROUND(F1050*AP1050,2)</f>
        <v>0</v>
      </c>
      <c r="AY1050" s="30" t="s">
        <v>1863</v>
      </c>
      <c r="AZ1050" s="30" t="s">
        <v>1864</v>
      </c>
      <c r="BA1050" s="10" t="s">
        <v>1865</v>
      </c>
      <c r="BC1050" s="28">
        <f>AW1050+AX1050</f>
        <v>0</v>
      </c>
      <c r="BD1050" s="28">
        <f>G1050/(100-BE1050)*100</f>
        <v>0</v>
      </c>
      <c r="BE1050" s="28">
        <v>0</v>
      </c>
      <c r="BF1050" s="28">
        <f>1050</f>
        <v>1050</v>
      </c>
      <c r="BH1050" s="28">
        <f>F1050*AO1050</f>
        <v>0</v>
      </c>
      <c r="BI1050" s="28">
        <f>F1050*AP1050</f>
        <v>0</v>
      </c>
      <c r="BJ1050" s="28">
        <f>F1050*G1050</f>
        <v>0</v>
      </c>
      <c r="BK1050" s="28"/>
      <c r="BL1050" s="28">
        <v>11</v>
      </c>
      <c r="BW1050" s="28">
        <v>21</v>
      </c>
      <c r="BX1050" s="4" t="s">
        <v>1868</v>
      </c>
    </row>
    <row r="1051" spans="1:76" ht="14.4" x14ac:dyDescent="0.3">
      <c r="A1051" s="31"/>
      <c r="C1051" s="32" t="s">
        <v>56</v>
      </c>
      <c r="D1051" s="32" t="s">
        <v>1869</v>
      </c>
      <c r="F1051" s="33">
        <v>1</v>
      </c>
      <c r="K1051" s="34"/>
    </row>
    <row r="1052" spans="1:76" ht="14.4" x14ac:dyDescent="0.3">
      <c r="A1052" s="2" t="s">
        <v>1870</v>
      </c>
      <c r="B1052" s="3" t="s">
        <v>1871</v>
      </c>
      <c r="C1052" s="75" t="s">
        <v>1872</v>
      </c>
      <c r="D1052" s="70"/>
      <c r="E1052" s="3" t="s">
        <v>293</v>
      </c>
      <c r="F1052" s="28">
        <v>1</v>
      </c>
      <c r="G1052" s="28">
        <v>0</v>
      </c>
      <c r="H1052" s="28">
        <f>ROUND(F1052*AO1052,2)</f>
        <v>0</v>
      </c>
      <c r="I1052" s="28">
        <f>ROUND(F1052*AP1052,2)</f>
        <v>0</v>
      </c>
      <c r="J1052" s="28">
        <f>ROUND(F1052*G1052,2)</f>
        <v>0</v>
      </c>
      <c r="K1052" s="29" t="s">
        <v>60</v>
      </c>
      <c r="Z1052" s="28">
        <f>ROUND(IF(AQ1052="5",BJ1052,0),2)</f>
        <v>0</v>
      </c>
      <c r="AB1052" s="28">
        <f>ROUND(IF(AQ1052="1",BH1052,0),2)</f>
        <v>0</v>
      </c>
      <c r="AC1052" s="28">
        <f>ROUND(IF(AQ1052="1",BI1052,0),2)</f>
        <v>0</v>
      </c>
      <c r="AD1052" s="28">
        <f>ROUND(IF(AQ1052="7",BH1052,0),2)</f>
        <v>0</v>
      </c>
      <c r="AE1052" s="28">
        <f>ROUND(IF(AQ1052="7",BI1052,0),2)</f>
        <v>0</v>
      </c>
      <c r="AF1052" s="28">
        <f>ROUND(IF(AQ1052="2",BH1052,0),2)</f>
        <v>0</v>
      </c>
      <c r="AG1052" s="28">
        <f>ROUND(IF(AQ1052="2",BI1052,0),2)</f>
        <v>0</v>
      </c>
      <c r="AH1052" s="28">
        <f>ROUND(IF(AQ1052="0",BJ1052,0),2)</f>
        <v>0</v>
      </c>
      <c r="AI1052" s="10" t="s">
        <v>1859</v>
      </c>
      <c r="AJ1052" s="28">
        <f>IF(AN1052=0,J1052,0)</f>
        <v>0</v>
      </c>
      <c r="AK1052" s="28">
        <f>IF(AN1052=12,J1052,0)</f>
        <v>0</v>
      </c>
      <c r="AL1052" s="28">
        <f>IF(AN1052=21,J1052,0)</f>
        <v>0</v>
      </c>
      <c r="AN1052" s="28">
        <v>21</v>
      </c>
      <c r="AO1052" s="28">
        <f>G1052*0</f>
        <v>0</v>
      </c>
      <c r="AP1052" s="28">
        <f>G1052*(1-0)</f>
        <v>0</v>
      </c>
      <c r="AQ1052" s="30" t="s">
        <v>56</v>
      </c>
      <c r="AV1052" s="28">
        <f>ROUND(AW1052+AX1052,2)</f>
        <v>0</v>
      </c>
      <c r="AW1052" s="28">
        <f>ROUND(F1052*AO1052,2)</f>
        <v>0</v>
      </c>
      <c r="AX1052" s="28">
        <f>ROUND(F1052*AP1052,2)</f>
        <v>0</v>
      </c>
      <c r="AY1052" s="30" t="s">
        <v>1863</v>
      </c>
      <c r="AZ1052" s="30" t="s">
        <v>1864</v>
      </c>
      <c r="BA1052" s="10" t="s">
        <v>1865</v>
      </c>
      <c r="BC1052" s="28">
        <f>AW1052+AX1052</f>
        <v>0</v>
      </c>
      <c r="BD1052" s="28">
        <f>G1052/(100-BE1052)*100</f>
        <v>0</v>
      </c>
      <c r="BE1052" s="28">
        <v>0</v>
      </c>
      <c r="BF1052" s="28">
        <f>1052</f>
        <v>1052</v>
      </c>
      <c r="BH1052" s="28">
        <f>F1052*AO1052</f>
        <v>0</v>
      </c>
      <c r="BI1052" s="28">
        <f>F1052*AP1052</f>
        <v>0</v>
      </c>
      <c r="BJ1052" s="28">
        <f>F1052*G1052</f>
        <v>0</v>
      </c>
      <c r="BK1052" s="28"/>
      <c r="BL1052" s="28">
        <v>11</v>
      </c>
      <c r="BW1052" s="28">
        <v>21</v>
      </c>
      <c r="BX1052" s="4" t="s">
        <v>1872</v>
      </c>
    </row>
    <row r="1053" spans="1:76" ht="14.4" x14ac:dyDescent="0.3">
      <c r="A1053" s="31"/>
      <c r="C1053" s="32" t="s">
        <v>56</v>
      </c>
      <c r="D1053" s="32" t="s">
        <v>1873</v>
      </c>
      <c r="F1053" s="33">
        <v>1</v>
      </c>
      <c r="K1053" s="34"/>
    </row>
    <row r="1054" spans="1:76" ht="14.4" x14ac:dyDescent="0.3">
      <c r="A1054" s="2" t="s">
        <v>1874</v>
      </c>
      <c r="B1054" s="3" t="s">
        <v>1875</v>
      </c>
      <c r="C1054" s="75" t="s">
        <v>1876</v>
      </c>
      <c r="D1054" s="70"/>
      <c r="E1054" s="3" t="s">
        <v>293</v>
      </c>
      <c r="F1054" s="28">
        <v>8</v>
      </c>
      <c r="G1054" s="28">
        <v>0</v>
      </c>
      <c r="H1054" s="28">
        <f>ROUND(F1054*AO1054,2)</f>
        <v>0</v>
      </c>
      <c r="I1054" s="28">
        <f>ROUND(F1054*AP1054,2)</f>
        <v>0</v>
      </c>
      <c r="J1054" s="28">
        <f>ROUND(F1054*G1054,2)</f>
        <v>0</v>
      </c>
      <c r="K1054" s="29" t="s">
        <v>60</v>
      </c>
      <c r="Z1054" s="28">
        <f>ROUND(IF(AQ1054="5",BJ1054,0),2)</f>
        <v>0</v>
      </c>
      <c r="AB1054" s="28">
        <f>ROUND(IF(AQ1054="1",BH1054,0),2)</f>
        <v>0</v>
      </c>
      <c r="AC1054" s="28">
        <f>ROUND(IF(AQ1054="1",BI1054,0),2)</f>
        <v>0</v>
      </c>
      <c r="AD1054" s="28">
        <f>ROUND(IF(AQ1054="7",BH1054,0),2)</f>
        <v>0</v>
      </c>
      <c r="AE1054" s="28">
        <f>ROUND(IF(AQ1054="7",BI1054,0),2)</f>
        <v>0</v>
      </c>
      <c r="AF1054" s="28">
        <f>ROUND(IF(AQ1054="2",BH1054,0),2)</f>
        <v>0</v>
      </c>
      <c r="AG1054" s="28">
        <f>ROUND(IF(AQ1054="2",BI1054,0),2)</f>
        <v>0</v>
      </c>
      <c r="AH1054" s="28">
        <f>ROUND(IF(AQ1054="0",BJ1054,0),2)</f>
        <v>0</v>
      </c>
      <c r="AI1054" s="10" t="s">
        <v>1859</v>
      </c>
      <c r="AJ1054" s="28">
        <f>IF(AN1054=0,J1054,0)</f>
        <v>0</v>
      </c>
      <c r="AK1054" s="28">
        <f>IF(AN1054=12,J1054,0)</f>
        <v>0</v>
      </c>
      <c r="AL1054" s="28">
        <f>IF(AN1054=21,J1054,0)</f>
        <v>0</v>
      </c>
      <c r="AN1054" s="28">
        <v>21</v>
      </c>
      <c r="AO1054" s="28">
        <f>G1054*0</f>
        <v>0</v>
      </c>
      <c r="AP1054" s="28">
        <f>G1054*(1-0)</f>
        <v>0</v>
      </c>
      <c r="AQ1054" s="30" t="s">
        <v>56</v>
      </c>
      <c r="AV1054" s="28">
        <f>ROUND(AW1054+AX1054,2)</f>
        <v>0</v>
      </c>
      <c r="AW1054" s="28">
        <f>ROUND(F1054*AO1054,2)</f>
        <v>0</v>
      </c>
      <c r="AX1054" s="28">
        <f>ROUND(F1054*AP1054,2)</f>
        <v>0</v>
      </c>
      <c r="AY1054" s="30" t="s">
        <v>1863</v>
      </c>
      <c r="AZ1054" s="30" t="s">
        <v>1864</v>
      </c>
      <c r="BA1054" s="10" t="s">
        <v>1865</v>
      </c>
      <c r="BC1054" s="28">
        <f>AW1054+AX1054</f>
        <v>0</v>
      </c>
      <c r="BD1054" s="28">
        <f>G1054/(100-BE1054)*100</f>
        <v>0</v>
      </c>
      <c r="BE1054" s="28">
        <v>0</v>
      </c>
      <c r="BF1054" s="28">
        <f>1054</f>
        <v>1054</v>
      </c>
      <c r="BH1054" s="28">
        <f>F1054*AO1054</f>
        <v>0</v>
      </c>
      <c r="BI1054" s="28">
        <f>F1054*AP1054</f>
        <v>0</v>
      </c>
      <c r="BJ1054" s="28">
        <f>F1054*G1054</f>
        <v>0</v>
      </c>
      <c r="BK1054" s="28"/>
      <c r="BL1054" s="28">
        <v>11</v>
      </c>
      <c r="BW1054" s="28">
        <v>21</v>
      </c>
      <c r="BX1054" s="4" t="s">
        <v>1876</v>
      </c>
    </row>
    <row r="1055" spans="1:76" ht="14.4" x14ac:dyDescent="0.3">
      <c r="A1055" s="31"/>
      <c r="C1055" s="32" t="s">
        <v>51</v>
      </c>
      <c r="D1055" s="32" t="s">
        <v>1877</v>
      </c>
      <c r="F1055" s="33">
        <v>0</v>
      </c>
      <c r="K1055" s="34"/>
    </row>
    <row r="1056" spans="1:76" ht="14.4" x14ac:dyDescent="0.3">
      <c r="A1056" s="2" t="s">
        <v>1878</v>
      </c>
      <c r="B1056" s="3" t="s">
        <v>1879</v>
      </c>
      <c r="C1056" s="75" t="s">
        <v>1880</v>
      </c>
      <c r="D1056" s="70"/>
      <c r="E1056" s="3" t="s">
        <v>59</v>
      </c>
      <c r="F1056" s="28">
        <v>9</v>
      </c>
      <c r="G1056" s="28">
        <v>0</v>
      </c>
      <c r="H1056" s="28">
        <f>ROUND(F1056*AO1056,2)</f>
        <v>0</v>
      </c>
      <c r="I1056" s="28">
        <f>ROUND(F1056*AP1056,2)</f>
        <v>0</v>
      </c>
      <c r="J1056" s="28">
        <f>ROUND(F1056*G1056,2)</f>
        <v>0</v>
      </c>
      <c r="K1056" s="29" t="s">
        <v>60</v>
      </c>
      <c r="Z1056" s="28">
        <f>ROUND(IF(AQ1056="5",BJ1056,0),2)</f>
        <v>0</v>
      </c>
      <c r="AB1056" s="28">
        <f>ROUND(IF(AQ1056="1",BH1056,0),2)</f>
        <v>0</v>
      </c>
      <c r="AC1056" s="28">
        <f>ROUND(IF(AQ1056="1",BI1056,0),2)</f>
        <v>0</v>
      </c>
      <c r="AD1056" s="28">
        <f>ROUND(IF(AQ1056="7",BH1056,0),2)</f>
        <v>0</v>
      </c>
      <c r="AE1056" s="28">
        <f>ROUND(IF(AQ1056="7",BI1056,0),2)</f>
        <v>0</v>
      </c>
      <c r="AF1056" s="28">
        <f>ROUND(IF(AQ1056="2",BH1056,0),2)</f>
        <v>0</v>
      </c>
      <c r="AG1056" s="28">
        <f>ROUND(IF(AQ1056="2",BI1056,0),2)</f>
        <v>0</v>
      </c>
      <c r="AH1056" s="28">
        <f>ROUND(IF(AQ1056="0",BJ1056,0),2)</f>
        <v>0</v>
      </c>
      <c r="AI1056" s="10" t="s">
        <v>1859</v>
      </c>
      <c r="AJ1056" s="28">
        <f>IF(AN1056=0,J1056,0)</f>
        <v>0</v>
      </c>
      <c r="AK1056" s="28">
        <f>IF(AN1056=12,J1056,0)</f>
        <v>0</v>
      </c>
      <c r="AL1056" s="28">
        <f>IF(AN1056=21,J1056,0)</f>
        <v>0</v>
      </c>
      <c r="AN1056" s="28">
        <v>21</v>
      </c>
      <c r="AO1056" s="28">
        <f>G1056*0</f>
        <v>0</v>
      </c>
      <c r="AP1056" s="28">
        <f>G1056*(1-0)</f>
        <v>0</v>
      </c>
      <c r="AQ1056" s="30" t="s">
        <v>56</v>
      </c>
      <c r="AV1056" s="28">
        <f>ROUND(AW1056+AX1056,2)</f>
        <v>0</v>
      </c>
      <c r="AW1056" s="28">
        <f>ROUND(F1056*AO1056,2)</f>
        <v>0</v>
      </c>
      <c r="AX1056" s="28">
        <f>ROUND(F1056*AP1056,2)</f>
        <v>0</v>
      </c>
      <c r="AY1056" s="30" t="s">
        <v>1863</v>
      </c>
      <c r="AZ1056" s="30" t="s">
        <v>1864</v>
      </c>
      <c r="BA1056" s="10" t="s">
        <v>1865</v>
      </c>
      <c r="BC1056" s="28">
        <f>AW1056+AX1056</f>
        <v>0</v>
      </c>
      <c r="BD1056" s="28">
        <f>G1056/(100-BE1056)*100</f>
        <v>0</v>
      </c>
      <c r="BE1056" s="28">
        <v>0</v>
      </c>
      <c r="BF1056" s="28">
        <f>1056</f>
        <v>1056</v>
      </c>
      <c r="BH1056" s="28">
        <f>F1056*AO1056</f>
        <v>0</v>
      </c>
      <c r="BI1056" s="28">
        <f>F1056*AP1056</f>
        <v>0</v>
      </c>
      <c r="BJ1056" s="28">
        <f>F1056*G1056</f>
        <v>0</v>
      </c>
      <c r="BK1056" s="28"/>
      <c r="BL1056" s="28">
        <v>11</v>
      </c>
      <c r="BW1056" s="28">
        <v>21</v>
      </c>
      <c r="BX1056" s="4" t="s">
        <v>1880</v>
      </c>
    </row>
    <row r="1057" spans="1:76" ht="14.4" x14ac:dyDescent="0.3">
      <c r="A1057" s="2" t="s">
        <v>1881</v>
      </c>
      <c r="B1057" s="3" t="s">
        <v>1882</v>
      </c>
      <c r="C1057" s="75" t="s">
        <v>1883</v>
      </c>
      <c r="D1057" s="70"/>
      <c r="E1057" s="3" t="s">
        <v>103</v>
      </c>
      <c r="F1057" s="28">
        <v>251</v>
      </c>
      <c r="G1057" s="28">
        <v>0</v>
      </c>
      <c r="H1057" s="28">
        <f>ROUND(F1057*AO1057,2)</f>
        <v>0</v>
      </c>
      <c r="I1057" s="28">
        <f>ROUND(F1057*AP1057,2)</f>
        <v>0</v>
      </c>
      <c r="J1057" s="28">
        <f>ROUND(F1057*G1057,2)</f>
        <v>0</v>
      </c>
      <c r="K1057" s="29" t="s">
        <v>60</v>
      </c>
      <c r="Z1057" s="28">
        <f>ROUND(IF(AQ1057="5",BJ1057,0),2)</f>
        <v>0</v>
      </c>
      <c r="AB1057" s="28">
        <f>ROUND(IF(AQ1057="1",BH1057,0),2)</f>
        <v>0</v>
      </c>
      <c r="AC1057" s="28">
        <f>ROUND(IF(AQ1057="1",BI1057,0),2)</f>
        <v>0</v>
      </c>
      <c r="AD1057" s="28">
        <f>ROUND(IF(AQ1057="7",BH1057,0),2)</f>
        <v>0</v>
      </c>
      <c r="AE1057" s="28">
        <f>ROUND(IF(AQ1057="7",BI1057,0),2)</f>
        <v>0</v>
      </c>
      <c r="AF1057" s="28">
        <f>ROUND(IF(AQ1057="2",BH1057,0),2)</f>
        <v>0</v>
      </c>
      <c r="AG1057" s="28">
        <f>ROUND(IF(AQ1057="2",BI1057,0),2)</f>
        <v>0</v>
      </c>
      <c r="AH1057" s="28">
        <f>ROUND(IF(AQ1057="0",BJ1057,0),2)</f>
        <v>0</v>
      </c>
      <c r="AI1057" s="10" t="s">
        <v>1859</v>
      </c>
      <c r="AJ1057" s="28">
        <f>IF(AN1057=0,J1057,0)</f>
        <v>0</v>
      </c>
      <c r="AK1057" s="28">
        <f>IF(AN1057=12,J1057,0)</f>
        <v>0</v>
      </c>
      <c r="AL1057" s="28">
        <f>IF(AN1057=21,J1057,0)</f>
        <v>0</v>
      </c>
      <c r="AN1057" s="28">
        <v>21</v>
      </c>
      <c r="AO1057" s="28">
        <f>G1057*0</f>
        <v>0</v>
      </c>
      <c r="AP1057" s="28">
        <f>G1057*(1-0)</f>
        <v>0</v>
      </c>
      <c r="AQ1057" s="30" t="s">
        <v>56</v>
      </c>
      <c r="AV1057" s="28">
        <f>ROUND(AW1057+AX1057,2)</f>
        <v>0</v>
      </c>
      <c r="AW1057" s="28">
        <f>ROUND(F1057*AO1057,2)</f>
        <v>0</v>
      </c>
      <c r="AX1057" s="28">
        <f>ROUND(F1057*AP1057,2)</f>
        <v>0</v>
      </c>
      <c r="AY1057" s="30" t="s">
        <v>1863</v>
      </c>
      <c r="AZ1057" s="30" t="s">
        <v>1864</v>
      </c>
      <c r="BA1057" s="10" t="s">
        <v>1865</v>
      </c>
      <c r="BC1057" s="28">
        <f>AW1057+AX1057</f>
        <v>0</v>
      </c>
      <c r="BD1057" s="28">
        <f>G1057/(100-BE1057)*100</f>
        <v>0</v>
      </c>
      <c r="BE1057" s="28">
        <v>0</v>
      </c>
      <c r="BF1057" s="28">
        <f>1057</f>
        <v>1057</v>
      </c>
      <c r="BH1057" s="28">
        <f>F1057*AO1057</f>
        <v>0</v>
      </c>
      <c r="BI1057" s="28">
        <f>F1057*AP1057</f>
        <v>0</v>
      </c>
      <c r="BJ1057" s="28">
        <f>F1057*G1057</f>
        <v>0</v>
      </c>
      <c r="BK1057" s="28"/>
      <c r="BL1057" s="28">
        <v>11</v>
      </c>
      <c r="BW1057" s="28">
        <v>21</v>
      </c>
      <c r="BX1057" s="4" t="s">
        <v>1883</v>
      </c>
    </row>
    <row r="1058" spans="1:76" ht="14.4" x14ac:dyDescent="0.3">
      <c r="A1058" s="31"/>
      <c r="C1058" s="32" t="s">
        <v>295</v>
      </c>
      <c r="D1058" s="32" t="s">
        <v>816</v>
      </c>
      <c r="F1058" s="33">
        <v>35</v>
      </c>
      <c r="K1058" s="34"/>
    </row>
    <row r="1059" spans="1:76" ht="14.4" x14ac:dyDescent="0.3">
      <c r="A1059" s="31"/>
      <c r="C1059" s="32" t="s">
        <v>640</v>
      </c>
      <c r="D1059" s="32" t="s">
        <v>1884</v>
      </c>
      <c r="F1059" s="33">
        <v>104</v>
      </c>
      <c r="K1059" s="34"/>
    </row>
    <row r="1060" spans="1:76" ht="14.4" x14ac:dyDescent="0.3">
      <c r="A1060" s="31"/>
      <c r="C1060" s="32" t="s">
        <v>1885</v>
      </c>
      <c r="D1060" s="32" t="s">
        <v>1886</v>
      </c>
      <c r="F1060" s="33">
        <v>112</v>
      </c>
      <c r="K1060" s="34"/>
    </row>
    <row r="1061" spans="1:76" ht="14.4" x14ac:dyDescent="0.3">
      <c r="A1061" s="2" t="s">
        <v>1887</v>
      </c>
      <c r="B1061" s="3" t="s">
        <v>1888</v>
      </c>
      <c r="C1061" s="75" t="s">
        <v>1889</v>
      </c>
      <c r="D1061" s="70"/>
      <c r="E1061" s="3" t="s">
        <v>103</v>
      </c>
      <c r="F1061" s="28">
        <v>1008.6</v>
      </c>
      <c r="G1061" s="28">
        <v>0</v>
      </c>
      <c r="H1061" s="28">
        <f>ROUND(F1061*AO1061,2)</f>
        <v>0</v>
      </c>
      <c r="I1061" s="28">
        <f>ROUND(F1061*AP1061,2)</f>
        <v>0</v>
      </c>
      <c r="J1061" s="28">
        <f>ROUND(F1061*G1061,2)</f>
        <v>0</v>
      </c>
      <c r="K1061" s="29" t="s">
        <v>60</v>
      </c>
      <c r="Z1061" s="28">
        <f>ROUND(IF(AQ1061="5",BJ1061,0),2)</f>
        <v>0</v>
      </c>
      <c r="AB1061" s="28">
        <f>ROUND(IF(AQ1061="1",BH1061,0),2)</f>
        <v>0</v>
      </c>
      <c r="AC1061" s="28">
        <f>ROUND(IF(AQ1061="1",BI1061,0),2)</f>
        <v>0</v>
      </c>
      <c r="AD1061" s="28">
        <f>ROUND(IF(AQ1061="7",BH1061,0),2)</f>
        <v>0</v>
      </c>
      <c r="AE1061" s="28">
        <f>ROUND(IF(AQ1061="7",BI1061,0),2)</f>
        <v>0</v>
      </c>
      <c r="AF1061" s="28">
        <f>ROUND(IF(AQ1061="2",BH1061,0),2)</f>
        <v>0</v>
      </c>
      <c r="AG1061" s="28">
        <f>ROUND(IF(AQ1061="2",BI1061,0),2)</f>
        <v>0</v>
      </c>
      <c r="AH1061" s="28">
        <f>ROUND(IF(AQ1061="0",BJ1061,0),2)</f>
        <v>0</v>
      </c>
      <c r="AI1061" s="10" t="s">
        <v>1859</v>
      </c>
      <c r="AJ1061" s="28">
        <f>IF(AN1061=0,J1061,0)</f>
        <v>0</v>
      </c>
      <c r="AK1061" s="28">
        <f>IF(AN1061=12,J1061,0)</f>
        <v>0</v>
      </c>
      <c r="AL1061" s="28">
        <f>IF(AN1061=21,J1061,0)</f>
        <v>0</v>
      </c>
      <c r="AN1061" s="28">
        <v>21</v>
      </c>
      <c r="AO1061" s="28">
        <f>G1061*0</f>
        <v>0</v>
      </c>
      <c r="AP1061" s="28">
        <f>G1061*(1-0)</f>
        <v>0</v>
      </c>
      <c r="AQ1061" s="30" t="s">
        <v>56</v>
      </c>
      <c r="AV1061" s="28">
        <f>ROUND(AW1061+AX1061,2)</f>
        <v>0</v>
      </c>
      <c r="AW1061" s="28">
        <f>ROUND(F1061*AO1061,2)</f>
        <v>0</v>
      </c>
      <c r="AX1061" s="28">
        <f>ROUND(F1061*AP1061,2)</f>
        <v>0</v>
      </c>
      <c r="AY1061" s="30" t="s">
        <v>1863</v>
      </c>
      <c r="AZ1061" s="30" t="s">
        <v>1864</v>
      </c>
      <c r="BA1061" s="10" t="s">
        <v>1865</v>
      </c>
      <c r="BC1061" s="28">
        <f>AW1061+AX1061</f>
        <v>0</v>
      </c>
      <c r="BD1061" s="28">
        <f>G1061/(100-BE1061)*100</f>
        <v>0</v>
      </c>
      <c r="BE1061" s="28">
        <v>0</v>
      </c>
      <c r="BF1061" s="28">
        <f>1061</f>
        <v>1061</v>
      </c>
      <c r="BH1061" s="28">
        <f>F1061*AO1061</f>
        <v>0</v>
      </c>
      <c r="BI1061" s="28">
        <f>F1061*AP1061</f>
        <v>0</v>
      </c>
      <c r="BJ1061" s="28">
        <f>F1061*G1061</f>
        <v>0</v>
      </c>
      <c r="BK1061" s="28"/>
      <c r="BL1061" s="28">
        <v>11</v>
      </c>
      <c r="BW1061" s="28">
        <v>21</v>
      </c>
      <c r="BX1061" s="4" t="s">
        <v>1889</v>
      </c>
    </row>
    <row r="1062" spans="1:76" ht="14.4" x14ac:dyDescent="0.3">
      <c r="A1062" s="31"/>
      <c r="C1062" s="32" t="s">
        <v>1890</v>
      </c>
      <c r="D1062" s="32" t="s">
        <v>1891</v>
      </c>
      <c r="F1062" s="33">
        <v>940</v>
      </c>
      <c r="K1062" s="34"/>
    </row>
    <row r="1063" spans="1:76" ht="14.4" x14ac:dyDescent="0.3">
      <c r="A1063" s="31"/>
      <c r="C1063" s="32" t="s">
        <v>1892</v>
      </c>
      <c r="D1063" s="32" t="s">
        <v>1893</v>
      </c>
      <c r="F1063" s="33">
        <v>3.6</v>
      </c>
      <c r="K1063" s="34"/>
    </row>
    <row r="1064" spans="1:76" ht="14.4" x14ac:dyDescent="0.3">
      <c r="A1064" s="31"/>
      <c r="C1064" s="32" t="s">
        <v>465</v>
      </c>
      <c r="D1064" s="32" t="s">
        <v>1894</v>
      </c>
      <c r="F1064" s="33">
        <v>65</v>
      </c>
      <c r="K1064" s="34"/>
    </row>
    <row r="1065" spans="1:76" ht="52.8" x14ac:dyDescent="0.3">
      <c r="A1065" s="31"/>
      <c r="B1065" s="35" t="s">
        <v>68</v>
      </c>
      <c r="C1065" s="93" t="s">
        <v>1895</v>
      </c>
      <c r="D1065" s="94"/>
      <c r="E1065" s="94"/>
      <c r="F1065" s="94"/>
      <c r="G1065" s="94"/>
      <c r="H1065" s="94"/>
      <c r="I1065" s="94"/>
      <c r="J1065" s="94"/>
      <c r="K1065" s="95"/>
      <c r="BX1065" s="36" t="s">
        <v>1895</v>
      </c>
    </row>
    <row r="1066" spans="1:76" ht="14.4" x14ac:dyDescent="0.3">
      <c r="A1066" s="2" t="s">
        <v>1896</v>
      </c>
      <c r="B1066" s="3" t="s">
        <v>1897</v>
      </c>
      <c r="C1066" s="75" t="s">
        <v>1898</v>
      </c>
      <c r="D1066" s="70"/>
      <c r="E1066" s="3" t="s">
        <v>103</v>
      </c>
      <c r="F1066" s="28">
        <v>1412.6</v>
      </c>
      <c r="G1066" s="28">
        <v>0</v>
      </c>
      <c r="H1066" s="28">
        <f>ROUND(F1066*AO1066,2)</f>
        <v>0</v>
      </c>
      <c r="I1066" s="28">
        <f>ROUND(F1066*AP1066,2)</f>
        <v>0</v>
      </c>
      <c r="J1066" s="28">
        <f>ROUND(F1066*G1066,2)</f>
        <v>0</v>
      </c>
      <c r="K1066" s="29" t="s">
        <v>60</v>
      </c>
      <c r="Z1066" s="28">
        <f>ROUND(IF(AQ1066="5",BJ1066,0),2)</f>
        <v>0</v>
      </c>
      <c r="AB1066" s="28">
        <f>ROUND(IF(AQ1066="1",BH1066,0),2)</f>
        <v>0</v>
      </c>
      <c r="AC1066" s="28">
        <f>ROUND(IF(AQ1066="1",BI1066,0),2)</f>
        <v>0</v>
      </c>
      <c r="AD1066" s="28">
        <f>ROUND(IF(AQ1066="7",BH1066,0),2)</f>
        <v>0</v>
      </c>
      <c r="AE1066" s="28">
        <f>ROUND(IF(AQ1066="7",BI1066,0),2)</f>
        <v>0</v>
      </c>
      <c r="AF1066" s="28">
        <f>ROUND(IF(AQ1066="2",BH1066,0),2)</f>
        <v>0</v>
      </c>
      <c r="AG1066" s="28">
        <f>ROUND(IF(AQ1066="2",BI1066,0),2)</f>
        <v>0</v>
      </c>
      <c r="AH1066" s="28">
        <f>ROUND(IF(AQ1066="0",BJ1066,0),2)</f>
        <v>0</v>
      </c>
      <c r="AI1066" s="10" t="s">
        <v>1859</v>
      </c>
      <c r="AJ1066" s="28">
        <f>IF(AN1066=0,J1066,0)</f>
        <v>0</v>
      </c>
      <c r="AK1066" s="28">
        <f>IF(AN1066=12,J1066,0)</f>
        <v>0</v>
      </c>
      <c r="AL1066" s="28">
        <f>IF(AN1066=21,J1066,0)</f>
        <v>0</v>
      </c>
      <c r="AN1066" s="28">
        <v>21</v>
      </c>
      <c r="AO1066" s="28">
        <f>G1066*0</f>
        <v>0</v>
      </c>
      <c r="AP1066" s="28">
        <f>G1066*(1-0)</f>
        <v>0</v>
      </c>
      <c r="AQ1066" s="30" t="s">
        <v>56</v>
      </c>
      <c r="AV1066" s="28">
        <f>ROUND(AW1066+AX1066,2)</f>
        <v>0</v>
      </c>
      <c r="AW1066" s="28">
        <f>ROUND(F1066*AO1066,2)</f>
        <v>0</v>
      </c>
      <c r="AX1066" s="28">
        <f>ROUND(F1066*AP1066,2)</f>
        <v>0</v>
      </c>
      <c r="AY1066" s="30" t="s">
        <v>1863</v>
      </c>
      <c r="AZ1066" s="30" t="s">
        <v>1864</v>
      </c>
      <c r="BA1066" s="10" t="s">
        <v>1865</v>
      </c>
      <c r="BC1066" s="28">
        <f>AW1066+AX1066</f>
        <v>0</v>
      </c>
      <c r="BD1066" s="28">
        <f>G1066/(100-BE1066)*100</f>
        <v>0</v>
      </c>
      <c r="BE1066" s="28">
        <v>0</v>
      </c>
      <c r="BF1066" s="28">
        <f>1066</f>
        <v>1066</v>
      </c>
      <c r="BH1066" s="28">
        <f>F1066*AO1066</f>
        <v>0</v>
      </c>
      <c r="BI1066" s="28">
        <f>F1066*AP1066</f>
        <v>0</v>
      </c>
      <c r="BJ1066" s="28">
        <f>F1066*G1066</f>
        <v>0</v>
      </c>
      <c r="BK1066" s="28"/>
      <c r="BL1066" s="28">
        <v>11</v>
      </c>
      <c r="BW1066" s="28">
        <v>21</v>
      </c>
      <c r="BX1066" s="4" t="s">
        <v>1898</v>
      </c>
    </row>
    <row r="1067" spans="1:76" ht="14.4" x14ac:dyDescent="0.3">
      <c r="A1067" s="31"/>
      <c r="C1067" s="32" t="s">
        <v>295</v>
      </c>
      <c r="D1067" s="32" t="s">
        <v>1899</v>
      </c>
      <c r="F1067" s="33">
        <v>35</v>
      </c>
      <c r="K1067" s="34"/>
    </row>
    <row r="1068" spans="1:76" ht="14.4" x14ac:dyDescent="0.3">
      <c r="A1068" s="31"/>
      <c r="C1068" s="32" t="s">
        <v>1205</v>
      </c>
      <c r="D1068" s="32" t="s">
        <v>1900</v>
      </c>
      <c r="F1068" s="33">
        <v>220</v>
      </c>
      <c r="K1068" s="34"/>
    </row>
    <row r="1069" spans="1:76" ht="14.4" x14ac:dyDescent="0.3">
      <c r="A1069" s="31"/>
      <c r="C1069" s="32" t="s">
        <v>135</v>
      </c>
      <c r="D1069" s="32" t="s">
        <v>1901</v>
      </c>
      <c r="F1069" s="33">
        <v>10</v>
      </c>
      <c r="K1069" s="34"/>
    </row>
    <row r="1070" spans="1:76" ht="14.4" x14ac:dyDescent="0.3">
      <c r="A1070" s="31"/>
      <c r="C1070" s="32" t="s">
        <v>295</v>
      </c>
      <c r="D1070" s="32" t="s">
        <v>1902</v>
      </c>
      <c r="F1070" s="33">
        <v>35</v>
      </c>
      <c r="K1070" s="34"/>
    </row>
    <row r="1071" spans="1:76" ht="14.4" x14ac:dyDescent="0.3">
      <c r="A1071" s="31"/>
      <c r="C1071" s="32" t="s">
        <v>1903</v>
      </c>
      <c r="D1071" s="32" t="s">
        <v>1904</v>
      </c>
      <c r="F1071" s="33">
        <v>1008.6</v>
      </c>
      <c r="K1071" s="34"/>
    </row>
    <row r="1072" spans="1:76" ht="14.4" x14ac:dyDescent="0.3">
      <c r="A1072" s="31"/>
      <c r="C1072" s="32" t="s">
        <v>640</v>
      </c>
      <c r="D1072" s="32" t="s">
        <v>1905</v>
      </c>
      <c r="F1072" s="33">
        <v>104</v>
      </c>
      <c r="K1072" s="34"/>
    </row>
    <row r="1073" spans="1:76" ht="52.8" x14ac:dyDescent="0.3">
      <c r="A1073" s="31"/>
      <c r="B1073" s="35" t="s">
        <v>68</v>
      </c>
      <c r="C1073" s="93" t="s">
        <v>1906</v>
      </c>
      <c r="D1073" s="94"/>
      <c r="E1073" s="94"/>
      <c r="F1073" s="94"/>
      <c r="G1073" s="94"/>
      <c r="H1073" s="94"/>
      <c r="I1073" s="94"/>
      <c r="J1073" s="94"/>
      <c r="K1073" s="95"/>
      <c r="BX1073" s="36" t="s">
        <v>1906</v>
      </c>
    </row>
    <row r="1074" spans="1:76" ht="14.4" x14ac:dyDescent="0.3">
      <c r="A1074" s="2" t="s">
        <v>1907</v>
      </c>
      <c r="B1074" s="3" t="s">
        <v>1908</v>
      </c>
      <c r="C1074" s="75" t="s">
        <v>1909</v>
      </c>
      <c r="D1074" s="70"/>
      <c r="E1074" s="3" t="s">
        <v>103</v>
      </c>
      <c r="F1074" s="28">
        <v>164</v>
      </c>
      <c r="G1074" s="28">
        <v>0</v>
      </c>
      <c r="H1074" s="28">
        <f>ROUND(F1074*AO1074,2)</f>
        <v>0</v>
      </c>
      <c r="I1074" s="28">
        <f>ROUND(F1074*AP1074,2)</f>
        <v>0</v>
      </c>
      <c r="J1074" s="28">
        <f>ROUND(F1074*G1074,2)</f>
        <v>0</v>
      </c>
      <c r="K1074" s="29" t="s">
        <v>60</v>
      </c>
      <c r="Z1074" s="28">
        <f>ROUND(IF(AQ1074="5",BJ1074,0),2)</f>
        <v>0</v>
      </c>
      <c r="AB1074" s="28">
        <f>ROUND(IF(AQ1074="1",BH1074,0),2)</f>
        <v>0</v>
      </c>
      <c r="AC1074" s="28">
        <f>ROUND(IF(AQ1074="1",BI1074,0),2)</f>
        <v>0</v>
      </c>
      <c r="AD1074" s="28">
        <f>ROUND(IF(AQ1074="7",BH1074,0),2)</f>
        <v>0</v>
      </c>
      <c r="AE1074" s="28">
        <f>ROUND(IF(AQ1074="7",BI1074,0),2)</f>
        <v>0</v>
      </c>
      <c r="AF1074" s="28">
        <f>ROUND(IF(AQ1074="2",BH1074,0),2)</f>
        <v>0</v>
      </c>
      <c r="AG1074" s="28">
        <f>ROUND(IF(AQ1074="2",BI1074,0),2)</f>
        <v>0</v>
      </c>
      <c r="AH1074" s="28">
        <f>ROUND(IF(AQ1074="0",BJ1074,0),2)</f>
        <v>0</v>
      </c>
      <c r="AI1074" s="10" t="s">
        <v>1859</v>
      </c>
      <c r="AJ1074" s="28">
        <f>IF(AN1074=0,J1074,0)</f>
        <v>0</v>
      </c>
      <c r="AK1074" s="28">
        <f>IF(AN1074=12,J1074,0)</f>
        <v>0</v>
      </c>
      <c r="AL1074" s="28">
        <f>IF(AN1074=21,J1074,0)</f>
        <v>0</v>
      </c>
      <c r="AN1074" s="28">
        <v>21</v>
      </c>
      <c r="AO1074" s="28">
        <f>G1074*0</f>
        <v>0</v>
      </c>
      <c r="AP1074" s="28">
        <f>G1074*(1-0)</f>
        <v>0</v>
      </c>
      <c r="AQ1074" s="30" t="s">
        <v>56</v>
      </c>
      <c r="AV1074" s="28">
        <f>ROUND(AW1074+AX1074,2)</f>
        <v>0</v>
      </c>
      <c r="AW1074" s="28">
        <f>ROUND(F1074*AO1074,2)</f>
        <v>0</v>
      </c>
      <c r="AX1074" s="28">
        <f>ROUND(F1074*AP1074,2)</f>
        <v>0</v>
      </c>
      <c r="AY1074" s="30" t="s">
        <v>1863</v>
      </c>
      <c r="AZ1074" s="30" t="s">
        <v>1864</v>
      </c>
      <c r="BA1074" s="10" t="s">
        <v>1865</v>
      </c>
      <c r="BC1074" s="28">
        <f>AW1074+AX1074</f>
        <v>0</v>
      </c>
      <c r="BD1074" s="28">
        <f>G1074/(100-BE1074)*100</f>
        <v>0</v>
      </c>
      <c r="BE1074" s="28">
        <v>0</v>
      </c>
      <c r="BF1074" s="28">
        <f>1074</f>
        <v>1074</v>
      </c>
      <c r="BH1074" s="28">
        <f>F1074*AO1074</f>
        <v>0</v>
      </c>
      <c r="BI1074" s="28">
        <f>F1074*AP1074</f>
        <v>0</v>
      </c>
      <c r="BJ1074" s="28">
        <f>F1074*G1074</f>
        <v>0</v>
      </c>
      <c r="BK1074" s="28"/>
      <c r="BL1074" s="28">
        <v>11</v>
      </c>
      <c r="BW1074" s="28">
        <v>21</v>
      </c>
      <c r="BX1074" s="4" t="s">
        <v>1909</v>
      </c>
    </row>
    <row r="1075" spans="1:76" ht="14.4" x14ac:dyDescent="0.3">
      <c r="A1075" s="31"/>
      <c r="C1075" s="32" t="s">
        <v>442</v>
      </c>
      <c r="D1075" s="32" t="s">
        <v>1910</v>
      </c>
      <c r="F1075" s="33">
        <v>60</v>
      </c>
      <c r="K1075" s="34"/>
    </row>
    <row r="1076" spans="1:76" ht="14.4" x14ac:dyDescent="0.3">
      <c r="A1076" s="31"/>
      <c r="C1076" s="32" t="s">
        <v>640</v>
      </c>
      <c r="D1076" s="32" t="s">
        <v>1884</v>
      </c>
      <c r="F1076" s="33">
        <v>104</v>
      </c>
      <c r="K1076" s="34"/>
    </row>
    <row r="1077" spans="1:76" ht="52.8" x14ac:dyDescent="0.3">
      <c r="A1077" s="31"/>
      <c r="B1077" s="35" t="s">
        <v>68</v>
      </c>
      <c r="C1077" s="93" t="s">
        <v>1906</v>
      </c>
      <c r="D1077" s="94"/>
      <c r="E1077" s="94"/>
      <c r="F1077" s="94"/>
      <c r="G1077" s="94"/>
      <c r="H1077" s="94"/>
      <c r="I1077" s="94"/>
      <c r="J1077" s="94"/>
      <c r="K1077" s="95"/>
      <c r="BX1077" s="36" t="s">
        <v>1906</v>
      </c>
    </row>
    <row r="1078" spans="1:76" ht="14.4" x14ac:dyDescent="0.3">
      <c r="A1078" s="24" t="s">
        <v>51</v>
      </c>
      <c r="B1078" s="25" t="s">
        <v>148</v>
      </c>
      <c r="C1078" s="91" t="s">
        <v>718</v>
      </c>
      <c r="D1078" s="92"/>
      <c r="E1078" s="26" t="s">
        <v>4</v>
      </c>
      <c r="F1078" s="26" t="s">
        <v>4</v>
      </c>
      <c r="G1078" s="26" t="s">
        <v>4</v>
      </c>
      <c r="H1078" s="1">
        <f>SUM(H1079:H1082)</f>
        <v>0</v>
      </c>
      <c r="I1078" s="1">
        <f>SUM(I1079:I1082)</f>
        <v>0</v>
      </c>
      <c r="J1078" s="1">
        <f>SUM(J1079:J1082)</f>
        <v>0</v>
      </c>
      <c r="K1078" s="27" t="s">
        <v>51</v>
      </c>
      <c r="AI1078" s="10" t="s">
        <v>1859</v>
      </c>
      <c r="AS1078" s="1">
        <f>SUM(AJ1079:AJ1082)</f>
        <v>0</v>
      </c>
      <c r="AT1078" s="1">
        <f>SUM(AK1079:AK1082)</f>
        <v>0</v>
      </c>
      <c r="AU1078" s="1">
        <f>SUM(AL1079:AL1082)</f>
        <v>0</v>
      </c>
    </row>
    <row r="1079" spans="1:76" ht="14.4" x14ac:dyDescent="0.3">
      <c r="A1079" s="2" t="s">
        <v>1911</v>
      </c>
      <c r="B1079" s="3" t="s">
        <v>1912</v>
      </c>
      <c r="C1079" s="75" t="s">
        <v>1913</v>
      </c>
      <c r="D1079" s="70"/>
      <c r="E1079" s="3" t="s">
        <v>59</v>
      </c>
      <c r="F1079" s="28">
        <v>463.7</v>
      </c>
      <c r="G1079" s="28">
        <v>0</v>
      </c>
      <c r="H1079" s="28">
        <f>ROUND(F1079*AO1079,2)</f>
        <v>0</v>
      </c>
      <c r="I1079" s="28">
        <f>ROUND(F1079*AP1079,2)</f>
        <v>0</v>
      </c>
      <c r="J1079" s="28">
        <f>ROUND(F1079*G1079,2)</f>
        <v>0</v>
      </c>
      <c r="K1079" s="29" t="s">
        <v>60</v>
      </c>
      <c r="Z1079" s="28">
        <f>ROUND(IF(AQ1079="5",BJ1079,0),2)</f>
        <v>0</v>
      </c>
      <c r="AB1079" s="28">
        <f>ROUND(IF(AQ1079="1",BH1079,0),2)</f>
        <v>0</v>
      </c>
      <c r="AC1079" s="28">
        <f>ROUND(IF(AQ1079="1",BI1079,0),2)</f>
        <v>0</v>
      </c>
      <c r="AD1079" s="28">
        <f>ROUND(IF(AQ1079="7",BH1079,0),2)</f>
        <v>0</v>
      </c>
      <c r="AE1079" s="28">
        <f>ROUND(IF(AQ1079="7",BI1079,0),2)</f>
        <v>0</v>
      </c>
      <c r="AF1079" s="28">
        <f>ROUND(IF(AQ1079="2",BH1079,0),2)</f>
        <v>0</v>
      </c>
      <c r="AG1079" s="28">
        <f>ROUND(IF(AQ1079="2",BI1079,0),2)</f>
        <v>0</v>
      </c>
      <c r="AH1079" s="28">
        <f>ROUND(IF(AQ1079="0",BJ1079,0),2)</f>
        <v>0</v>
      </c>
      <c r="AI1079" s="10" t="s">
        <v>1859</v>
      </c>
      <c r="AJ1079" s="28">
        <f>IF(AN1079=0,J1079,0)</f>
        <v>0</v>
      </c>
      <c r="AK1079" s="28">
        <f>IF(AN1079=12,J1079,0)</f>
        <v>0</v>
      </c>
      <c r="AL1079" s="28">
        <f>IF(AN1079=21,J1079,0)</f>
        <v>0</v>
      </c>
      <c r="AN1079" s="28">
        <v>21</v>
      </c>
      <c r="AO1079" s="28">
        <f>G1079*0</f>
        <v>0</v>
      </c>
      <c r="AP1079" s="28">
        <f>G1079*(1-0)</f>
        <v>0</v>
      </c>
      <c r="AQ1079" s="30" t="s">
        <v>56</v>
      </c>
      <c r="AV1079" s="28">
        <f>ROUND(AW1079+AX1079,2)</f>
        <v>0</v>
      </c>
      <c r="AW1079" s="28">
        <f>ROUND(F1079*AO1079,2)</f>
        <v>0</v>
      </c>
      <c r="AX1079" s="28">
        <f>ROUND(F1079*AP1079,2)</f>
        <v>0</v>
      </c>
      <c r="AY1079" s="30" t="s">
        <v>723</v>
      </c>
      <c r="AZ1079" s="30" t="s">
        <v>1864</v>
      </c>
      <c r="BA1079" s="10" t="s">
        <v>1865</v>
      </c>
      <c r="BC1079" s="28">
        <f>AW1079+AX1079</f>
        <v>0</v>
      </c>
      <c r="BD1079" s="28">
        <f>G1079/(100-BE1079)*100</f>
        <v>0</v>
      </c>
      <c r="BE1079" s="28">
        <v>0</v>
      </c>
      <c r="BF1079" s="28">
        <f>1079</f>
        <v>1079</v>
      </c>
      <c r="BH1079" s="28">
        <f>F1079*AO1079</f>
        <v>0</v>
      </c>
      <c r="BI1079" s="28">
        <f>F1079*AP1079</f>
        <v>0</v>
      </c>
      <c r="BJ1079" s="28">
        <f>F1079*G1079</f>
        <v>0</v>
      </c>
      <c r="BK1079" s="28"/>
      <c r="BL1079" s="28">
        <v>12</v>
      </c>
      <c r="BW1079" s="28">
        <v>21</v>
      </c>
      <c r="BX1079" s="4" t="s">
        <v>1913</v>
      </c>
    </row>
    <row r="1080" spans="1:76" ht="14.4" x14ac:dyDescent="0.3">
      <c r="A1080" s="31"/>
      <c r="C1080" s="32" t="s">
        <v>1914</v>
      </c>
      <c r="D1080" s="32" t="s">
        <v>51</v>
      </c>
      <c r="F1080" s="33">
        <v>41</v>
      </c>
      <c r="K1080" s="34"/>
    </row>
    <row r="1081" spans="1:76" ht="14.4" x14ac:dyDescent="0.3">
      <c r="A1081" s="31"/>
      <c r="C1081" s="32" t="s">
        <v>1915</v>
      </c>
      <c r="D1081" s="32" t="s">
        <v>51</v>
      </c>
      <c r="F1081" s="33">
        <v>422.7</v>
      </c>
      <c r="K1081" s="34"/>
    </row>
    <row r="1082" spans="1:76" ht="14.4" x14ac:dyDescent="0.3">
      <c r="A1082" s="2" t="s">
        <v>1916</v>
      </c>
      <c r="B1082" s="3" t="s">
        <v>1917</v>
      </c>
      <c r="C1082" s="75" t="s">
        <v>1918</v>
      </c>
      <c r="D1082" s="70"/>
      <c r="E1082" s="3" t="s">
        <v>59</v>
      </c>
      <c r="F1082" s="28">
        <v>28.86</v>
      </c>
      <c r="G1082" s="28">
        <v>0</v>
      </c>
      <c r="H1082" s="28">
        <f>ROUND(F1082*AO1082,2)</f>
        <v>0</v>
      </c>
      <c r="I1082" s="28">
        <f>ROUND(F1082*AP1082,2)</f>
        <v>0</v>
      </c>
      <c r="J1082" s="28">
        <f>ROUND(F1082*G1082,2)</f>
        <v>0</v>
      </c>
      <c r="K1082" s="29" t="s">
        <v>60</v>
      </c>
      <c r="Z1082" s="28">
        <f>ROUND(IF(AQ1082="5",BJ1082,0),2)</f>
        <v>0</v>
      </c>
      <c r="AB1082" s="28">
        <f>ROUND(IF(AQ1082="1",BH1082,0),2)</f>
        <v>0</v>
      </c>
      <c r="AC1082" s="28">
        <f>ROUND(IF(AQ1082="1",BI1082,0),2)</f>
        <v>0</v>
      </c>
      <c r="AD1082" s="28">
        <f>ROUND(IF(AQ1082="7",BH1082,0),2)</f>
        <v>0</v>
      </c>
      <c r="AE1082" s="28">
        <f>ROUND(IF(AQ1082="7",BI1082,0),2)</f>
        <v>0</v>
      </c>
      <c r="AF1082" s="28">
        <f>ROUND(IF(AQ1082="2",BH1082,0),2)</f>
        <v>0</v>
      </c>
      <c r="AG1082" s="28">
        <f>ROUND(IF(AQ1082="2",BI1082,0),2)</f>
        <v>0</v>
      </c>
      <c r="AH1082" s="28">
        <f>ROUND(IF(AQ1082="0",BJ1082,0),2)</f>
        <v>0</v>
      </c>
      <c r="AI1082" s="10" t="s">
        <v>1859</v>
      </c>
      <c r="AJ1082" s="28">
        <f>IF(AN1082=0,J1082,0)</f>
        <v>0</v>
      </c>
      <c r="AK1082" s="28">
        <f>IF(AN1082=12,J1082,0)</f>
        <v>0</v>
      </c>
      <c r="AL1082" s="28">
        <f>IF(AN1082=21,J1082,0)</f>
        <v>0</v>
      </c>
      <c r="AN1082" s="28">
        <v>21</v>
      </c>
      <c r="AO1082" s="28">
        <f>G1082*0</f>
        <v>0</v>
      </c>
      <c r="AP1082" s="28">
        <f>G1082*(1-0)</f>
        <v>0</v>
      </c>
      <c r="AQ1082" s="30" t="s">
        <v>56</v>
      </c>
      <c r="AV1082" s="28">
        <f>ROUND(AW1082+AX1082,2)</f>
        <v>0</v>
      </c>
      <c r="AW1082" s="28">
        <f>ROUND(F1082*AO1082,2)</f>
        <v>0</v>
      </c>
      <c r="AX1082" s="28">
        <f>ROUND(F1082*AP1082,2)</f>
        <v>0</v>
      </c>
      <c r="AY1082" s="30" t="s">
        <v>723</v>
      </c>
      <c r="AZ1082" s="30" t="s">
        <v>1864</v>
      </c>
      <c r="BA1082" s="10" t="s">
        <v>1865</v>
      </c>
      <c r="BC1082" s="28">
        <f>AW1082+AX1082</f>
        <v>0</v>
      </c>
      <c r="BD1082" s="28">
        <f>G1082/(100-BE1082)*100</f>
        <v>0</v>
      </c>
      <c r="BE1082" s="28">
        <v>0</v>
      </c>
      <c r="BF1082" s="28">
        <f>1082</f>
        <v>1082</v>
      </c>
      <c r="BH1082" s="28">
        <f>F1082*AO1082</f>
        <v>0</v>
      </c>
      <c r="BI1082" s="28">
        <f>F1082*AP1082</f>
        <v>0</v>
      </c>
      <c r="BJ1082" s="28">
        <f>F1082*G1082</f>
        <v>0</v>
      </c>
      <c r="BK1082" s="28"/>
      <c r="BL1082" s="28">
        <v>12</v>
      </c>
      <c r="BW1082" s="28">
        <v>21</v>
      </c>
      <c r="BX1082" s="4" t="s">
        <v>1918</v>
      </c>
    </row>
    <row r="1083" spans="1:76" ht="14.4" x14ac:dyDescent="0.3">
      <c r="A1083" s="31"/>
      <c r="C1083" s="32" t="s">
        <v>1919</v>
      </c>
      <c r="D1083" s="32" t="s">
        <v>1920</v>
      </c>
      <c r="F1083" s="33">
        <v>2.88</v>
      </c>
      <c r="K1083" s="34"/>
    </row>
    <row r="1084" spans="1:76" ht="14.4" x14ac:dyDescent="0.3">
      <c r="A1084" s="31"/>
      <c r="C1084" s="32" t="s">
        <v>1921</v>
      </c>
      <c r="D1084" s="32" t="s">
        <v>1922</v>
      </c>
      <c r="F1084" s="33">
        <v>23.58</v>
      </c>
      <c r="K1084" s="34"/>
    </row>
    <row r="1085" spans="1:76" ht="14.4" x14ac:dyDescent="0.3">
      <c r="A1085" s="31"/>
      <c r="C1085" s="32" t="s">
        <v>1923</v>
      </c>
      <c r="D1085" s="32" t="s">
        <v>1924</v>
      </c>
      <c r="F1085" s="33">
        <v>2.4</v>
      </c>
      <c r="K1085" s="34"/>
    </row>
    <row r="1086" spans="1:76" ht="66" x14ac:dyDescent="0.3">
      <c r="A1086" s="31"/>
      <c r="B1086" s="35" t="s">
        <v>68</v>
      </c>
      <c r="C1086" s="93" t="s">
        <v>1925</v>
      </c>
      <c r="D1086" s="94"/>
      <c r="E1086" s="94"/>
      <c r="F1086" s="94"/>
      <c r="G1086" s="94"/>
      <c r="H1086" s="94"/>
      <c r="I1086" s="94"/>
      <c r="J1086" s="94"/>
      <c r="K1086" s="95"/>
      <c r="BX1086" s="36" t="s">
        <v>1925</v>
      </c>
    </row>
    <row r="1087" spans="1:76" ht="14.4" x14ac:dyDescent="0.3">
      <c r="A1087" s="24" t="s">
        <v>51</v>
      </c>
      <c r="B1087" s="25" t="s">
        <v>152</v>
      </c>
      <c r="C1087" s="91" t="s">
        <v>153</v>
      </c>
      <c r="D1087" s="92"/>
      <c r="E1087" s="26" t="s">
        <v>4</v>
      </c>
      <c r="F1087" s="26" t="s">
        <v>4</v>
      </c>
      <c r="G1087" s="26" t="s">
        <v>4</v>
      </c>
      <c r="H1087" s="1">
        <f>SUM(H1088:H1088)</f>
        <v>0</v>
      </c>
      <c r="I1087" s="1">
        <f>SUM(I1088:I1088)</f>
        <v>0</v>
      </c>
      <c r="J1087" s="1">
        <f>SUM(J1088:J1088)</f>
        <v>0</v>
      </c>
      <c r="K1087" s="27" t="s">
        <v>51</v>
      </c>
      <c r="AI1087" s="10" t="s">
        <v>1859</v>
      </c>
      <c r="AS1087" s="1">
        <f>SUM(AJ1088:AJ1088)</f>
        <v>0</v>
      </c>
      <c r="AT1087" s="1">
        <f>SUM(AK1088:AK1088)</f>
        <v>0</v>
      </c>
      <c r="AU1087" s="1">
        <f>SUM(AL1088:AL1088)</f>
        <v>0</v>
      </c>
    </row>
    <row r="1088" spans="1:76" ht="14.4" x14ac:dyDescent="0.3">
      <c r="A1088" s="2" t="s">
        <v>1926</v>
      </c>
      <c r="B1088" s="3" t="s">
        <v>1927</v>
      </c>
      <c r="C1088" s="75" t="s">
        <v>1928</v>
      </c>
      <c r="D1088" s="70"/>
      <c r="E1088" s="3" t="s">
        <v>59</v>
      </c>
      <c r="F1088" s="28">
        <v>586.45000000000005</v>
      </c>
      <c r="G1088" s="28">
        <v>0</v>
      </c>
      <c r="H1088" s="28">
        <f>ROUND(F1088*AO1088,2)</f>
        <v>0</v>
      </c>
      <c r="I1088" s="28">
        <f>ROUND(F1088*AP1088,2)</f>
        <v>0</v>
      </c>
      <c r="J1088" s="28">
        <f>ROUND(F1088*G1088,2)</f>
        <v>0</v>
      </c>
      <c r="K1088" s="29" t="s">
        <v>1657</v>
      </c>
      <c r="Z1088" s="28">
        <f>ROUND(IF(AQ1088="5",BJ1088,0),2)</f>
        <v>0</v>
      </c>
      <c r="AB1088" s="28">
        <f>ROUND(IF(AQ1088="1",BH1088,0),2)</f>
        <v>0</v>
      </c>
      <c r="AC1088" s="28">
        <f>ROUND(IF(AQ1088="1",BI1088,0),2)</f>
        <v>0</v>
      </c>
      <c r="AD1088" s="28">
        <f>ROUND(IF(AQ1088="7",BH1088,0),2)</f>
        <v>0</v>
      </c>
      <c r="AE1088" s="28">
        <f>ROUND(IF(AQ1088="7",BI1088,0),2)</f>
        <v>0</v>
      </c>
      <c r="AF1088" s="28">
        <f>ROUND(IF(AQ1088="2",BH1088,0),2)</f>
        <v>0</v>
      </c>
      <c r="AG1088" s="28">
        <f>ROUND(IF(AQ1088="2",BI1088,0),2)</f>
        <v>0</v>
      </c>
      <c r="AH1088" s="28">
        <f>ROUND(IF(AQ1088="0",BJ1088,0),2)</f>
        <v>0</v>
      </c>
      <c r="AI1088" s="10" t="s">
        <v>1859</v>
      </c>
      <c r="AJ1088" s="28">
        <f>IF(AN1088=0,J1088,0)</f>
        <v>0</v>
      </c>
      <c r="AK1088" s="28">
        <f>IF(AN1088=12,J1088,0)</f>
        <v>0</v>
      </c>
      <c r="AL1088" s="28">
        <f>IF(AN1088=21,J1088,0)</f>
        <v>0</v>
      </c>
      <c r="AN1088" s="28">
        <v>21</v>
      </c>
      <c r="AO1088" s="28">
        <f>G1088*0</f>
        <v>0</v>
      </c>
      <c r="AP1088" s="28">
        <f>G1088*(1-0)</f>
        <v>0</v>
      </c>
      <c r="AQ1088" s="30" t="s">
        <v>56</v>
      </c>
      <c r="AV1088" s="28">
        <f>ROUND(AW1088+AX1088,2)</f>
        <v>0</v>
      </c>
      <c r="AW1088" s="28">
        <f>ROUND(F1088*AO1088,2)</f>
        <v>0</v>
      </c>
      <c r="AX1088" s="28">
        <f>ROUND(F1088*AP1088,2)</f>
        <v>0</v>
      </c>
      <c r="AY1088" s="30" t="s">
        <v>156</v>
      </c>
      <c r="AZ1088" s="30" t="s">
        <v>1864</v>
      </c>
      <c r="BA1088" s="10" t="s">
        <v>1865</v>
      </c>
      <c r="BC1088" s="28">
        <f>AW1088+AX1088</f>
        <v>0</v>
      </c>
      <c r="BD1088" s="28">
        <f>G1088/(100-BE1088)*100</f>
        <v>0</v>
      </c>
      <c r="BE1088" s="28">
        <v>0</v>
      </c>
      <c r="BF1088" s="28">
        <f>1088</f>
        <v>1088</v>
      </c>
      <c r="BH1088" s="28">
        <f>F1088*AO1088</f>
        <v>0</v>
      </c>
      <c r="BI1088" s="28">
        <f>F1088*AP1088</f>
        <v>0</v>
      </c>
      <c r="BJ1088" s="28">
        <f>F1088*G1088</f>
        <v>0</v>
      </c>
      <c r="BK1088" s="28"/>
      <c r="BL1088" s="28">
        <v>17</v>
      </c>
      <c r="BW1088" s="28">
        <v>21</v>
      </c>
      <c r="BX1088" s="4" t="s">
        <v>1928</v>
      </c>
    </row>
    <row r="1089" spans="1:76" ht="13.5" customHeight="1" x14ac:dyDescent="0.3">
      <c r="A1089" s="31"/>
      <c r="B1089" s="35" t="s">
        <v>105</v>
      </c>
      <c r="C1089" s="96" t="s">
        <v>1929</v>
      </c>
      <c r="D1089" s="97"/>
      <c r="E1089" s="97"/>
      <c r="F1089" s="97"/>
      <c r="G1089" s="97"/>
      <c r="H1089" s="97"/>
      <c r="I1089" s="97"/>
      <c r="J1089" s="97"/>
      <c r="K1089" s="98"/>
    </row>
    <row r="1090" spans="1:76" ht="14.4" x14ac:dyDescent="0.3">
      <c r="A1090" s="31"/>
      <c r="C1090" s="32" t="s">
        <v>1930</v>
      </c>
      <c r="D1090" s="32" t="s">
        <v>51</v>
      </c>
      <c r="F1090" s="33">
        <v>352.25</v>
      </c>
      <c r="K1090" s="34"/>
    </row>
    <row r="1091" spans="1:76" ht="14.4" x14ac:dyDescent="0.3">
      <c r="A1091" s="31"/>
      <c r="C1091" s="32" t="s">
        <v>1931</v>
      </c>
      <c r="D1091" s="32" t="s">
        <v>51</v>
      </c>
      <c r="F1091" s="33">
        <v>49.2</v>
      </c>
      <c r="K1091" s="34"/>
    </row>
    <row r="1092" spans="1:76" ht="14.4" x14ac:dyDescent="0.3">
      <c r="A1092" s="31"/>
      <c r="C1092" s="32" t="s">
        <v>405</v>
      </c>
      <c r="D1092" s="32" t="s">
        <v>51</v>
      </c>
      <c r="F1092" s="33">
        <v>185</v>
      </c>
      <c r="K1092" s="34"/>
    </row>
    <row r="1093" spans="1:76" ht="14.4" x14ac:dyDescent="0.3">
      <c r="A1093" s="24" t="s">
        <v>51</v>
      </c>
      <c r="B1093" s="25" t="s">
        <v>600</v>
      </c>
      <c r="C1093" s="91" t="s">
        <v>623</v>
      </c>
      <c r="D1093" s="92"/>
      <c r="E1093" s="26" t="s">
        <v>4</v>
      </c>
      <c r="F1093" s="26" t="s">
        <v>4</v>
      </c>
      <c r="G1093" s="26" t="s">
        <v>4</v>
      </c>
      <c r="H1093" s="1">
        <f>SUM(H1094:H1107)</f>
        <v>0</v>
      </c>
      <c r="I1093" s="1">
        <f>SUM(I1094:I1107)</f>
        <v>0</v>
      </c>
      <c r="J1093" s="1">
        <f>SUM(J1094:J1107)</f>
        <v>0</v>
      </c>
      <c r="K1093" s="27" t="s">
        <v>51</v>
      </c>
      <c r="AI1093" s="10" t="s">
        <v>1859</v>
      </c>
      <c r="AS1093" s="1">
        <f>SUM(AJ1094:AJ1107)</f>
        <v>0</v>
      </c>
      <c r="AT1093" s="1">
        <f>SUM(AK1094:AK1107)</f>
        <v>0</v>
      </c>
      <c r="AU1093" s="1">
        <f>SUM(AL1094:AL1107)</f>
        <v>0</v>
      </c>
    </row>
    <row r="1094" spans="1:76" ht="14.4" x14ac:dyDescent="0.3">
      <c r="A1094" s="2" t="s">
        <v>1932</v>
      </c>
      <c r="B1094" s="3" t="s">
        <v>1933</v>
      </c>
      <c r="C1094" s="75" t="s">
        <v>1934</v>
      </c>
      <c r="D1094" s="70"/>
      <c r="E1094" s="3" t="s">
        <v>59</v>
      </c>
      <c r="F1094" s="28">
        <v>78.5</v>
      </c>
      <c r="G1094" s="28">
        <v>0</v>
      </c>
      <c r="H1094" s="28">
        <f>ROUND(F1094*AO1094,2)</f>
        <v>0</v>
      </c>
      <c r="I1094" s="28">
        <f>ROUND(F1094*AP1094,2)</f>
        <v>0</v>
      </c>
      <c r="J1094" s="28">
        <f>ROUND(F1094*G1094,2)</f>
        <v>0</v>
      </c>
      <c r="K1094" s="29" t="s">
        <v>60</v>
      </c>
      <c r="Z1094" s="28">
        <f>ROUND(IF(AQ1094="5",BJ1094,0),2)</f>
        <v>0</v>
      </c>
      <c r="AB1094" s="28">
        <f>ROUND(IF(AQ1094="1",BH1094,0),2)</f>
        <v>0</v>
      </c>
      <c r="AC1094" s="28">
        <f>ROUND(IF(AQ1094="1",BI1094,0),2)</f>
        <v>0</v>
      </c>
      <c r="AD1094" s="28">
        <f>ROUND(IF(AQ1094="7",BH1094,0),2)</f>
        <v>0</v>
      </c>
      <c r="AE1094" s="28">
        <f>ROUND(IF(AQ1094="7",BI1094,0),2)</f>
        <v>0</v>
      </c>
      <c r="AF1094" s="28">
        <f>ROUND(IF(AQ1094="2",BH1094,0),2)</f>
        <v>0</v>
      </c>
      <c r="AG1094" s="28">
        <f>ROUND(IF(AQ1094="2",BI1094,0),2)</f>
        <v>0</v>
      </c>
      <c r="AH1094" s="28">
        <f>ROUND(IF(AQ1094="0",BJ1094,0),2)</f>
        <v>0</v>
      </c>
      <c r="AI1094" s="10" t="s">
        <v>1859</v>
      </c>
      <c r="AJ1094" s="28">
        <f>IF(AN1094=0,J1094,0)</f>
        <v>0</v>
      </c>
      <c r="AK1094" s="28">
        <f>IF(AN1094=12,J1094,0)</f>
        <v>0</v>
      </c>
      <c r="AL1094" s="28">
        <f>IF(AN1094=21,J1094,0)</f>
        <v>0</v>
      </c>
      <c r="AN1094" s="28">
        <v>21</v>
      </c>
      <c r="AO1094" s="28">
        <f>G1094*0.00481647</f>
        <v>0</v>
      </c>
      <c r="AP1094" s="28">
        <f>G1094*(1-0.00481647)</f>
        <v>0</v>
      </c>
      <c r="AQ1094" s="30" t="s">
        <v>56</v>
      </c>
      <c r="AV1094" s="28">
        <f>ROUND(AW1094+AX1094,2)</f>
        <v>0</v>
      </c>
      <c r="AW1094" s="28">
        <f>ROUND(F1094*AO1094,2)</f>
        <v>0</v>
      </c>
      <c r="AX1094" s="28">
        <f>ROUND(F1094*AP1094,2)</f>
        <v>0</v>
      </c>
      <c r="AY1094" s="30" t="s">
        <v>627</v>
      </c>
      <c r="AZ1094" s="30" t="s">
        <v>1935</v>
      </c>
      <c r="BA1094" s="10" t="s">
        <v>1865</v>
      </c>
      <c r="BC1094" s="28">
        <f>AW1094+AX1094</f>
        <v>0</v>
      </c>
      <c r="BD1094" s="28">
        <f>G1094/(100-BE1094)*100</f>
        <v>0</v>
      </c>
      <c r="BE1094" s="28">
        <v>0</v>
      </c>
      <c r="BF1094" s="28">
        <f>1094</f>
        <v>1094</v>
      </c>
      <c r="BH1094" s="28">
        <f>F1094*AO1094</f>
        <v>0</v>
      </c>
      <c r="BI1094" s="28">
        <f>F1094*AP1094</f>
        <v>0</v>
      </c>
      <c r="BJ1094" s="28">
        <f>F1094*G1094</f>
        <v>0</v>
      </c>
      <c r="BK1094" s="28"/>
      <c r="BL1094" s="28">
        <v>96</v>
      </c>
      <c r="BW1094" s="28">
        <v>21</v>
      </c>
      <c r="BX1094" s="4" t="s">
        <v>1934</v>
      </c>
    </row>
    <row r="1095" spans="1:76" ht="14.4" x14ac:dyDescent="0.3">
      <c r="A1095" s="31"/>
      <c r="C1095" s="32" t="s">
        <v>1936</v>
      </c>
      <c r="D1095" s="32" t="s">
        <v>1920</v>
      </c>
      <c r="F1095" s="33">
        <v>4.8</v>
      </c>
      <c r="K1095" s="34"/>
    </row>
    <row r="1096" spans="1:76" ht="14.4" x14ac:dyDescent="0.3">
      <c r="A1096" s="31"/>
      <c r="C1096" s="32" t="s">
        <v>1937</v>
      </c>
      <c r="D1096" s="32" t="s">
        <v>1938</v>
      </c>
      <c r="F1096" s="33">
        <v>12</v>
      </c>
      <c r="K1096" s="34"/>
    </row>
    <row r="1097" spans="1:76" ht="14.4" x14ac:dyDescent="0.3">
      <c r="A1097" s="31"/>
      <c r="C1097" s="32" t="s">
        <v>1939</v>
      </c>
      <c r="D1097" s="32" t="s">
        <v>1922</v>
      </c>
      <c r="F1097" s="33">
        <v>46.8</v>
      </c>
      <c r="K1097" s="34"/>
    </row>
    <row r="1098" spans="1:76" ht="14.4" x14ac:dyDescent="0.3">
      <c r="A1098" s="31"/>
      <c r="C1098" s="32" t="s">
        <v>1923</v>
      </c>
      <c r="D1098" s="32" t="s">
        <v>1924</v>
      </c>
      <c r="F1098" s="33">
        <v>2.4</v>
      </c>
      <c r="K1098" s="34"/>
    </row>
    <row r="1099" spans="1:76" ht="14.4" x14ac:dyDescent="0.3">
      <c r="A1099" s="31"/>
      <c r="C1099" s="32" t="s">
        <v>1940</v>
      </c>
      <c r="D1099" s="32" t="s">
        <v>1941</v>
      </c>
      <c r="F1099" s="33">
        <v>10.5</v>
      </c>
      <c r="K1099" s="34"/>
    </row>
    <row r="1100" spans="1:76" ht="14.4" x14ac:dyDescent="0.3">
      <c r="A1100" s="31"/>
      <c r="C1100" s="32" t="s">
        <v>74</v>
      </c>
      <c r="D1100" s="32" t="s">
        <v>1942</v>
      </c>
      <c r="F1100" s="33">
        <v>2</v>
      </c>
      <c r="K1100" s="34"/>
    </row>
    <row r="1101" spans="1:76" ht="39.6" x14ac:dyDescent="0.3">
      <c r="A1101" s="31"/>
      <c r="B1101" s="35" t="s">
        <v>68</v>
      </c>
      <c r="C1101" s="93" t="s">
        <v>1943</v>
      </c>
      <c r="D1101" s="94"/>
      <c r="E1101" s="94"/>
      <c r="F1101" s="94"/>
      <c r="G1101" s="94"/>
      <c r="H1101" s="94"/>
      <c r="I1101" s="94"/>
      <c r="J1101" s="94"/>
      <c r="K1101" s="95"/>
      <c r="BX1101" s="36" t="s">
        <v>1943</v>
      </c>
    </row>
    <row r="1102" spans="1:76" ht="14.4" x14ac:dyDescent="0.3">
      <c r="A1102" s="2" t="s">
        <v>1944</v>
      </c>
      <c r="B1102" s="3" t="s">
        <v>1945</v>
      </c>
      <c r="C1102" s="75" t="s">
        <v>1946</v>
      </c>
      <c r="D1102" s="70"/>
      <c r="E1102" s="3" t="s">
        <v>459</v>
      </c>
      <c r="F1102" s="28">
        <v>1</v>
      </c>
      <c r="G1102" s="28">
        <v>0</v>
      </c>
      <c r="H1102" s="28">
        <f>ROUND(F1102*AO1102,2)</f>
        <v>0</v>
      </c>
      <c r="I1102" s="28">
        <f>ROUND(F1102*AP1102,2)</f>
        <v>0</v>
      </c>
      <c r="J1102" s="28">
        <f>ROUND(F1102*G1102,2)</f>
        <v>0</v>
      </c>
      <c r="K1102" s="29" t="s">
        <v>60</v>
      </c>
      <c r="Z1102" s="28">
        <f>ROUND(IF(AQ1102="5",BJ1102,0),2)</f>
        <v>0</v>
      </c>
      <c r="AB1102" s="28">
        <f>ROUND(IF(AQ1102="1",BH1102,0),2)</f>
        <v>0</v>
      </c>
      <c r="AC1102" s="28">
        <f>ROUND(IF(AQ1102="1",BI1102,0),2)</f>
        <v>0</v>
      </c>
      <c r="AD1102" s="28">
        <f>ROUND(IF(AQ1102="7",BH1102,0),2)</f>
        <v>0</v>
      </c>
      <c r="AE1102" s="28">
        <f>ROUND(IF(AQ1102="7",BI1102,0),2)</f>
        <v>0</v>
      </c>
      <c r="AF1102" s="28">
        <f>ROUND(IF(AQ1102="2",BH1102,0),2)</f>
        <v>0</v>
      </c>
      <c r="AG1102" s="28">
        <f>ROUND(IF(AQ1102="2",BI1102,0),2)</f>
        <v>0</v>
      </c>
      <c r="AH1102" s="28">
        <f>ROUND(IF(AQ1102="0",BJ1102,0),2)</f>
        <v>0</v>
      </c>
      <c r="AI1102" s="10" t="s">
        <v>1859</v>
      </c>
      <c r="AJ1102" s="28">
        <f>IF(AN1102=0,J1102,0)</f>
        <v>0</v>
      </c>
      <c r="AK1102" s="28">
        <f>IF(AN1102=12,J1102,0)</f>
        <v>0</v>
      </c>
      <c r="AL1102" s="28">
        <f>IF(AN1102=21,J1102,0)</f>
        <v>0</v>
      </c>
      <c r="AN1102" s="28">
        <v>21</v>
      </c>
      <c r="AO1102" s="28">
        <f>G1102*0</f>
        <v>0</v>
      </c>
      <c r="AP1102" s="28">
        <f>G1102*(1-0)</f>
        <v>0</v>
      </c>
      <c r="AQ1102" s="30" t="s">
        <v>56</v>
      </c>
      <c r="AV1102" s="28">
        <f>ROUND(AW1102+AX1102,2)</f>
        <v>0</v>
      </c>
      <c r="AW1102" s="28">
        <f>ROUND(F1102*AO1102,2)</f>
        <v>0</v>
      </c>
      <c r="AX1102" s="28">
        <f>ROUND(F1102*AP1102,2)</f>
        <v>0</v>
      </c>
      <c r="AY1102" s="30" t="s">
        <v>627</v>
      </c>
      <c r="AZ1102" s="30" t="s">
        <v>1935</v>
      </c>
      <c r="BA1102" s="10" t="s">
        <v>1865</v>
      </c>
      <c r="BC1102" s="28">
        <f>AW1102+AX1102</f>
        <v>0</v>
      </c>
      <c r="BD1102" s="28">
        <f>G1102/(100-BE1102)*100</f>
        <v>0</v>
      </c>
      <c r="BE1102" s="28">
        <v>0</v>
      </c>
      <c r="BF1102" s="28">
        <f>1102</f>
        <v>1102</v>
      </c>
      <c r="BH1102" s="28">
        <f>F1102*AO1102</f>
        <v>0</v>
      </c>
      <c r="BI1102" s="28">
        <f>F1102*AP1102</f>
        <v>0</v>
      </c>
      <c r="BJ1102" s="28">
        <f>F1102*G1102</f>
        <v>0</v>
      </c>
      <c r="BK1102" s="28"/>
      <c r="BL1102" s="28">
        <v>96</v>
      </c>
      <c r="BW1102" s="28">
        <v>21</v>
      </c>
      <c r="BX1102" s="4" t="s">
        <v>1946</v>
      </c>
    </row>
    <row r="1103" spans="1:76" ht="14.4" x14ac:dyDescent="0.3">
      <c r="A1103" s="2" t="s">
        <v>1947</v>
      </c>
      <c r="B1103" s="3" t="s">
        <v>1948</v>
      </c>
      <c r="C1103" s="75" t="s">
        <v>1949</v>
      </c>
      <c r="D1103" s="70"/>
      <c r="E1103" s="3" t="s">
        <v>188</v>
      </c>
      <c r="F1103" s="28">
        <v>148</v>
      </c>
      <c r="G1103" s="28">
        <v>0</v>
      </c>
      <c r="H1103" s="28">
        <f>ROUND(F1103*AO1103,2)</f>
        <v>0</v>
      </c>
      <c r="I1103" s="28">
        <f>ROUND(F1103*AP1103,2)</f>
        <v>0</v>
      </c>
      <c r="J1103" s="28">
        <f>ROUND(F1103*G1103,2)</f>
        <v>0</v>
      </c>
      <c r="K1103" s="29" t="s">
        <v>60</v>
      </c>
      <c r="Z1103" s="28">
        <f>ROUND(IF(AQ1103="5",BJ1103,0),2)</f>
        <v>0</v>
      </c>
      <c r="AB1103" s="28">
        <f>ROUND(IF(AQ1103="1",BH1103,0),2)</f>
        <v>0</v>
      </c>
      <c r="AC1103" s="28">
        <f>ROUND(IF(AQ1103="1",BI1103,0),2)</f>
        <v>0</v>
      </c>
      <c r="AD1103" s="28">
        <f>ROUND(IF(AQ1103="7",BH1103,0),2)</f>
        <v>0</v>
      </c>
      <c r="AE1103" s="28">
        <f>ROUND(IF(AQ1103="7",BI1103,0),2)</f>
        <v>0</v>
      </c>
      <c r="AF1103" s="28">
        <f>ROUND(IF(AQ1103="2",BH1103,0),2)</f>
        <v>0</v>
      </c>
      <c r="AG1103" s="28">
        <f>ROUND(IF(AQ1103="2",BI1103,0),2)</f>
        <v>0</v>
      </c>
      <c r="AH1103" s="28">
        <f>ROUND(IF(AQ1103="0",BJ1103,0),2)</f>
        <v>0</v>
      </c>
      <c r="AI1103" s="10" t="s">
        <v>1859</v>
      </c>
      <c r="AJ1103" s="28">
        <f>IF(AN1103=0,J1103,0)</f>
        <v>0</v>
      </c>
      <c r="AK1103" s="28">
        <f>IF(AN1103=12,J1103,0)</f>
        <v>0</v>
      </c>
      <c r="AL1103" s="28">
        <f>IF(AN1103=21,J1103,0)</f>
        <v>0</v>
      </c>
      <c r="AN1103" s="28">
        <v>21</v>
      </c>
      <c r="AO1103" s="28">
        <f>G1103*0</f>
        <v>0</v>
      </c>
      <c r="AP1103" s="28">
        <f>G1103*(1-0)</f>
        <v>0</v>
      </c>
      <c r="AQ1103" s="30" t="s">
        <v>74</v>
      </c>
      <c r="AV1103" s="28">
        <f>ROUND(AW1103+AX1103,2)</f>
        <v>0</v>
      </c>
      <c r="AW1103" s="28">
        <f>ROUND(F1103*AO1103,2)</f>
        <v>0</v>
      </c>
      <c r="AX1103" s="28">
        <f>ROUND(F1103*AP1103,2)</f>
        <v>0</v>
      </c>
      <c r="AY1103" s="30" t="s">
        <v>627</v>
      </c>
      <c r="AZ1103" s="30" t="s">
        <v>1935</v>
      </c>
      <c r="BA1103" s="10" t="s">
        <v>1865</v>
      </c>
      <c r="BC1103" s="28">
        <f>AW1103+AX1103</f>
        <v>0</v>
      </c>
      <c r="BD1103" s="28">
        <f>G1103/(100-BE1103)*100</f>
        <v>0</v>
      </c>
      <c r="BE1103" s="28">
        <v>0</v>
      </c>
      <c r="BF1103" s="28">
        <f>1103</f>
        <v>1103</v>
      </c>
      <c r="BH1103" s="28">
        <f>F1103*AO1103</f>
        <v>0</v>
      </c>
      <c r="BI1103" s="28">
        <f>F1103*AP1103</f>
        <v>0</v>
      </c>
      <c r="BJ1103" s="28">
        <f>F1103*G1103</f>
        <v>0</v>
      </c>
      <c r="BK1103" s="28"/>
      <c r="BL1103" s="28">
        <v>96</v>
      </c>
      <c r="BW1103" s="28">
        <v>21</v>
      </c>
      <c r="BX1103" s="4" t="s">
        <v>1949</v>
      </c>
    </row>
    <row r="1104" spans="1:76" ht="14.4" x14ac:dyDescent="0.3">
      <c r="A1104" s="31"/>
      <c r="C1104" s="32" t="s">
        <v>1950</v>
      </c>
      <c r="D1104" s="32" t="s">
        <v>51</v>
      </c>
      <c r="F1104" s="33">
        <v>148</v>
      </c>
      <c r="K1104" s="34"/>
    </row>
    <row r="1105" spans="1:76" ht="14.4" x14ac:dyDescent="0.3">
      <c r="A1105" s="2" t="s">
        <v>1951</v>
      </c>
      <c r="B1105" s="3" t="s">
        <v>1952</v>
      </c>
      <c r="C1105" s="75" t="s">
        <v>1953</v>
      </c>
      <c r="D1105" s="70"/>
      <c r="E1105" s="3" t="s">
        <v>59</v>
      </c>
      <c r="F1105" s="28">
        <v>4</v>
      </c>
      <c r="G1105" s="28">
        <v>0</v>
      </c>
      <c r="H1105" s="28">
        <f>ROUND(F1105*AO1105,2)</f>
        <v>0</v>
      </c>
      <c r="I1105" s="28">
        <f>ROUND(F1105*AP1105,2)</f>
        <v>0</v>
      </c>
      <c r="J1105" s="28">
        <f>ROUND(F1105*G1105,2)</f>
        <v>0</v>
      </c>
      <c r="K1105" s="29" t="s">
        <v>60</v>
      </c>
      <c r="Z1105" s="28">
        <f>ROUND(IF(AQ1105="5",BJ1105,0),2)</f>
        <v>0</v>
      </c>
      <c r="AB1105" s="28">
        <f>ROUND(IF(AQ1105="1",BH1105,0),2)</f>
        <v>0</v>
      </c>
      <c r="AC1105" s="28">
        <f>ROUND(IF(AQ1105="1",BI1105,0),2)</f>
        <v>0</v>
      </c>
      <c r="AD1105" s="28">
        <f>ROUND(IF(AQ1105="7",BH1105,0),2)</f>
        <v>0</v>
      </c>
      <c r="AE1105" s="28">
        <f>ROUND(IF(AQ1105="7",BI1105,0),2)</f>
        <v>0</v>
      </c>
      <c r="AF1105" s="28">
        <f>ROUND(IF(AQ1105="2",BH1105,0),2)</f>
        <v>0</v>
      </c>
      <c r="AG1105" s="28">
        <f>ROUND(IF(AQ1105="2",BI1105,0),2)</f>
        <v>0</v>
      </c>
      <c r="AH1105" s="28">
        <f>ROUND(IF(AQ1105="0",BJ1105,0),2)</f>
        <v>0</v>
      </c>
      <c r="AI1105" s="10" t="s">
        <v>1859</v>
      </c>
      <c r="AJ1105" s="28">
        <f>IF(AN1105=0,J1105,0)</f>
        <v>0</v>
      </c>
      <c r="AK1105" s="28">
        <f>IF(AN1105=12,J1105,0)</f>
        <v>0</v>
      </c>
      <c r="AL1105" s="28">
        <f>IF(AN1105=21,J1105,0)</f>
        <v>0</v>
      </c>
      <c r="AN1105" s="28">
        <v>21</v>
      </c>
      <c r="AO1105" s="28">
        <f>G1105*0</f>
        <v>0</v>
      </c>
      <c r="AP1105" s="28">
        <f>G1105*(1-0)</f>
        <v>0</v>
      </c>
      <c r="AQ1105" s="30" t="s">
        <v>56</v>
      </c>
      <c r="AV1105" s="28">
        <f>ROUND(AW1105+AX1105,2)</f>
        <v>0</v>
      </c>
      <c r="AW1105" s="28">
        <f>ROUND(F1105*AO1105,2)</f>
        <v>0</v>
      </c>
      <c r="AX1105" s="28">
        <f>ROUND(F1105*AP1105,2)</f>
        <v>0</v>
      </c>
      <c r="AY1105" s="30" t="s">
        <v>627</v>
      </c>
      <c r="AZ1105" s="30" t="s">
        <v>1935</v>
      </c>
      <c r="BA1105" s="10" t="s">
        <v>1865</v>
      </c>
      <c r="BC1105" s="28">
        <f>AW1105+AX1105</f>
        <v>0</v>
      </c>
      <c r="BD1105" s="28">
        <f>G1105/(100-BE1105)*100</f>
        <v>0</v>
      </c>
      <c r="BE1105" s="28">
        <v>0</v>
      </c>
      <c r="BF1105" s="28">
        <f>1105</f>
        <v>1105</v>
      </c>
      <c r="BH1105" s="28">
        <f>F1105*AO1105</f>
        <v>0</v>
      </c>
      <c r="BI1105" s="28">
        <f>F1105*AP1105</f>
        <v>0</v>
      </c>
      <c r="BJ1105" s="28">
        <f>F1105*G1105</f>
        <v>0</v>
      </c>
      <c r="BK1105" s="28"/>
      <c r="BL1105" s="28">
        <v>96</v>
      </c>
      <c r="BW1105" s="28">
        <v>21</v>
      </c>
      <c r="BX1105" s="4" t="s">
        <v>1953</v>
      </c>
    </row>
    <row r="1106" spans="1:76" ht="13.5" customHeight="1" x14ac:dyDescent="0.3">
      <c r="A1106" s="31"/>
      <c r="B1106" s="35" t="s">
        <v>105</v>
      </c>
      <c r="C1106" s="96" t="s">
        <v>1954</v>
      </c>
      <c r="D1106" s="97"/>
      <c r="E1106" s="97"/>
      <c r="F1106" s="97"/>
      <c r="G1106" s="97"/>
      <c r="H1106" s="97"/>
      <c r="I1106" s="97"/>
      <c r="J1106" s="97"/>
      <c r="K1106" s="98"/>
    </row>
    <row r="1107" spans="1:76" ht="14.4" x14ac:dyDescent="0.3">
      <c r="A1107" s="2" t="s">
        <v>1955</v>
      </c>
      <c r="B1107" s="3" t="s">
        <v>1956</v>
      </c>
      <c r="C1107" s="75" t="s">
        <v>1957</v>
      </c>
      <c r="D1107" s="70"/>
      <c r="E1107" s="3" t="s">
        <v>188</v>
      </c>
      <c r="F1107" s="28">
        <v>25</v>
      </c>
      <c r="G1107" s="28">
        <v>0</v>
      </c>
      <c r="H1107" s="28">
        <f>ROUND(F1107*AO1107,2)</f>
        <v>0</v>
      </c>
      <c r="I1107" s="28">
        <f>ROUND(F1107*AP1107,2)</f>
        <v>0</v>
      </c>
      <c r="J1107" s="28">
        <f>ROUND(F1107*G1107,2)</f>
        <v>0</v>
      </c>
      <c r="K1107" s="29" t="s">
        <v>60</v>
      </c>
      <c r="Z1107" s="28">
        <f>ROUND(IF(AQ1107="5",BJ1107,0),2)</f>
        <v>0</v>
      </c>
      <c r="AB1107" s="28">
        <f>ROUND(IF(AQ1107="1",BH1107,0),2)</f>
        <v>0</v>
      </c>
      <c r="AC1107" s="28">
        <f>ROUND(IF(AQ1107="1",BI1107,0),2)</f>
        <v>0</v>
      </c>
      <c r="AD1107" s="28">
        <f>ROUND(IF(AQ1107="7",BH1107,0),2)</f>
        <v>0</v>
      </c>
      <c r="AE1107" s="28">
        <f>ROUND(IF(AQ1107="7",BI1107,0),2)</f>
        <v>0</v>
      </c>
      <c r="AF1107" s="28">
        <f>ROUND(IF(AQ1107="2",BH1107,0),2)</f>
        <v>0</v>
      </c>
      <c r="AG1107" s="28">
        <f>ROUND(IF(AQ1107="2",BI1107,0),2)</f>
        <v>0</v>
      </c>
      <c r="AH1107" s="28">
        <f>ROUND(IF(AQ1107="0",BJ1107,0),2)</f>
        <v>0</v>
      </c>
      <c r="AI1107" s="10" t="s">
        <v>1859</v>
      </c>
      <c r="AJ1107" s="28">
        <f>IF(AN1107=0,J1107,0)</f>
        <v>0</v>
      </c>
      <c r="AK1107" s="28">
        <f>IF(AN1107=12,J1107,0)</f>
        <v>0</v>
      </c>
      <c r="AL1107" s="28">
        <f>IF(AN1107=21,J1107,0)</f>
        <v>0</v>
      </c>
      <c r="AN1107" s="28">
        <v>21</v>
      </c>
      <c r="AO1107" s="28">
        <f>G1107*0</f>
        <v>0</v>
      </c>
      <c r="AP1107" s="28">
        <f>G1107*(1-0)</f>
        <v>0</v>
      </c>
      <c r="AQ1107" s="30" t="s">
        <v>56</v>
      </c>
      <c r="AV1107" s="28">
        <f>ROUND(AW1107+AX1107,2)</f>
        <v>0</v>
      </c>
      <c r="AW1107" s="28">
        <f>ROUND(F1107*AO1107,2)</f>
        <v>0</v>
      </c>
      <c r="AX1107" s="28">
        <f>ROUND(F1107*AP1107,2)</f>
        <v>0</v>
      </c>
      <c r="AY1107" s="30" t="s">
        <v>627</v>
      </c>
      <c r="AZ1107" s="30" t="s">
        <v>1935</v>
      </c>
      <c r="BA1107" s="10" t="s">
        <v>1865</v>
      </c>
      <c r="BC1107" s="28">
        <f>AW1107+AX1107</f>
        <v>0</v>
      </c>
      <c r="BD1107" s="28">
        <f>G1107/(100-BE1107)*100</f>
        <v>0</v>
      </c>
      <c r="BE1107" s="28">
        <v>0</v>
      </c>
      <c r="BF1107" s="28">
        <f>1107</f>
        <v>1107</v>
      </c>
      <c r="BH1107" s="28">
        <f>F1107*AO1107</f>
        <v>0</v>
      </c>
      <c r="BI1107" s="28">
        <f>F1107*AP1107</f>
        <v>0</v>
      </c>
      <c r="BJ1107" s="28">
        <f>F1107*G1107</f>
        <v>0</v>
      </c>
      <c r="BK1107" s="28"/>
      <c r="BL1107" s="28">
        <v>96</v>
      </c>
      <c r="BW1107" s="28">
        <v>21</v>
      </c>
      <c r="BX1107" s="4" t="s">
        <v>1957</v>
      </c>
    </row>
    <row r="1108" spans="1:76" ht="13.5" customHeight="1" x14ac:dyDescent="0.3">
      <c r="A1108" s="31"/>
      <c r="B1108" s="35" t="s">
        <v>105</v>
      </c>
      <c r="C1108" s="96" t="s">
        <v>1958</v>
      </c>
      <c r="D1108" s="97"/>
      <c r="E1108" s="97"/>
      <c r="F1108" s="97"/>
      <c r="G1108" s="97"/>
      <c r="H1108" s="97"/>
      <c r="I1108" s="97"/>
      <c r="J1108" s="97"/>
      <c r="K1108" s="98"/>
    </row>
    <row r="1109" spans="1:76" ht="26.4" x14ac:dyDescent="0.3">
      <c r="A1109" s="31"/>
      <c r="B1109" s="35" t="s">
        <v>68</v>
      </c>
      <c r="C1109" s="93" t="s">
        <v>628</v>
      </c>
      <c r="D1109" s="94"/>
      <c r="E1109" s="94"/>
      <c r="F1109" s="94"/>
      <c r="G1109" s="94"/>
      <c r="H1109" s="94"/>
      <c r="I1109" s="94"/>
      <c r="J1109" s="94"/>
      <c r="K1109" s="95"/>
      <c r="BX1109" s="36" t="s">
        <v>628</v>
      </c>
    </row>
    <row r="1110" spans="1:76" ht="14.4" x14ac:dyDescent="0.3">
      <c r="A1110" s="24" t="s">
        <v>51</v>
      </c>
      <c r="B1110" s="25" t="s">
        <v>1959</v>
      </c>
      <c r="C1110" s="91" t="s">
        <v>1960</v>
      </c>
      <c r="D1110" s="92"/>
      <c r="E1110" s="26" t="s">
        <v>4</v>
      </c>
      <c r="F1110" s="26" t="s">
        <v>4</v>
      </c>
      <c r="G1110" s="26" t="s">
        <v>4</v>
      </c>
      <c r="H1110" s="1">
        <f>SUM(H1111:H1124)</f>
        <v>0</v>
      </c>
      <c r="I1110" s="1">
        <f>SUM(I1111:I1124)</f>
        <v>0</v>
      </c>
      <c r="J1110" s="1">
        <f>SUM(J1111:J1124)</f>
        <v>0</v>
      </c>
      <c r="K1110" s="27" t="s">
        <v>51</v>
      </c>
      <c r="AI1110" s="10" t="s">
        <v>1859</v>
      </c>
      <c r="AS1110" s="1">
        <f>SUM(AJ1111:AJ1124)</f>
        <v>0</v>
      </c>
      <c r="AT1110" s="1">
        <f>SUM(AK1111:AK1124)</f>
        <v>0</v>
      </c>
      <c r="AU1110" s="1">
        <f>SUM(AL1111:AL1124)</f>
        <v>0</v>
      </c>
    </row>
    <row r="1111" spans="1:76" ht="14.4" x14ac:dyDescent="0.3">
      <c r="A1111" s="2" t="s">
        <v>1961</v>
      </c>
      <c r="B1111" s="3" t="s">
        <v>1962</v>
      </c>
      <c r="C1111" s="75" t="s">
        <v>1963</v>
      </c>
      <c r="D1111" s="70"/>
      <c r="E1111" s="3" t="s">
        <v>201</v>
      </c>
      <c r="F1111" s="28">
        <v>778</v>
      </c>
      <c r="G1111" s="28">
        <v>0</v>
      </c>
      <c r="H1111" s="28">
        <f>ROUND(F1111*AO1111,2)</f>
        <v>0</v>
      </c>
      <c r="I1111" s="28">
        <f>ROUND(F1111*AP1111,2)</f>
        <v>0</v>
      </c>
      <c r="J1111" s="28">
        <f>ROUND(F1111*G1111,2)</f>
        <v>0</v>
      </c>
      <c r="K1111" s="29" t="s">
        <v>60</v>
      </c>
      <c r="Z1111" s="28">
        <f>ROUND(IF(AQ1111="5",BJ1111,0),2)</f>
        <v>0</v>
      </c>
      <c r="AB1111" s="28">
        <f>ROUND(IF(AQ1111="1",BH1111,0),2)</f>
        <v>0</v>
      </c>
      <c r="AC1111" s="28">
        <f>ROUND(IF(AQ1111="1",BI1111,0),2)</f>
        <v>0</v>
      </c>
      <c r="AD1111" s="28">
        <f>ROUND(IF(AQ1111="7",BH1111,0),2)</f>
        <v>0</v>
      </c>
      <c r="AE1111" s="28">
        <f>ROUND(IF(AQ1111="7",BI1111,0),2)</f>
        <v>0</v>
      </c>
      <c r="AF1111" s="28">
        <f>ROUND(IF(AQ1111="2",BH1111,0),2)</f>
        <v>0</v>
      </c>
      <c r="AG1111" s="28">
        <f>ROUND(IF(AQ1111="2",BI1111,0),2)</f>
        <v>0</v>
      </c>
      <c r="AH1111" s="28">
        <f>ROUND(IF(AQ1111="0",BJ1111,0),2)</f>
        <v>0</v>
      </c>
      <c r="AI1111" s="10" t="s">
        <v>1859</v>
      </c>
      <c r="AJ1111" s="28">
        <f>IF(AN1111=0,J1111,0)</f>
        <v>0</v>
      </c>
      <c r="AK1111" s="28">
        <f>IF(AN1111=12,J1111,0)</f>
        <v>0</v>
      </c>
      <c r="AL1111" s="28">
        <f>IF(AN1111=21,J1111,0)</f>
        <v>0</v>
      </c>
      <c r="AN1111" s="28">
        <v>21</v>
      </c>
      <c r="AO1111" s="28">
        <f>G1111*0</f>
        <v>0</v>
      </c>
      <c r="AP1111" s="28">
        <f>G1111*(1-0)</f>
        <v>0</v>
      </c>
      <c r="AQ1111" s="30" t="s">
        <v>100</v>
      </c>
      <c r="AV1111" s="28">
        <f>ROUND(AW1111+AX1111,2)</f>
        <v>0</v>
      </c>
      <c r="AW1111" s="28">
        <f>ROUND(F1111*AO1111,2)</f>
        <v>0</v>
      </c>
      <c r="AX1111" s="28">
        <f>ROUND(F1111*AP1111,2)</f>
        <v>0</v>
      </c>
      <c r="AY1111" s="30" t="s">
        <v>1964</v>
      </c>
      <c r="AZ1111" s="30" t="s">
        <v>1935</v>
      </c>
      <c r="BA1111" s="10" t="s">
        <v>1865</v>
      </c>
      <c r="BC1111" s="28">
        <f>AW1111+AX1111</f>
        <v>0</v>
      </c>
      <c r="BD1111" s="28">
        <f>G1111/(100-BE1111)*100</f>
        <v>0</v>
      </c>
      <c r="BE1111" s="28">
        <v>0</v>
      </c>
      <c r="BF1111" s="28">
        <f>1111</f>
        <v>1111</v>
      </c>
      <c r="BH1111" s="28">
        <f>F1111*AO1111</f>
        <v>0</v>
      </c>
      <c r="BI1111" s="28">
        <f>F1111*AP1111</f>
        <v>0</v>
      </c>
      <c r="BJ1111" s="28">
        <f>F1111*G1111</f>
        <v>0</v>
      </c>
      <c r="BK1111" s="28"/>
      <c r="BL1111" s="28"/>
      <c r="BW1111" s="28">
        <v>21</v>
      </c>
      <c r="BX1111" s="4" t="s">
        <v>1963</v>
      </c>
    </row>
    <row r="1112" spans="1:76" ht="14.4" x14ac:dyDescent="0.3">
      <c r="A1112" s="31"/>
      <c r="C1112" s="32" t="s">
        <v>281</v>
      </c>
      <c r="D1112" s="32" t="s">
        <v>1965</v>
      </c>
      <c r="F1112" s="33">
        <v>33</v>
      </c>
      <c r="K1112" s="34"/>
    </row>
    <row r="1113" spans="1:76" ht="14.4" x14ac:dyDescent="0.3">
      <c r="A1113" s="31"/>
      <c r="C1113" s="32" t="s">
        <v>1955</v>
      </c>
      <c r="D1113" s="32" t="s">
        <v>1966</v>
      </c>
      <c r="F1113" s="33">
        <v>380</v>
      </c>
      <c r="K1113" s="34"/>
    </row>
    <row r="1114" spans="1:76" ht="14.4" x14ac:dyDescent="0.3">
      <c r="A1114" s="31"/>
      <c r="C1114" s="32" t="s">
        <v>1866</v>
      </c>
      <c r="D1114" s="32" t="s">
        <v>1967</v>
      </c>
      <c r="F1114" s="33">
        <v>365</v>
      </c>
      <c r="K1114" s="34"/>
    </row>
    <row r="1115" spans="1:76" ht="14.4" x14ac:dyDescent="0.3">
      <c r="A1115" s="2" t="s">
        <v>1968</v>
      </c>
      <c r="B1115" s="3" t="s">
        <v>1969</v>
      </c>
      <c r="C1115" s="75" t="s">
        <v>1970</v>
      </c>
      <c r="D1115" s="70"/>
      <c r="E1115" s="3" t="s">
        <v>201</v>
      </c>
      <c r="F1115" s="28">
        <v>10892</v>
      </c>
      <c r="G1115" s="28">
        <v>0</v>
      </c>
      <c r="H1115" s="28">
        <f>ROUND(F1115*AO1115,2)</f>
        <v>0</v>
      </c>
      <c r="I1115" s="28">
        <f>ROUND(F1115*AP1115,2)</f>
        <v>0</v>
      </c>
      <c r="J1115" s="28">
        <f>ROUND(F1115*G1115,2)</f>
        <v>0</v>
      </c>
      <c r="K1115" s="29" t="s">
        <v>60</v>
      </c>
      <c r="Z1115" s="28">
        <f>ROUND(IF(AQ1115="5",BJ1115,0),2)</f>
        <v>0</v>
      </c>
      <c r="AB1115" s="28">
        <f>ROUND(IF(AQ1115="1",BH1115,0),2)</f>
        <v>0</v>
      </c>
      <c r="AC1115" s="28">
        <f>ROUND(IF(AQ1115="1",BI1115,0),2)</f>
        <v>0</v>
      </c>
      <c r="AD1115" s="28">
        <f>ROUND(IF(AQ1115="7",BH1115,0),2)</f>
        <v>0</v>
      </c>
      <c r="AE1115" s="28">
        <f>ROUND(IF(AQ1115="7",BI1115,0),2)</f>
        <v>0</v>
      </c>
      <c r="AF1115" s="28">
        <f>ROUND(IF(AQ1115="2",BH1115,0),2)</f>
        <v>0</v>
      </c>
      <c r="AG1115" s="28">
        <f>ROUND(IF(AQ1115="2",BI1115,0),2)</f>
        <v>0</v>
      </c>
      <c r="AH1115" s="28">
        <f>ROUND(IF(AQ1115="0",BJ1115,0),2)</f>
        <v>0</v>
      </c>
      <c r="AI1115" s="10" t="s">
        <v>1859</v>
      </c>
      <c r="AJ1115" s="28">
        <f>IF(AN1115=0,J1115,0)</f>
        <v>0</v>
      </c>
      <c r="AK1115" s="28">
        <f>IF(AN1115=12,J1115,0)</f>
        <v>0</v>
      </c>
      <c r="AL1115" s="28">
        <f>IF(AN1115=21,J1115,0)</f>
        <v>0</v>
      </c>
      <c r="AN1115" s="28">
        <v>21</v>
      </c>
      <c r="AO1115" s="28">
        <f>G1115*0</f>
        <v>0</v>
      </c>
      <c r="AP1115" s="28">
        <f>G1115*(1-0)</f>
        <v>0</v>
      </c>
      <c r="AQ1115" s="30" t="s">
        <v>100</v>
      </c>
      <c r="AV1115" s="28">
        <f>ROUND(AW1115+AX1115,2)</f>
        <v>0</v>
      </c>
      <c r="AW1115" s="28">
        <f>ROUND(F1115*AO1115,2)</f>
        <v>0</v>
      </c>
      <c r="AX1115" s="28">
        <f>ROUND(F1115*AP1115,2)</f>
        <v>0</v>
      </c>
      <c r="AY1115" s="30" t="s">
        <v>1964</v>
      </c>
      <c r="AZ1115" s="30" t="s">
        <v>1935</v>
      </c>
      <c r="BA1115" s="10" t="s">
        <v>1865</v>
      </c>
      <c r="BC1115" s="28">
        <f>AW1115+AX1115</f>
        <v>0</v>
      </c>
      <c r="BD1115" s="28">
        <f>G1115/(100-BE1115)*100</f>
        <v>0</v>
      </c>
      <c r="BE1115" s="28">
        <v>0</v>
      </c>
      <c r="BF1115" s="28">
        <f>1115</f>
        <v>1115</v>
      </c>
      <c r="BH1115" s="28">
        <f>F1115*AO1115</f>
        <v>0</v>
      </c>
      <c r="BI1115" s="28">
        <f>F1115*AP1115</f>
        <v>0</v>
      </c>
      <c r="BJ1115" s="28">
        <f>F1115*G1115</f>
        <v>0</v>
      </c>
      <c r="BK1115" s="28"/>
      <c r="BL1115" s="28"/>
      <c r="BW1115" s="28">
        <v>21</v>
      </c>
      <c r="BX1115" s="4" t="s">
        <v>1970</v>
      </c>
    </row>
    <row r="1116" spans="1:76" ht="14.4" x14ac:dyDescent="0.3">
      <c r="A1116" s="31"/>
      <c r="C1116" s="32" t="s">
        <v>1971</v>
      </c>
      <c r="D1116" s="32" t="s">
        <v>1965</v>
      </c>
      <c r="F1116" s="33">
        <v>462</v>
      </c>
      <c r="K1116" s="34"/>
    </row>
    <row r="1117" spans="1:76" ht="14.4" x14ac:dyDescent="0.3">
      <c r="A1117" s="31"/>
      <c r="C1117" s="32" t="s">
        <v>1972</v>
      </c>
      <c r="D1117" s="32" t="s">
        <v>1966</v>
      </c>
      <c r="F1117" s="33">
        <v>5320</v>
      </c>
      <c r="K1117" s="34"/>
    </row>
    <row r="1118" spans="1:76" ht="14.4" x14ac:dyDescent="0.3">
      <c r="A1118" s="31"/>
      <c r="C1118" s="32" t="s">
        <v>1973</v>
      </c>
      <c r="D1118" s="32" t="s">
        <v>1974</v>
      </c>
      <c r="F1118" s="33">
        <v>5110</v>
      </c>
      <c r="K1118" s="34"/>
    </row>
    <row r="1119" spans="1:76" ht="14.4" x14ac:dyDescent="0.3">
      <c r="A1119" s="2" t="s">
        <v>1975</v>
      </c>
      <c r="B1119" s="3" t="s">
        <v>1976</v>
      </c>
      <c r="C1119" s="75" t="s">
        <v>1977</v>
      </c>
      <c r="D1119" s="70"/>
      <c r="E1119" s="3" t="s">
        <v>201</v>
      </c>
      <c r="F1119" s="28">
        <v>778</v>
      </c>
      <c r="G1119" s="28">
        <v>0</v>
      </c>
      <c r="H1119" s="28">
        <f>ROUND(F1119*AO1119,2)</f>
        <v>0</v>
      </c>
      <c r="I1119" s="28">
        <f>ROUND(F1119*AP1119,2)</f>
        <v>0</v>
      </c>
      <c r="J1119" s="28">
        <f>ROUND(F1119*G1119,2)</f>
        <v>0</v>
      </c>
      <c r="K1119" s="29" t="s">
        <v>60</v>
      </c>
      <c r="Z1119" s="28">
        <f>ROUND(IF(AQ1119="5",BJ1119,0),2)</f>
        <v>0</v>
      </c>
      <c r="AB1119" s="28">
        <f>ROUND(IF(AQ1119="1",BH1119,0),2)</f>
        <v>0</v>
      </c>
      <c r="AC1119" s="28">
        <f>ROUND(IF(AQ1119="1",BI1119,0),2)</f>
        <v>0</v>
      </c>
      <c r="AD1119" s="28">
        <f>ROUND(IF(AQ1119="7",BH1119,0),2)</f>
        <v>0</v>
      </c>
      <c r="AE1119" s="28">
        <f>ROUND(IF(AQ1119="7",BI1119,0),2)</f>
        <v>0</v>
      </c>
      <c r="AF1119" s="28">
        <f>ROUND(IF(AQ1119="2",BH1119,0),2)</f>
        <v>0</v>
      </c>
      <c r="AG1119" s="28">
        <f>ROUND(IF(AQ1119="2",BI1119,0),2)</f>
        <v>0</v>
      </c>
      <c r="AH1119" s="28">
        <f>ROUND(IF(AQ1119="0",BJ1119,0),2)</f>
        <v>0</v>
      </c>
      <c r="AI1119" s="10" t="s">
        <v>1859</v>
      </c>
      <c r="AJ1119" s="28">
        <f>IF(AN1119=0,J1119,0)</f>
        <v>0</v>
      </c>
      <c r="AK1119" s="28">
        <f>IF(AN1119=12,J1119,0)</f>
        <v>0</v>
      </c>
      <c r="AL1119" s="28">
        <f>IF(AN1119=21,J1119,0)</f>
        <v>0</v>
      </c>
      <c r="AN1119" s="28">
        <v>21</v>
      </c>
      <c r="AO1119" s="28">
        <f>G1119*0</f>
        <v>0</v>
      </c>
      <c r="AP1119" s="28">
        <f>G1119*(1-0)</f>
        <v>0</v>
      </c>
      <c r="AQ1119" s="30" t="s">
        <v>100</v>
      </c>
      <c r="AV1119" s="28">
        <f>ROUND(AW1119+AX1119,2)</f>
        <v>0</v>
      </c>
      <c r="AW1119" s="28">
        <f>ROUND(F1119*AO1119,2)</f>
        <v>0</v>
      </c>
      <c r="AX1119" s="28">
        <f>ROUND(F1119*AP1119,2)</f>
        <v>0</v>
      </c>
      <c r="AY1119" s="30" t="s">
        <v>1964</v>
      </c>
      <c r="AZ1119" s="30" t="s">
        <v>1935</v>
      </c>
      <c r="BA1119" s="10" t="s">
        <v>1865</v>
      </c>
      <c r="BC1119" s="28">
        <f>AW1119+AX1119</f>
        <v>0</v>
      </c>
      <c r="BD1119" s="28">
        <f>G1119/(100-BE1119)*100</f>
        <v>0</v>
      </c>
      <c r="BE1119" s="28">
        <v>0</v>
      </c>
      <c r="BF1119" s="28">
        <f>1119</f>
        <v>1119</v>
      </c>
      <c r="BH1119" s="28">
        <f>F1119*AO1119</f>
        <v>0</v>
      </c>
      <c r="BI1119" s="28">
        <f>F1119*AP1119</f>
        <v>0</v>
      </c>
      <c r="BJ1119" s="28">
        <f>F1119*G1119</f>
        <v>0</v>
      </c>
      <c r="BK1119" s="28"/>
      <c r="BL1119" s="28"/>
      <c r="BW1119" s="28">
        <v>21</v>
      </c>
      <c r="BX1119" s="4" t="s">
        <v>1977</v>
      </c>
    </row>
    <row r="1120" spans="1:76" ht="14.4" x14ac:dyDescent="0.3">
      <c r="A1120" s="31"/>
      <c r="C1120" s="32" t="s">
        <v>281</v>
      </c>
      <c r="D1120" s="32" t="s">
        <v>1965</v>
      </c>
      <c r="F1120" s="33">
        <v>33</v>
      </c>
      <c r="K1120" s="34"/>
    </row>
    <row r="1121" spans="1:76" ht="14.4" x14ac:dyDescent="0.3">
      <c r="A1121" s="31"/>
      <c r="C1121" s="32" t="s">
        <v>1955</v>
      </c>
      <c r="D1121" s="32" t="s">
        <v>1966</v>
      </c>
      <c r="F1121" s="33">
        <v>380</v>
      </c>
      <c r="K1121" s="34"/>
    </row>
    <row r="1122" spans="1:76" ht="14.4" x14ac:dyDescent="0.3">
      <c r="A1122" s="31"/>
      <c r="C1122" s="32" t="s">
        <v>1866</v>
      </c>
      <c r="D1122" s="32" t="s">
        <v>1974</v>
      </c>
      <c r="F1122" s="33">
        <v>365</v>
      </c>
      <c r="K1122" s="34"/>
    </row>
    <row r="1123" spans="1:76" ht="13.5" customHeight="1" x14ac:dyDescent="0.3">
      <c r="A1123" s="31"/>
      <c r="B1123" s="37" t="s">
        <v>72</v>
      </c>
      <c r="C1123" s="96" t="s">
        <v>1978</v>
      </c>
      <c r="D1123" s="97"/>
      <c r="E1123" s="97"/>
      <c r="F1123" s="97"/>
      <c r="G1123" s="97"/>
      <c r="H1123" s="97"/>
      <c r="I1123" s="97"/>
      <c r="J1123" s="97"/>
      <c r="K1123" s="98"/>
    </row>
    <row r="1124" spans="1:76" ht="14.4" x14ac:dyDescent="0.3">
      <c r="A1124" s="2" t="s">
        <v>1979</v>
      </c>
      <c r="B1124" s="3" t="s">
        <v>1980</v>
      </c>
      <c r="C1124" s="75" t="s">
        <v>1981</v>
      </c>
      <c r="D1124" s="70"/>
      <c r="E1124" s="3" t="s">
        <v>201</v>
      </c>
      <c r="F1124" s="28">
        <v>778</v>
      </c>
      <c r="G1124" s="28">
        <v>0</v>
      </c>
      <c r="H1124" s="28">
        <f>ROUND(F1124*AO1124,2)</f>
        <v>0</v>
      </c>
      <c r="I1124" s="28">
        <f>ROUND(F1124*AP1124,2)</f>
        <v>0</v>
      </c>
      <c r="J1124" s="28">
        <f>ROUND(F1124*G1124,2)</f>
        <v>0</v>
      </c>
      <c r="K1124" s="29" t="s">
        <v>60</v>
      </c>
      <c r="Z1124" s="28">
        <f>ROUND(IF(AQ1124="5",BJ1124,0),2)</f>
        <v>0</v>
      </c>
      <c r="AB1124" s="28">
        <f>ROUND(IF(AQ1124="1",BH1124,0),2)</f>
        <v>0</v>
      </c>
      <c r="AC1124" s="28">
        <f>ROUND(IF(AQ1124="1",BI1124,0),2)</f>
        <v>0</v>
      </c>
      <c r="AD1124" s="28">
        <f>ROUND(IF(AQ1124="7",BH1124,0),2)</f>
        <v>0</v>
      </c>
      <c r="AE1124" s="28">
        <f>ROUND(IF(AQ1124="7",BI1124,0),2)</f>
        <v>0</v>
      </c>
      <c r="AF1124" s="28">
        <f>ROUND(IF(AQ1124="2",BH1124,0),2)</f>
        <v>0</v>
      </c>
      <c r="AG1124" s="28">
        <f>ROUND(IF(AQ1124="2",BI1124,0),2)</f>
        <v>0</v>
      </c>
      <c r="AH1124" s="28">
        <f>ROUND(IF(AQ1124="0",BJ1124,0),2)</f>
        <v>0</v>
      </c>
      <c r="AI1124" s="10" t="s">
        <v>1859</v>
      </c>
      <c r="AJ1124" s="28">
        <f>IF(AN1124=0,J1124,0)</f>
        <v>0</v>
      </c>
      <c r="AK1124" s="28">
        <f>IF(AN1124=12,J1124,0)</f>
        <v>0</v>
      </c>
      <c r="AL1124" s="28">
        <f>IF(AN1124=21,J1124,0)</f>
        <v>0</v>
      </c>
      <c r="AN1124" s="28">
        <v>21</v>
      </c>
      <c r="AO1124" s="28">
        <f>G1124*0</f>
        <v>0</v>
      </c>
      <c r="AP1124" s="28">
        <f>G1124*(1-0)</f>
        <v>0</v>
      </c>
      <c r="AQ1124" s="30" t="s">
        <v>100</v>
      </c>
      <c r="AV1124" s="28">
        <f>ROUND(AW1124+AX1124,2)</f>
        <v>0</v>
      </c>
      <c r="AW1124" s="28">
        <f>ROUND(F1124*AO1124,2)</f>
        <v>0</v>
      </c>
      <c r="AX1124" s="28">
        <f>ROUND(F1124*AP1124,2)</f>
        <v>0</v>
      </c>
      <c r="AY1124" s="30" t="s">
        <v>1964</v>
      </c>
      <c r="AZ1124" s="30" t="s">
        <v>1935</v>
      </c>
      <c r="BA1124" s="10" t="s">
        <v>1865</v>
      </c>
      <c r="BC1124" s="28">
        <f>AW1124+AX1124</f>
        <v>0</v>
      </c>
      <c r="BD1124" s="28">
        <f>G1124/(100-BE1124)*100</f>
        <v>0</v>
      </c>
      <c r="BE1124" s="28">
        <v>0</v>
      </c>
      <c r="BF1124" s="28">
        <f>1124</f>
        <v>1124</v>
      </c>
      <c r="BH1124" s="28">
        <f>F1124*AO1124</f>
        <v>0</v>
      </c>
      <c r="BI1124" s="28">
        <f>F1124*AP1124</f>
        <v>0</v>
      </c>
      <c r="BJ1124" s="28">
        <f>F1124*G1124</f>
        <v>0</v>
      </c>
      <c r="BK1124" s="28"/>
      <c r="BL1124" s="28"/>
      <c r="BW1124" s="28">
        <v>21</v>
      </c>
      <c r="BX1124" s="4" t="s">
        <v>1981</v>
      </c>
    </row>
    <row r="1125" spans="1:76" ht="14.4" x14ac:dyDescent="0.3">
      <c r="A1125" s="31"/>
      <c r="B1125" s="35" t="s">
        <v>68</v>
      </c>
      <c r="C1125" s="93" t="s">
        <v>1982</v>
      </c>
      <c r="D1125" s="94"/>
      <c r="E1125" s="94"/>
      <c r="F1125" s="94"/>
      <c r="G1125" s="94"/>
      <c r="H1125" s="94"/>
      <c r="I1125" s="94"/>
      <c r="J1125" s="94"/>
      <c r="K1125" s="95"/>
      <c r="BX1125" s="36" t="s">
        <v>1982</v>
      </c>
    </row>
    <row r="1126" spans="1:76" ht="14.4" x14ac:dyDescent="0.3">
      <c r="A1126" s="24" t="s">
        <v>51</v>
      </c>
      <c r="B1126" s="25" t="s">
        <v>51</v>
      </c>
      <c r="C1126" s="91" t="s">
        <v>1983</v>
      </c>
      <c r="D1126" s="92"/>
      <c r="E1126" s="26" t="s">
        <v>4</v>
      </c>
      <c r="F1126" s="26" t="s">
        <v>4</v>
      </c>
      <c r="G1126" s="26" t="s">
        <v>4</v>
      </c>
      <c r="H1126" s="1">
        <f>H1127+H1131+H1141+H1155</f>
        <v>0</v>
      </c>
      <c r="I1126" s="1">
        <f>I1127+I1131+I1141+I1155</f>
        <v>0</v>
      </c>
      <c r="J1126" s="1">
        <f>J1127+J1131+J1141+J1155</f>
        <v>0</v>
      </c>
      <c r="K1126" s="27" t="s">
        <v>51</v>
      </c>
    </row>
    <row r="1127" spans="1:76" ht="14.4" x14ac:dyDescent="0.3">
      <c r="A1127" s="24" t="s">
        <v>51</v>
      </c>
      <c r="B1127" s="25" t="s">
        <v>429</v>
      </c>
      <c r="C1127" s="91" t="s">
        <v>1984</v>
      </c>
      <c r="D1127" s="92"/>
      <c r="E1127" s="26" t="s">
        <v>4</v>
      </c>
      <c r="F1127" s="26" t="s">
        <v>4</v>
      </c>
      <c r="G1127" s="26" t="s">
        <v>4</v>
      </c>
      <c r="H1127" s="1">
        <f>SUM(H1128:H1128)</f>
        <v>0</v>
      </c>
      <c r="I1127" s="1">
        <f>SUM(I1128:I1128)</f>
        <v>0</v>
      </c>
      <c r="J1127" s="1">
        <f>SUM(J1128:J1128)</f>
        <v>0</v>
      </c>
      <c r="K1127" s="27" t="s">
        <v>51</v>
      </c>
      <c r="AI1127" s="10" t="s">
        <v>1985</v>
      </c>
      <c r="AS1127" s="1">
        <f>SUM(AJ1128:AJ1128)</f>
        <v>0</v>
      </c>
      <c r="AT1127" s="1">
        <f>SUM(AK1128:AK1128)</f>
        <v>0</v>
      </c>
      <c r="AU1127" s="1">
        <f>SUM(AL1128:AL1128)</f>
        <v>0</v>
      </c>
    </row>
    <row r="1128" spans="1:76" ht="14.4" x14ac:dyDescent="0.3">
      <c r="A1128" s="2" t="s">
        <v>1986</v>
      </c>
      <c r="B1128" s="3" t="s">
        <v>1987</v>
      </c>
      <c r="C1128" s="75" t="s">
        <v>1988</v>
      </c>
      <c r="D1128" s="70"/>
      <c r="E1128" s="3" t="s">
        <v>103</v>
      </c>
      <c r="F1128" s="28">
        <v>144</v>
      </c>
      <c r="G1128" s="28">
        <v>0</v>
      </c>
      <c r="H1128" s="28">
        <f>ROUND(F1128*AO1128,2)</f>
        <v>0</v>
      </c>
      <c r="I1128" s="28">
        <f>ROUND(F1128*AP1128,2)</f>
        <v>0</v>
      </c>
      <c r="J1128" s="28">
        <f>ROUND(F1128*G1128,2)</f>
        <v>0</v>
      </c>
      <c r="K1128" s="29" t="s">
        <v>60</v>
      </c>
      <c r="Z1128" s="28">
        <f>ROUND(IF(AQ1128="5",BJ1128,0),2)</f>
        <v>0</v>
      </c>
      <c r="AB1128" s="28">
        <f>ROUND(IF(AQ1128="1",BH1128,0),2)</f>
        <v>0</v>
      </c>
      <c r="AC1128" s="28">
        <f>ROUND(IF(AQ1128="1",BI1128,0),2)</f>
        <v>0</v>
      </c>
      <c r="AD1128" s="28">
        <f>ROUND(IF(AQ1128="7",BH1128,0),2)</f>
        <v>0</v>
      </c>
      <c r="AE1128" s="28">
        <f>ROUND(IF(AQ1128="7",BI1128,0),2)</f>
        <v>0</v>
      </c>
      <c r="AF1128" s="28">
        <f>ROUND(IF(AQ1128="2",BH1128,0),2)</f>
        <v>0</v>
      </c>
      <c r="AG1128" s="28">
        <f>ROUND(IF(AQ1128="2",BI1128,0),2)</f>
        <v>0</v>
      </c>
      <c r="AH1128" s="28">
        <f>ROUND(IF(AQ1128="0",BJ1128,0),2)</f>
        <v>0</v>
      </c>
      <c r="AI1128" s="10" t="s">
        <v>1985</v>
      </c>
      <c r="AJ1128" s="28">
        <f>IF(AN1128=0,J1128,0)</f>
        <v>0</v>
      </c>
      <c r="AK1128" s="28">
        <f>IF(AN1128=12,J1128,0)</f>
        <v>0</v>
      </c>
      <c r="AL1128" s="28">
        <f>IF(AN1128=21,J1128,0)</f>
        <v>0</v>
      </c>
      <c r="AN1128" s="28">
        <v>21</v>
      </c>
      <c r="AO1128" s="28">
        <f>G1128*0.946589604</f>
        <v>0</v>
      </c>
      <c r="AP1128" s="28">
        <f>G1128*(1-0.946589604)</f>
        <v>0</v>
      </c>
      <c r="AQ1128" s="30" t="s">
        <v>56</v>
      </c>
      <c r="AV1128" s="28">
        <f>ROUND(AW1128+AX1128,2)</f>
        <v>0</v>
      </c>
      <c r="AW1128" s="28">
        <f>ROUND(F1128*AO1128,2)</f>
        <v>0</v>
      </c>
      <c r="AX1128" s="28">
        <f>ROUND(F1128*AP1128,2)</f>
        <v>0</v>
      </c>
      <c r="AY1128" s="30" t="s">
        <v>1989</v>
      </c>
      <c r="AZ1128" s="30" t="s">
        <v>1990</v>
      </c>
      <c r="BA1128" s="10" t="s">
        <v>1991</v>
      </c>
      <c r="BC1128" s="28">
        <f>AW1128+AX1128</f>
        <v>0</v>
      </c>
      <c r="BD1128" s="28">
        <f>G1128/(100-BE1128)*100</f>
        <v>0</v>
      </c>
      <c r="BE1128" s="28">
        <v>0</v>
      </c>
      <c r="BF1128" s="28">
        <f>1128</f>
        <v>1128</v>
      </c>
      <c r="BH1128" s="28">
        <f>F1128*AO1128</f>
        <v>0</v>
      </c>
      <c r="BI1128" s="28">
        <f>F1128*AP1128</f>
        <v>0</v>
      </c>
      <c r="BJ1128" s="28">
        <f>F1128*G1128</f>
        <v>0</v>
      </c>
      <c r="BK1128" s="28"/>
      <c r="BL1128" s="28">
        <v>58</v>
      </c>
      <c r="BW1128" s="28">
        <v>21</v>
      </c>
      <c r="BX1128" s="4" t="s">
        <v>1988</v>
      </c>
    </row>
    <row r="1129" spans="1:76" ht="13.5" customHeight="1" x14ac:dyDescent="0.3">
      <c r="A1129" s="31"/>
      <c r="B1129" s="35" t="s">
        <v>105</v>
      </c>
      <c r="C1129" s="96" t="s">
        <v>1992</v>
      </c>
      <c r="D1129" s="97"/>
      <c r="E1129" s="97"/>
      <c r="F1129" s="97"/>
      <c r="G1129" s="97"/>
      <c r="H1129" s="97"/>
      <c r="I1129" s="97"/>
      <c r="J1129" s="97"/>
      <c r="K1129" s="98"/>
    </row>
    <row r="1130" spans="1:76" ht="14.4" x14ac:dyDescent="0.3">
      <c r="A1130" s="31"/>
      <c r="B1130" s="35" t="s">
        <v>68</v>
      </c>
      <c r="C1130" s="93" t="s">
        <v>1993</v>
      </c>
      <c r="D1130" s="94"/>
      <c r="E1130" s="94"/>
      <c r="F1130" s="94"/>
      <c r="G1130" s="94"/>
      <c r="H1130" s="94"/>
      <c r="I1130" s="94"/>
      <c r="J1130" s="94"/>
      <c r="K1130" s="95"/>
      <c r="BX1130" s="36" t="s">
        <v>1993</v>
      </c>
    </row>
    <row r="1131" spans="1:76" ht="14.4" x14ac:dyDescent="0.3">
      <c r="A1131" s="24" t="s">
        <v>51</v>
      </c>
      <c r="B1131" s="25" t="s">
        <v>1232</v>
      </c>
      <c r="C1131" s="91" t="s">
        <v>1233</v>
      </c>
      <c r="D1131" s="92"/>
      <c r="E1131" s="26" t="s">
        <v>4</v>
      </c>
      <c r="F1131" s="26" t="s">
        <v>4</v>
      </c>
      <c r="G1131" s="26" t="s">
        <v>4</v>
      </c>
      <c r="H1131" s="1">
        <f>SUM(H1132:H1139)</f>
        <v>0</v>
      </c>
      <c r="I1131" s="1">
        <f>SUM(I1132:I1139)</f>
        <v>0</v>
      </c>
      <c r="J1131" s="1">
        <f>SUM(J1132:J1139)</f>
        <v>0</v>
      </c>
      <c r="K1131" s="27" t="s">
        <v>51</v>
      </c>
      <c r="AI1131" s="10" t="s">
        <v>1985</v>
      </c>
      <c r="AS1131" s="1">
        <f>SUM(AJ1132:AJ1139)</f>
        <v>0</v>
      </c>
      <c r="AT1131" s="1">
        <f>SUM(AK1132:AK1139)</f>
        <v>0</v>
      </c>
      <c r="AU1131" s="1">
        <f>SUM(AL1132:AL1139)</f>
        <v>0</v>
      </c>
    </row>
    <row r="1132" spans="1:76" ht="14.4" x14ac:dyDescent="0.3">
      <c r="A1132" s="2" t="s">
        <v>1994</v>
      </c>
      <c r="B1132" s="3" t="s">
        <v>1995</v>
      </c>
      <c r="C1132" s="75" t="s">
        <v>1996</v>
      </c>
      <c r="D1132" s="70"/>
      <c r="E1132" s="3" t="s">
        <v>103</v>
      </c>
      <c r="F1132" s="28">
        <v>56.7</v>
      </c>
      <c r="G1132" s="28">
        <v>0</v>
      </c>
      <c r="H1132" s="28">
        <f>ROUND(F1132*AO1132,2)</f>
        <v>0</v>
      </c>
      <c r="I1132" s="28">
        <f>ROUND(F1132*AP1132,2)</f>
        <v>0</v>
      </c>
      <c r="J1132" s="28">
        <f>ROUND(F1132*G1132,2)</f>
        <v>0</v>
      </c>
      <c r="K1132" s="29" t="s">
        <v>60</v>
      </c>
      <c r="Z1132" s="28">
        <f>ROUND(IF(AQ1132="5",BJ1132,0),2)</f>
        <v>0</v>
      </c>
      <c r="AB1132" s="28">
        <f>ROUND(IF(AQ1132="1",BH1132,0),2)</f>
        <v>0</v>
      </c>
      <c r="AC1132" s="28">
        <f>ROUND(IF(AQ1132="1",BI1132,0),2)</f>
        <v>0</v>
      </c>
      <c r="AD1132" s="28">
        <f>ROUND(IF(AQ1132="7",BH1132,0),2)</f>
        <v>0</v>
      </c>
      <c r="AE1132" s="28">
        <f>ROUND(IF(AQ1132="7",BI1132,0),2)</f>
        <v>0</v>
      </c>
      <c r="AF1132" s="28">
        <f>ROUND(IF(AQ1132="2",BH1132,0),2)</f>
        <v>0</v>
      </c>
      <c r="AG1132" s="28">
        <f>ROUND(IF(AQ1132="2",BI1132,0),2)</f>
        <v>0</v>
      </c>
      <c r="AH1132" s="28">
        <f>ROUND(IF(AQ1132="0",BJ1132,0),2)</f>
        <v>0</v>
      </c>
      <c r="AI1132" s="10" t="s">
        <v>1985</v>
      </c>
      <c r="AJ1132" s="28">
        <f>IF(AN1132=0,J1132,0)</f>
        <v>0</v>
      </c>
      <c r="AK1132" s="28">
        <f>IF(AN1132=12,J1132,0)</f>
        <v>0</v>
      </c>
      <c r="AL1132" s="28">
        <f>IF(AN1132=21,J1132,0)</f>
        <v>0</v>
      </c>
      <c r="AN1132" s="28">
        <v>21</v>
      </c>
      <c r="AO1132" s="28">
        <f>G1132*0</f>
        <v>0</v>
      </c>
      <c r="AP1132" s="28">
        <f>G1132*(1-0)</f>
        <v>0</v>
      </c>
      <c r="AQ1132" s="30" t="s">
        <v>118</v>
      </c>
      <c r="AV1132" s="28">
        <f>ROUND(AW1132+AX1132,2)</f>
        <v>0</v>
      </c>
      <c r="AW1132" s="28">
        <f>ROUND(F1132*AO1132,2)</f>
        <v>0</v>
      </c>
      <c r="AX1132" s="28">
        <f>ROUND(F1132*AP1132,2)</f>
        <v>0</v>
      </c>
      <c r="AY1132" s="30" t="s">
        <v>1237</v>
      </c>
      <c r="AZ1132" s="30" t="s">
        <v>1997</v>
      </c>
      <c r="BA1132" s="10" t="s">
        <v>1991</v>
      </c>
      <c r="BC1132" s="28">
        <f>AW1132+AX1132</f>
        <v>0</v>
      </c>
      <c r="BD1132" s="28">
        <f>G1132/(100-BE1132)*100</f>
        <v>0</v>
      </c>
      <c r="BE1132" s="28">
        <v>0</v>
      </c>
      <c r="BF1132" s="28">
        <f>1132</f>
        <v>1132</v>
      </c>
      <c r="BH1132" s="28">
        <f>F1132*AO1132</f>
        <v>0</v>
      </c>
      <c r="BI1132" s="28">
        <f>F1132*AP1132</f>
        <v>0</v>
      </c>
      <c r="BJ1132" s="28">
        <f>F1132*G1132</f>
        <v>0</v>
      </c>
      <c r="BK1132" s="28"/>
      <c r="BL1132" s="28">
        <v>762</v>
      </c>
      <c r="BW1132" s="28">
        <v>21</v>
      </c>
      <c r="BX1132" s="4" t="s">
        <v>1996</v>
      </c>
    </row>
    <row r="1133" spans="1:76" ht="14.4" x14ac:dyDescent="0.3">
      <c r="A1133" s="2" t="s">
        <v>1998</v>
      </c>
      <c r="B1133" s="3" t="s">
        <v>1999</v>
      </c>
      <c r="C1133" s="75" t="s">
        <v>2000</v>
      </c>
      <c r="D1133" s="70"/>
      <c r="E1133" s="3" t="s">
        <v>293</v>
      </c>
      <c r="F1133" s="28">
        <v>4</v>
      </c>
      <c r="G1133" s="28">
        <v>0</v>
      </c>
      <c r="H1133" s="28">
        <f>ROUND(F1133*AO1133,2)</f>
        <v>0</v>
      </c>
      <c r="I1133" s="28">
        <f>ROUND(F1133*AP1133,2)</f>
        <v>0</v>
      </c>
      <c r="J1133" s="28">
        <f>ROUND(F1133*G1133,2)</f>
        <v>0</v>
      </c>
      <c r="K1133" s="29" t="s">
        <v>426</v>
      </c>
      <c r="Z1133" s="28">
        <f>ROUND(IF(AQ1133="5",BJ1133,0),2)</f>
        <v>0</v>
      </c>
      <c r="AB1133" s="28">
        <f>ROUND(IF(AQ1133="1",BH1133,0),2)</f>
        <v>0</v>
      </c>
      <c r="AC1133" s="28">
        <f>ROUND(IF(AQ1133="1",BI1133,0),2)</f>
        <v>0</v>
      </c>
      <c r="AD1133" s="28">
        <f>ROUND(IF(AQ1133="7",BH1133,0),2)</f>
        <v>0</v>
      </c>
      <c r="AE1133" s="28">
        <f>ROUND(IF(AQ1133="7",BI1133,0),2)</f>
        <v>0</v>
      </c>
      <c r="AF1133" s="28">
        <f>ROUND(IF(AQ1133="2",BH1133,0),2)</f>
        <v>0</v>
      </c>
      <c r="AG1133" s="28">
        <f>ROUND(IF(AQ1133="2",BI1133,0),2)</f>
        <v>0</v>
      </c>
      <c r="AH1133" s="28">
        <f>ROUND(IF(AQ1133="0",BJ1133,0),2)</f>
        <v>0</v>
      </c>
      <c r="AI1133" s="10" t="s">
        <v>1985</v>
      </c>
      <c r="AJ1133" s="28">
        <f>IF(AN1133=0,J1133,0)</f>
        <v>0</v>
      </c>
      <c r="AK1133" s="28">
        <f>IF(AN1133=12,J1133,0)</f>
        <v>0</v>
      </c>
      <c r="AL1133" s="28">
        <f>IF(AN1133=21,J1133,0)</f>
        <v>0</v>
      </c>
      <c r="AN1133" s="28">
        <v>21</v>
      </c>
      <c r="AO1133" s="28">
        <f>G1133*1</f>
        <v>0</v>
      </c>
      <c r="AP1133" s="28">
        <f>G1133*(1-1)</f>
        <v>0</v>
      </c>
      <c r="AQ1133" s="30" t="s">
        <v>118</v>
      </c>
      <c r="AV1133" s="28">
        <f>ROUND(AW1133+AX1133,2)</f>
        <v>0</v>
      </c>
      <c r="AW1133" s="28">
        <f>ROUND(F1133*AO1133,2)</f>
        <v>0</v>
      </c>
      <c r="AX1133" s="28">
        <f>ROUND(F1133*AP1133,2)</f>
        <v>0</v>
      </c>
      <c r="AY1133" s="30" t="s">
        <v>1237</v>
      </c>
      <c r="AZ1133" s="30" t="s">
        <v>1997</v>
      </c>
      <c r="BA1133" s="10" t="s">
        <v>1991</v>
      </c>
      <c r="BC1133" s="28">
        <f>AW1133+AX1133</f>
        <v>0</v>
      </c>
      <c r="BD1133" s="28">
        <f>G1133/(100-BE1133)*100</f>
        <v>0</v>
      </c>
      <c r="BE1133" s="28">
        <v>0</v>
      </c>
      <c r="BF1133" s="28">
        <f>1133</f>
        <v>1133</v>
      </c>
      <c r="BH1133" s="28">
        <f>F1133*AO1133</f>
        <v>0</v>
      </c>
      <c r="BI1133" s="28">
        <f>F1133*AP1133</f>
        <v>0</v>
      </c>
      <c r="BJ1133" s="28">
        <f>F1133*G1133</f>
        <v>0</v>
      </c>
      <c r="BK1133" s="28"/>
      <c r="BL1133" s="28">
        <v>762</v>
      </c>
      <c r="BW1133" s="28">
        <v>21</v>
      </c>
      <c r="BX1133" s="4" t="s">
        <v>2000</v>
      </c>
    </row>
    <row r="1134" spans="1:76" ht="14.4" x14ac:dyDescent="0.3">
      <c r="A1134" s="31"/>
      <c r="B1134" s="35" t="s">
        <v>68</v>
      </c>
      <c r="C1134" s="93" t="s">
        <v>2001</v>
      </c>
      <c r="D1134" s="94"/>
      <c r="E1134" s="94"/>
      <c r="F1134" s="94"/>
      <c r="G1134" s="94"/>
      <c r="H1134" s="94"/>
      <c r="I1134" s="94"/>
      <c r="J1134" s="94"/>
      <c r="K1134" s="95"/>
      <c r="BX1134" s="36" t="s">
        <v>2001</v>
      </c>
    </row>
    <row r="1135" spans="1:76" ht="14.4" x14ac:dyDescent="0.3">
      <c r="A1135" s="2" t="s">
        <v>2002</v>
      </c>
      <c r="B1135" s="3" t="s">
        <v>1999</v>
      </c>
      <c r="C1135" s="75" t="s">
        <v>2003</v>
      </c>
      <c r="D1135" s="70"/>
      <c r="E1135" s="3" t="s">
        <v>293</v>
      </c>
      <c r="F1135" s="28">
        <v>104</v>
      </c>
      <c r="G1135" s="28">
        <v>0</v>
      </c>
      <c r="H1135" s="28">
        <f>ROUND(F1135*AO1135,2)</f>
        <v>0</v>
      </c>
      <c r="I1135" s="28">
        <f>ROUND(F1135*AP1135,2)</f>
        <v>0</v>
      </c>
      <c r="J1135" s="28">
        <f>ROUND(F1135*G1135,2)</f>
        <v>0</v>
      </c>
      <c r="K1135" s="29" t="s">
        <v>426</v>
      </c>
      <c r="Z1135" s="28">
        <f>ROUND(IF(AQ1135="5",BJ1135,0),2)</f>
        <v>0</v>
      </c>
      <c r="AB1135" s="28">
        <f>ROUND(IF(AQ1135="1",BH1135,0),2)</f>
        <v>0</v>
      </c>
      <c r="AC1135" s="28">
        <f>ROUND(IF(AQ1135="1",BI1135,0),2)</f>
        <v>0</v>
      </c>
      <c r="AD1135" s="28">
        <f>ROUND(IF(AQ1135="7",BH1135,0),2)</f>
        <v>0</v>
      </c>
      <c r="AE1135" s="28">
        <f>ROUND(IF(AQ1135="7",BI1135,0),2)</f>
        <v>0</v>
      </c>
      <c r="AF1135" s="28">
        <f>ROUND(IF(AQ1135="2",BH1135,0),2)</f>
        <v>0</v>
      </c>
      <c r="AG1135" s="28">
        <f>ROUND(IF(AQ1135="2",BI1135,0),2)</f>
        <v>0</v>
      </c>
      <c r="AH1135" s="28">
        <f>ROUND(IF(AQ1135="0",BJ1135,0),2)</f>
        <v>0</v>
      </c>
      <c r="AI1135" s="10" t="s">
        <v>1985</v>
      </c>
      <c r="AJ1135" s="28">
        <f>IF(AN1135=0,J1135,0)</f>
        <v>0</v>
      </c>
      <c r="AK1135" s="28">
        <f>IF(AN1135=12,J1135,0)</f>
        <v>0</v>
      </c>
      <c r="AL1135" s="28">
        <f>IF(AN1135=21,J1135,0)</f>
        <v>0</v>
      </c>
      <c r="AN1135" s="28">
        <v>21</v>
      </c>
      <c r="AO1135" s="28">
        <f>G1135*1</f>
        <v>0</v>
      </c>
      <c r="AP1135" s="28">
        <f>G1135*(1-1)</f>
        <v>0</v>
      </c>
      <c r="AQ1135" s="30" t="s">
        <v>118</v>
      </c>
      <c r="AV1135" s="28">
        <f>ROUND(AW1135+AX1135,2)</f>
        <v>0</v>
      </c>
      <c r="AW1135" s="28">
        <f>ROUND(F1135*AO1135,2)</f>
        <v>0</v>
      </c>
      <c r="AX1135" s="28">
        <f>ROUND(F1135*AP1135,2)</f>
        <v>0</v>
      </c>
      <c r="AY1135" s="30" t="s">
        <v>1237</v>
      </c>
      <c r="AZ1135" s="30" t="s">
        <v>1997</v>
      </c>
      <c r="BA1135" s="10" t="s">
        <v>1991</v>
      </c>
      <c r="BC1135" s="28">
        <f>AW1135+AX1135</f>
        <v>0</v>
      </c>
      <c r="BD1135" s="28">
        <f>G1135/(100-BE1135)*100</f>
        <v>0</v>
      </c>
      <c r="BE1135" s="28">
        <v>0</v>
      </c>
      <c r="BF1135" s="28">
        <f>1135</f>
        <v>1135</v>
      </c>
      <c r="BH1135" s="28">
        <f>F1135*AO1135</f>
        <v>0</v>
      </c>
      <c r="BI1135" s="28">
        <f>F1135*AP1135</f>
        <v>0</v>
      </c>
      <c r="BJ1135" s="28">
        <f>F1135*G1135</f>
        <v>0</v>
      </c>
      <c r="BK1135" s="28"/>
      <c r="BL1135" s="28">
        <v>762</v>
      </c>
      <c r="BW1135" s="28">
        <v>21</v>
      </c>
      <c r="BX1135" s="4" t="s">
        <v>2003</v>
      </c>
    </row>
    <row r="1136" spans="1:76" ht="14.4" x14ac:dyDescent="0.3">
      <c r="A1136" s="31"/>
      <c r="C1136" s="32" t="s">
        <v>2004</v>
      </c>
      <c r="D1136" s="32" t="s">
        <v>51</v>
      </c>
      <c r="F1136" s="33">
        <v>104</v>
      </c>
      <c r="K1136" s="34"/>
    </row>
    <row r="1137" spans="1:76" ht="14.4" x14ac:dyDescent="0.3">
      <c r="A1137" s="31"/>
      <c r="B1137" s="35" t="s">
        <v>68</v>
      </c>
      <c r="C1137" s="93" t="s">
        <v>2005</v>
      </c>
      <c r="D1137" s="94"/>
      <c r="E1137" s="94"/>
      <c r="F1137" s="94"/>
      <c r="G1137" s="94"/>
      <c r="H1137" s="94"/>
      <c r="I1137" s="94"/>
      <c r="J1137" s="94"/>
      <c r="K1137" s="95"/>
      <c r="BX1137" s="36" t="s">
        <v>2005</v>
      </c>
    </row>
    <row r="1138" spans="1:76" ht="26.4" x14ac:dyDescent="0.3">
      <c r="A1138" s="2" t="s">
        <v>2006</v>
      </c>
      <c r="B1138" s="3" t="s">
        <v>2007</v>
      </c>
      <c r="C1138" s="75" t="s">
        <v>2008</v>
      </c>
      <c r="D1138" s="70"/>
      <c r="E1138" s="3" t="s">
        <v>1381</v>
      </c>
      <c r="F1138" s="28">
        <v>27</v>
      </c>
      <c r="G1138" s="28">
        <v>0</v>
      </c>
      <c r="H1138" s="28">
        <f>ROUND(F1138*AO1138,2)</f>
        <v>0</v>
      </c>
      <c r="I1138" s="28">
        <f>ROUND(F1138*AP1138,2)</f>
        <v>0</v>
      </c>
      <c r="J1138" s="28">
        <f>ROUND(F1138*G1138,2)</f>
        <v>0</v>
      </c>
      <c r="K1138" s="29" t="s">
        <v>426</v>
      </c>
      <c r="Z1138" s="28">
        <f>ROUND(IF(AQ1138="5",BJ1138,0),2)</f>
        <v>0</v>
      </c>
      <c r="AB1138" s="28">
        <f>ROUND(IF(AQ1138="1",BH1138,0),2)</f>
        <v>0</v>
      </c>
      <c r="AC1138" s="28">
        <f>ROUND(IF(AQ1138="1",BI1138,0),2)</f>
        <v>0</v>
      </c>
      <c r="AD1138" s="28">
        <f>ROUND(IF(AQ1138="7",BH1138,0),2)</f>
        <v>0</v>
      </c>
      <c r="AE1138" s="28">
        <f>ROUND(IF(AQ1138="7",BI1138,0),2)</f>
        <v>0</v>
      </c>
      <c r="AF1138" s="28">
        <f>ROUND(IF(AQ1138="2",BH1138,0),2)</f>
        <v>0</v>
      </c>
      <c r="AG1138" s="28">
        <f>ROUND(IF(AQ1138="2",BI1138,0),2)</f>
        <v>0</v>
      </c>
      <c r="AH1138" s="28">
        <f>ROUND(IF(AQ1138="0",BJ1138,0),2)</f>
        <v>0</v>
      </c>
      <c r="AI1138" s="10" t="s">
        <v>1985</v>
      </c>
      <c r="AJ1138" s="28">
        <f>IF(AN1138=0,J1138,0)</f>
        <v>0</v>
      </c>
      <c r="AK1138" s="28">
        <f>IF(AN1138=12,J1138,0)</f>
        <v>0</v>
      </c>
      <c r="AL1138" s="28">
        <f>IF(AN1138=21,J1138,0)</f>
        <v>0</v>
      </c>
      <c r="AN1138" s="28">
        <v>21</v>
      </c>
      <c r="AO1138" s="28">
        <f>G1138*1</f>
        <v>0</v>
      </c>
      <c r="AP1138" s="28">
        <f>G1138*(1-1)</f>
        <v>0</v>
      </c>
      <c r="AQ1138" s="30" t="s">
        <v>118</v>
      </c>
      <c r="AV1138" s="28">
        <f>ROUND(AW1138+AX1138,2)</f>
        <v>0</v>
      </c>
      <c r="AW1138" s="28">
        <f>ROUND(F1138*AO1138,2)</f>
        <v>0</v>
      </c>
      <c r="AX1138" s="28">
        <f>ROUND(F1138*AP1138,2)</f>
        <v>0</v>
      </c>
      <c r="AY1138" s="30" t="s">
        <v>1237</v>
      </c>
      <c r="AZ1138" s="30" t="s">
        <v>1997</v>
      </c>
      <c r="BA1138" s="10" t="s">
        <v>1991</v>
      </c>
      <c r="BC1138" s="28">
        <f>AW1138+AX1138</f>
        <v>0</v>
      </c>
      <c r="BD1138" s="28">
        <f>G1138/(100-BE1138)*100</f>
        <v>0</v>
      </c>
      <c r="BE1138" s="28">
        <v>0</v>
      </c>
      <c r="BF1138" s="28">
        <f>1138</f>
        <v>1138</v>
      </c>
      <c r="BH1138" s="28">
        <f>F1138*AO1138</f>
        <v>0</v>
      </c>
      <c r="BI1138" s="28">
        <f>F1138*AP1138</f>
        <v>0</v>
      </c>
      <c r="BJ1138" s="28">
        <f>F1138*G1138</f>
        <v>0</v>
      </c>
      <c r="BK1138" s="28"/>
      <c r="BL1138" s="28">
        <v>762</v>
      </c>
      <c r="BW1138" s="28">
        <v>21</v>
      </c>
      <c r="BX1138" s="4" t="s">
        <v>2008</v>
      </c>
    </row>
    <row r="1139" spans="1:76" ht="14.4" x14ac:dyDescent="0.3">
      <c r="A1139" s="2" t="s">
        <v>2009</v>
      </c>
      <c r="B1139" s="3" t="s">
        <v>2010</v>
      </c>
      <c r="C1139" s="75" t="s">
        <v>2011</v>
      </c>
      <c r="D1139" s="70"/>
      <c r="E1139" s="3" t="s">
        <v>293</v>
      </c>
      <c r="F1139" s="28">
        <v>28</v>
      </c>
      <c r="G1139" s="28">
        <v>0</v>
      </c>
      <c r="H1139" s="28">
        <f>ROUND(F1139*AO1139,2)</f>
        <v>0</v>
      </c>
      <c r="I1139" s="28">
        <f>ROUND(F1139*AP1139,2)</f>
        <v>0</v>
      </c>
      <c r="J1139" s="28">
        <f>ROUND(F1139*G1139,2)</f>
        <v>0</v>
      </c>
      <c r="K1139" s="29" t="s">
        <v>426</v>
      </c>
      <c r="Z1139" s="28">
        <f>ROUND(IF(AQ1139="5",BJ1139,0),2)</f>
        <v>0</v>
      </c>
      <c r="AB1139" s="28">
        <f>ROUND(IF(AQ1139="1",BH1139,0),2)</f>
        <v>0</v>
      </c>
      <c r="AC1139" s="28">
        <f>ROUND(IF(AQ1139="1",BI1139,0),2)</f>
        <v>0</v>
      </c>
      <c r="AD1139" s="28">
        <f>ROUND(IF(AQ1139="7",BH1139,0),2)</f>
        <v>0</v>
      </c>
      <c r="AE1139" s="28">
        <f>ROUND(IF(AQ1139="7",BI1139,0),2)</f>
        <v>0</v>
      </c>
      <c r="AF1139" s="28">
        <f>ROUND(IF(AQ1139="2",BH1139,0),2)</f>
        <v>0</v>
      </c>
      <c r="AG1139" s="28">
        <f>ROUND(IF(AQ1139="2",BI1139,0),2)</f>
        <v>0</v>
      </c>
      <c r="AH1139" s="28">
        <f>ROUND(IF(AQ1139="0",BJ1139,0),2)</f>
        <v>0</v>
      </c>
      <c r="AI1139" s="10" t="s">
        <v>1985</v>
      </c>
      <c r="AJ1139" s="28">
        <f>IF(AN1139=0,J1139,0)</f>
        <v>0</v>
      </c>
      <c r="AK1139" s="28">
        <f>IF(AN1139=12,J1139,0)</f>
        <v>0</v>
      </c>
      <c r="AL1139" s="28">
        <f>IF(AN1139=21,J1139,0)</f>
        <v>0</v>
      </c>
      <c r="AN1139" s="28">
        <v>21</v>
      </c>
      <c r="AO1139" s="28">
        <f>G1139*1</f>
        <v>0</v>
      </c>
      <c r="AP1139" s="28">
        <f>G1139*(1-1)</f>
        <v>0</v>
      </c>
      <c r="AQ1139" s="30" t="s">
        <v>118</v>
      </c>
      <c r="AV1139" s="28">
        <f>ROUND(AW1139+AX1139,2)</f>
        <v>0</v>
      </c>
      <c r="AW1139" s="28">
        <f>ROUND(F1139*AO1139,2)</f>
        <v>0</v>
      </c>
      <c r="AX1139" s="28">
        <f>ROUND(F1139*AP1139,2)</f>
        <v>0</v>
      </c>
      <c r="AY1139" s="30" t="s">
        <v>1237</v>
      </c>
      <c r="AZ1139" s="30" t="s">
        <v>1997</v>
      </c>
      <c r="BA1139" s="10" t="s">
        <v>1991</v>
      </c>
      <c r="BC1139" s="28">
        <f>AW1139+AX1139</f>
        <v>0</v>
      </c>
      <c r="BD1139" s="28">
        <f>G1139/(100-BE1139)*100</f>
        <v>0</v>
      </c>
      <c r="BE1139" s="28">
        <v>0</v>
      </c>
      <c r="BF1139" s="28">
        <f>1139</f>
        <v>1139</v>
      </c>
      <c r="BH1139" s="28">
        <f>F1139*AO1139</f>
        <v>0</v>
      </c>
      <c r="BI1139" s="28">
        <f>F1139*AP1139</f>
        <v>0</v>
      </c>
      <c r="BJ1139" s="28">
        <f>F1139*G1139</f>
        <v>0</v>
      </c>
      <c r="BK1139" s="28"/>
      <c r="BL1139" s="28">
        <v>762</v>
      </c>
      <c r="BW1139" s="28">
        <v>21</v>
      </c>
      <c r="BX1139" s="4" t="s">
        <v>2011</v>
      </c>
    </row>
    <row r="1140" spans="1:76" ht="14.4" x14ac:dyDescent="0.3">
      <c r="A1140" s="31"/>
      <c r="B1140" s="35" t="s">
        <v>68</v>
      </c>
      <c r="C1140" s="93" t="s">
        <v>2012</v>
      </c>
      <c r="D1140" s="94"/>
      <c r="E1140" s="94"/>
      <c r="F1140" s="94"/>
      <c r="G1140" s="94"/>
      <c r="H1140" s="94"/>
      <c r="I1140" s="94"/>
      <c r="J1140" s="94"/>
      <c r="K1140" s="95"/>
      <c r="BX1140" s="36" t="s">
        <v>2012</v>
      </c>
    </row>
    <row r="1141" spans="1:76" ht="14.4" x14ac:dyDescent="0.3">
      <c r="A1141" s="24" t="s">
        <v>51</v>
      </c>
      <c r="B1141" s="25" t="s">
        <v>587</v>
      </c>
      <c r="C1141" s="91" t="s">
        <v>604</v>
      </c>
      <c r="D1141" s="92"/>
      <c r="E1141" s="26" t="s">
        <v>4</v>
      </c>
      <c r="F1141" s="26" t="s">
        <v>4</v>
      </c>
      <c r="G1141" s="26" t="s">
        <v>4</v>
      </c>
      <c r="H1141" s="1">
        <f>SUM(H1142:H1153)</f>
        <v>0</v>
      </c>
      <c r="I1141" s="1">
        <f>SUM(I1142:I1153)</f>
        <v>0</v>
      </c>
      <c r="J1141" s="1">
        <f>SUM(J1142:J1153)</f>
        <v>0</v>
      </c>
      <c r="K1141" s="27" t="s">
        <v>51</v>
      </c>
      <c r="AI1141" s="10" t="s">
        <v>1985</v>
      </c>
      <c r="AS1141" s="1">
        <f>SUM(AJ1142:AJ1153)</f>
        <v>0</v>
      </c>
      <c r="AT1141" s="1">
        <f>SUM(AK1142:AK1153)</f>
        <v>0</v>
      </c>
      <c r="AU1141" s="1">
        <f>SUM(AL1142:AL1153)</f>
        <v>0</v>
      </c>
    </row>
    <row r="1142" spans="1:76" ht="14.4" x14ac:dyDescent="0.3">
      <c r="A1142" s="2" t="s">
        <v>2013</v>
      </c>
      <c r="B1142" s="3" t="s">
        <v>2014</v>
      </c>
      <c r="C1142" s="75" t="s">
        <v>2015</v>
      </c>
      <c r="D1142" s="70"/>
      <c r="E1142" s="3" t="s">
        <v>293</v>
      </c>
      <c r="F1142" s="28">
        <v>16</v>
      </c>
      <c r="G1142" s="28">
        <v>0</v>
      </c>
      <c r="H1142" s="28">
        <f>ROUND(F1142*AO1142,2)</f>
        <v>0</v>
      </c>
      <c r="I1142" s="28">
        <f>ROUND(F1142*AP1142,2)</f>
        <v>0</v>
      </c>
      <c r="J1142" s="28">
        <f>ROUND(F1142*G1142,2)</f>
        <v>0</v>
      </c>
      <c r="K1142" s="29" t="s">
        <v>60</v>
      </c>
      <c r="Z1142" s="28">
        <f>ROUND(IF(AQ1142="5",BJ1142,0),2)</f>
        <v>0</v>
      </c>
      <c r="AB1142" s="28">
        <f>ROUND(IF(AQ1142="1",BH1142,0),2)</f>
        <v>0</v>
      </c>
      <c r="AC1142" s="28">
        <f>ROUND(IF(AQ1142="1",BI1142,0),2)</f>
        <v>0</v>
      </c>
      <c r="AD1142" s="28">
        <f>ROUND(IF(AQ1142="7",BH1142,0),2)</f>
        <v>0</v>
      </c>
      <c r="AE1142" s="28">
        <f>ROUND(IF(AQ1142="7",BI1142,0),2)</f>
        <v>0</v>
      </c>
      <c r="AF1142" s="28">
        <f>ROUND(IF(AQ1142="2",BH1142,0),2)</f>
        <v>0</v>
      </c>
      <c r="AG1142" s="28">
        <f>ROUND(IF(AQ1142="2",BI1142,0),2)</f>
        <v>0</v>
      </c>
      <c r="AH1142" s="28">
        <f>ROUND(IF(AQ1142="0",BJ1142,0),2)</f>
        <v>0</v>
      </c>
      <c r="AI1142" s="10" t="s">
        <v>1985</v>
      </c>
      <c r="AJ1142" s="28">
        <f>IF(AN1142=0,J1142,0)</f>
        <v>0</v>
      </c>
      <c r="AK1142" s="28">
        <f>IF(AN1142=12,J1142,0)</f>
        <v>0</v>
      </c>
      <c r="AL1142" s="28">
        <f>IF(AN1142=21,J1142,0)</f>
        <v>0</v>
      </c>
      <c r="AN1142" s="28">
        <v>21</v>
      </c>
      <c r="AO1142" s="28">
        <f>G1142*0</f>
        <v>0</v>
      </c>
      <c r="AP1142" s="28">
        <f>G1142*(1-0)</f>
        <v>0</v>
      </c>
      <c r="AQ1142" s="30" t="s">
        <v>56</v>
      </c>
      <c r="AV1142" s="28">
        <f>ROUND(AW1142+AX1142,2)</f>
        <v>0</v>
      </c>
      <c r="AW1142" s="28">
        <f>ROUND(F1142*AO1142,2)</f>
        <v>0</v>
      </c>
      <c r="AX1142" s="28">
        <f>ROUND(F1142*AP1142,2)</f>
        <v>0</v>
      </c>
      <c r="AY1142" s="30" t="s">
        <v>608</v>
      </c>
      <c r="AZ1142" s="30" t="s">
        <v>2016</v>
      </c>
      <c r="BA1142" s="10" t="s">
        <v>1991</v>
      </c>
      <c r="BC1142" s="28">
        <f>AW1142+AX1142</f>
        <v>0</v>
      </c>
      <c r="BD1142" s="28">
        <f>G1142/(100-BE1142)*100</f>
        <v>0</v>
      </c>
      <c r="BE1142" s="28">
        <v>0</v>
      </c>
      <c r="BF1142" s="28">
        <f>1142</f>
        <v>1142</v>
      </c>
      <c r="BH1142" s="28">
        <f>F1142*AO1142</f>
        <v>0</v>
      </c>
      <c r="BI1142" s="28">
        <f>F1142*AP1142</f>
        <v>0</v>
      </c>
      <c r="BJ1142" s="28">
        <f>F1142*G1142</f>
        <v>0</v>
      </c>
      <c r="BK1142" s="28"/>
      <c r="BL1142" s="28">
        <v>93</v>
      </c>
      <c r="BW1142" s="28">
        <v>21</v>
      </c>
      <c r="BX1142" s="4" t="s">
        <v>2015</v>
      </c>
    </row>
    <row r="1143" spans="1:76" ht="13.5" customHeight="1" x14ac:dyDescent="0.3">
      <c r="A1143" s="31"/>
      <c r="B1143" s="35" t="s">
        <v>105</v>
      </c>
      <c r="C1143" s="96" t="s">
        <v>2017</v>
      </c>
      <c r="D1143" s="97"/>
      <c r="E1143" s="97"/>
      <c r="F1143" s="97"/>
      <c r="G1143" s="97"/>
      <c r="H1143" s="97"/>
      <c r="I1143" s="97"/>
      <c r="J1143" s="97"/>
      <c r="K1143" s="98"/>
    </row>
    <row r="1144" spans="1:76" ht="14.4" x14ac:dyDescent="0.3">
      <c r="A1144" s="2" t="s">
        <v>2018</v>
      </c>
      <c r="B1144" s="3" t="s">
        <v>2019</v>
      </c>
      <c r="C1144" s="75" t="s">
        <v>2020</v>
      </c>
      <c r="D1144" s="70"/>
      <c r="E1144" s="3" t="s">
        <v>293</v>
      </c>
      <c r="F1144" s="28">
        <v>2</v>
      </c>
      <c r="G1144" s="28">
        <v>0</v>
      </c>
      <c r="H1144" s="28">
        <f>ROUND(F1144*AO1144,2)</f>
        <v>0</v>
      </c>
      <c r="I1144" s="28">
        <f>ROUND(F1144*AP1144,2)</f>
        <v>0</v>
      </c>
      <c r="J1144" s="28">
        <f>ROUND(F1144*G1144,2)</f>
        <v>0</v>
      </c>
      <c r="K1144" s="29" t="s">
        <v>426</v>
      </c>
      <c r="Z1144" s="28">
        <f>ROUND(IF(AQ1144="5",BJ1144,0),2)</f>
        <v>0</v>
      </c>
      <c r="AB1144" s="28">
        <f>ROUND(IF(AQ1144="1",BH1144,0),2)</f>
        <v>0</v>
      </c>
      <c r="AC1144" s="28">
        <f>ROUND(IF(AQ1144="1",BI1144,0),2)</f>
        <v>0</v>
      </c>
      <c r="AD1144" s="28">
        <f>ROUND(IF(AQ1144="7",BH1144,0),2)</f>
        <v>0</v>
      </c>
      <c r="AE1144" s="28">
        <f>ROUND(IF(AQ1144="7",BI1144,0),2)</f>
        <v>0</v>
      </c>
      <c r="AF1144" s="28">
        <f>ROUND(IF(AQ1144="2",BH1144,0),2)</f>
        <v>0</v>
      </c>
      <c r="AG1144" s="28">
        <f>ROUND(IF(AQ1144="2",BI1144,0),2)</f>
        <v>0</v>
      </c>
      <c r="AH1144" s="28">
        <f>ROUND(IF(AQ1144="0",BJ1144,0),2)</f>
        <v>0</v>
      </c>
      <c r="AI1144" s="10" t="s">
        <v>1985</v>
      </c>
      <c r="AJ1144" s="28">
        <f>IF(AN1144=0,J1144,0)</f>
        <v>0</v>
      </c>
      <c r="AK1144" s="28">
        <f>IF(AN1144=12,J1144,0)</f>
        <v>0</v>
      </c>
      <c r="AL1144" s="28">
        <f>IF(AN1144=21,J1144,0)</f>
        <v>0</v>
      </c>
      <c r="AN1144" s="28">
        <v>21</v>
      </c>
      <c r="AO1144" s="28">
        <f>G1144*1</f>
        <v>0</v>
      </c>
      <c r="AP1144" s="28">
        <f>G1144*(1-1)</f>
        <v>0</v>
      </c>
      <c r="AQ1144" s="30" t="s">
        <v>56</v>
      </c>
      <c r="AV1144" s="28">
        <f>ROUND(AW1144+AX1144,2)</f>
        <v>0</v>
      </c>
      <c r="AW1144" s="28">
        <f>ROUND(F1144*AO1144,2)</f>
        <v>0</v>
      </c>
      <c r="AX1144" s="28">
        <f>ROUND(F1144*AP1144,2)</f>
        <v>0</v>
      </c>
      <c r="AY1144" s="30" t="s">
        <v>608</v>
      </c>
      <c r="AZ1144" s="30" t="s">
        <v>2016</v>
      </c>
      <c r="BA1144" s="10" t="s">
        <v>1991</v>
      </c>
      <c r="BC1144" s="28">
        <f>AW1144+AX1144</f>
        <v>0</v>
      </c>
      <c r="BD1144" s="28">
        <f>G1144/(100-BE1144)*100</f>
        <v>0</v>
      </c>
      <c r="BE1144" s="28">
        <v>0</v>
      </c>
      <c r="BF1144" s="28">
        <f>1144</f>
        <v>1144</v>
      </c>
      <c r="BH1144" s="28">
        <f>F1144*AO1144</f>
        <v>0</v>
      </c>
      <c r="BI1144" s="28">
        <f>F1144*AP1144</f>
        <v>0</v>
      </c>
      <c r="BJ1144" s="28">
        <f>F1144*G1144</f>
        <v>0</v>
      </c>
      <c r="BK1144" s="28"/>
      <c r="BL1144" s="28">
        <v>93</v>
      </c>
      <c r="BW1144" s="28">
        <v>21</v>
      </c>
      <c r="BX1144" s="4" t="s">
        <v>2020</v>
      </c>
    </row>
    <row r="1145" spans="1:76" ht="14.4" x14ac:dyDescent="0.3">
      <c r="A1145" s="2" t="s">
        <v>2021</v>
      </c>
      <c r="B1145" s="3" t="s">
        <v>2022</v>
      </c>
      <c r="C1145" s="75" t="s">
        <v>2023</v>
      </c>
      <c r="D1145" s="70"/>
      <c r="E1145" s="3" t="s">
        <v>1381</v>
      </c>
      <c r="F1145" s="28">
        <v>2</v>
      </c>
      <c r="G1145" s="28">
        <v>0</v>
      </c>
      <c r="H1145" s="28">
        <f>ROUND(F1145*AO1145,2)</f>
        <v>0</v>
      </c>
      <c r="I1145" s="28">
        <f>ROUND(F1145*AP1145,2)</f>
        <v>0</v>
      </c>
      <c r="J1145" s="28">
        <f>ROUND(F1145*G1145,2)</f>
        <v>0</v>
      </c>
      <c r="K1145" s="29" t="s">
        <v>426</v>
      </c>
      <c r="Z1145" s="28">
        <f>ROUND(IF(AQ1145="5",BJ1145,0),2)</f>
        <v>0</v>
      </c>
      <c r="AB1145" s="28">
        <f>ROUND(IF(AQ1145="1",BH1145,0),2)</f>
        <v>0</v>
      </c>
      <c r="AC1145" s="28">
        <f>ROUND(IF(AQ1145="1",BI1145,0),2)</f>
        <v>0</v>
      </c>
      <c r="AD1145" s="28">
        <f>ROUND(IF(AQ1145="7",BH1145,0),2)</f>
        <v>0</v>
      </c>
      <c r="AE1145" s="28">
        <f>ROUND(IF(AQ1145="7",BI1145,0),2)</f>
        <v>0</v>
      </c>
      <c r="AF1145" s="28">
        <f>ROUND(IF(AQ1145="2",BH1145,0),2)</f>
        <v>0</v>
      </c>
      <c r="AG1145" s="28">
        <f>ROUND(IF(AQ1145="2",BI1145,0),2)</f>
        <v>0</v>
      </c>
      <c r="AH1145" s="28">
        <f>ROUND(IF(AQ1145="0",BJ1145,0),2)</f>
        <v>0</v>
      </c>
      <c r="AI1145" s="10" t="s">
        <v>1985</v>
      </c>
      <c r="AJ1145" s="28">
        <f>IF(AN1145=0,J1145,0)</f>
        <v>0</v>
      </c>
      <c r="AK1145" s="28">
        <f>IF(AN1145=12,J1145,0)</f>
        <v>0</v>
      </c>
      <c r="AL1145" s="28">
        <f>IF(AN1145=21,J1145,0)</f>
        <v>0</v>
      </c>
      <c r="AN1145" s="28">
        <v>21</v>
      </c>
      <c r="AO1145" s="28">
        <f>G1145*1</f>
        <v>0</v>
      </c>
      <c r="AP1145" s="28">
        <f>G1145*(1-1)</f>
        <v>0</v>
      </c>
      <c r="AQ1145" s="30" t="s">
        <v>56</v>
      </c>
      <c r="AV1145" s="28">
        <f>ROUND(AW1145+AX1145,2)</f>
        <v>0</v>
      </c>
      <c r="AW1145" s="28">
        <f>ROUND(F1145*AO1145,2)</f>
        <v>0</v>
      </c>
      <c r="AX1145" s="28">
        <f>ROUND(F1145*AP1145,2)</f>
        <v>0</v>
      </c>
      <c r="AY1145" s="30" t="s">
        <v>608</v>
      </c>
      <c r="AZ1145" s="30" t="s">
        <v>2016</v>
      </c>
      <c r="BA1145" s="10" t="s">
        <v>1991</v>
      </c>
      <c r="BC1145" s="28">
        <f>AW1145+AX1145</f>
        <v>0</v>
      </c>
      <c r="BD1145" s="28">
        <f>G1145/(100-BE1145)*100</f>
        <v>0</v>
      </c>
      <c r="BE1145" s="28">
        <v>0</v>
      </c>
      <c r="BF1145" s="28">
        <f>1145</f>
        <v>1145</v>
      </c>
      <c r="BH1145" s="28">
        <f>F1145*AO1145</f>
        <v>0</v>
      </c>
      <c r="BI1145" s="28">
        <f>F1145*AP1145</f>
        <v>0</v>
      </c>
      <c r="BJ1145" s="28">
        <f>F1145*G1145</f>
        <v>0</v>
      </c>
      <c r="BK1145" s="28"/>
      <c r="BL1145" s="28">
        <v>93</v>
      </c>
      <c r="BW1145" s="28">
        <v>21</v>
      </c>
      <c r="BX1145" s="4" t="s">
        <v>2023</v>
      </c>
    </row>
    <row r="1146" spans="1:76" ht="14.4" x14ac:dyDescent="0.3">
      <c r="A1146" s="31"/>
      <c r="B1146" s="35" t="s">
        <v>68</v>
      </c>
      <c r="C1146" s="93" t="s">
        <v>2024</v>
      </c>
      <c r="D1146" s="94"/>
      <c r="E1146" s="94"/>
      <c r="F1146" s="94"/>
      <c r="G1146" s="94"/>
      <c r="H1146" s="94"/>
      <c r="I1146" s="94"/>
      <c r="J1146" s="94"/>
      <c r="K1146" s="95"/>
      <c r="BX1146" s="36" t="s">
        <v>2024</v>
      </c>
    </row>
    <row r="1147" spans="1:76" ht="14.4" x14ac:dyDescent="0.3">
      <c r="A1147" s="2" t="s">
        <v>2025</v>
      </c>
      <c r="B1147" s="3" t="s">
        <v>2026</v>
      </c>
      <c r="C1147" s="75" t="s">
        <v>2027</v>
      </c>
      <c r="D1147" s="70"/>
      <c r="E1147" s="3" t="s">
        <v>1381</v>
      </c>
      <c r="F1147" s="28">
        <v>3</v>
      </c>
      <c r="G1147" s="28">
        <v>0</v>
      </c>
      <c r="H1147" s="28">
        <f>ROUND(F1147*AO1147,2)</f>
        <v>0</v>
      </c>
      <c r="I1147" s="28">
        <f>ROUND(F1147*AP1147,2)</f>
        <v>0</v>
      </c>
      <c r="J1147" s="28">
        <f>ROUND(F1147*G1147,2)</f>
        <v>0</v>
      </c>
      <c r="K1147" s="29" t="s">
        <v>426</v>
      </c>
      <c r="Z1147" s="28">
        <f>ROUND(IF(AQ1147="5",BJ1147,0),2)</f>
        <v>0</v>
      </c>
      <c r="AB1147" s="28">
        <f>ROUND(IF(AQ1147="1",BH1147,0),2)</f>
        <v>0</v>
      </c>
      <c r="AC1147" s="28">
        <f>ROUND(IF(AQ1147="1",BI1147,0),2)</f>
        <v>0</v>
      </c>
      <c r="AD1147" s="28">
        <f>ROUND(IF(AQ1147="7",BH1147,0),2)</f>
        <v>0</v>
      </c>
      <c r="AE1147" s="28">
        <f>ROUND(IF(AQ1147="7",BI1147,0),2)</f>
        <v>0</v>
      </c>
      <c r="AF1147" s="28">
        <f>ROUND(IF(AQ1147="2",BH1147,0),2)</f>
        <v>0</v>
      </c>
      <c r="AG1147" s="28">
        <f>ROUND(IF(AQ1147="2",BI1147,0),2)</f>
        <v>0</v>
      </c>
      <c r="AH1147" s="28">
        <f>ROUND(IF(AQ1147="0",BJ1147,0),2)</f>
        <v>0</v>
      </c>
      <c r="AI1147" s="10" t="s">
        <v>1985</v>
      </c>
      <c r="AJ1147" s="28">
        <f>IF(AN1147=0,J1147,0)</f>
        <v>0</v>
      </c>
      <c r="AK1147" s="28">
        <f>IF(AN1147=12,J1147,0)</f>
        <v>0</v>
      </c>
      <c r="AL1147" s="28">
        <f>IF(AN1147=21,J1147,0)</f>
        <v>0</v>
      </c>
      <c r="AN1147" s="28">
        <v>21</v>
      </c>
      <c r="AO1147" s="28">
        <f>G1147*1</f>
        <v>0</v>
      </c>
      <c r="AP1147" s="28">
        <f>G1147*(1-1)</f>
        <v>0</v>
      </c>
      <c r="AQ1147" s="30" t="s">
        <v>56</v>
      </c>
      <c r="AV1147" s="28">
        <f>ROUND(AW1147+AX1147,2)</f>
        <v>0</v>
      </c>
      <c r="AW1147" s="28">
        <f>ROUND(F1147*AO1147,2)</f>
        <v>0</v>
      </c>
      <c r="AX1147" s="28">
        <f>ROUND(F1147*AP1147,2)</f>
        <v>0</v>
      </c>
      <c r="AY1147" s="30" t="s">
        <v>608</v>
      </c>
      <c r="AZ1147" s="30" t="s">
        <v>2016</v>
      </c>
      <c r="BA1147" s="10" t="s">
        <v>1991</v>
      </c>
      <c r="BC1147" s="28">
        <f>AW1147+AX1147</f>
        <v>0</v>
      </c>
      <c r="BD1147" s="28">
        <f>G1147/(100-BE1147)*100</f>
        <v>0</v>
      </c>
      <c r="BE1147" s="28">
        <v>0</v>
      </c>
      <c r="BF1147" s="28">
        <f>1147</f>
        <v>1147</v>
      </c>
      <c r="BH1147" s="28">
        <f>F1147*AO1147</f>
        <v>0</v>
      </c>
      <c r="BI1147" s="28">
        <f>F1147*AP1147</f>
        <v>0</v>
      </c>
      <c r="BJ1147" s="28">
        <f>F1147*G1147</f>
        <v>0</v>
      </c>
      <c r="BK1147" s="28"/>
      <c r="BL1147" s="28">
        <v>93</v>
      </c>
      <c r="BW1147" s="28">
        <v>21</v>
      </c>
      <c r="BX1147" s="4" t="s">
        <v>2027</v>
      </c>
    </row>
    <row r="1148" spans="1:76" ht="14.4" x14ac:dyDescent="0.3">
      <c r="A1148" s="31"/>
      <c r="B1148" s="35" t="s">
        <v>68</v>
      </c>
      <c r="C1148" s="93" t="s">
        <v>2028</v>
      </c>
      <c r="D1148" s="94"/>
      <c r="E1148" s="94"/>
      <c r="F1148" s="94"/>
      <c r="G1148" s="94"/>
      <c r="H1148" s="94"/>
      <c r="I1148" s="94"/>
      <c r="J1148" s="94"/>
      <c r="K1148" s="95"/>
      <c r="BX1148" s="36" t="s">
        <v>2028</v>
      </c>
    </row>
    <row r="1149" spans="1:76" ht="26.4" x14ac:dyDescent="0.3">
      <c r="A1149" s="2" t="s">
        <v>2029</v>
      </c>
      <c r="B1149" s="3" t="s">
        <v>2030</v>
      </c>
      <c r="C1149" s="75" t="s">
        <v>2031</v>
      </c>
      <c r="D1149" s="70"/>
      <c r="E1149" s="3" t="s">
        <v>1381</v>
      </c>
      <c r="F1149" s="28">
        <v>1</v>
      </c>
      <c r="G1149" s="28">
        <v>0</v>
      </c>
      <c r="H1149" s="28">
        <f>ROUND(F1149*AO1149,2)</f>
        <v>0</v>
      </c>
      <c r="I1149" s="28">
        <f>ROUND(F1149*AP1149,2)</f>
        <v>0</v>
      </c>
      <c r="J1149" s="28">
        <f>ROUND(F1149*G1149,2)</f>
        <v>0</v>
      </c>
      <c r="K1149" s="29" t="s">
        <v>426</v>
      </c>
      <c r="Z1149" s="28">
        <f>ROUND(IF(AQ1149="5",BJ1149,0),2)</f>
        <v>0</v>
      </c>
      <c r="AB1149" s="28">
        <f>ROUND(IF(AQ1149="1",BH1149,0),2)</f>
        <v>0</v>
      </c>
      <c r="AC1149" s="28">
        <f>ROUND(IF(AQ1149="1",BI1149,0),2)</f>
        <v>0</v>
      </c>
      <c r="AD1149" s="28">
        <f>ROUND(IF(AQ1149="7",BH1149,0),2)</f>
        <v>0</v>
      </c>
      <c r="AE1149" s="28">
        <f>ROUND(IF(AQ1149="7",BI1149,0),2)</f>
        <v>0</v>
      </c>
      <c r="AF1149" s="28">
        <f>ROUND(IF(AQ1149="2",BH1149,0),2)</f>
        <v>0</v>
      </c>
      <c r="AG1149" s="28">
        <f>ROUND(IF(AQ1149="2",BI1149,0),2)</f>
        <v>0</v>
      </c>
      <c r="AH1149" s="28">
        <f>ROUND(IF(AQ1149="0",BJ1149,0),2)</f>
        <v>0</v>
      </c>
      <c r="AI1149" s="10" t="s">
        <v>1985</v>
      </c>
      <c r="AJ1149" s="28">
        <f>IF(AN1149=0,J1149,0)</f>
        <v>0</v>
      </c>
      <c r="AK1149" s="28">
        <f>IF(AN1149=12,J1149,0)</f>
        <v>0</v>
      </c>
      <c r="AL1149" s="28">
        <f>IF(AN1149=21,J1149,0)</f>
        <v>0</v>
      </c>
      <c r="AN1149" s="28">
        <v>21</v>
      </c>
      <c r="AO1149" s="28">
        <f>G1149*1</f>
        <v>0</v>
      </c>
      <c r="AP1149" s="28">
        <f>G1149*(1-1)</f>
        <v>0</v>
      </c>
      <c r="AQ1149" s="30" t="s">
        <v>56</v>
      </c>
      <c r="AV1149" s="28">
        <f>ROUND(AW1149+AX1149,2)</f>
        <v>0</v>
      </c>
      <c r="AW1149" s="28">
        <f>ROUND(F1149*AO1149,2)</f>
        <v>0</v>
      </c>
      <c r="AX1149" s="28">
        <f>ROUND(F1149*AP1149,2)</f>
        <v>0</v>
      </c>
      <c r="AY1149" s="30" t="s">
        <v>608</v>
      </c>
      <c r="AZ1149" s="30" t="s">
        <v>2016</v>
      </c>
      <c r="BA1149" s="10" t="s">
        <v>1991</v>
      </c>
      <c r="BC1149" s="28">
        <f>AW1149+AX1149</f>
        <v>0</v>
      </c>
      <c r="BD1149" s="28">
        <f>G1149/(100-BE1149)*100</f>
        <v>0</v>
      </c>
      <c r="BE1149" s="28">
        <v>0</v>
      </c>
      <c r="BF1149" s="28">
        <f>1149</f>
        <v>1149</v>
      </c>
      <c r="BH1149" s="28">
        <f>F1149*AO1149</f>
        <v>0</v>
      </c>
      <c r="BI1149" s="28">
        <f>F1149*AP1149</f>
        <v>0</v>
      </c>
      <c r="BJ1149" s="28">
        <f>F1149*G1149</f>
        <v>0</v>
      </c>
      <c r="BK1149" s="28"/>
      <c r="BL1149" s="28">
        <v>93</v>
      </c>
      <c r="BW1149" s="28">
        <v>21</v>
      </c>
      <c r="BX1149" s="4" t="s">
        <v>2031</v>
      </c>
    </row>
    <row r="1150" spans="1:76" ht="14.4" x14ac:dyDescent="0.3">
      <c r="A1150" s="31"/>
      <c r="B1150" s="35" t="s">
        <v>68</v>
      </c>
      <c r="C1150" s="93" t="s">
        <v>2032</v>
      </c>
      <c r="D1150" s="94"/>
      <c r="E1150" s="94"/>
      <c r="F1150" s="94"/>
      <c r="G1150" s="94"/>
      <c r="H1150" s="94"/>
      <c r="I1150" s="94"/>
      <c r="J1150" s="94"/>
      <c r="K1150" s="95"/>
      <c r="BX1150" s="36" t="s">
        <v>2032</v>
      </c>
    </row>
    <row r="1151" spans="1:76" ht="26.4" x14ac:dyDescent="0.3">
      <c r="A1151" s="2" t="s">
        <v>2033</v>
      </c>
      <c r="B1151" s="3" t="s">
        <v>2034</v>
      </c>
      <c r="C1151" s="75" t="s">
        <v>2035</v>
      </c>
      <c r="D1151" s="70"/>
      <c r="E1151" s="3" t="s">
        <v>1381</v>
      </c>
      <c r="F1151" s="28">
        <v>4</v>
      </c>
      <c r="G1151" s="28">
        <v>0</v>
      </c>
      <c r="H1151" s="28">
        <f>ROUND(F1151*AO1151,2)</f>
        <v>0</v>
      </c>
      <c r="I1151" s="28">
        <f>ROUND(F1151*AP1151,2)</f>
        <v>0</v>
      </c>
      <c r="J1151" s="28">
        <f>ROUND(F1151*G1151,2)</f>
        <v>0</v>
      </c>
      <c r="K1151" s="29" t="s">
        <v>426</v>
      </c>
      <c r="Z1151" s="28">
        <f>ROUND(IF(AQ1151="5",BJ1151,0),2)</f>
        <v>0</v>
      </c>
      <c r="AB1151" s="28">
        <f>ROUND(IF(AQ1151="1",BH1151,0),2)</f>
        <v>0</v>
      </c>
      <c r="AC1151" s="28">
        <f>ROUND(IF(AQ1151="1",BI1151,0),2)</f>
        <v>0</v>
      </c>
      <c r="AD1151" s="28">
        <f>ROUND(IF(AQ1151="7",BH1151,0),2)</f>
        <v>0</v>
      </c>
      <c r="AE1151" s="28">
        <f>ROUND(IF(AQ1151="7",BI1151,0),2)</f>
        <v>0</v>
      </c>
      <c r="AF1151" s="28">
        <f>ROUND(IF(AQ1151="2",BH1151,0),2)</f>
        <v>0</v>
      </c>
      <c r="AG1151" s="28">
        <f>ROUND(IF(AQ1151="2",BI1151,0),2)</f>
        <v>0</v>
      </c>
      <c r="AH1151" s="28">
        <f>ROUND(IF(AQ1151="0",BJ1151,0),2)</f>
        <v>0</v>
      </c>
      <c r="AI1151" s="10" t="s">
        <v>1985</v>
      </c>
      <c r="AJ1151" s="28">
        <f>IF(AN1151=0,J1151,0)</f>
        <v>0</v>
      </c>
      <c r="AK1151" s="28">
        <f>IF(AN1151=12,J1151,0)</f>
        <v>0</v>
      </c>
      <c r="AL1151" s="28">
        <f>IF(AN1151=21,J1151,0)</f>
        <v>0</v>
      </c>
      <c r="AN1151" s="28">
        <v>21</v>
      </c>
      <c r="AO1151" s="28">
        <f>G1151*1</f>
        <v>0</v>
      </c>
      <c r="AP1151" s="28">
        <f>G1151*(1-1)</f>
        <v>0</v>
      </c>
      <c r="AQ1151" s="30" t="s">
        <v>56</v>
      </c>
      <c r="AV1151" s="28">
        <f>ROUND(AW1151+AX1151,2)</f>
        <v>0</v>
      </c>
      <c r="AW1151" s="28">
        <f>ROUND(F1151*AO1151,2)</f>
        <v>0</v>
      </c>
      <c r="AX1151" s="28">
        <f>ROUND(F1151*AP1151,2)</f>
        <v>0</v>
      </c>
      <c r="AY1151" s="30" t="s">
        <v>608</v>
      </c>
      <c r="AZ1151" s="30" t="s">
        <v>2016</v>
      </c>
      <c r="BA1151" s="10" t="s">
        <v>1991</v>
      </c>
      <c r="BC1151" s="28">
        <f>AW1151+AX1151</f>
        <v>0</v>
      </c>
      <c r="BD1151" s="28">
        <f>G1151/(100-BE1151)*100</f>
        <v>0</v>
      </c>
      <c r="BE1151" s="28">
        <v>0</v>
      </c>
      <c r="BF1151" s="28">
        <f>1151</f>
        <v>1151</v>
      </c>
      <c r="BH1151" s="28">
        <f>F1151*AO1151</f>
        <v>0</v>
      </c>
      <c r="BI1151" s="28">
        <f>F1151*AP1151</f>
        <v>0</v>
      </c>
      <c r="BJ1151" s="28">
        <f>F1151*G1151</f>
        <v>0</v>
      </c>
      <c r="BK1151" s="28"/>
      <c r="BL1151" s="28">
        <v>93</v>
      </c>
      <c r="BW1151" s="28">
        <v>21</v>
      </c>
      <c r="BX1151" s="4" t="s">
        <v>2035</v>
      </c>
    </row>
    <row r="1152" spans="1:76" ht="14.4" x14ac:dyDescent="0.3">
      <c r="A1152" s="31"/>
      <c r="B1152" s="35" t="s">
        <v>68</v>
      </c>
      <c r="C1152" s="93" t="s">
        <v>2036</v>
      </c>
      <c r="D1152" s="94"/>
      <c r="E1152" s="94"/>
      <c r="F1152" s="94"/>
      <c r="G1152" s="94"/>
      <c r="H1152" s="94"/>
      <c r="I1152" s="94"/>
      <c r="J1152" s="94"/>
      <c r="K1152" s="95"/>
      <c r="BX1152" s="36" t="s">
        <v>2036</v>
      </c>
    </row>
    <row r="1153" spans="1:76" ht="26.4" x14ac:dyDescent="0.3">
      <c r="A1153" s="2" t="s">
        <v>2037</v>
      </c>
      <c r="B1153" s="3" t="s">
        <v>2038</v>
      </c>
      <c r="C1153" s="75" t="s">
        <v>2039</v>
      </c>
      <c r="D1153" s="70"/>
      <c r="E1153" s="3" t="s">
        <v>1381</v>
      </c>
      <c r="F1153" s="28">
        <v>4</v>
      </c>
      <c r="G1153" s="28">
        <v>0</v>
      </c>
      <c r="H1153" s="28">
        <f>ROUND(F1153*AO1153,2)</f>
        <v>0</v>
      </c>
      <c r="I1153" s="28">
        <f>ROUND(F1153*AP1153,2)</f>
        <v>0</v>
      </c>
      <c r="J1153" s="28">
        <f>ROUND(F1153*G1153,2)</f>
        <v>0</v>
      </c>
      <c r="K1153" s="29" t="s">
        <v>426</v>
      </c>
      <c r="Z1153" s="28">
        <f>ROUND(IF(AQ1153="5",BJ1153,0),2)</f>
        <v>0</v>
      </c>
      <c r="AB1153" s="28">
        <f>ROUND(IF(AQ1153="1",BH1153,0),2)</f>
        <v>0</v>
      </c>
      <c r="AC1153" s="28">
        <f>ROUND(IF(AQ1153="1",BI1153,0),2)</f>
        <v>0</v>
      </c>
      <c r="AD1153" s="28">
        <f>ROUND(IF(AQ1153="7",BH1153,0),2)</f>
        <v>0</v>
      </c>
      <c r="AE1153" s="28">
        <f>ROUND(IF(AQ1153="7",BI1153,0),2)</f>
        <v>0</v>
      </c>
      <c r="AF1153" s="28">
        <f>ROUND(IF(AQ1153="2",BH1153,0),2)</f>
        <v>0</v>
      </c>
      <c r="AG1153" s="28">
        <f>ROUND(IF(AQ1153="2",BI1153,0),2)</f>
        <v>0</v>
      </c>
      <c r="AH1153" s="28">
        <f>ROUND(IF(AQ1153="0",BJ1153,0),2)</f>
        <v>0</v>
      </c>
      <c r="AI1153" s="10" t="s">
        <v>1985</v>
      </c>
      <c r="AJ1153" s="28">
        <f>IF(AN1153=0,J1153,0)</f>
        <v>0</v>
      </c>
      <c r="AK1153" s="28">
        <f>IF(AN1153=12,J1153,0)</f>
        <v>0</v>
      </c>
      <c r="AL1153" s="28">
        <f>IF(AN1153=21,J1153,0)</f>
        <v>0</v>
      </c>
      <c r="AN1153" s="28">
        <v>21</v>
      </c>
      <c r="AO1153" s="28">
        <f>G1153*1</f>
        <v>0</v>
      </c>
      <c r="AP1153" s="28">
        <f>G1153*(1-1)</f>
        <v>0</v>
      </c>
      <c r="AQ1153" s="30" t="s">
        <v>56</v>
      </c>
      <c r="AV1153" s="28">
        <f>ROUND(AW1153+AX1153,2)</f>
        <v>0</v>
      </c>
      <c r="AW1153" s="28">
        <f>ROUND(F1153*AO1153,2)</f>
        <v>0</v>
      </c>
      <c r="AX1153" s="28">
        <f>ROUND(F1153*AP1153,2)</f>
        <v>0</v>
      </c>
      <c r="AY1153" s="30" t="s">
        <v>608</v>
      </c>
      <c r="AZ1153" s="30" t="s">
        <v>2016</v>
      </c>
      <c r="BA1153" s="10" t="s">
        <v>1991</v>
      </c>
      <c r="BC1153" s="28">
        <f>AW1153+AX1153</f>
        <v>0</v>
      </c>
      <c r="BD1153" s="28">
        <f>G1153/(100-BE1153)*100</f>
        <v>0</v>
      </c>
      <c r="BE1153" s="28">
        <v>0</v>
      </c>
      <c r="BF1153" s="28">
        <f>1153</f>
        <v>1153</v>
      </c>
      <c r="BH1153" s="28">
        <f>F1153*AO1153</f>
        <v>0</v>
      </c>
      <c r="BI1153" s="28">
        <f>F1153*AP1153</f>
        <v>0</v>
      </c>
      <c r="BJ1153" s="28">
        <f>F1153*G1153</f>
        <v>0</v>
      </c>
      <c r="BK1153" s="28"/>
      <c r="BL1153" s="28">
        <v>93</v>
      </c>
      <c r="BW1153" s="28">
        <v>21</v>
      </c>
      <c r="BX1153" s="4" t="s">
        <v>2039</v>
      </c>
    </row>
    <row r="1154" spans="1:76" ht="14.4" x14ac:dyDescent="0.3">
      <c r="A1154" s="31"/>
      <c r="B1154" s="35" t="s">
        <v>68</v>
      </c>
      <c r="C1154" s="93" t="s">
        <v>2036</v>
      </c>
      <c r="D1154" s="94"/>
      <c r="E1154" s="94"/>
      <c r="F1154" s="94"/>
      <c r="G1154" s="94"/>
      <c r="H1154" s="94"/>
      <c r="I1154" s="94"/>
      <c r="J1154" s="94"/>
      <c r="K1154" s="95"/>
      <c r="BX1154" s="36" t="s">
        <v>2036</v>
      </c>
    </row>
    <row r="1155" spans="1:76" ht="14.4" x14ac:dyDescent="0.3">
      <c r="A1155" s="24" t="s">
        <v>51</v>
      </c>
      <c r="B1155" s="25" t="s">
        <v>2040</v>
      </c>
      <c r="C1155" s="91" t="s">
        <v>2041</v>
      </c>
      <c r="D1155" s="92"/>
      <c r="E1155" s="26" t="s">
        <v>4</v>
      </c>
      <c r="F1155" s="26" t="s">
        <v>4</v>
      </c>
      <c r="G1155" s="26" t="s">
        <v>4</v>
      </c>
      <c r="H1155" s="1">
        <f>SUM(H1156:H1165)</f>
        <v>0</v>
      </c>
      <c r="I1155" s="1">
        <f>SUM(I1156:I1165)</f>
        <v>0</v>
      </c>
      <c r="J1155" s="1">
        <f>SUM(J1156:J1165)</f>
        <v>0</v>
      </c>
      <c r="K1155" s="27" t="s">
        <v>51</v>
      </c>
      <c r="AI1155" s="10" t="s">
        <v>1985</v>
      </c>
      <c r="AS1155" s="1">
        <f>SUM(AJ1156:AJ1165)</f>
        <v>0</v>
      </c>
      <c r="AT1155" s="1">
        <f>SUM(AK1156:AK1165)</f>
        <v>0</v>
      </c>
      <c r="AU1155" s="1">
        <f>SUM(AL1156:AL1165)</f>
        <v>0</v>
      </c>
    </row>
    <row r="1156" spans="1:76" ht="14.4" x14ac:dyDescent="0.3">
      <c r="A1156" s="2" t="s">
        <v>2042</v>
      </c>
      <c r="B1156" s="3" t="s">
        <v>2043</v>
      </c>
      <c r="C1156" s="75" t="s">
        <v>2044</v>
      </c>
      <c r="D1156" s="70"/>
      <c r="E1156" s="3" t="s">
        <v>459</v>
      </c>
      <c r="F1156" s="28">
        <v>1</v>
      </c>
      <c r="G1156" s="28">
        <v>0</v>
      </c>
      <c r="H1156" s="28">
        <f>ROUND(F1156*AO1156,2)</f>
        <v>0</v>
      </c>
      <c r="I1156" s="28">
        <f>ROUND(F1156*AP1156,2)</f>
        <v>0</v>
      </c>
      <c r="J1156" s="28">
        <f>ROUND(F1156*G1156,2)</f>
        <v>0</v>
      </c>
      <c r="K1156" s="29" t="s">
        <v>51</v>
      </c>
      <c r="Z1156" s="28">
        <f>ROUND(IF(AQ1156="5",BJ1156,0),2)</f>
        <v>0</v>
      </c>
      <c r="AB1156" s="28">
        <f>ROUND(IF(AQ1156="1",BH1156,0),2)</f>
        <v>0</v>
      </c>
      <c r="AC1156" s="28">
        <f>ROUND(IF(AQ1156="1",BI1156,0),2)</f>
        <v>0</v>
      </c>
      <c r="AD1156" s="28">
        <f>ROUND(IF(AQ1156="7",BH1156,0),2)</f>
        <v>0</v>
      </c>
      <c r="AE1156" s="28">
        <f>ROUND(IF(AQ1156="7",BI1156,0),2)</f>
        <v>0</v>
      </c>
      <c r="AF1156" s="28">
        <f>ROUND(IF(AQ1156="2",BH1156,0),2)</f>
        <v>0</v>
      </c>
      <c r="AG1156" s="28">
        <f>ROUND(IF(AQ1156="2",BI1156,0),2)</f>
        <v>0</v>
      </c>
      <c r="AH1156" s="28">
        <f>ROUND(IF(AQ1156="0",BJ1156,0),2)</f>
        <v>0</v>
      </c>
      <c r="AI1156" s="10" t="s">
        <v>1985</v>
      </c>
      <c r="AJ1156" s="28">
        <f>IF(AN1156=0,J1156,0)</f>
        <v>0</v>
      </c>
      <c r="AK1156" s="28">
        <f>IF(AN1156=12,J1156,0)</f>
        <v>0</v>
      </c>
      <c r="AL1156" s="28">
        <f>IF(AN1156=21,J1156,0)</f>
        <v>0</v>
      </c>
      <c r="AN1156" s="28">
        <v>21</v>
      </c>
      <c r="AO1156" s="28">
        <f>G1156*0.294117647</f>
        <v>0</v>
      </c>
      <c r="AP1156" s="28">
        <f>G1156*(1-0.294117647)</f>
        <v>0</v>
      </c>
      <c r="AQ1156" s="30" t="s">
        <v>74</v>
      </c>
      <c r="AV1156" s="28">
        <f>ROUND(AW1156+AX1156,2)</f>
        <v>0</v>
      </c>
      <c r="AW1156" s="28">
        <f>ROUND(F1156*AO1156,2)</f>
        <v>0</v>
      </c>
      <c r="AX1156" s="28">
        <f>ROUND(F1156*AP1156,2)</f>
        <v>0</v>
      </c>
      <c r="AY1156" s="30" t="s">
        <v>2045</v>
      </c>
      <c r="AZ1156" s="30" t="s">
        <v>2016</v>
      </c>
      <c r="BA1156" s="10" t="s">
        <v>1991</v>
      </c>
      <c r="BC1156" s="28">
        <f>AW1156+AX1156</f>
        <v>0</v>
      </c>
      <c r="BD1156" s="28">
        <f>G1156/(100-BE1156)*100</f>
        <v>0</v>
      </c>
      <c r="BE1156" s="28">
        <v>0</v>
      </c>
      <c r="BF1156" s="28">
        <f>1156</f>
        <v>1156</v>
      </c>
      <c r="BH1156" s="28">
        <f>F1156*AO1156</f>
        <v>0</v>
      </c>
      <c r="BI1156" s="28">
        <f>F1156*AP1156</f>
        <v>0</v>
      </c>
      <c r="BJ1156" s="28">
        <f>F1156*G1156</f>
        <v>0</v>
      </c>
      <c r="BK1156" s="28"/>
      <c r="BL1156" s="28"/>
      <c r="BW1156" s="28">
        <v>21</v>
      </c>
      <c r="BX1156" s="4" t="s">
        <v>2044</v>
      </c>
    </row>
    <row r="1157" spans="1:76" ht="14.4" x14ac:dyDescent="0.3">
      <c r="A1157" s="2" t="s">
        <v>2046</v>
      </c>
      <c r="B1157" s="3" t="s">
        <v>2047</v>
      </c>
      <c r="C1157" s="75" t="s">
        <v>2048</v>
      </c>
      <c r="D1157" s="70"/>
      <c r="E1157" s="3" t="s">
        <v>1381</v>
      </c>
      <c r="F1157" s="28">
        <v>1</v>
      </c>
      <c r="G1157" s="28">
        <v>0</v>
      </c>
      <c r="H1157" s="28">
        <f>ROUND(F1157*AO1157,2)</f>
        <v>0</v>
      </c>
      <c r="I1157" s="28">
        <f>ROUND(F1157*AP1157,2)</f>
        <v>0</v>
      </c>
      <c r="J1157" s="28">
        <f>ROUND(F1157*G1157,2)</f>
        <v>0</v>
      </c>
      <c r="K1157" s="29" t="s">
        <v>426</v>
      </c>
      <c r="Z1157" s="28">
        <f>ROUND(IF(AQ1157="5",BJ1157,0),2)</f>
        <v>0</v>
      </c>
      <c r="AB1157" s="28">
        <f>ROUND(IF(AQ1157="1",BH1157,0),2)</f>
        <v>0</v>
      </c>
      <c r="AC1157" s="28">
        <f>ROUND(IF(AQ1157="1",BI1157,0),2)</f>
        <v>0</v>
      </c>
      <c r="AD1157" s="28">
        <f>ROUND(IF(AQ1157="7",BH1157,0),2)</f>
        <v>0</v>
      </c>
      <c r="AE1157" s="28">
        <f>ROUND(IF(AQ1157="7",BI1157,0),2)</f>
        <v>0</v>
      </c>
      <c r="AF1157" s="28">
        <f>ROUND(IF(AQ1157="2",BH1157,0),2)</f>
        <v>0</v>
      </c>
      <c r="AG1157" s="28">
        <f>ROUND(IF(AQ1157="2",BI1157,0),2)</f>
        <v>0</v>
      </c>
      <c r="AH1157" s="28">
        <f>ROUND(IF(AQ1157="0",BJ1157,0),2)</f>
        <v>0</v>
      </c>
      <c r="AI1157" s="10" t="s">
        <v>1985</v>
      </c>
      <c r="AJ1157" s="28">
        <f>IF(AN1157=0,J1157,0)</f>
        <v>0</v>
      </c>
      <c r="AK1157" s="28">
        <f>IF(AN1157=12,J1157,0)</f>
        <v>0</v>
      </c>
      <c r="AL1157" s="28">
        <f>IF(AN1157=21,J1157,0)</f>
        <v>0</v>
      </c>
      <c r="AN1157" s="28">
        <v>21</v>
      </c>
      <c r="AO1157" s="28">
        <f>G1157*1</f>
        <v>0</v>
      </c>
      <c r="AP1157" s="28">
        <f>G1157*(1-1)</f>
        <v>0</v>
      </c>
      <c r="AQ1157" s="30" t="s">
        <v>74</v>
      </c>
      <c r="AV1157" s="28">
        <f>ROUND(AW1157+AX1157,2)</f>
        <v>0</v>
      </c>
      <c r="AW1157" s="28">
        <f>ROUND(F1157*AO1157,2)</f>
        <v>0</v>
      </c>
      <c r="AX1157" s="28">
        <f>ROUND(F1157*AP1157,2)</f>
        <v>0</v>
      </c>
      <c r="AY1157" s="30" t="s">
        <v>2045</v>
      </c>
      <c r="AZ1157" s="30" t="s">
        <v>2016</v>
      </c>
      <c r="BA1157" s="10" t="s">
        <v>1991</v>
      </c>
      <c r="BC1157" s="28">
        <f>AW1157+AX1157</f>
        <v>0</v>
      </c>
      <c r="BD1157" s="28">
        <f>G1157/(100-BE1157)*100</f>
        <v>0</v>
      </c>
      <c r="BE1157" s="28">
        <v>0</v>
      </c>
      <c r="BF1157" s="28">
        <f>1157</f>
        <v>1157</v>
      </c>
      <c r="BH1157" s="28">
        <f>F1157*AO1157</f>
        <v>0</v>
      </c>
      <c r="BI1157" s="28">
        <f>F1157*AP1157</f>
        <v>0</v>
      </c>
      <c r="BJ1157" s="28">
        <f>F1157*G1157</f>
        <v>0</v>
      </c>
      <c r="BK1157" s="28"/>
      <c r="BL1157" s="28"/>
      <c r="BW1157" s="28">
        <v>21</v>
      </c>
      <c r="BX1157" s="4" t="s">
        <v>2048</v>
      </c>
    </row>
    <row r="1158" spans="1:76" ht="39.6" x14ac:dyDescent="0.3">
      <c r="A1158" s="31"/>
      <c r="B1158" s="35" t="s">
        <v>68</v>
      </c>
      <c r="C1158" s="93" t="s">
        <v>2049</v>
      </c>
      <c r="D1158" s="94"/>
      <c r="E1158" s="94"/>
      <c r="F1158" s="94"/>
      <c r="G1158" s="94"/>
      <c r="H1158" s="94"/>
      <c r="I1158" s="94"/>
      <c r="J1158" s="94"/>
      <c r="K1158" s="95"/>
      <c r="BX1158" s="36" t="s">
        <v>2049</v>
      </c>
    </row>
    <row r="1159" spans="1:76" ht="14.4" x14ac:dyDescent="0.3">
      <c r="A1159" s="2" t="s">
        <v>2050</v>
      </c>
      <c r="B1159" s="3" t="s">
        <v>2051</v>
      </c>
      <c r="C1159" s="75" t="s">
        <v>2052</v>
      </c>
      <c r="D1159" s="70"/>
      <c r="E1159" s="3" t="s">
        <v>1381</v>
      </c>
      <c r="F1159" s="28">
        <v>1</v>
      </c>
      <c r="G1159" s="28">
        <v>0</v>
      </c>
      <c r="H1159" s="28">
        <f>ROUND(F1159*AO1159,2)</f>
        <v>0</v>
      </c>
      <c r="I1159" s="28">
        <f>ROUND(F1159*AP1159,2)</f>
        <v>0</v>
      </c>
      <c r="J1159" s="28">
        <f>ROUND(F1159*G1159,2)</f>
        <v>0</v>
      </c>
      <c r="K1159" s="29" t="s">
        <v>426</v>
      </c>
      <c r="Z1159" s="28">
        <f>ROUND(IF(AQ1159="5",BJ1159,0),2)</f>
        <v>0</v>
      </c>
      <c r="AB1159" s="28">
        <f>ROUND(IF(AQ1159="1",BH1159,0),2)</f>
        <v>0</v>
      </c>
      <c r="AC1159" s="28">
        <f>ROUND(IF(AQ1159="1",BI1159,0),2)</f>
        <v>0</v>
      </c>
      <c r="AD1159" s="28">
        <f>ROUND(IF(AQ1159="7",BH1159,0),2)</f>
        <v>0</v>
      </c>
      <c r="AE1159" s="28">
        <f>ROUND(IF(AQ1159="7",BI1159,0),2)</f>
        <v>0</v>
      </c>
      <c r="AF1159" s="28">
        <f>ROUND(IF(AQ1159="2",BH1159,0),2)</f>
        <v>0</v>
      </c>
      <c r="AG1159" s="28">
        <f>ROUND(IF(AQ1159="2",BI1159,0),2)</f>
        <v>0</v>
      </c>
      <c r="AH1159" s="28">
        <f>ROUND(IF(AQ1159="0",BJ1159,0),2)</f>
        <v>0</v>
      </c>
      <c r="AI1159" s="10" t="s">
        <v>1985</v>
      </c>
      <c r="AJ1159" s="28">
        <f>IF(AN1159=0,J1159,0)</f>
        <v>0</v>
      </c>
      <c r="AK1159" s="28">
        <f>IF(AN1159=12,J1159,0)</f>
        <v>0</v>
      </c>
      <c r="AL1159" s="28">
        <f>IF(AN1159=21,J1159,0)</f>
        <v>0</v>
      </c>
      <c r="AN1159" s="28">
        <v>21</v>
      </c>
      <c r="AO1159" s="28">
        <f>G1159*1</f>
        <v>0</v>
      </c>
      <c r="AP1159" s="28">
        <f>G1159*(1-1)</f>
        <v>0</v>
      </c>
      <c r="AQ1159" s="30" t="s">
        <v>74</v>
      </c>
      <c r="AV1159" s="28">
        <f>ROUND(AW1159+AX1159,2)</f>
        <v>0</v>
      </c>
      <c r="AW1159" s="28">
        <f>ROUND(F1159*AO1159,2)</f>
        <v>0</v>
      </c>
      <c r="AX1159" s="28">
        <f>ROUND(F1159*AP1159,2)</f>
        <v>0</v>
      </c>
      <c r="AY1159" s="30" t="s">
        <v>2045</v>
      </c>
      <c r="AZ1159" s="30" t="s">
        <v>2016</v>
      </c>
      <c r="BA1159" s="10" t="s">
        <v>1991</v>
      </c>
      <c r="BC1159" s="28">
        <f>AW1159+AX1159</f>
        <v>0</v>
      </c>
      <c r="BD1159" s="28">
        <f>G1159/(100-BE1159)*100</f>
        <v>0</v>
      </c>
      <c r="BE1159" s="28">
        <v>0</v>
      </c>
      <c r="BF1159" s="28">
        <f>1159</f>
        <v>1159</v>
      </c>
      <c r="BH1159" s="28">
        <f>F1159*AO1159</f>
        <v>0</v>
      </c>
      <c r="BI1159" s="28">
        <f>F1159*AP1159</f>
        <v>0</v>
      </c>
      <c r="BJ1159" s="28">
        <f>F1159*G1159</f>
        <v>0</v>
      </c>
      <c r="BK1159" s="28"/>
      <c r="BL1159" s="28"/>
      <c r="BW1159" s="28">
        <v>21</v>
      </c>
      <c r="BX1159" s="4" t="s">
        <v>2052</v>
      </c>
    </row>
    <row r="1160" spans="1:76" ht="26.4" x14ac:dyDescent="0.3">
      <c r="A1160" s="31"/>
      <c r="B1160" s="35" t="s">
        <v>68</v>
      </c>
      <c r="C1160" s="93" t="s">
        <v>2053</v>
      </c>
      <c r="D1160" s="94"/>
      <c r="E1160" s="94"/>
      <c r="F1160" s="94"/>
      <c r="G1160" s="94"/>
      <c r="H1160" s="94"/>
      <c r="I1160" s="94"/>
      <c r="J1160" s="94"/>
      <c r="K1160" s="95"/>
      <c r="BX1160" s="36" t="s">
        <v>2053</v>
      </c>
    </row>
    <row r="1161" spans="1:76" ht="14.4" x14ac:dyDescent="0.3">
      <c r="A1161" s="2" t="s">
        <v>2054</v>
      </c>
      <c r="B1161" s="3" t="s">
        <v>2055</v>
      </c>
      <c r="C1161" s="75" t="s">
        <v>2056</v>
      </c>
      <c r="D1161" s="70"/>
      <c r="E1161" s="3" t="s">
        <v>1381</v>
      </c>
      <c r="F1161" s="28">
        <v>1</v>
      </c>
      <c r="G1161" s="28">
        <v>0</v>
      </c>
      <c r="H1161" s="28">
        <f>ROUND(F1161*AO1161,2)</f>
        <v>0</v>
      </c>
      <c r="I1161" s="28">
        <f>ROUND(F1161*AP1161,2)</f>
        <v>0</v>
      </c>
      <c r="J1161" s="28">
        <f>ROUND(F1161*G1161,2)</f>
        <v>0</v>
      </c>
      <c r="K1161" s="29" t="s">
        <v>426</v>
      </c>
      <c r="Z1161" s="28">
        <f>ROUND(IF(AQ1161="5",BJ1161,0),2)</f>
        <v>0</v>
      </c>
      <c r="AB1161" s="28">
        <f>ROUND(IF(AQ1161="1",BH1161,0),2)</f>
        <v>0</v>
      </c>
      <c r="AC1161" s="28">
        <f>ROUND(IF(AQ1161="1",BI1161,0),2)</f>
        <v>0</v>
      </c>
      <c r="AD1161" s="28">
        <f>ROUND(IF(AQ1161="7",BH1161,0),2)</f>
        <v>0</v>
      </c>
      <c r="AE1161" s="28">
        <f>ROUND(IF(AQ1161="7",BI1161,0),2)</f>
        <v>0</v>
      </c>
      <c r="AF1161" s="28">
        <f>ROUND(IF(AQ1161="2",BH1161,0),2)</f>
        <v>0</v>
      </c>
      <c r="AG1161" s="28">
        <f>ROUND(IF(AQ1161="2",BI1161,0),2)</f>
        <v>0</v>
      </c>
      <c r="AH1161" s="28">
        <f>ROUND(IF(AQ1161="0",BJ1161,0),2)</f>
        <v>0</v>
      </c>
      <c r="AI1161" s="10" t="s">
        <v>1985</v>
      </c>
      <c r="AJ1161" s="28">
        <f>IF(AN1161=0,J1161,0)</f>
        <v>0</v>
      </c>
      <c r="AK1161" s="28">
        <f>IF(AN1161=12,J1161,0)</f>
        <v>0</v>
      </c>
      <c r="AL1161" s="28">
        <f>IF(AN1161=21,J1161,0)</f>
        <v>0</v>
      </c>
      <c r="AN1161" s="28">
        <v>21</v>
      </c>
      <c r="AO1161" s="28">
        <f>G1161*1</f>
        <v>0</v>
      </c>
      <c r="AP1161" s="28">
        <f>G1161*(1-1)</f>
        <v>0</v>
      </c>
      <c r="AQ1161" s="30" t="s">
        <v>74</v>
      </c>
      <c r="AV1161" s="28">
        <f>ROUND(AW1161+AX1161,2)</f>
        <v>0</v>
      </c>
      <c r="AW1161" s="28">
        <f>ROUND(F1161*AO1161,2)</f>
        <v>0</v>
      </c>
      <c r="AX1161" s="28">
        <f>ROUND(F1161*AP1161,2)</f>
        <v>0</v>
      </c>
      <c r="AY1161" s="30" t="s">
        <v>2045</v>
      </c>
      <c r="AZ1161" s="30" t="s">
        <v>2016</v>
      </c>
      <c r="BA1161" s="10" t="s">
        <v>1991</v>
      </c>
      <c r="BC1161" s="28">
        <f>AW1161+AX1161</f>
        <v>0</v>
      </c>
      <c r="BD1161" s="28">
        <f>G1161/(100-BE1161)*100</f>
        <v>0</v>
      </c>
      <c r="BE1161" s="28">
        <v>0</v>
      </c>
      <c r="BF1161" s="28">
        <f>1161</f>
        <v>1161</v>
      </c>
      <c r="BH1161" s="28">
        <f>F1161*AO1161</f>
        <v>0</v>
      </c>
      <c r="BI1161" s="28">
        <f>F1161*AP1161</f>
        <v>0</v>
      </c>
      <c r="BJ1161" s="28">
        <f>F1161*G1161</f>
        <v>0</v>
      </c>
      <c r="BK1161" s="28"/>
      <c r="BL1161" s="28"/>
      <c r="BW1161" s="28">
        <v>21</v>
      </c>
      <c r="BX1161" s="4" t="s">
        <v>2056</v>
      </c>
    </row>
    <row r="1162" spans="1:76" ht="26.4" x14ac:dyDescent="0.3">
      <c r="A1162" s="31"/>
      <c r="B1162" s="35" t="s">
        <v>68</v>
      </c>
      <c r="C1162" s="93" t="s">
        <v>2057</v>
      </c>
      <c r="D1162" s="94"/>
      <c r="E1162" s="94"/>
      <c r="F1162" s="94"/>
      <c r="G1162" s="94"/>
      <c r="H1162" s="94"/>
      <c r="I1162" s="94"/>
      <c r="J1162" s="94"/>
      <c r="K1162" s="95"/>
      <c r="BX1162" s="36" t="s">
        <v>2057</v>
      </c>
    </row>
    <row r="1163" spans="1:76" ht="14.4" x14ac:dyDescent="0.3">
      <c r="A1163" s="2" t="s">
        <v>2058</v>
      </c>
      <c r="B1163" s="3" t="s">
        <v>2059</v>
      </c>
      <c r="C1163" s="75" t="s">
        <v>2060</v>
      </c>
      <c r="D1163" s="70"/>
      <c r="E1163" s="3" t="s">
        <v>1381</v>
      </c>
      <c r="F1163" s="28">
        <v>1</v>
      </c>
      <c r="G1163" s="28">
        <v>0</v>
      </c>
      <c r="H1163" s="28">
        <f>ROUND(F1163*AO1163,2)</f>
        <v>0</v>
      </c>
      <c r="I1163" s="28">
        <f>ROUND(F1163*AP1163,2)</f>
        <v>0</v>
      </c>
      <c r="J1163" s="28">
        <f>ROUND(F1163*G1163,2)</f>
        <v>0</v>
      </c>
      <c r="K1163" s="29" t="s">
        <v>2061</v>
      </c>
      <c r="Z1163" s="28">
        <f>ROUND(IF(AQ1163="5",BJ1163,0),2)</f>
        <v>0</v>
      </c>
      <c r="AB1163" s="28">
        <f>ROUND(IF(AQ1163="1",BH1163,0),2)</f>
        <v>0</v>
      </c>
      <c r="AC1163" s="28">
        <f>ROUND(IF(AQ1163="1",BI1163,0),2)</f>
        <v>0</v>
      </c>
      <c r="AD1163" s="28">
        <f>ROUND(IF(AQ1163="7",BH1163,0),2)</f>
        <v>0</v>
      </c>
      <c r="AE1163" s="28">
        <f>ROUND(IF(AQ1163="7",BI1163,0),2)</f>
        <v>0</v>
      </c>
      <c r="AF1163" s="28">
        <f>ROUND(IF(AQ1163="2",BH1163,0),2)</f>
        <v>0</v>
      </c>
      <c r="AG1163" s="28">
        <f>ROUND(IF(AQ1163="2",BI1163,0),2)</f>
        <v>0</v>
      </c>
      <c r="AH1163" s="28">
        <f>ROUND(IF(AQ1163="0",BJ1163,0),2)</f>
        <v>0</v>
      </c>
      <c r="AI1163" s="10" t="s">
        <v>1985</v>
      </c>
      <c r="AJ1163" s="28">
        <f>IF(AN1163=0,J1163,0)</f>
        <v>0</v>
      </c>
      <c r="AK1163" s="28">
        <f>IF(AN1163=12,J1163,0)</f>
        <v>0</v>
      </c>
      <c r="AL1163" s="28">
        <f>IF(AN1163=21,J1163,0)</f>
        <v>0</v>
      </c>
      <c r="AN1163" s="28">
        <v>21</v>
      </c>
      <c r="AO1163" s="28">
        <f>G1163*1</f>
        <v>0</v>
      </c>
      <c r="AP1163" s="28">
        <f>G1163*(1-1)</f>
        <v>0</v>
      </c>
      <c r="AQ1163" s="30" t="s">
        <v>74</v>
      </c>
      <c r="AV1163" s="28">
        <f>ROUND(AW1163+AX1163,2)</f>
        <v>0</v>
      </c>
      <c r="AW1163" s="28">
        <f>ROUND(F1163*AO1163,2)</f>
        <v>0</v>
      </c>
      <c r="AX1163" s="28">
        <f>ROUND(F1163*AP1163,2)</f>
        <v>0</v>
      </c>
      <c r="AY1163" s="30" t="s">
        <v>2045</v>
      </c>
      <c r="AZ1163" s="30" t="s">
        <v>2016</v>
      </c>
      <c r="BA1163" s="10" t="s">
        <v>1991</v>
      </c>
      <c r="BC1163" s="28">
        <f>AW1163+AX1163</f>
        <v>0</v>
      </c>
      <c r="BD1163" s="28">
        <f>G1163/(100-BE1163)*100</f>
        <v>0</v>
      </c>
      <c r="BE1163" s="28">
        <v>0</v>
      </c>
      <c r="BF1163" s="28">
        <f>1163</f>
        <v>1163</v>
      </c>
      <c r="BH1163" s="28">
        <f>F1163*AO1163</f>
        <v>0</v>
      </c>
      <c r="BI1163" s="28">
        <f>F1163*AP1163</f>
        <v>0</v>
      </c>
      <c r="BJ1163" s="28">
        <f>F1163*G1163</f>
        <v>0</v>
      </c>
      <c r="BK1163" s="28"/>
      <c r="BL1163" s="28"/>
      <c r="BW1163" s="28">
        <v>21</v>
      </c>
      <c r="BX1163" s="4" t="s">
        <v>2060</v>
      </c>
    </row>
    <row r="1164" spans="1:76" ht="14.4" x14ac:dyDescent="0.3">
      <c r="A1164" s="2" t="s">
        <v>2062</v>
      </c>
      <c r="B1164" s="3" t="s">
        <v>2063</v>
      </c>
      <c r="C1164" s="75" t="s">
        <v>2064</v>
      </c>
      <c r="D1164" s="70"/>
      <c r="E1164" s="3" t="s">
        <v>1381</v>
      </c>
      <c r="F1164" s="28">
        <v>1</v>
      </c>
      <c r="G1164" s="28">
        <v>0</v>
      </c>
      <c r="H1164" s="28">
        <f>ROUND(F1164*AO1164,2)</f>
        <v>0</v>
      </c>
      <c r="I1164" s="28">
        <f>ROUND(F1164*AP1164,2)</f>
        <v>0</v>
      </c>
      <c r="J1164" s="28">
        <f>ROUND(F1164*G1164,2)</f>
        <v>0</v>
      </c>
      <c r="K1164" s="29" t="s">
        <v>426</v>
      </c>
      <c r="Z1164" s="28">
        <f>ROUND(IF(AQ1164="5",BJ1164,0),2)</f>
        <v>0</v>
      </c>
      <c r="AB1164" s="28">
        <f>ROUND(IF(AQ1164="1",BH1164,0),2)</f>
        <v>0</v>
      </c>
      <c r="AC1164" s="28">
        <f>ROUND(IF(AQ1164="1",BI1164,0),2)</f>
        <v>0</v>
      </c>
      <c r="AD1164" s="28">
        <f>ROUND(IF(AQ1164="7",BH1164,0),2)</f>
        <v>0</v>
      </c>
      <c r="AE1164" s="28">
        <f>ROUND(IF(AQ1164="7",BI1164,0),2)</f>
        <v>0</v>
      </c>
      <c r="AF1164" s="28">
        <f>ROUND(IF(AQ1164="2",BH1164,0),2)</f>
        <v>0</v>
      </c>
      <c r="AG1164" s="28">
        <f>ROUND(IF(AQ1164="2",BI1164,0),2)</f>
        <v>0</v>
      </c>
      <c r="AH1164" s="28">
        <f>ROUND(IF(AQ1164="0",BJ1164,0),2)</f>
        <v>0</v>
      </c>
      <c r="AI1164" s="10" t="s">
        <v>1985</v>
      </c>
      <c r="AJ1164" s="28">
        <f>IF(AN1164=0,J1164,0)</f>
        <v>0</v>
      </c>
      <c r="AK1164" s="28">
        <f>IF(AN1164=12,J1164,0)</f>
        <v>0</v>
      </c>
      <c r="AL1164" s="28">
        <f>IF(AN1164=21,J1164,0)</f>
        <v>0</v>
      </c>
      <c r="AN1164" s="28">
        <v>21</v>
      </c>
      <c r="AO1164" s="28">
        <f>G1164*1</f>
        <v>0</v>
      </c>
      <c r="AP1164" s="28">
        <f>G1164*(1-1)</f>
        <v>0</v>
      </c>
      <c r="AQ1164" s="30" t="s">
        <v>74</v>
      </c>
      <c r="AV1164" s="28">
        <f>ROUND(AW1164+AX1164,2)</f>
        <v>0</v>
      </c>
      <c r="AW1164" s="28">
        <f>ROUND(F1164*AO1164,2)</f>
        <v>0</v>
      </c>
      <c r="AX1164" s="28">
        <f>ROUND(F1164*AP1164,2)</f>
        <v>0</v>
      </c>
      <c r="AY1164" s="30" t="s">
        <v>2045</v>
      </c>
      <c r="AZ1164" s="30" t="s">
        <v>2016</v>
      </c>
      <c r="BA1164" s="10" t="s">
        <v>1991</v>
      </c>
      <c r="BC1164" s="28">
        <f>AW1164+AX1164</f>
        <v>0</v>
      </c>
      <c r="BD1164" s="28">
        <f>G1164/(100-BE1164)*100</f>
        <v>0</v>
      </c>
      <c r="BE1164" s="28">
        <v>0</v>
      </c>
      <c r="BF1164" s="28">
        <f>1164</f>
        <v>1164</v>
      </c>
      <c r="BH1164" s="28">
        <f>F1164*AO1164</f>
        <v>0</v>
      </c>
      <c r="BI1164" s="28">
        <f>F1164*AP1164</f>
        <v>0</v>
      </c>
      <c r="BJ1164" s="28">
        <f>F1164*G1164</f>
        <v>0</v>
      </c>
      <c r="BK1164" s="28"/>
      <c r="BL1164" s="28"/>
      <c r="BW1164" s="28">
        <v>21</v>
      </c>
      <c r="BX1164" s="4" t="s">
        <v>2064</v>
      </c>
    </row>
    <row r="1165" spans="1:76" ht="14.4" x14ac:dyDescent="0.3">
      <c r="A1165" s="2" t="s">
        <v>2065</v>
      </c>
      <c r="B1165" s="3" t="s">
        <v>2066</v>
      </c>
      <c r="C1165" s="75" t="s">
        <v>2067</v>
      </c>
      <c r="D1165" s="70"/>
      <c r="E1165" s="3" t="s">
        <v>1381</v>
      </c>
      <c r="F1165" s="28">
        <v>1</v>
      </c>
      <c r="G1165" s="28">
        <v>0</v>
      </c>
      <c r="H1165" s="28">
        <f>ROUND(F1165*AO1165,2)</f>
        <v>0</v>
      </c>
      <c r="I1165" s="28">
        <f>ROUND(F1165*AP1165,2)</f>
        <v>0</v>
      </c>
      <c r="J1165" s="28">
        <f>ROUND(F1165*G1165,2)</f>
        <v>0</v>
      </c>
      <c r="K1165" s="29" t="s">
        <v>426</v>
      </c>
      <c r="Z1165" s="28">
        <f>ROUND(IF(AQ1165="5",BJ1165,0),2)</f>
        <v>0</v>
      </c>
      <c r="AB1165" s="28">
        <f>ROUND(IF(AQ1165="1",BH1165,0),2)</f>
        <v>0</v>
      </c>
      <c r="AC1165" s="28">
        <f>ROUND(IF(AQ1165="1",BI1165,0),2)</f>
        <v>0</v>
      </c>
      <c r="AD1165" s="28">
        <f>ROUND(IF(AQ1165="7",BH1165,0),2)</f>
        <v>0</v>
      </c>
      <c r="AE1165" s="28">
        <f>ROUND(IF(AQ1165="7",BI1165,0),2)</f>
        <v>0</v>
      </c>
      <c r="AF1165" s="28">
        <f>ROUND(IF(AQ1165="2",BH1165,0),2)</f>
        <v>0</v>
      </c>
      <c r="AG1165" s="28">
        <f>ROUND(IF(AQ1165="2",BI1165,0),2)</f>
        <v>0</v>
      </c>
      <c r="AH1165" s="28">
        <f>ROUND(IF(AQ1165="0",BJ1165,0),2)</f>
        <v>0</v>
      </c>
      <c r="AI1165" s="10" t="s">
        <v>1985</v>
      </c>
      <c r="AJ1165" s="28">
        <f>IF(AN1165=0,J1165,0)</f>
        <v>0</v>
      </c>
      <c r="AK1165" s="28">
        <f>IF(AN1165=12,J1165,0)</f>
        <v>0</v>
      </c>
      <c r="AL1165" s="28">
        <f>IF(AN1165=21,J1165,0)</f>
        <v>0</v>
      </c>
      <c r="AN1165" s="28">
        <v>21</v>
      </c>
      <c r="AO1165" s="28">
        <f>G1165*1</f>
        <v>0</v>
      </c>
      <c r="AP1165" s="28">
        <f>G1165*(1-1)</f>
        <v>0</v>
      </c>
      <c r="AQ1165" s="30" t="s">
        <v>74</v>
      </c>
      <c r="AV1165" s="28">
        <f>ROUND(AW1165+AX1165,2)</f>
        <v>0</v>
      </c>
      <c r="AW1165" s="28">
        <f>ROUND(F1165*AO1165,2)</f>
        <v>0</v>
      </c>
      <c r="AX1165" s="28">
        <f>ROUND(F1165*AP1165,2)</f>
        <v>0</v>
      </c>
      <c r="AY1165" s="30" t="s">
        <v>2045</v>
      </c>
      <c r="AZ1165" s="30" t="s">
        <v>2016</v>
      </c>
      <c r="BA1165" s="10" t="s">
        <v>1991</v>
      </c>
      <c r="BC1165" s="28">
        <f>AW1165+AX1165</f>
        <v>0</v>
      </c>
      <c r="BD1165" s="28">
        <f>G1165/(100-BE1165)*100</f>
        <v>0</v>
      </c>
      <c r="BE1165" s="28">
        <v>0</v>
      </c>
      <c r="BF1165" s="28">
        <f>1165</f>
        <v>1165</v>
      </c>
      <c r="BH1165" s="28">
        <f>F1165*AO1165</f>
        <v>0</v>
      </c>
      <c r="BI1165" s="28">
        <f>F1165*AP1165</f>
        <v>0</v>
      </c>
      <c r="BJ1165" s="28">
        <f>F1165*G1165</f>
        <v>0</v>
      </c>
      <c r="BK1165" s="28"/>
      <c r="BL1165" s="28"/>
      <c r="BW1165" s="28">
        <v>21</v>
      </c>
      <c r="BX1165" s="4" t="s">
        <v>2067</v>
      </c>
    </row>
    <row r="1166" spans="1:76" ht="14.4" x14ac:dyDescent="0.3">
      <c r="A1166" s="31"/>
      <c r="B1166" s="35" t="s">
        <v>68</v>
      </c>
      <c r="C1166" s="93" t="s">
        <v>2068</v>
      </c>
      <c r="D1166" s="94"/>
      <c r="E1166" s="94"/>
      <c r="F1166" s="94"/>
      <c r="G1166" s="94"/>
      <c r="H1166" s="94"/>
      <c r="I1166" s="94"/>
      <c r="J1166" s="94"/>
      <c r="K1166" s="95"/>
      <c r="BX1166" s="36" t="s">
        <v>2068</v>
      </c>
    </row>
    <row r="1167" spans="1:76" ht="14.4" x14ac:dyDescent="0.3">
      <c r="A1167" s="24" t="s">
        <v>51</v>
      </c>
      <c r="B1167" s="25" t="s">
        <v>51</v>
      </c>
      <c r="C1167" s="91" t="s">
        <v>2069</v>
      </c>
      <c r="D1167" s="92"/>
      <c r="E1167" s="26" t="s">
        <v>4</v>
      </c>
      <c r="F1167" s="26" t="s">
        <v>4</v>
      </c>
      <c r="G1167" s="26" t="s">
        <v>4</v>
      </c>
      <c r="H1167" s="1">
        <f>H1168+H1173+H1179+H1184+H1193+H1197+H1207+H1213+H1228</f>
        <v>0</v>
      </c>
      <c r="I1167" s="1">
        <f>I1168+I1173+I1179+I1184+I1193+I1197+I1207+I1213+I1228</f>
        <v>0</v>
      </c>
      <c r="J1167" s="1">
        <f>J1168+J1173+J1179+J1184+J1193+J1197+J1207+J1213+J1228</f>
        <v>0</v>
      </c>
      <c r="K1167" s="27" t="s">
        <v>51</v>
      </c>
    </row>
    <row r="1168" spans="1:76" ht="14.4" x14ac:dyDescent="0.3">
      <c r="A1168" s="24" t="s">
        <v>51</v>
      </c>
      <c r="B1168" s="25" t="s">
        <v>53</v>
      </c>
      <c r="C1168" s="91" t="s">
        <v>54</v>
      </c>
      <c r="D1168" s="92"/>
      <c r="E1168" s="26" t="s">
        <v>4</v>
      </c>
      <c r="F1168" s="26" t="s">
        <v>4</v>
      </c>
      <c r="G1168" s="26" t="s">
        <v>4</v>
      </c>
      <c r="H1168" s="1">
        <f>SUM(H1169:H1171)</f>
        <v>0</v>
      </c>
      <c r="I1168" s="1">
        <f>SUM(I1169:I1171)</f>
        <v>0</v>
      </c>
      <c r="J1168" s="1">
        <f>SUM(J1169:J1171)</f>
        <v>0</v>
      </c>
      <c r="K1168" s="27" t="s">
        <v>51</v>
      </c>
      <c r="AI1168" s="10" t="s">
        <v>2070</v>
      </c>
      <c r="AS1168" s="1">
        <f>SUM(AJ1169:AJ1171)</f>
        <v>0</v>
      </c>
      <c r="AT1168" s="1">
        <f>SUM(AK1169:AK1171)</f>
        <v>0</v>
      </c>
      <c r="AU1168" s="1">
        <f>SUM(AL1169:AL1171)</f>
        <v>0</v>
      </c>
    </row>
    <row r="1169" spans="1:76" ht="14.4" x14ac:dyDescent="0.3">
      <c r="A1169" s="2" t="s">
        <v>2071</v>
      </c>
      <c r="B1169" s="3" t="s">
        <v>2072</v>
      </c>
      <c r="C1169" s="75" t="s">
        <v>2073</v>
      </c>
      <c r="D1169" s="70"/>
      <c r="E1169" s="3" t="s">
        <v>59</v>
      </c>
      <c r="F1169" s="28">
        <v>379.01</v>
      </c>
      <c r="G1169" s="28">
        <v>0</v>
      </c>
      <c r="H1169" s="28">
        <f>ROUND(F1169*AO1169,2)</f>
        <v>0</v>
      </c>
      <c r="I1169" s="28">
        <f>ROUND(F1169*AP1169,2)</f>
        <v>0</v>
      </c>
      <c r="J1169" s="28">
        <f>ROUND(F1169*G1169,2)</f>
        <v>0</v>
      </c>
      <c r="K1169" s="29" t="s">
        <v>60</v>
      </c>
      <c r="Z1169" s="28">
        <f>ROUND(IF(AQ1169="5",BJ1169,0),2)</f>
        <v>0</v>
      </c>
      <c r="AB1169" s="28">
        <f>ROUND(IF(AQ1169="1",BH1169,0),2)</f>
        <v>0</v>
      </c>
      <c r="AC1169" s="28">
        <f>ROUND(IF(AQ1169="1",BI1169,0),2)</f>
        <v>0</v>
      </c>
      <c r="AD1169" s="28">
        <f>ROUND(IF(AQ1169="7",BH1169,0),2)</f>
        <v>0</v>
      </c>
      <c r="AE1169" s="28">
        <f>ROUND(IF(AQ1169="7",BI1169,0),2)</f>
        <v>0</v>
      </c>
      <c r="AF1169" s="28">
        <f>ROUND(IF(AQ1169="2",BH1169,0),2)</f>
        <v>0</v>
      </c>
      <c r="AG1169" s="28">
        <f>ROUND(IF(AQ1169="2",BI1169,0),2)</f>
        <v>0</v>
      </c>
      <c r="AH1169" s="28">
        <f>ROUND(IF(AQ1169="0",BJ1169,0),2)</f>
        <v>0</v>
      </c>
      <c r="AI1169" s="10" t="s">
        <v>2070</v>
      </c>
      <c r="AJ1169" s="28">
        <f>IF(AN1169=0,J1169,0)</f>
        <v>0</v>
      </c>
      <c r="AK1169" s="28">
        <f>IF(AN1169=12,J1169,0)</f>
        <v>0</v>
      </c>
      <c r="AL1169" s="28">
        <f>IF(AN1169=21,J1169,0)</f>
        <v>0</v>
      </c>
      <c r="AN1169" s="28">
        <v>21</v>
      </c>
      <c r="AO1169" s="28">
        <f>G1169*0</f>
        <v>0</v>
      </c>
      <c r="AP1169" s="28">
        <f>G1169*(1-0)</f>
        <v>0</v>
      </c>
      <c r="AQ1169" s="30" t="s">
        <v>56</v>
      </c>
      <c r="AV1169" s="28">
        <f>ROUND(AW1169+AX1169,2)</f>
        <v>0</v>
      </c>
      <c r="AW1169" s="28">
        <f>ROUND(F1169*AO1169,2)</f>
        <v>0</v>
      </c>
      <c r="AX1169" s="28">
        <f>ROUND(F1169*AP1169,2)</f>
        <v>0</v>
      </c>
      <c r="AY1169" s="30" t="s">
        <v>61</v>
      </c>
      <c r="AZ1169" s="30" t="s">
        <v>2074</v>
      </c>
      <c r="BA1169" s="10" t="s">
        <v>2075</v>
      </c>
      <c r="BC1169" s="28">
        <f>AW1169+AX1169</f>
        <v>0</v>
      </c>
      <c r="BD1169" s="28">
        <f>G1169/(100-BE1169)*100</f>
        <v>0</v>
      </c>
      <c r="BE1169" s="28">
        <v>0</v>
      </c>
      <c r="BF1169" s="28">
        <f>1169</f>
        <v>1169</v>
      </c>
      <c r="BH1169" s="28">
        <f>F1169*AO1169</f>
        <v>0</v>
      </c>
      <c r="BI1169" s="28">
        <f>F1169*AP1169</f>
        <v>0</v>
      </c>
      <c r="BJ1169" s="28">
        <f>F1169*G1169</f>
        <v>0</v>
      </c>
      <c r="BK1169" s="28"/>
      <c r="BL1169" s="28">
        <v>13</v>
      </c>
      <c r="BW1169" s="28">
        <v>21</v>
      </c>
      <c r="BX1169" s="4" t="s">
        <v>2073</v>
      </c>
    </row>
    <row r="1170" spans="1:76" ht="66" x14ac:dyDescent="0.3">
      <c r="A1170" s="31"/>
      <c r="B1170" s="35" t="s">
        <v>68</v>
      </c>
      <c r="C1170" s="93" t="s">
        <v>69</v>
      </c>
      <c r="D1170" s="94"/>
      <c r="E1170" s="94"/>
      <c r="F1170" s="94"/>
      <c r="G1170" s="94"/>
      <c r="H1170" s="94"/>
      <c r="I1170" s="94"/>
      <c r="J1170" s="94"/>
      <c r="K1170" s="95"/>
      <c r="BX1170" s="36" t="s">
        <v>69</v>
      </c>
    </row>
    <row r="1171" spans="1:76" ht="14.4" x14ac:dyDescent="0.3">
      <c r="A1171" s="2" t="s">
        <v>2076</v>
      </c>
      <c r="B1171" s="3" t="s">
        <v>75</v>
      </c>
      <c r="C1171" s="75" t="s">
        <v>76</v>
      </c>
      <c r="D1171" s="70"/>
      <c r="E1171" s="3" t="s">
        <v>59</v>
      </c>
      <c r="F1171" s="28">
        <v>379.01</v>
      </c>
      <c r="G1171" s="28">
        <v>0</v>
      </c>
      <c r="H1171" s="28">
        <f>ROUND(F1171*AO1171,2)</f>
        <v>0</v>
      </c>
      <c r="I1171" s="28">
        <f>ROUND(F1171*AP1171,2)</f>
        <v>0</v>
      </c>
      <c r="J1171" s="28">
        <f>ROUND(F1171*G1171,2)</f>
        <v>0</v>
      </c>
      <c r="K1171" s="29" t="s">
        <v>60</v>
      </c>
      <c r="Z1171" s="28">
        <f>ROUND(IF(AQ1171="5",BJ1171,0),2)</f>
        <v>0</v>
      </c>
      <c r="AB1171" s="28">
        <f>ROUND(IF(AQ1171="1",BH1171,0),2)</f>
        <v>0</v>
      </c>
      <c r="AC1171" s="28">
        <f>ROUND(IF(AQ1171="1",BI1171,0),2)</f>
        <v>0</v>
      </c>
      <c r="AD1171" s="28">
        <f>ROUND(IF(AQ1171="7",BH1171,0),2)</f>
        <v>0</v>
      </c>
      <c r="AE1171" s="28">
        <f>ROUND(IF(AQ1171="7",BI1171,0),2)</f>
        <v>0</v>
      </c>
      <c r="AF1171" s="28">
        <f>ROUND(IF(AQ1171="2",BH1171,0),2)</f>
        <v>0</v>
      </c>
      <c r="AG1171" s="28">
        <f>ROUND(IF(AQ1171="2",BI1171,0),2)</f>
        <v>0</v>
      </c>
      <c r="AH1171" s="28">
        <f>ROUND(IF(AQ1171="0",BJ1171,0),2)</f>
        <v>0</v>
      </c>
      <c r="AI1171" s="10" t="s">
        <v>2070</v>
      </c>
      <c r="AJ1171" s="28">
        <f>IF(AN1171=0,J1171,0)</f>
        <v>0</v>
      </c>
      <c r="AK1171" s="28">
        <f>IF(AN1171=12,J1171,0)</f>
        <v>0</v>
      </c>
      <c r="AL1171" s="28">
        <f>IF(AN1171=21,J1171,0)</f>
        <v>0</v>
      </c>
      <c r="AN1171" s="28">
        <v>21</v>
      </c>
      <c r="AO1171" s="28">
        <f>G1171*0</f>
        <v>0</v>
      </c>
      <c r="AP1171" s="28">
        <f>G1171*(1-0)</f>
        <v>0</v>
      </c>
      <c r="AQ1171" s="30" t="s">
        <v>56</v>
      </c>
      <c r="AV1171" s="28">
        <f>ROUND(AW1171+AX1171,2)</f>
        <v>0</v>
      </c>
      <c r="AW1171" s="28">
        <f>ROUND(F1171*AO1171,2)</f>
        <v>0</v>
      </c>
      <c r="AX1171" s="28">
        <f>ROUND(F1171*AP1171,2)</f>
        <v>0</v>
      </c>
      <c r="AY1171" s="30" t="s">
        <v>61</v>
      </c>
      <c r="AZ1171" s="30" t="s">
        <v>2074</v>
      </c>
      <c r="BA1171" s="10" t="s">
        <v>2075</v>
      </c>
      <c r="BC1171" s="28">
        <f>AW1171+AX1171</f>
        <v>0</v>
      </c>
      <c r="BD1171" s="28">
        <f>G1171/(100-BE1171)*100</f>
        <v>0</v>
      </c>
      <c r="BE1171" s="28">
        <v>0</v>
      </c>
      <c r="BF1171" s="28">
        <f>1171</f>
        <v>1171</v>
      </c>
      <c r="BH1171" s="28">
        <f>F1171*AO1171</f>
        <v>0</v>
      </c>
      <c r="BI1171" s="28">
        <f>F1171*AP1171</f>
        <v>0</v>
      </c>
      <c r="BJ1171" s="28">
        <f>F1171*G1171</f>
        <v>0</v>
      </c>
      <c r="BK1171" s="28"/>
      <c r="BL1171" s="28">
        <v>13</v>
      </c>
      <c r="BW1171" s="28">
        <v>21</v>
      </c>
      <c r="BX1171" s="4" t="s">
        <v>76</v>
      </c>
    </row>
    <row r="1172" spans="1:76" ht="26.4" x14ac:dyDescent="0.3">
      <c r="A1172" s="31"/>
      <c r="B1172" s="35" t="s">
        <v>68</v>
      </c>
      <c r="C1172" s="93" t="s">
        <v>79</v>
      </c>
      <c r="D1172" s="94"/>
      <c r="E1172" s="94"/>
      <c r="F1172" s="94"/>
      <c r="G1172" s="94"/>
      <c r="H1172" s="94"/>
      <c r="I1172" s="94"/>
      <c r="J1172" s="94"/>
      <c r="K1172" s="95"/>
      <c r="BX1172" s="36" t="s">
        <v>79</v>
      </c>
    </row>
    <row r="1173" spans="1:76" ht="14.4" x14ac:dyDescent="0.3">
      <c r="A1173" s="24" t="s">
        <v>51</v>
      </c>
      <c r="B1173" s="25" t="s">
        <v>98</v>
      </c>
      <c r="C1173" s="91" t="s">
        <v>99</v>
      </c>
      <c r="D1173" s="92"/>
      <c r="E1173" s="26" t="s">
        <v>4</v>
      </c>
      <c r="F1173" s="26" t="s">
        <v>4</v>
      </c>
      <c r="G1173" s="26" t="s">
        <v>4</v>
      </c>
      <c r="H1173" s="1">
        <f>SUM(H1174:H1177)</f>
        <v>0</v>
      </c>
      <c r="I1173" s="1">
        <f>SUM(I1174:I1177)</f>
        <v>0</v>
      </c>
      <c r="J1173" s="1">
        <f>SUM(J1174:J1177)</f>
        <v>0</v>
      </c>
      <c r="K1173" s="27" t="s">
        <v>51</v>
      </c>
      <c r="AI1173" s="10" t="s">
        <v>2070</v>
      </c>
      <c r="AS1173" s="1">
        <f>SUM(AJ1174:AJ1177)</f>
        <v>0</v>
      </c>
      <c r="AT1173" s="1">
        <f>SUM(AK1174:AK1177)</f>
        <v>0</v>
      </c>
      <c r="AU1173" s="1">
        <f>SUM(AL1174:AL1177)</f>
        <v>0</v>
      </c>
    </row>
    <row r="1174" spans="1:76" ht="14.4" x14ac:dyDescent="0.3">
      <c r="A1174" s="2" t="s">
        <v>2077</v>
      </c>
      <c r="B1174" s="3" t="s">
        <v>656</v>
      </c>
      <c r="C1174" s="75" t="s">
        <v>657</v>
      </c>
      <c r="D1174" s="70"/>
      <c r="E1174" s="3" t="s">
        <v>103</v>
      </c>
      <c r="F1174" s="28">
        <v>385.8</v>
      </c>
      <c r="G1174" s="28">
        <v>0</v>
      </c>
      <c r="H1174" s="28">
        <f>ROUND(F1174*AO1174,2)</f>
        <v>0</v>
      </c>
      <c r="I1174" s="28">
        <f>ROUND(F1174*AP1174,2)</f>
        <v>0</v>
      </c>
      <c r="J1174" s="28">
        <f>ROUND(F1174*G1174,2)</f>
        <v>0</v>
      </c>
      <c r="K1174" s="29" t="s">
        <v>60</v>
      </c>
      <c r="Z1174" s="28">
        <f>ROUND(IF(AQ1174="5",BJ1174,0),2)</f>
        <v>0</v>
      </c>
      <c r="AB1174" s="28">
        <f>ROUND(IF(AQ1174="1",BH1174,0),2)</f>
        <v>0</v>
      </c>
      <c r="AC1174" s="28">
        <f>ROUND(IF(AQ1174="1",BI1174,0),2)</f>
        <v>0</v>
      </c>
      <c r="AD1174" s="28">
        <f>ROUND(IF(AQ1174="7",BH1174,0),2)</f>
        <v>0</v>
      </c>
      <c r="AE1174" s="28">
        <f>ROUND(IF(AQ1174="7",BI1174,0),2)</f>
        <v>0</v>
      </c>
      <c r="AF1174" s="28">
        <f>ROUND(IF(AQ1174="2",BH1174,0),2)</f>
        <v>0</v>
      </c>
      <c r="AG1174" s="28">
        <f>ROUND(IF(AQ1174="2",BI1174,0),2)</f>
        <v>0</v>
      </c>
      <c r="AH1174" s="28">
        <f>ROUND(IF(AQ1174="0",BJ1174,0),2)</f>
        <v>0</v>
      </c>
      <c r="AI1174" s="10" t="s">
        <v>2070</v>
      </c>
      <c r="AJ1174" s="28">
        <f>IF(AN1174=0,J1174,0)</f>
        <v>0</v>
      </c>
      <c r="AK1174" s="28">
        <f>IF(AN1174=12,J1174,0)</f>
        <v>0</v>
      </c>
      <c r="AL1174" s="28">
        <f>IF(AN1174=21,J1174,0)</f>
        <v>0</v>
      </c>
      <c r="AN1174" s="28">
        <v>21</v>
      </c>
      <c r="AO1174" s="28">
        <f>G1174*0.088676752</f>
        <v>0</v>
      </c>
      <c r="AP1174" s="28">
        <f>G1174*(1-0.088676752)</f>
        <v>0</v>
      </c>
      <c r="AQ1174" s="30" t="s">
        <v>56</v>
      </c>
      <c r="AV1174" s="28">
        <f>ROUND(AW1174+AX1174,2)</f>
        <v>0</v>
      </c>
      <c r="AW1174" s="28">
        <f>ROUND(F1174*AO1174,2)</f>
        <v>0</v>
      </c>
      <c r="AX1174" s="28">
        <f>ROUND(F1174*AP1174,2)</f>
        <v>0</v>
      </c>
      <c r="AY1174" s="30" t="s">
        <v>104</v>
      </c>
      <c r="AZ1174" s="30" t="s">
        <v>2074</v>
      </c>
      <c r="BA1174" s="10" t="s">
        <v>2075</v>
      </c>
      <c r="BC1174" s="28">
        <f>AW1174+AX1174</f>
        <v>0</v>
      </c>
      <c r="BD1174" s="28">
        <f>G1174/(100-BE1174)*100</f>
        <v>0</v>
      </c>
      <c r="BE1174" s="28">
        <v>0</v>
      </c>
      <c r="BF1174" s="28">
        <f>1174</f>
        <v>1174</v>
      </c>
      <c r="BH1174" s="28">
        <f>F1174*AO1174</f>
        <v>0</v>
      </c>
      <c r="BI1174" s="28">
        <f>F1174*AP1174</f>
        <v>0</v>
      </c>
      <c r="BJ1174" s="28">
        <f>F1174*G1174</f>
        <v>0</v>
      </c>
      <c r="BK1174" s="28"/>
      <c r="BL1174" s="28">
        <v>15</v>
      </c>
      <c r="BW1174" s="28">
        <v>21</v>
      </c>
      <c r="BX1174" s="4" t="s">
        <v>657</v>
      </c>
    </row>
    <row r="1175" spans="1:76" ht="14.4" x14ac:dyDescent="0.3">
      <c r="A1175" s="31"/>
      <c r="C1175" s="32" t="s">
        <v>2078</v>
      </c>
      <c r="D1175" s="32" t="s">
        <v>2079</v>
      </c>
      <c r="F1175" s="33">
        <v>385.8</v>
      </c>
      <c r="K1175" s="34"/>
    </row>
    <row r="1176" spans="1:76" ht="14.4" x14ac:dyDescent="0.3">
      <c r="A1176" s="31"/>
      <c r="B1176" s="35" t="s">
        <v>68</v>
      </c>
      <c r="C1176" s="93" t="s">
        <v>111</v>
      </c>
      <c r="D1176" s="94"/>
      <c r="E1176" s="94"/>
      <c r="F1176" s="94"/>
      <c r="G1176" s="94"/>
      <c r="H1176" s="94"/>
      <c r="I1176" s="94"/>
      <c r="J1176" s="94"/>
      <c r="K1176" s="95"/>
      <c r="BX1176" s="36" t="s">
        <v>111</v>
      </c>
    </row>
    <row r="1177" spans="1:76" ht="14.4" x14ac:dyDescent="0.3">
      <c r="A1177" s="2" t="s">
        <v>2080</v>
      </c>
      <c r="B1177" s="3" t="s">
        <v>661</v>
      </c>
      <c r="C1177" s="75" t="s">
        <v>662</v>
      </c>
      <c r="D1177" s="70"/>
      <c r="E1177" s="3" t="s">
        <v>103</v>
      </c>
      <c r="F1177" s="28">
        <v>385.8</v>
      </c>
      <c r="G1177" s="28">
        <v>0</v>
      </c>
      <c r="H1177" s="28">
        <f>ROUND(F1177*AO1177,2)</f>
        <v>0</v>
      </c>
      <c r="I1177" s="28">
        <f>ROUND(F1177*AP1177,2)</f>
        <v>0</v>
      </c>
      <c r="J1177" s="28">
        <f>ROUND(F1177*G1177,2)</f>
        <v>0</v>
      </c>
      <c r="K1177" s="29" t="s">
        <v>60</v>
      </c>
      <c r="Z1177" s="28">
        <f>ROUND(IF(AQ1177="5",BJ1177,0),2)</f>
        <v>0</v>
      </c>
      <c r="AB1177" s="28">
        <f>ROUND(IF(AQ1177="1",BH1177,0),2)</f>
        <v>0</v>
      </c>
      <c r="AC1177" s="28">
        <f>ROUND(IF(AQ1177="1",BI1177,0),2)</f>
        <v>0</v>
      </c>
      <c r="AD1177" s="28">
        <f>ROUND(IF(AQ1177="7",BH1177,0),2)</f>
        <v>0</v>
      </c>
      <c r="AE1177" s="28">
        <f>ROUND(IF(AQ1177="7",BI1177,0),2)</f>
        <v>0</v>
      </c>
      <c r="AF1177" s="28">
        <f>ROUND(IF(AQ1177="2",BH1177,0),2)</f>
        <v>0</v>
      </c>
      <c r="AG1177" s="28">
        <f>ROUND(IF(AQ1177="2",BI1177,0),2)</f>
        <v>0</v>
      </c>
      <c r="AH1177" s="28">
        <f>ROUND(IF(AQ1177="0",BJ1177,0),2)</f>
        <v>0</v>
      </c>
      <c r="AI1177" s="10" t="s">
        <v>2070</v>
      </c>
      <c r="AJ1177" s="28">
        <f>IF(AN1177=0,J1177,0)</f>
        <v>0</v>
      </c>
      <c r="AK1177" s="28">
        <f>IF(AN1177=12,J1177,0)</f>
        <v>0</v>
      </c>
      <c r="AL1177" s="28">
        <f>IF(AN1177=21,J1177,0)</f>
        <v>0</v>
      </c>
      <c r="AN1177" s="28">
        <v>21</v>
      </c>
      <c r="AO1177" s="28">
        <f>G1177*0</f>
        <v>0</v>
      </c>
      <c r="AP1177" s="28">
        <f>G1177*(1-0)</f>
        <v>0</v>
      </c>
      <c r="AQ1177" s="30" t="s">
        <v>56</v>
      </c>
      <c r="AV1177" s="28">
        <f>ROUND(AW1177+AX1177,2)</f>
        <v>0</v>
      </c>
      <c r="AW1177" s="28">
        <f>ROUND(F1177*AO1177,2)</f>
        <v>0</v>
      </c>
      <c r="AX1177" s="28">
        <f>ROUND(F1177*AP1177,2)</f>
        <v>0</v>
      </c>
      <c r="AY1177" s="30" t="s">
        <v>104</v>
      </c>
      <c r="AZ1177" s="30" t="s">
        <v>2074</v>
      </c>
      <c r="BA1177" s="10" t="s">
        <v>2075</v>
      </c>
      <c r="BC1177" s="28">
        <f>AW1177+AX1177</f>
        <v>0</v>
      </c>
      <c r="BD1177" s="28">
        <f>G1177/(100-BE1177)*100</f>
        <v>0</v>
      </c>
      <c r="BE1177" s="28">
        <v>0</v>
      </c>
      <c r="BF1177" s="28">
        <f>1177</f>
        <v>1177</v>
      </c>
      <c r="BH1177" s="28">
        <f>F1177*AO1177</f>
        <v>0</v>
      </c>
      <c r="BI1177" s="28">
        <f>F1177*AP1177</f>
        <v>0</v>
      </c>
      <c r="BJ1177" s="28">
        <f>F1177*G1177</f>
        <v>0</v>
      </c>
      <c r="BK1177" s="28"/>
      <c r="BL1177" s="28">
        <v>15</v>
      </c>
      <c r="BW1177" s="28">
        <v>21</v>
      </c>
      <c r="BX1177" s="4" t="s">
        <v>662</v>
      </c>
    </row>
    <row r="1178" spans="1:76" ht="14.4" x14ac:dyDescent="0.3">
      <c r="A1178" s="31"/>
      <c r="C1178" s="32" t="s">
        <v>2081</v>
      </c>
      <c r="D1178" s="32" t="s">
        <v>2079</v>
      </c>
      <c r="F1178" s="33">
        <v>385.8</v>
      </c>
      <c r="K1178" s="34"/>
    </row>
    <row r="1179" spans="1:76" ht="14.4" x14ac:dyDescent="0.3">
      <c r="A1179" s="24" t="s">
        <v>51</v>
      </c>
      <c r="B1179" s="25" t="s">
        <v>116</v>
      </c>
      <c r="C1179" s="91" t="s">
        <v>117</v>
      </c>
      <c r="D1179" s="92"/>
      <c r="E1179" s="26" t="s">
        <v>4</v>
      </c>
      <c r="F1179" s="26" t="s">
        <v>4</v>
      </c>
      <c r="G1179" s="26" t="s">
        <v>4</v>
      </c>
      <c r="H1179" s="1">
        <f>SUM(H1180:H1183)</f>
        <v>0</v>
      </c>
      <c r="I1179" s="1">
        <f>SUM(I1180:I1183)</f>
        <v>0</v>
      </c>
      <c r="J1179" s="1">
        <f>SUM(J1180:J1183)</f>
        <v>0</v>
      </c>
      <c r="K1179" s="27" t="s">
        <v>51</v>
      </c>
      <c r="AI1179" s="10" t="s">
        <v>2070</v>
      </c>
      <c r="AS1179" s="1">
        <f>SUM(AJ1180:AJ1183)</f>
        <v>0</v>
      </c>
      <c r="AT1179" s="1">
        <f>SUM(AK1180:AK1183)</f>
        <v>0</v>
      </c>
      <c r="AU1179" s="1">
        <f>SUM(AL1180:AL1183)</f>
        <v>0</v>
      </c>
    </row>
    <row r="1180" spans="1:76" ht="14.4" x14ac:dyDescent="0.3">
      <c r="A1180" s="2" t="s">
        <v>2082</v>
      </c>
      <c r="B1180" s="3" t="s">
        <v>119</v>
      </c>
      <c r="C1180" s="75" t="s">
        <v>120</v>
      </c>
      <c r="D1180" s="70"/>
      <c r="E1180" s="3" t="s">
        <v>59</v>
      </c>
      <c r="F1180" s="28">
        <v>220.51</v>
      </c>
      <c r="G1180" s="28">
        <v>0</v>
      </c>
      <c r="H1180" s="28">
        <f>ROUND(F1180*AO1180,2)</f>
        <v>0</v>
      </c>
      <c r="I1180" s="28">
        <f>ROUND(F1180*AP1180,2)</f>
        <v>0</v>
      </c>
      <c r="J1180" s="28">
        <f>ROUND(F1180*G1180,2)</f>
        <v>0</v>
      </c>
      <c r="K1180" s="29" t="s">
        <v>60</v>
      </c>
      <c r="Z1180" s="28">
        <f>ROUND(IF(AQ1180="5",BJ1180,0),2)</f>
        <v>0</v>
      </c>
      <c r="AB1180" s="28">
        <f>ROUND(IF(AQ1180="1",BH1180,0),2)</f>
        <v>0</v>
      </c>
      <c r="AC1180" s="28">
        <f>ROUND(IF(AQ1180="1",BI1180,0),2)</f>
        <v>0</v>
      </c>
      <c r="AD1180" s="28">
        <f>ROUND(IF(AQ1180="7",BH1180,0),2)</f>
        <v>0</v>
      </c>
      <c r="AE1180" s="28">
        <f>ROUND(IF(AQ1180="7",BI1180,0),2)</f>
        <v>0</v>
      </c>
      <c r="AF1180" s="28">
        <f>ROUND(IF(AQ1180="2",BH1180,0),2)</f>
        <v>0</v>
      </c>
      <c r="AG1180" s="28">
        <f>ROUND(IF(AQ1180="2",BI1180,0),2)</f>
        <v>0</v>
      </c>
      <c r="AH1180" s="28">
        <f>ROUND(IF(AQ1180="0",BJ1180,0),2)</f>
        <v>0</v>
      </c>
      <c r="AI1180" s="10" t="s">
        <v>2070</v>
      </c>
      <c r="AJ1180" s="28">
        <f>IF(AN1180=0,J1180,0)</f>
        <v>0</v>
      </c>
      <c r="AK1180" s="28">
        <f>IF(AN1180=12,J1180,0)</f>
        <v>0</v>
      </c>
      <c r="AL1180" s="28">
        <f>IF(AN1180=21,J1180,0)</f>
        <v>0</v>
      </c>
      <c r="AN1180" s="28">
        <v>21</v>
      </c>
      <c r="AO1180" s="28">
        <f>G1180*0</f>
        <v>0</v>
      </c>
      <c r="AP1180" s="28">
        <f>G1180*(1-0)</f>
        <v>0</v>
      </c>
      <c r="AQ1180" s="30" t="s">
        <v>56</v>
      </c>
      <c r="AV1180" s="28">
        <f>ROUND(AW1180+AX1180,2)</f>
        <v>0</v>
      </c>
      <c r="AW1180" s="28">
        <f>ROUND(F1180*AO1180,2)</f>
        <v>0</v>
      </c>
      <c r="AX1180" s="28">
        <f>ROUND(F1180*AP1180,2)</f>
        <v>0</v>
      </c>
      <c r="AY1180" s="30" t="s">
        <v>121</v>
      </c>
      <c r="AZ1180" s="30" t="s">
        <v>2074</v>
      </c>
      <c r="BA1180" s="10" t="s">
        <v>2075</v>
      </c>
      <c r="BC1180" s="28">
        <f>AW1180+AX1180</f>
        <v>0</v>
      </c>
      <c r="BD1180" s="28">
        <f>G1180/(100-BE1180)*100</f>
        <v>0</v>
      </c>
      <c r="BE1180" s="28">
        <v>0</v>
      </c>
      <c r="BF1180" s="28">
        <f>1180</f>
        <v>1180</v>
      </c>
      <c r="BH1180" s="28">
        <f>F1180*AO1180</f>
        <v>0</v>
      </c>
      <c r="BI1180" s="28">
        <f>F1180*AP1180</f>
        <v>0</v>
      </c>
      <c r="BJ1180" s="28">
        <f>F1180*G1180</f>
        <v>0</v>
      </c>
      <c r="BK1180" s="28"/>
      <c r="BL1180" s="28">
        <v>16</v>
      </c>
      <c r="BW1180" s="28">
        <v>21</v>
      </c>
      <c r="BX1180" s="4" t="s">
        <v>120</v>
      </c>
    </row>
    <row r="1181" spans="1:76" ht="14.4" x14ac:dyDescent="0.3">
      <c r="A1181" s="2" t="s">
        <v>2083</v>
      </c>
      <c r="B1181" s="3" t="s">
        <v>139</v>
      </c>
      <c r="C1181" s="75" t="s">
        <v>140</v>
      </c>
      <c r="D1181" s="70"/>
      <c r="E1181" s="3" t="s">
        <v>59</v>
      </c>
      <c r="F1181" s="28">
        <v>147.01</v>
      </c>
      <c r="G1181" s="28">
        <v>0</v>
      </c>
      <c r="H1181" s="28">
        <f>ROUND(F1181*AO1181,2)</f>
        <v>0</v>
      </c>
      <c r="I1181" s="28">
        <f>ROUND(F1181*AP1181,2)</f>
        <v>0</v>
      </c>
      <c r="J1181" s="28">
        <f>ROUND(F1181*G1181,2)</f>
        <v>0</v>
      </c>
      <c r="K1181" s="29" t="s">
        <v>60</v>
      </c>
      <c r="Z1181" s="28">
        <f>ROUND(IF(AQ1181="5",BJ1181,0),2)</f>
        <v>0</v>
      </c>
      <c r="AB1181" s="28">
        <f>ROUND(IF(AQ1181="1",BH1181,0),2)</f>
        <v>0</v>
      </c>
      <c r="AC1181" s="28">
        <f>ROUND(IF(AQ1181="1",BI1181,0),2)</f>
        <v>0</v>
      </c>
      <c r="AD1181" s="28">
        <f>ROUND(IF(AQ1181="7",BH1181,0),2)</f>
        <v>0</v>
      </c>
      <c r="AE1181" s="28">
        <f>ROUND(IF(AQ1181="7",BI1181,0),2)</f>
        <v>0</v>
      </c>
      <c r="AF1181" s="28">
        <f>ROUND(IF(AQ1181="2",BH1181,0),2)</f>
        <v>0</v>
      </c>
      <c r="AG1181" s="28">
        <f>ROUND(IF(AQ1181="2",BI1181,0),2)</f>
        <v>0</v>
      </c>
      <c r="AH1181" s="28">
        <f>ROUND(IF(AQ1181="0",BJ1181,0),2)</f>
        <v>0</v>
      </c>
      <c r="AI1181" s="10" t="s">
        <v>2070</v>
      </c>
      <c r="AJ1181" s="28">
        <f>IF(AN1181=0,J1181,0)</f>
        <v>0</v>
      </c>
      <c r="AK1181" s="28">
        <f>IF(AN1181=12,J1181,0)</f>
        <v>0</v>
      </c>
      <c r="AL1181" s="28">
        <f>IF(AN1181=21,J1181,0)</f>
        <v>0</v>
      </c>
      <c r="AN1181" s="28">
        <v>21</v>
      </c>
      <c r="AO1181" s="28">
        <f>G1181*0</f>
        <v>0</v>
      </c>
      <c r="AP1181" s="28">
        <f>G1181*(1-0)</f>
        <v>0</v>
      </c>
      <c r="AQ1181" s="30" t="s">
        <v>56</v>
      </c>
      <c r="AV1181" s="28">
        <f>ROUND(AW1181+AX1181,2)</f>
        <v>0</v>
      </c>
      <c r="AW1181" s="28">
        <f>ROUND(F1181*AO1181,2)</f>
        <v>0</v>
      </c>
      <c r="AX1181" s="28">
        <f>ROUND(F1181*AP1181,2)</f>
        <v>0</v>
      </c>
      <c r="AY1181" s="30" t="s">
        <v>121</v>
      </c>
      <c r="AZ1181" s="30" t="s">
        <v>2074</v>
      </c>
      <c r="BA1181" s="10" t="s">
        <v>2075</v>
      </c>
      <c r="BC1181" s="28">
        <f>AW1181+AX1181</f>
        <v>0</v>
      </c>
      <c r="BD1181" s="28">
        <f>G1181/(100-BE1181)*100</f>
        <v>0</v>
      </c>
      <c r="BE1181" s="28">
        <v>0</v>
      </c>
      <c r="BF1181" s="28">
        <f>1181</f>
        <v>1181</v>
      </c>
      <c r="BH1181" s="28">
        <f>F1181*AO1181</f>
        <v>0</v>
      </c>
      <c r="BI1181" s="28">
        <f>F1181*AP1181</f>
        <v>0</v>
      </c>
      <c r="BJ1181" s="28">
        <f>F1181*G1181</f>
        <v>0</v>
      </c>
      <c r="BK1181" s="28"/>
      <c r="BL1181" s="28">
        <v>16</v>
      </c>
      <c r="BW1181" s="28">
        <v>21</v>
      </c>
      <c r="BX1181" s="4" t="s">
        <v>140</v>
      </c>
    </row>
    <row r="1182" spans="1:76" ht="14.4" x14ac:dyDescent="0.3">
      <c r="A1182" s="2" t="s">
        <v>2084</v>
      </c>
      <c r="B1182" s="3" t="s">
        <v>143</v>
      </c>
      <c r="C1182" s="75" t="s">
        <v>144</v>
      </c>
      <c r="D1182" s="70"/>
      <c r="E1182" s="3" t="s">
        <v>59</v>
      </c>
      <c r="F1182" s="28">
        <v>147.01</v>
      </c>
      <c r="G1182" s="28">
        <v>0</v>
      </c>
      <c r="H1182" s="28">
        <f>ROUND(F1182*AO1182,2)</f>
        <v>0</v>
      </c>
      <c r="I1182" s="28">
        <f>ROUND(F1182*AP1182,2)</f>
        <v>0</v>
      </c>
      <c r="J1182" s="28">
        <f>ROUND(F1182*G1182,2)</f>
        <v>0</v>
      </c>
      <c r="K1182" s="29" t="s">
        <v>60</v>
      </c>
      <c r="Z1182" s="28">
        <f>ROUND(IF(AQ1182="5",BJ1182,0),2)</f>
        <v>0</v>
      </c>
      <c r="AB1182" s="28">
        <f>ROUND(IF(AQ1182="1",BH1182,0),2)</f>
        <v>0</v>
      </c>
      <c r="AC1182" s="28">
        <f>ROUND(IF(AQ1182="1",BI1182,0),2)</f>
        <v>0</v>
      </c>
      <c r="AD1182" s="28">
        <f>ROUND(IF(AQ1182="7",BH1182,0),2)</f>
        <v>0</v>
      </c>
      <c r="AE1182" s="28">
        <f>ROUND(IF(AQ1182="7",BI1182,0),2)</f>
        <v>0</v>
      </c>
      <c r="AF1182" s="28">
        <f>ROUND(IF(AQ1182="2",BH1182,0),2)</f>
        <v>0</v>
      </c>
      <c r="AG1182" s="28">
        <f>ROUND(IF(AQ1182="2",BI1182,0),2)</f>
        <v>0</v>
      </c>
      <c r="AH1182" s="28">
        <f>ROUND(IF(AQ1182="0",BJ1182,0),2)</f>
        <v>0</v>
      </c>
      <c r="AI1182" s="10" t="s">
        <v>2070</v>
      </c>
      <c r="AJ1182" s="28">
        <f>IF(AN1182=0,J1182,0)</f>
        <v>0</v>
      </c>
      <c r="AK1182" s="28">
        <f>IF(AN1182=12,J1182,0)</f>
        <v>0</v>
      </c>
      <c r="AL1182" s="28">
        <f>IF(AN1182=21,J1182,0)</f>
        <v>0</v>
      </c>
      <c r="AN1182" s="28">
        <v>21</v>
      </c>
      <c r="AO1182" s="28">
        <f>G1182*0</f>
        <v>0</v>
      </c>
      <c r="AP1182" s="28">
        <f>G1182*(1-0)</f>
        <v>0</v>
      </c>
      <c r="AQ1182" s="30" t="s">
        <v>56</v>
      </c>
      <c r="AV1182" s="28">
        <f>ROUND(AW1182+AX1182,2)</f>
        <v>0</v>
      </c>
      <c r="AW1182" s="28">
        <f>ROUND(F1182*AO1182,2)</f>
        <v>0</v>
      </c>
      <c r="AX1182" s="28">
        <f>ROUND(F1182*AP1182,2)</f>
        <v>0</v>
      </c>
      <c r="AY1182" s="30" t="s">
        <v>121</v>
      </c>
      <c r="AZ1182" s="30" t="s">
        <v>2074</v>
      </c>
      <c r="BA1182" s="10" t="s">
        <v>2075</v>
      </c>
      <c r="BC1182" s="28">
        <f>AW1182+AX1182</f>
        <v>0</v>
      </c>
      <c r="BD1182" s="28">
        <f>G1182/(100-BE1182)*100</f>
        <v>0</v>
      </c>
      <c r="BE1182" s="28">
        <v>0</v>
      </c>
      <c r="BF1182" s="28">
        <f>1182</f>
        <v>1182</v>
      </c>
      <c r="BH1182" s="28">
        <f>F1182*AO1182</f>
        <v>0</v>
      </c>
      <c r="BI1182" s="28">
        <f>F1182*AP1182</f>
        <v>0</v>
      </c>
      <c r="BJ1182" s="28">
        <f>F1182*G1182</f>
        <v>0</v>
      </c>
      <c r="BK1182" s="28"/>
      <c r="BL1182" s="28">
        <v>16</v>
      </c>
      <c r="BW1182" s="28">
        <v>21</v>
      </c>
      <c r="BX1182" s="4" t="s">
        <v>144</v>
      </c>
    </row>
    <row r="1183" spans="1:76" ht="14.4" x14ac:dyDescent="0.3">
      <c r="A1183" s="2" t="s">
        <v>2085</v>
      </c>
      <c r="B1183" s="3" t="s">
        <v>146</v>
      </c>
      <c r="C1183" s="75" t="s">
        <v>147</v>
      </c>
      <c r="D1183" s="70"/>
      <c r="E1183" s="3" t="s">
        <v>59</v>
      </c>
      <c r="F1183" s="28">
        <v>147.01</v>
      </c>
      <c r="G1183" s="28">
        <v>0</v>
      </c>
      <c r="H1183" s="28">
        <f>ROUND(F1183*AO1183,2)</f>
        <v>0</v>
      </c>
      <c r="I1183" s="28">
        <f>ROUND(F1183*AP1183,2)</f>
        <v>0</v>
      </c>
      <c r="J1183" s="28">
        <f>ROUND(F1183*G1183,2)</f>
        <v>0</v>
      </c>
      <c r="K1183" s="29" t="s">
        <v>60</v>
      </c>
      <c r="Z1183" s="28">
        <f>ROUND(IF(AQ1183="5",BJ1183,0),2)</f>
        <v>0</v>
      </c>
      <c r="AB1183" s="28">
        <f>ROUND(IF(AQ1183="1",BH1183,0),2)</f>
        <v>0</v>
      </c>
      <c r="AC1183" s="28">
        <f>ROUND(IF(AQ1183="1",BI1183,0),2)</f>
        <v>0</v>
      </c>
      <c r="AD1183" s="28">
        <f>ROUND(IF(AQ1183="7",BH1183,0),2)</f>
        <v>0</v>
      </c>
      <c r="AE1183" s="28">
        <f>ROUND(IF(AQ1183="7",BI1183,0),2)</f>
        <v>0</v>
      </c>
      <c r="AF1183" s="28">
        <f>ROUND(IF(AQ1183="2",BH1183,0),2)</f>
        <v>0</v>
      </c>
      <c r="AG1183" s="28">
        <f>ROUND(IF(AQ1183="2",BI1183,0),2)</f>
        <v>0</v>
      </c>
      <c r="AH1183" s="28">
        <f>ROUND(IF(AQ1183="0",BJ1183,0),2)</f>
        <v>0</v>
      </c>
      <c r="AI1183" s="10" t="s">
        <v>2070</v>
      </c>
      <c r="AJ1183" s="28">
        <f>IF(AN1183=0,J1183,0)</f>
        <v>0</v>
      </c>
      <c r="AK1183" s="28">
        <f>IF(AN1183=12,J1183,0)</f>
        <v>0</v>
      </c>
      <c r="AL1183" s="28">
        <f>IF(AN1183=21,J1183,0)</f>
        <v>0</v>
      </c>
      <c r="AN1183" s="28">
        <v>21</v>
      </c>
      <c r="AO1183" s="28">
        <f>G1183*0</f>
        <v>0</v>
      </c>
      <c r="AP1183" s="28">
        <f>G1183*(1-0)</f>
        <v>0</v>
      </c>
      <c r="AQ1183" s="30" t="s">
        <v>56</v>
      </c>
      <c r="AV1183" s="28">
        <f>ROUND(AW1183+AX1183,2)</f>
        <v>0</v>
      </c>
      <c r="AW1183" s="28">
        <f>ROUND(F1183*AO1183,2)</f>
        <v>0</v>
      </c>
      <c r="AX1183" s="28">
        <f>ROUND(F1183*AP1183,2)</f>
        <v>0</v>
      </c>
      <c r="AY1183" s="30" t="s">
        <v>121</v>
      </c>
      <c r="AZ1183" s="30" t="s">
        <v>2074</v>
      </c>
      <c r="BA1183" s="10" t="s">
        <v>2075</v>
      </c>
      <c r="BC1183" s="28">
        <f>AW1183+AX1183</f>
        <v>0</v>
      </c>
      <c r="BD1183" s="28">
        <f>G1183/(100-BE1183)*100</f>
        <v>0</v>
      </c>
      <c r="BE1183" s="28">
        <v>0</v>
      </c>
      <c r="BF1183" s="28">
        <f>1183</f>
        <v>1183</v>
      </c>
      <c r="BH1183" s="28">
        <f>F1183*AO1183</f>
        <v>0</v>
      </c>
      <c r="BI1183" s="28">
        <f>F1183*AP1183</f>
        <v>0</v>
      </c>
      <c r="BJ1183" s="28">
        <f>F1183*G1183</f>
        <v>0</v>
      </c>
      <c r="BK1183" s="28"/>
      <c r="BL1183" s="28">
        <v>16</v>
      </c>
      <c r="BW1183" s="28">
        <v>21</v>
      </c>
      <c r="BX1183" s="4" t="s">
        <v>147</v>
      </c>
    </row>
    <row r="1184" spans="1:76" ht="14.4" x14ac:dyDescent="0.3">
      <c r="A1184" s="24" t="s">
        <v>51</v>
      </c>
      <c r="B1184" s="25" t="s">
        <v>152</v>
      </c>
      <c r="C1184" s="91" t="s">
        <v>153</v>
      </c>
      <c r="D1184" s="92"/>
      <c r="E1184" s="26" t="s">
        <v>4</v>
      </c>
      <c r="F1184" s="26" t="s">
        <v>4</v>
      </c>
      <c r="G1184" s="26" t="s">
        <v>4</v>
      </c>
      <c r="H1184" s="1">
        <f>SUM(H1185:H1190)</f>
        <v>0</v>
      </c>
      <c r="I1184" s="1">
        <f>SUM(I1185:I1190)</f>
        <v>0</v>
      </c>
      <c r="J1184" s="1">
        <f>SUM(J1185:J1190)</f>
        <v>0</v>
      </c>
      <c r="K1184" s="27" t="s">
        <v>51</v>
      </c>
      <c r="AI1184" s="10" t="s">
        <v>2070</v>
      </c>
      <c r="AS1184" s="1">
        <f>SUM(AJ1185:AJ1190)</f>
        <v>0</v>
      </c>
      <c r="AT1184" s="1">
        <f>SUM(AK1185:AK1190)</f>
        <v>0</v>
      </c>
      <c r="AU1184" s="1">
        <f>SUM(AL1185:AL1190)</f>
        <v>0</v>
      </c>
    </row>
    <row r="1185" spans="1:76" ht="14.4" x14ac:dyDescent="0.3">
      <c r="A1185" s="2" t="s">
        <v>2086</v>
      </c>
      <c r="B1185" s="3" t="s">
        <v>2087</v>
      </c>
      <c r="C1185" s="75" t="s">
        <v>155</v>
      </c>
      <c r="D1185" s="70"/>
      <c r="E1185" s="3" t="s">
        <v>59</v>
      </c>
      <c r="F1185" s="28">
        <v>120.16</v>
      </c>
      <c r="G1185" s="28">
        <v>0</v>
      </c>
      <c r="H1185" s="28">
        <f>ROUND(F1185*AO1185,2)</f>
        <v>0</v>
      </c>
      <c r="I1185" s="28">
        <f>ROUND(F1185*AP1185,2)</f>
        <v>0</v>
      </c>
      <c r="J1185" s="28">
        <f>ROUND(F1185*G1185,2)</f>
        <v>0</v>
      </c>
      <c r="K1185" s="29" t="s">
        <v>60</v>
      </c>
      <c r="Z1185" s="28">
        <f>ROUND(IF(AQ1185="5",BJ1185,0),2)</f>
        <v>0</v>
      </c>
      <c r="AB1185" s="28">
        <f>ROUND(IF(AQ1185="1",BH1185,0),2)</f>
        <v>0</v>
      </c>
      <c r="AC1185" s="28">
        <f>ROUND(IF(AQ1185="1",BI1185,0),2)</f>
        <v>0</v>
      </c>
      <c r="AD1185" s="28">
        <f>ROUND(IF(AQ1185="7",BH1185,0),2)</f>
        <v>0</v>
      </c>
      <c r="AE1185" s="28">
        <f>ROUND(IF(AQ1185="7",BI1185,0),2)</f>
        <v>0</v>
      </c>
      <c r="AF1185" s="28">
        <f>ROUND(IF(AQ1185="2",BH1185,0),2)</f>
        <v>0</v>
      </c>
      <c r="AG1185" s="28">
        <f>ROUND(IF(AQ1185="2",BI1185,0),2)</f>
        <v>0</v>
      </c>
      <c r="AH1185" s="28">
        <f>ROUND(IF(AQ1185="0",BJ1185,0),2)</f>
        <v>0</v>
      </c>
      <c r="AI1185" s="10" t="s">
        <v>2070</v>
      </c>
      <c r="AJ1185" s="28">
        <f>IF(AN1185=0,J1185,0)</f>
        <v>0</v>
      </c>
      <c r="AK1185" s="28">
        <f>IF(AN1185=12,J1185,0)</f>
        <v>0</v>
      </c>
      <c r="AL1185" s="28">
        <f>IF(AN1185=21,J1185,0)</f>
        <v>0</v>
      </c>
      <c r="AN1185" s="28">
        <v>21</v>
      </c>
      <c r="AO1185" s="28">
        <f>G1185*0.512975792</f>
        <v>0</v>
      </c>
      <c r="AP1185" s="28">
        <f>G1185*(1-0.512975792)</f>
        <v>0</v>
      </c>
      <c r="AQ1185" s="30" t="s">
        <v>56</v>
      </c>
      <c r="AV1185" s="28">
        <f>ROUND(AW1185+AX1185,2)</f>
        <v>0</v>
      </c>
      <c r="AW1185" s="28">
        <f>ROUND(F1185*AO1185,2)</f>
        <v>0</v>
      </c>
      <c r="AX1185" s="28">
        <f>ROUND(F1185*AP1185,2)</f>
        <v>0</v>
      </c>
      <c r="AY1185" s="30" t="s">
        <v>156</v>
      </c>
      <c r="AZ1185" s="30" t="s">
        <v>2074</v>
      </c>
      <c r="BA1185" s="10" t="s">
        <v>2075</v>
      </c>
      <c r="BC1185" s="28">
        <f>AW1185+AX1185</f>
        <v>0</v>
      </c>
      <c r="BD1185" s="28">
        <f>G1185/(100-BE1185)*100</f>
        <v>0</v>
      </c>
      <c r="BE1185" s="28">
        <v>0</v>
      </c>
      <c r="BF1185" s="28">
        <f>1185</f>
        <v>1185</v>
      </c>
      <c r="BH1185" s="28">
        <f>F1185*AO1185</f>
        <v>0</v>
      </c>
      <c r="BI1185" s="28">
        <f>F1185*AP1185</f>
        <v>0</v>
      </c>
      <c r="BJ1185" s="28">
        <f>F1185*G1185</f>
        <v>0</v>
      </c>
      <c r="BK1185" s="28"/>
      <c r="BL1185" s="28">
        <v>17</v>
      </c>
      <c r="BW1185" s="28">
        <v>21</v>
      </c>
      <c r="BX1185" s="4" t="s">
        <v>155</v>
      </c>
    </row>
    <row r="1186" spans="1:76" ht="13.5" customHeight="1" x14ac:dyDescent="0.3">
      <c r="A1186" s="31"/>
      <c r="B1186" s="35" t="s">
        <v>105</v>
      </c>
      <c r="C1186" s="96" t="s">
        <v>2088</v>
      </c>
      <c r="D1186" s="97"/>
      <c r="E1186" s="97"/>
      <c r="F1186" s="97"/>
      <c r="G1186" s="97"/>
      <c r="H1186" s="97"/>
      <c r="I1186" s="97"/>
      <c r="J1186" s="97"/>
      <c r="K1186" s="98"/>
    </row>
    <row r="1187" spans="1:76" ht="14.4" x14ac:dyDescent="0.3">
      <c r="A1187" s="31"/>
      <c r="B1187" s="35" t="s">
        <v>68</v>
      </c>
      <c r="C1187" s="93" t="s">
        <v>2089</v>
      </c>
      <c r="D1187" s="94"/>
      <c r="E1187" s="94"/>
      <c r="F1187" s="94"/>
      <c r="G1187" s="94"/>
      <c r="H1187" s="94"/>
      <c r="I1187" s="94"/>
      <c r="J1187" s="94"/>
      <c r="K1187" s="95"/>
      <c r="BX1187" s="36" t="s">
        <v>2089</v>
      </c>
    </row>
    <row r="1188" spans="1:76" ht="14.4" x14ac:dyDescent="0.3">
      <c r="A1188" s="2" t="s">
        <v>2090</v>
      </c>
      <c r="B1188" s="3" t="s">
        <v>163</v>
      </c>
      <c r="C1188" s="75" t="s">
        <v>164</v>
      </c>
      <c r="D1188" s="70"/>
      <c r="E1188" s="3" t="s">
        <v>59</v>
      </c>
      <c r="F1188" s="28">
        <v>220.51</v>
      </c>
      <c r="G1188" s="28">
        <v>0</v>
      </c>
      <c r="H1188" s="28">
        <f>ROUND(F1188*AO1188,2)</f>
        <v>0</v>
      </c>
      <c r="I1188" s="28">
        <f>ROUND(F1188*AP1188,2)</f>
        <v>0</v>
      </c>
      <c r="J1188" s="28">
        <f>ROUND(F1188*G1188,2)</f>
        <v>0</v>
      </c>
      <c r="K1188" s="29" t="s">
        <v>60</v>
      </c>
      <c r="Z1188" s="28">
        <f>ROUND(IF(AQ1188="5",BJ1188,0),2)</f>
        <v>0</v>
      </c>
      <c r="AB1188" s="28">
        <f>ROUND(IF(AQ1188="1",BH1188,0),2)</f>
        <v>0</v>
      </c>
      <c r="AC1188" s="28">
        <f>ROUND(IF(AQ1188="1",BI1188,0),2)</f>
        <v>0</v>
      </c>
      <c r="AD1188" s="28">
        <f>ROUND(IF(AQ1188="7",BH1188,0),2)</f>
        <v>0</v>
      </c>
      <c r="AE1188" s="28">
        <f>ROUND(IF(AQ1188="7",BI1188,0),2)</f>
        <v>0</v>
      </c>
      <c r="AF1188" s="28">
        <f>ROUND(IF(AQ1188="2",BH1188,0),2)</f>
        <v>0</v>
      </c>
      <c r="AG1188" s="28">
        <f>ROUND(IF(AQ1188="2",BI1188,0),2)</f>
        <v>0</v>
      </c>
      <c r="AH1188" s="28">
        <f>ROUND(IF(AQ1188="0",BJ1188,0),2)</f>
        <v>0</v>
      </c>
      <c r="AI1188" s="10" t="s">
        <v>2070</v>
      </c>
      <c r="AJ1188" s="28">
        <f>IF(AN1188=0,J1188,0)</f>
        <v>0</v>
      </c>
      <c r="AK1188" s="28">
        <f>IF(AN1188=12,J1188,0)</f>
        <v>0</v>
      </c>
      <c r="AL1188" s="28">
        <f>IF(AN1188=21,J1188,0)</f>
        <v>0</v>
      </c>
      <c r="AN1188" s="28">
        <v>21</v>
      </c>
      <c r="AO1188" s="28">
        <f>G1188*0</f>
        <v>0</v>
      </c>
      <c r="AP1188" s="28">
        <f>G1188*(1-0)</f>
        <v>0</v>
      </c>
      <c r="AQ1188" s="30" t="s">
        <v>56</v>
      </c>
      <c r="AV1188" s="28">
        <f>ROUND(AW1188+AX1188,2)</f>
        <v>0</v>
      </c>
      <c r="AW1188" s="28">
        <f>ROUND(F1188*AO1188,2)</f>
        <v>0</v>
      </c>
      <c r="AX1188" s="28">
        <f>ROUND(F1188*AP1188,2)</f>
        <v>0</v>
      </c>
      <c r="AY1188" s="30" t="s">
        <v>156</v>
      </c>
      <c r="AZ1188" s="30" t="s">
        <v>2074</v>
      </c>
      <c r="BA1188" s="10" t="s">
        <v>2075</v>
      </c>
      <c r="BC1188" s="28">
        <f>AW1188+AX1188</f>
        <v>0</v>
      </c>
      <c r="BD1188" s="28">
        <f>G1188/(100-BE1188)*100</f>
        <v>0</v>
      </c>
      <c r="BE1188" s="28">
        <v>0</v>
      </c>
      <c r="BF1188" s="28">
        <f>1188</f>
        <v>1188</v>
      </c>
      <c r="BH1188" s="28">
        <f>F1188*AO1188</f>
        <v>0</v>
      </c>
      <c r="BI1188" s="28">
        <f>F1188*AP1188</f>
        <v>0</v>
      </c>
      <c r="BJ1188" s="28">
        <f>F1188*G1188</f>
        <v>0</v>
      </c>
      <c r="BK1188" s="28"/>
      <c r="BL1188" s="28">
        <v>17</v>
      </c>
      <c r="BW1188" s="28">
        <v>21</v>
      </c>
      <c r="BX1188" s="4" t="s">
        <v>164</v>
      </c>
    </row>
    <row r="1189" spans="1:76" ht="26.4" x14ac:dyDescent="0.3">
      <c r="A1189" s="31"/>
      <c r="B1189" s="35" t="s">
        <v>68</v>
      </c>
      <c r="C1189" s="93" t="s">
        <v>169</v>
      </c>
      <c r="D1189" s="94"/>
      <c r="E1189" s="94"/>
      <c r="F1189" s="94"/>
      <c r="G1189" s="94"/>
      <c r="H1189" s="94"/>
      <c r="I1189" s="94"/>
      <c r="J1189" s="94"/>
      <c r="K1189" s="95"/>
      <c r="BX1189" s="36" t="s">
        <v>169</v>
      </c>
    </row>
    <row r="1190" spans="1:76" ht="14.4" x14ac:dyDescent="0.3">
      <c r="A1190" s="2" t="s">
        <v>751</v>
      </c>
      <c r="B1190" s="3" t="s">
        <v>186</v>
      </c>
      <c r="C1190" s="75" t="s">
        <v>187</v>
      </c>
      <c r="D1190" s="70"/>
      <c r="E1190" s="3" t="s">
        <v>188</v>
      </c>
      <c r="F1190" s="28">
        <v>66</v>
      </c>
      <c r="G1190" s="28">
        <v>0</v>
      </c>
      <c r="H1190" s="28">
        <f>ROUND(F1190*AO1190,2)</f>
        <v>0</v>
      </c>
      <c r="I1190" s="28">
        <f>ROUND(F1190*AP1190,2)</f>
        <v>0</v>
      </c>
      <c r="J1190" s="28">
        <f>ROUND(F1190*G1190,2)</f>
        <v>0</v>
      </c>
      <c r="K1190" s="29" t="s">
        <v>60</v>
      </c>
      <c r="Z1190" s="28">
        <f>ROUND(IF(AQ1190="5",BJ1190,0),2)</f>
        <v>0</v>
      </c>
      <c r="AB1190" s="28">
        <f>ROUND(IF(AQ1190="1",BH1190,0),2)</f>
        <v>0</v>
      </c>
      <c r="AC1190" s="28">
        <f>ROUND(IF(AQ1190="1",BI1190,0),2)</f>
        <v>0</v>
      </c>
      <c r="AD1190" s="28">
        <f>ROUND(IF(AQ1190="7",BH1190,0),2)</f>
        <v>0</v>
      </c>
      <c r="AE1190" s="28">
        <f>ROUND(IF(AQ1190="7",BI1190,0),2)</f>
        <v>0</v>
      </c>
      <c r="AF1190" s="28">
        <f>ROUND(IF(AQ1190="2",BH1190,0),2)</f>
        <v>0</v>
      </c>
      <c r="AG1190" s="28">
        <f>ROUND(IF(AQ1190="2",BI1190,0),2)</f>
        <v>0</v>
      </c>
      <c r="AH1190" s="28">
        <f>ROUND(IF(AQ1190="0",BJ1190,0),2)</f>
        <v>0</v>
      </c>
      <c r="AI1190" s="10" t="s">
        <v>2070</v>
      </c>
      <c r="AJ1190" s="28">
        <f>IF(AN1190=0,J1190,0)</f>
        <v>0</v>
      </c>
      <c r="AK1190" s="28">
        <f>IF(AN1190=12,J1190,0)</f>
        <v>0</v>
      </c>
      <c r="AL1190" s="28">
        <f>IF(AN1190=21,J1190,0)</f>
        <v>0</v>
      </c>
      <c r="AN1190" s="28">
        <v>21</v>
      </c>
      <c r="AO1190" s="28">
        <f>G1190*0.352747253</f>
        <v>0</v>
      </c>
      <c r="AP1190" s="28">
        <f>G1190*(1-0.352747253)</f>
        <v>0</v>
      </c>
      <c r="AQ1190" s="30" t="s">
        <v>56</v>
      </c>
      <c r="AV1190" s="28">
        <f>ROUND(AW1190+AX1190,2)</f>
        <v>0</v>
      </c>
      <c r="AW1190" s="28">
        <f>ROUND(F1190*AO1190,2)</f>
        <v>0</v>
      </c>
      <c r="AX1190" s="28">
        <f>ROUND(F1190*AP1190,2)</f>
        <v>0</v>
      </c>
      <c r="AY1190" s="30" t="s">
        <v>156</v>
      </c>
      <c r="AZ1190" s="30" t="s">
        <v>2074</v>
      </c>
      <c r="BA1190" s="10" t="s">
        <v>2075</v>
      </c>
      <c r="BC1190" s="28">
        <f>AW1190+AX1190</f>
        <v>0</v>
      </c>
      <c r="BD1190" s="28">
        <f>G1190/(100-BE1190)*100</f>
        <v>0</v>
      </c>
      <c r="BE1190" s="28">
        <v>0</v>
      </c>
      <c r="BF1190" s="28">
        <f>1190</f>
        <v>1190</v>
      </c>
      <c r="BH1190" s="28">
        <f>F1190*AO1190</f>
        <v>0</v>
      </c>
      <c r="BI1190" s="28">
        <f>F1190*AP1190</f>
        <v>0</v>
      </c>
      <c r="BJ1190" s="28">
        <f>F1190*G1190</f>
        <v>0</v>
      </c>
      <c r="BK1190" s="28"/>
      <c r="BL1190" s="28">
        <v>17</v>
      </c>
      <c r="BW1190" s="28">
        <v>21</v>
      </c>
      <c r="BX1190" s="4" t="s">
        <v>187</v>
      </c>
    </row>
    <row r="1191" spans="1:76" ht="13.5" customHeight="1" x14ac:dyDescent="0.3">
      <c r="A1191" s="31"/>
      <c r="B1191" s="35" t="s">
        <v>105</v>
      </c>
      <c r="C1191" s="96" t="s">
        <v>189</v>
      </c>
      <c r="D1191" s="97"/>
      <c r="E1191" s="97"/>
      <c r="F1191" s="97"/>
      <c r="G1191" s="97"/>
      <c r="H1191" s="97"/>
      <c r="I1191" s="97"/>
      <c r="J1191" s="97"/>
      <c r="K1191" s="98"/>
    </row>
    <row r="1192" spans="1:76" ht="14.4" x14ac:dyDescent="0.3">
      <c r="A1192" s="31"/>
      <c r="C1192" s="32" t="s">
        <v>2091</v>
      </c>
      <c r="D1192" s="32" t="s">
        <v>51</v>
      </c>
      <c r="F1192" s="33">
        <v>66</v>
      </c>
      <c r="K1192" s="34"/>
    </row>
    <row r="1193" spans="1:76" ht="14.4" x14ac:dyDescent="0.3">
      <c r="A1193" s="24" t="s">
        <v>51</v>
      </c>
      <c r="B1193" s="25" t="s">
        <v>192</v>
      </c>
      <c r="C1193" s="91" t="s">
        <v>1072</v>
      </c>
      <c r="D1193" s="92"/>
      <c r="E1193" s="26" t="s">
        <v>4</v>
      </c>
      <c r="F1193" s="26" t="s">
        <v>4</v>
      </c>
      <c r="G1193" s="26" t="s">
        <v>4</v>
      </c>
      <c r="H1193" s="1">
        <f>SUM(H1194:H1194)</f>
        <v>0</v>
      </c>
      <c r="I1193" s="1">
        <f>SUM(I1194:I1194)</f>
        <v>0</v>
      </c>
      <c r="J1193" s="1">
        <f>SUM(J1194:J1194)</f>
        <v>0</v>
      </c>
      <c r="K1193" s="27" t="s">
        <v>51</v>
      </c>
      <c r="AI1193" s="10" t="s">
        <v>2070</v>
      </c>
      <c r="AS1193" s="1">
        <f>SUM(AJ1194:AJ1194)</f>
        <v>0</v>
      </c>
      <c r="AT1193" s="1">
        <f>SUM(AK1194:AK1194)</f>
        <v>0</v>
      </c>
      <c r="AU1193" s="1">
        <f>SUM(AL1194:AL1194)</f>
        <v>0</v>
      </c>
    </row>
    <row r="1194" spans="1:76" ht="14.4" x14ac:dyDescent="0.3">
      <c r="A1194" s="2" t="s">
        <v>2092</v>
      </c>
      <c r="B1194" s="3" t="s">
        <v>149</v>
      </c>
      <c r="C1194" s="75" t="s">
        <v>150</v>
      </c>
      <c r="D1194" s="70"/>
      <c r="E1194" s="3" t="s">
        <v>59</v>
      </c>
      <c r="F1194" s="28">
        <v>367.52</v>
      </c>
      <c r="G1194" s="28">
        <v>0</v>
      </c>
      <c r="H1194" s="28">
        <f>ROUND(F1194*AO1194,2)</f>
        <v>0</v>
      </c>
      <c r="I1194" s="28">
        <f>ROUND(F1194*AP1194,2)</f>
        <v>0</v>
      </c>
      <c r="J1194" s="28">
        <f>ROUND(F1194*G1194,2)</f>
        <v>0</v>
      </c>
      <c r="K1194" s="29" t="s">
        <v>60</v>
      </c>
      <c r="Z1194" s="28">
        <f>ROUND(IF(AQ1194="5",BJ1194,0),2)</f>
        <v>0</v>
      </c>
      <c r="AB1194" s="28">
        <f>ROUND(IF(AQ1194="1",BH1194,0),2)</f>
        <v>0</v>
      </c>
      <c r="AC1194" s="28">
        <f>ROUND(IF(AQ1194="1",BI1194,0),2)</f>
        <v>0</v>
      </c>
      <c r="AD1194" s="28">
        <f>ROUND(IF(AQ1194="7",BH1194,0),2)</f>
        <v>0</v>
      </c>
      <c r="AE1194" s="28">
        <f>ROUND(IF(AQ1194="7",BI1194,0),2)</f>
        <v>0</v>
      </c>
      <c r="AF1194" s="28">
        <f>ROUND(IF(AQ1194="2",BH1194,0),2)</f>
        <v>0</v>
      </c>
      <c r="AG1194" s="28">
        <f>ROUND(IF(AQ1194="2",BI1194,0),2)</f>
        <v>0</v>
      </c>
      <c r="AH1194" s="28">
        <f>ROUND(IF(AQ1194="0",BJ1194,0),2)</f>
        <v>0</v>
      </c>
      <c r="AI1194" s="10" t="s">
        <v>2070</v>
      </c>
      <c r="AJ1194" s="28">
        <f>IF(AN1194=0,J1194,0)</f>
        <v>0</v>
      </c>
      <c r="AK1194" s="28">
        <f>IF(AN1194=12,J1194,0)</f>
        <v>0</v>
      </c>
      <c r="AL1194" s="28">
        <f>IF(AN1194=21,J1194,0)</f>
        <v>0</v>
      </c>
      <c r="AN1194" s="28">
        <v>21</v>
      </c>
      <c r="AO1194" s="28">
        <f>G1194*0</f>
        <v>0</v>
      </c>
      <c r="AP1194" s="28">
        <f>G1194*(1-0)</f>
        <v>0</v>
      </c>
      <c r="AQ1194" s="30" t="s">
        <v>56</v>
      </c>
      <c r="AV1194" s="28">
        <f>ROUND(AW1194+AX1194,2)</f>
        <v>0</v>
      </c>
      <c r="AW1194" s="28">
        <f>ROUND(F1194*AO1194,2)</f>
        <v>0</v>
      </c>
      <c r="AX1194" s="28">
        <f>ROUND(F1194*AP1194,2)</f>
        <v>0</v>
      </c>
      <c r="AY1194" s="30" t="s">
        <v>1074</v>
      </c>
      <c r="AZ1194" s="30" t="s">
        <v>2074</v>
      </c>
      <c r="BA1194" s="10" t="s">
        <v>2075</v>
      </c>
      <c r="BC1194" s="28">
        <f>AW1194+AX1194</f>
        <v>0</v>
      </c>
      <c r="BD1194" s="28">
        <f>G1194/(100-BE1194)*100</f>
        <v>0</v>
      </c>
      <c r="BE1194" s="28">
        <v>0</v>
      </c>
      <c r="BF1194" s="28">
        <f>1194</f>
        <v>1194</v>
      </c>
      <c r="BH1194" s="28">
        <f>F1194*AO1194</f>
        <v>0</v>
      </c>
      <c r="BI1194" s="28">
        <f>F1194*AP1194</f>
        <v>0</v>
      </c>
      <c r="BJ1194" s="28">
        <f>F1194*G1194</f>
        <v>0</v>
      </c>
      <c r="BK1194" s="28"/>
      <c r="BL1194" s="28">
        <v>19</v>
      </c>
      <c r="BW1194" s="28">
        <v>21</v>
      </c>
      <c r="BX1194" s="4" t="s">
        <v>150</v>
      </c>
    </row>
    <row r="1195" spans="1:76" ht="14.4" x14ac:dyDescent="0.3">
      <c r="A1195" s="31"/>
      <c r="C1195" s="32" t="s">
        <v>2093</v>
      </c>
      <c r="D1195" s="32" t="s">
        <v>51</v>
      </c>
      <c r="F1195" s="33">
        <v>367.52</v>
      </c>
      <c r="K1195" s="34"/>
    </row>
    <row r="1196" spans="1:76" ht="14.4" x14ac:dyDescent="0.3">
      <c r="A1196" s="31"/>
      <c r="B1196" s="35" t="s">
        <v>68</v>
      </c>
      <c r="C1196" s="93" t="s">
        <v>151</v>
      </c>
      <c r="D1196" s="94"/>
      <c r="E1196" s="94"/>
      <c r="F1196" s="94"/>
      <c r="G1196" s="94"/>
      <c r="H1196" s="94"/>
      <c r="I1196" s="94"/>
      <c r="J1196" s="94"/>
      <c r="K1196" s="95"/>
      <c r="BX1196" s="36" t="s">
        <v>151</v>
      </c>
    </row>
    <row r="1197" spans="1:76" ht="14.4" x14ac:dyDescent="0.3">
      <c r="A1197" s="24" t="s">
        <v>51</v>
      </c>
      <c r="B1197" s="25" t="s">
        <v>279</v>
      </c>
      <c r="C1197" s="91" t="s">
        <v>280</v>
      </c>
      <c r="D1197" s="92"/>
      <c r="E1197" s="26" t="s">
        <v>4</v>
      </c>
      <c r="F1197" s="26" t="s">
        <v>4</v>
      </c>
      <c r="G1197" s="26" t="s">
        <v>4</v>
      </c>
      <c r="H1197" s="1">
        <f>SUM(H1198:H1204)</f>
        <v>0</v>
      </c>
      <c r="I1197" s="1">
        <f>SUM(I1198:I1204)</f>
        <v>0</v>
      </c>
      <c r="J1197" s="1">
        <f>SUM(J1198:J1204)</f>
        <v>0</v>
      </c>
      <c r="K1197" s="27" t="s">
        <v>51</v>
      </c>
      <c r="AI1197" s="10" t="s">
        <v>2070</v>
      </c>
      <c r="AS1197" s="1">
        <f>SUM(AJ1198:AJ1204)</f>
        <v>0</v>
      </c>
      <c r="AT1197" s="1">
        <f>SUM(AK1198:AK1204)</f>
        <v>0</v>
      </c>
      <c r="AU1197" s="1">
        <f>SUM(AL1198:AL1204)</f>
        <v>0</v>
      </c>
    </row>
    <row r="1198" spans="1:76" ht="14.4" x14ac:dyDescent="0.3">
      <c r="A1198" s="2" t="s">
        <v>2094</v>
      </c>
      <c r="B1198" s="3" t="s">
        <v>2095</v>
      </c>
      <c r="C1198" s="75" t="s">
        <v>2096</v>
      </c>
      <c r="D1198" s="70"/>
      <c r="E1198" s="3" t="s">
        <v>59</v>
      </c>
      <c r="F1198" s="28">
        <v>19.8</v>
      </c>
      <c r="G1198" s="28">
        <v>0</v>
      </c>
      <c r="H1198" s="28">
        <f>ROUND(F1198*AO1198,2)</f>
        <v>0</v>
      </c>
      <c r="I1198" s="28">
        <f>ROUND(F1198*AP1198,2)</f>
        <v>0</v>
      </c>
      <c r="J1198" s="28">
        <f>ROUND(F1198*G1198,2)</f>
        <v>0</v>
      </c>
      <c r="K1198" s="29" t="s">
        <v>60</v>
      </c>
      <c r="Z1198" s="28">
        <f>ROUND(IF(AQ1198="5",BJ1198,0),2)</f>
        <v>0</v>
      </c>
      <c r="AB1198" s="28">
        <f>ROUND(IF(AQ1198="1",BH1198,0),2)</f>
        <v>0</v>
      </c>
      <c r="AC1198" s="28">
        <f>ROUND(IF(AQ1198="1",BI1198,0),2)</f>
        <v>0</v>
      </c>
      <c r="AD1198" s="28">
        <f>ROUND(IF(AQ1198="7",BH1198,0),2)</f>
        <v>0</v>
      </c>
      <c r="AE1198" s="28">
        <f>ROUND(IF(AQ1198="7",BI1198,0),2)</f>
        <v>0</v>
      </c>
      <c r="AF1198" s="28">
        <f>ROUND(IF(AQ1198="2",BH1198,0),2)</f>
        <v>0</v>
      </c>
      <c r="AG1198" s="28">
        <f>ROUND(IF(AQ1198="2",BI1198,0),2)</f>
        <v>0</v>
      </c>
      <c r="AH1198" s="28">
        <f>ROUND(IF(AQ1198="0",BJ1198,0),2)</f>
        <v>0</v>
      </c>
      <c r="AI1198" s="10" t="s">
        <v>2070</v>
      </c>
      <c r="AJ1198" s="28">
        <f>IF(AN1198=0,J1198,0)</f>
        <v>0</v>
      </c>
      <c r="AK1198" s="28">
        <f>IF(AN1198=12,J1198,0)</f>
        <v>0</v>
      </c>
      <c r="AL1198" s="28">
        <f>IF(AN1198=21,J1198,0)</f>
        <v>0</v>
      </c>
      <c r="AN1198" s="28">
        <v>21</v>
      </c>
      <c r="AO1198" s="28">
        <f>G1198*0.562194218</f>
        <v>0</v>
      </c>
      <c r="AP1198" s="28">
        <f>G1198*(1-0.562194218)</f>
        <v>0</v>
      </c>
      <c r="AQ1198" s="30" t="s">
        <v>56</v>
      </c>
      <c r="AV1198" s="28">
        <f>ROUND(AW1198+AX1198,2)</f>
        <v>0</v>
      </c>
      <c r="AW1198" s="28">
        <f>ROUND(F1198*AO1198,2)</f>
        <v>0</v>
      </c>
      <c r="AX1198" s="28">
        <f>ROUND(F1198*AP1198,2)</f>
        <v>0</v>
      </c>
      <c r="AY1198" s="30" t="s">
        <v>284</v>
      </c>
      <c r="AZ1198" s="30" t="s">
        <v>2097</v>
      </c>
      <c r="BA1198" s="10" t="s">
        <v>2075</v>
      </c>
      <c r="BC1198" s="28">
        <f>AW1198+AX1198</f>
        <v>0</v>
      </c>
      <c r="BD1198" s="28">
        <f>G1198/(100-BE1198)*100</f>
        <v>0</v>
      </c>
      <c r="BE1198" s="28">
        <v>0</v>
      </c>
      <c r="BF1198" s="28">
        <f>1198</f>
        <v>1198</v>
      </c>
      <c r="BH1198" s="28">
        <f>F1198*AO1198</f>
        <v>0</v>
      </c>
      <c r="BI1198" s="28">
        <f>F1198*AP1198</f>
        <v>0</v>
      </c>
      <c r="BJ1198" s="28">
        <f>F1198*G1198</f>
        <v>0</v>
      </c>
      <c r="BK1198" s="28"/>
      <c r="BL1198" s="28">
        <v>45</v>
      </c>
      <c r="BW1198" s="28">
        <v>21</v>
      </c>
      <c r="BX1198" s="4" t="s">
        <v>2096</v>
      </c>
    </row>
    <row r="1199" spans="1:76" ht="13.5" customHeight="1" x14ac:dyDescent="0.3">
      <c r="A1199" s="31"/>
      <c r="B1199" s="35" t="s">
        <v>105</v>
      </c>
      <c r="C1199" s="96" t="s">
        <v>276</v>
      </c>
      <c r="D1199" s="97"/>
      <c r="E1199" s="97"/>
      <c r="F1199" s="97"/>
      <c r="G1199" s="97"/>
      <c r="H1199" s="97"/>
      <c r="I1199" s="97"/>
      <c r="J1199" s="97"/>
      <c r="K1199" s="98"/>
    </row>
    <row r="1200" spans="1:76" ht="14.4" x14ac:dyDescent="0.3">
      <c r="A1200" s="31"/>
      <c r="C1200" s="32" t="s">
        <v>2098</v>
      </c>
      <c r="D1200" s="32" t="s">
        <v>2099</v>
      </c>
      <c r="F1200" s="33">
        <v>19.8</v>
      </c>
      <c r="K1200" s="34"/>
    </row>
    <row r="1201" spans="1:76" ht="39.6" x14ac:dyDescent="0.3">
      <c r="A1201" s="31"/>
      <c r="B1201" s="35" t="s">
        <v>68</v>
      </c>
      <c r="C1201" s="93" t="s">
        <v>289</v>
      </c>
      <c r="D1201" s="94"/>
      <c r="E1201" s="94"/>
      <c r="F1201" s="94"/>
      <c r="G1201" s="94"/>
      <c r="H1201" s="94"/>
      <c r="I1201" s="94"/>
      <c r="J1201" s="94"/>
      <c r="K1201" s="95"/>
      <c r="BX1201" s="36" t="s">
        <v>289</v>
      </c>
    </row>
    <row r="1202" spans="1:76" ht="14.4" x14ac:dyDescent="0.3">
      <c r="A1202" s="2" t="s">
        <v>2100</v>
      </c>
      <c r="B1202" s="3" t="s">
        <v>2101</v>
      </c>
      <c r="C1202" s="75" t="s">
        <v>2102</v>
      </c>
      <c r="D1202" s="70"/>
      <c r="E1202" s="3" t="s">
        <v>59</v>
      </c>
      <c r="F1202" s="28">
        <v>17.55</v>
      </c>
      <c r="G1202" s="28">
        <v>0</v>
      </c>
      <c r="H1202" s="28">
        <f>ROUND(F1202*AO1202,2)</f>
        <v>0</v>
      </c>
      <c r="I1202" s="28">
        <f>ROUND(F1202*AP1202,2)</f>
        <v>0</v>
      </c>
      <c r="J1202" s="28">
        <f>ROUND(F1202*G1202,2)</f>
        <v>0</v>
      </c>
      <c r="K1202" s="29" t="s">
        <v>60</v>
      </c>
      <c r="Z1202" s="28">
        <f>ROUND(IF(AQ1202="5",BJ1202,0),2)</f>
        <v>0</v>
      </c>
      <c r="AB1202" s="28">
        <f>ROUND(IF(AQ1202="1",BH1202,0),2)</f>
        <v>0</v>
      </c>
      <c r="AC1202" s="28">
        <f>ROUND(IF(AQ1202="1",BI1202,0),2)</f>
        <v>0</v>
      </c>
      <c r="AD1202" s="28">
        <f>ROUND(IF(AQ1202="7",BH1202,0),2)</f>
        <v>0</v>
      </c>
      <c r="AE1202" s="28">
        <f>ROUND(IF(AQ1202="7",BI1202,0),2)</f>
        <v>0</v>
      </c>
      <c r="AF1202" s="28">
        <f>ROUND(IF(AQ1202="2",BH1202,0),2)</f>
        <v>0</v>
      </c>
      <c r="AG1202" s="28">
        <f>ROUND(IF(AQ1202="2",BI1202,0),2)</f>
        <v>0</v>
      </c>
      <c r="AH1202" s="28">
        <f>ROUND(IF(AQ1202="0",BJ1202,0),2)</f>
        <v>0</v>
      </c>
      <c r="AI1202" s="10" t="s">
        <v>2070</v>
      </c>
      <c r="AJ1202" s="28">
        <f>IF(AN1202=0,J1202,0)</f>
        <v>0</v>
      </c>
      <c r="AK1202" s="28">
        <f>IF(AN1202=12,J1202,0)</f>
        <v>0</v>
      </c>
      <c r="AL1202" s="28">
        <f>IF(AN1202=21,J1202,0)</f>
        <v>0</v>
      </c>
      <c r="AN1202" s="28">
        <v>21</v>
      </c>
      <c r="AO1202" s="28">
        <f>G1202*0.849929425</f>
        <v>0</v>
      </c>
      <c r="AP1202" s="28">
        <f>G1202*(1-0.849929425)</f>
        <v>0</v>
      </c>
      <c r="AQ1202" s="30" t="s">
        <v>56</v>
      </c>
      <c r="AV1202" s="28">
        <f>ROUND(AW1202+AX1202,2)</f>
        <v>0</v>
      </c>
      <c r="AW1202" s="28">
        <f>ROUND(F1202*AO1202,2)</f>
        <v>0</v>
      </c>
      <c r="AX1202" s="28">
        <f>ROUND(F1202*AP1202,2)</f>
        <v>0</v>
      </c>
      <c r="AY1202" s="30" t="s">
        <v>284</v>
      </c>
      <c r="AZ1202" s="30" t="s">
        <v>2097</v>
      </c>
      <c r="BA1202" s="10" t="s">
        <v>2075</v>
      </c>
      <c r="BC1202" s="28">
        <f>AW1202+AX1202</f>
        <v>0</v>
      </c>
      <c r="BD1202" s="28">
        <f>G1202/(100-BE1202)*100</f>
        <v>0</v>
      </c>
      <c r="BE1202" s="28">
        <v>0</v>
      </c>
      <c r="BF1202" s="28">
        <f>1202</f>
        <v>1202</v>
      </c>
      <c r="BH1202" s="28">
        <f>F1202*AO1202</f>
        <v>0</v>
      </c>
      <c r="BI1202" s="28">
        <f>F1202*AP1202</f>
        <v>0</v>
      </c>
      <c r="BJ1202" s="28">
        <f>F1202*G1202</f>
        <v>0</v>
      </c>
      <c r="BK1202" s="28"/>
      <c r="BL1202" s="28">
        <v>45</v>
      </c>
      <c r="BW1202" s="28">
        <v>21</v>
      </c>
      <c r="BX1202" s="4" t="s">
        <v>2102</v>
      </c>
    </row>
    <row r="1203" spans="1:76" ht="26.4" x14ac:dyDescent="0.3">
      <c r="A1203" s="31"/>
      <c r="B1203" s="35" t="s">
        <v>68</v>
      </c>
      <c r="C1203" s="93" t="s">
        <v>2103</v>
      </c>
      <c r="D1203" s="94"/>
      <c r="E1203" s="94"/>
      <c r="F1203" s="94"/>
      <c r="G1203" s="94"/>
      <c r="H1203" s="94"/>
      <c r="I1203" s="94"/>
      <c r="J1203" s="94"/>
      <c r="K1203" s="95"/>
      <c r="BX1203" s="36" t="s">
        <v>2103</v>
      </c>
    </row>
    <row r="1204" spans="1:76" ht="14.4" x14ac:dyDescent="0.3">
      <c r="A1204" s="2" t="s">
        <v>2104</v>
      </c>
      <c r="B1204" s="3" t="s">
        <v>2105</v>
      </c>
      <c r="C1204" s="75" t="s">
        <v>2106</v>
      </c>
      <c r="D1204" s="70"/>
      <c r="E1204" s="3" t="s">
        <v>188</v>
      </c>
      <c r="F1204" s="28">
        <v>117</v>
      </c>
      <c r="G1204" s="28">
        <v>0</v>
      </c>
      <c r="H1204" s="28">
        <f>ROUND(F1204*AO1204,2)</f>
        <v>0</v>
      </c>
      <c r="I1204" s="28">
        <f>ROUND(F1204*AP1204,2)</f>
        <v>0</v>
      </c>
      <c r="J1204" s="28">
        <f>ROUND(F1204*G1204,2)</f>
        <v>0</v>
      </c>
      <c r="K1204" s="29" t="s">
        <v>60</v>
      </c>
      <c r="Z1204" s="28">
        <f>ROUND(IF(AQ1204="5",BJ1204,0),2)</f>
        <v>0</v>
      </c>
      <c r="AB1204" s="28">
        <f>ROUND(IF(AQ1204="1",BH1204,0),2)</f>
        <v>0</v>
      </c>
      <c r="AC1204" s="28">
        <f>ROUND(IF(AQ1204="1",BI1204,0),2)</f>
        <v>0</v>
      </c>
      <c r="AD1204" s="28">
        <f>ROUND(IF(AQ1204="7",BH1204,0),2)</f>
        <v>0</v>
      </c>
      <c r="AE1204" s="28">
        <f>ROUND(IF(AQ1204="7",BI1204,0),2)</f>
        <v>0</v>
      </c>
      <c r="AF1204" s="28">
        <f>ROUND(IF(AQ1204="2",BH1204,0),2)</f>
        <v>0</v>
      </c>
      <c r="AG1204" s="28">
        <f>ROUND(IF(AQ1204="2",BI1204,0),2)</f>
        <v>0</v>
      </c>
      <c r="AH1204" s="28">
        <f>ROUND(IF(AQ1204="0",BJ1204,0),2)</f>
        <v>0</v>
      </c>
      <c r="AI1204" s="10" t="s">
        <v>2070</v>
      </c>
      <c r="AJ1204" s="28">
        <f>IF(AN1204=0,J1204,0)</f>
        <v>0</v>
      </c>
      <c r="AK1204" s="28">
        <f>IF(AN1204=12,J1204,0)</f>
        <v>0</v>
      </c>
      <c r="AL1204" s="28">
        <f>IF(AN1204=21,J1204,0)</f>
        <v>0</v>
      </c>
      <c r="AN1204" s="28">
        <v>21</v>
      </c>
      <c r="AO1204" s="28">
        <f>G1204*0.24729668</f>
        <v>0</v>
      </c>
      <c r="AP1204" s="28">
        <f>G1204*(1-0.24729668)</f>
        <v>0</v>
      </c>
      <c r="AQ1204" s="30" t="s">
        <v>56</v>
      </c>
      <c r="AV1204" s="28">
        <f>ROUND(AW1204+AX1204,2)</f>
        <v>0</v>
      </c>
      <c r="AW1204" s="28">
        <f>ROUND(F1204*AO1204,2)</f>
        <v>0</v>
      </c>
      <c r="AX1204" s="28">
        <f>ROUND(F1204*AP1204,2)</f>
        <v>0</v>
      </c>
      <c r="AY1204" s="30" t="s">
        <v>284</v>
      </c>
      <c r="AZ1204" s="30" t="s">
        <v>2097</v>
      </c>
      <c r="BA1204" s="10" t="s">
        <v>2075</v>
      </c>
      <c r="BC1204" s="28">
        <f>AW1204+AX1204</f>
        <v>0</v>
      </c>
      <c r="BD1204" s="28">
        <f>G1204/(100-BE1204)*100</f>
        <v>0</v>
      </c>
      <c r="BE1204" s="28">
        <v>0</v>
      </c>
      <c r="BF1204" s="28">
        <f>1204</f>
        <v>1204</v>
      </c>
      <c r="BH1204" s="28">
        <f>F1204*AO1204</f>
        <v>0</v>
      </c>
      <c r="BI1204" s="28">
        <f>F1204*AP1204</f>
        <v>0</v>
      </c>
      <c r="BJ1204" s="28">
        <f>F1204*G1204</f>
        <v>0</v>
      </c>
      <c r="BK1204" s="28"/>
      <c r="BL1204" s="28">
        <v>45</v>
      </c>
      <c r="BW1204" s="28">
        <v>21</v>
      </c>
      <c r="BX1204" s="4" t="s">
        <v>2106</v>
      </c>
    </row>
    <row r="1205" spans="1:76" ht="14.4" x14ac:dyDescent="0.3">
      <c r="A1205" s="31"/>
      <c r="C1205" s="32" t="s">
        <v>2107</v>
      </c>
      <c r="D1205" s="32" t="s">
        <v>51</v>
      </c>
      <c r="F1205" s="33">
        <v>117</v>
      </c>
      <c r="K1205" s="34"/>
    </row>
    <row r="1206" spans="1:76" ht="66" x14ac:dyDescent="0.3">
      <c r="A1206" s="31"/>
      <c r="B1206" s="35" t="s">
        <v>68</v>
      </c>
      <c r="C1206" s="93" t="s">
        <v>2108</v>
      </c>
      <c r="D1206" s="94"/>
      <c r="E1206" s="94"/>
      <c r="F1206" s="94"/>
      <c r="G1206" s="94"/>
      <c r="H1206" s="94"/>
      <c r="I1206" s="94"/>
      <c r="J1206" s="94"/>
      <c r="K1206" s="95"/>
      <c r="BX1206" s="36" t="s">
        <v>2108</v>
      </c>
    </row>
    <row r="1207" spans="1:76" ht="14.4" x14ac:dyDescent="0.3">
      <c r="A1207" s="24" t="s">
        <v>51</v>
      </c>
      <c r="B1207" s="25" t="s">
        <v>539</v>
      </c>
      <c r="C1207" s="91" t="s">
        <v>2109</v>
      </c>
      <c r="D1207" s="92"/>
      <c r="E1207" s="26" t="s">
        <v>4</v>
      </c>
      <c r="F1207" s="26" t="s">
        <v>4</v>
      </c>
      <c r="G1207" s="26" t="s">
        <v>4</v>
      </c>
      <c r="H1207" s="1">
        <f>SUM(H1208:H1209)</f>
        <v>0</v>
      </c>
      <c r="I1207" s="1">
        <f>SUM(I1208:I1209)</f>
        <v>0</v>
      </c>
      <c r="J1207" s="1">
        <f>SUM(J1208:J1209)</f>
        <v>0</v>
      </c>
      <c r="K1207" s="27" t="s">
        <v>51</v>
      </c>
      <c r="AI1207" s="10" t="s">
        <v>2070</v>
      </c>
      <c r="AS1207" s="1">
        <f>SUM(AJ1208:AJ1209)</f>
        <v>0</v>
      </c>
      <c r="AT1207" s="1">
        <f>SUM(AK1208:AK1209)</f>
        <v>0</v>
      </c>
      <c r="AU1207" s="1">
        <f>SUM(AL1208:AL1209)</f>
        <v>0</v>
      </c>
    </row>
    <row r="1208" spans="1:76" ht="14.4" x14ac:dyDescent="0.3">
      <c r="A1208" s="2" t="s">
        <v>2110</v>
      </c>
      <c r="B1208" s="3" t="s">
        <v>2111</v>
      </c>
      <c r="C1208" s="75" t="s">
        <v>2112</v>
      </c>
      <c r="D1208" s="70"/>
      <c r="E1208" s="3" t="s">
        <v>188</v>
      </c>
      <c r="F1208" s="28">
        <v>65</v>
      </c>
      <c r="G1208" s="28">
        <v>0</v>
      </c>
      <c r="H1208" s="28">
        <f>ROUND(F1208*AO1208,2)</f>
        <v>0</v>
      </c>
      <c r="I1208" s="28">
        <f>ROUND(F1208*AP1208,2)</f>
        <v>0</v>
      </c>
      <c r="J1208" s="28">
        <f>ROUND(F1208*G1208,2)</f>
        <v>0</v>
      </c>
      <c r="K1208" s="29" t="s">
        <v>60</v>
      </c>
      <c r="Z1208" s="28">
        <f>ROUND(IF(AQ1208="5",BJ1208,0),2)</f>
        <v>0</v>
      </c>
      <c r="AB1208" s="28">
        <f>ROUND(IF(AQ1208="1",BH1208,0),2)</f>
        <v>0</v>
      </c>
      <c r="AC1208" s="28">
        <f>ROUND(IF(AQ1208="1",BI1208,0),2)</f>
        <v>0</v>
      </c>
      <c r="AD1208" s="28">
        <f>ROUND(IF(AQ1208="7",BH1208,0),2)</f>
        <v>0</v>
      </c>
      <c r="AE1208" s="28">
        <f>ROUND(IF(AQ1208="7",BI1208,0),2)</f>
        <v>0</v>
      </c>
      <c r="AF1208" s="28">
        <f>ROUND(IF(AQ1208="2",BH1208,0),2)</f>
        <v>0</v>
      </c>
      <c r="AG1208" s="28">
        <f>ROUND(IF(AQ1208="2",BI1208,0),2)</f>
        <v>0</v>
      </c>
      <c r="AH1208" s="28">
        <f>ROUND(IF(AQ1208="0",BJ1208,0),2)</f>
        <v>0</v>
      </c>
      <c r="AI1208" s="10" t="s">
        <v>2070</v>
      </c>
      <c r="AJ1208" s="28">
        <f>IF(AN1208=0,J1208,0)</f>
        <v>0</v>
      </c>
      <c r="AK1208" s="28">
        <f>IF(AN1208=12,J1208,0)</f>
        <v>0</v>
      </c>
      <c r="AL1208" s="28">
        <f>IF(AN1208=21,J1208,0)</f>
        <v>0</v>
      </c>
      <c r="AN1208" s="28">
        <v>21</v>
      </c>
      <c r="AO1208" s="28">
        <f>G1208*0</f>
        <v>0</v>
      </c>
      <c r="AP1208" s="28">
        <f>G1208*(1-0)</f>
        <v>0</v>
      </c>
      <c r="AQ1208" s="30" t="s">
        <v>56</v>
      </c>
      <c r="AV1208" s="28">
        <f>ROUND(AW1208+AX1208,2)</f>
        <v>0</v>
      </c>
      <c r="AW1208" s="28">
        <f>ROUND(F1208*AO1208,2)</f>
        <v>0</v>
      </c>
      <c r="AX1208" s="28">
        <f>ROUND(F1208*AP1208,2)</f>
        <v>0</v>
      </c>
      <c r="AY1208" s="30" t="s">
        <v>2113</v>
      </c>
      <c r="AZ1208" s="30" t="s">
        <v>2114</v>
      </c>
      <c r="BA1208" s="10" t="s">
        <v>2075</v>
      </c>
      <c r="BC1208" s="28">
        <f>AW1208+AX1208</f>
        <v>0</v>
      </c>
      <c r="BD1208" s="28">
        <f>G1208/(100-BE1208)*100</f>
        <v>0</v>
      </c>
      <c r="BE1208" s="28">
        <v>0</v>
      </c>
      <c r="BF1208" s="28">
        <f>1208</f>
        <v>1208</v>
      </c>
      <c r="BH1208" s="28">
        <f>F1208*AO1208</f>
        <v>0</v>
      </c>
      <c r="BI1208" s="28">
        <f>F1208*AP1208</f>
        <v>0</v>
      </c>
      <c r="BJ1208" s="28">
        <f>F1208*G1208</f>
        <v>0</v>
      </c>
      <c r="BK1208" s="28"/>
      <c r="BL1208" s="28">
        <v>81</v>
      </c>
      <c r="BW1208" s="28">
        <v>21</v>
      </c>
      <c r="BX1208" s="4" t="s">
        <v>2112</v>
      </c>
    </row>
    <row r="1209" spans="1:76" ht="14.4" x14ac:dyDescent="0.3">
      <c r="A1209" s="2" t="s">
        <v>2115</v>
      </c>
      <c r="B1209" s="3" t="s">
        <v>2116</v>
      </c>
      <c r="C1209" s="75" t="s">
        <v>2117</v>
      </c>
      <c r="D1209" s="70"/>
      <c r="E1209" s="3" t="s">
        <v>293</v>
      </c>
      <c r="F1209" s="28">
        <v>28.6</v>
      </c>
      <c r="G1209" s="28">
        <v>0</v>
      </c>
      <c r="H1209" s="28">
        <f>ROUND(F1209*AO1209,2)</f>
        <v>0</v>
      </c>
      <c r="I1209" s="28">
        <f>ROUND(F1209*AP1209,2)</f>
        <v>0</v>
      </c>
      <c r="J1209" s="28">
        <f>ROUND(F1209*G1209,2)</f>
        <v>0</v>
      </c>
      <c r="K1209" s="29" t="s">
        <v>60</v>
      </c>
      <c r="Z1209" s="28">
        <f>ROUND(IF(AQ1209="5",BJ1209,0),2)</f>
        <v>0</v>
      </c>
      <c r="AB1209" s="28">
        <f>ROUND(IF(AQ1209="1",BH1209,0),2)</f>
        <v>0</v>
      </c>
      <c r="AC1209" s="28">
        <f>ROUND(IF(AQ1209="1",BI1209,0),2)</f>
        <v>0</v>
      </c>
      <c r="AD1209" s="28">
        <f>ROUND(IF(AQ1209="7",BH1209,0),2)</f>
        <v>0</v>
      </c>
      <c r="AE1209" s="28">
        <f>ROUND(IF(AQ1209="7",BI1209,0),2)</f>
        <v>0</v>
      </c>
      <c r="AF1209" s="28">
        <f>ROUND(IF(AQ1209="2",BH1209,0),2)</f>
        <v>0</v>
      </c>
      <c r="AG1209" s="28">
        <f>ROUND(IF(AQ1209="2",BI1209,0),2)</f>
        <v>0</v>
      </c>
      <c r="AH1209" s="28">
        <f>ROUND(IF(AQ1209="0",BJ1209,0),2)</f>
        <v>0</v>
      </c>
      <c r="AI1209" s="10" t="s">
        <v>2070</v>
      </c>
      <c r="AJ1209" s="28">
        <f>IF(AN1209=0,J1209,0)</f>
        <v>0</v>
      </c>
      <c r="AK1209" s="28">
        <f>IF(AN1209=12,J1209,0)</f>
        <v>0</v>
      </c>
      <c r="AL1209" s="28">
        <f>IF(AN1209=21,J1209,0)</f>
        <v>0</v>
      </c>
      <c r="AN1209" s="28">
        <v>21</v>
      </c>
      <c r="AO1209" s="28">
        <f>G1209*1</f>
        <v>0</v>
      </c>
      <c r="AP1209" s="28">
        <f>G1209*(1-1)</f>
        <v>0</v>
      </c>
      <c r="AQ1209" s="30" t="s">
        <v>56</v>
      </c>
      <c r="AV1209" s="28">
        <f>ROUND(AW1209+AX1209,2)</f>
        <v>0</v>
      </c>
      <c r="AW1209" s="28">
        <f>ROUND(F1209*AO1209,2)</f>
        <v>0</v>
      </c>
      <c r="AX1209" s="28">
        <f>ROUND(F1209*AP1209,2)</f>
        <v>0</v>
      </c>
      <c r="AY1209" s="30" t="s">
        <v>2113</v>
      </c>
      <c r="AZ1209" s="30" t="s">
        <v>2114</v>
      </c>
      <c r="BA1209" s="10" t="s">
        <v>2075</v>
      </c>
      <c r="BC1209" s="28">
        <f>AW1209+AX1209</f>
        <v>0</v>
      </c>
      <c r="BD1209" s="28">
        <f>G1209/(100-BE1209)*100</f>
        <v>0</v>
      </c>
      <c r="BE1209" s="28">
        <v>0</v>
      </c>
      <c r="BF1209" s="28">
        <f>1209</f>
        <v>1209</v>
      </c>
      <c r="BH1209" s="28">
        <f>F1209*AO1209</f>
        <v>0</v>
      </c>
      <c r="BI1209" s="28">
        <f>F1209*AP1209</f>
        <v>0</v>
      </c>
      <c r="BJ1209" s="28">
        <f>F1209*G1209</f>
        <v>0</v>
      </c>
      <c r="BK1209" s="28"/>
      <c r="BL1209" s="28">
        <v>81</v>
      </c>
      <c r="BW1209" s="28">
        <v>21</v>
      </c>
      <c r="BX1209" s="4" t="s">
        <v>2117</v>
      </c>
    </row>
    <row r="1210" spans="1:76" ht="14.4" x14ac:dyDescent="0.3">
      <c r="A1210" s="31"/>
      <c r="C1210" s="32" t="s">
        <v>2118</v>
      </c>
      <c r="D1210" s="32" t="s">
        <v>51</v>
      </c>
      <c r="F1210" s="33">
        <v>26</v>
      </c>
      <c r="K1210" s="34"/>
    </row>
    <row r="1211" spans="1:76" ht="14.4" x14ac:dyDescent="0.3">
      <c r="A1211" s="31"/>
      <c r="C1211" s="32" t="s">
        <v>2119</v>
      </c>
      <c r="D1211" s="32" t="s">
        <v>51</v>
      </c>
      <c r="F1211" s="33">
        <v>2.6</v>
      </c>
      <c r="K1211" s="34"/>
    </row>
    <row r="1212" spans="1:76" ht="26.4" x14ac:dyDescent="0.3">
      <c r="A1212" s="31"/>
      <c r="B1212" s="35" t="s">
        <v>68</v>
      </c>
      <c r="C1212" s="93" t="s">
        <v>2120</v>
      </c>
      <c r="D1212" s="94"/>
      <c r="E1212" s="94"/>
      <c r="F1212" s="94"/>
      <c r="G1212" s="94"/>
      <c r="H1212" s="94"/>
      <c r="I1212" s="94"/>
      <c r="J1212" s="94"/>
      <c r="K1212" s="95"/>
      <c r="BX1212" s="36" t="s">
        <v>2120</v>
      </c>
    </row>
    <row r="1213" spans="1:76" ht="14.4" x14ac:dyDescent="0.3">
      <c r="A1213" s="24" t="s">
        <v>51</v>
      </c>
      <c r="B1213" s="25" t="s">
        <v>532</v>
      </c>
      <c r="C1213" s="91" t="s">
        <v>533</v>
      </c>
      <c r="D1213" s="92"/>
      <c r="E1213" s="26" t="s">
        <v>4</v>
      </c>
      <c r="F1213" s="26" t="s">
        <v>4</v>
      </c>
      <c r="G1213" s="26" t="s">
        <v>4</v>
      </c>
      <c r="H1213" s="1">
        <f>SUM(H1214:H1227)</f>
        <v>0</v>
      </c>
      <c r="I1213" s="1">
        <f>SUM(I1214:I1227)</f>
        <v>0</v>
      </c>
      <c r="J1213" s="1">
        <f>SUM(J1214:J1227)</f>
        <v>0</v>
      </c>
      <c r="K1213" s="27" t="s">
        <v>51</v>
      </c>
      <c r="AI1213" s="10" t="s">
        <v>2070</v>
      </c>
      <c r="AS1213" s="1">
        <f>SUM(AJ1214:AJ1227)</f>
        <v>0</v>
      </c>
      <c r="AT1213" s="1">
        <f>SUM(AK1214:AK1227)</f>
        <v>0</v>
      </c>
      <c r="AU1213" s="1">
        <f>SUM(AL1214:AL1227)</f>
        <v>0</v>
      </c>
    </row>
    <row r="1214" spans="1:76" ht="14.4" x14ac:dyDescent="0.3">
      <c r="A1214" s="2" t="s">
        <v>2121</v>
      </c>
      <c r="B1214" s="3" t="s">
        <v>560</v>
      </c>
      <c r="C1214" s="75" t="s">
        <v>561</v>
      </c>
      <c r="D1214" s="70"/>
      <c r="E1214" s="3" t="s">
        <v>59</v>
      </c>
      <c r="F1214" s="28">
        <v>17.55</v>
      </c>
      <c r="G1214" s="28">
        <v>0</v>
      </c>
      <c r="H1214" s="28">
        <f>ROUND(F1214*AO1214,2)</f>
        <v>0</v>
      </c>
      <c r="I1214" s="28">
        <f>ROUND(F1214*AP1214,2)</f>
        <v>0</v>
      </c>
      <c r="J1214" s="28">
        <f>ROUND(F1214*G1214,2)</f>
        <v>0</v>
      </c>
      <c r="K1214" s="29" t="s">
        <v>60</v>
      </c>
      <c r="Z1214" s="28">
        <f>ROUND(IF(AQ1214="5",BJ1214,0),2)</f>
        <v>0</v>
      </c>
      <c r="AB1214" s="28">
        <f>ROUND(IF(AQ1214="1",BH1214,0),2)</f>
        <v>0</v>
      </c>
      <c r="AC1214" s="28">
        <f>ROUND(IF(AQ1214="1",BI1214,0),2)</f>
        <v>0</v>
      </c>
      <c r="AD1214" s="28">
        <f>ROUND(IF(AQ1214="7",BH1214,0),2)</f>
        <v>0</v>
      </c>
      <c r="AE1214" s="28">
        <f>ROUND(IF(AQ1214="7",BI1214,0),2)</f>
        <v>0</v>
      </c>
      <c r="AF1214" s="28">
        <f>ROUND(IF(AQ1214="2",BH1214,0),2)</f>
        <v>0</v>
      </c>
      <c r="AG1214" s="28">
        <f>ROUND(IF(AQ1214="2",BI1214,0),2)</f>
        <v>0</v>
      </c>
      <c r="AH1214" s="28">
        <f>ROUND(IF(AQ1214="0",BJ1214,0),2)</f>
        <v>0</v>
      </c>
      <c r="AI1214" s="10" t="s">
        <v>2070</v>
      </c>
      <c r="AJ1214" s="28">
        <f>IF(AN1214=0,J1214,0)</f>
        <v>0</v>
      </c>
      <c r="AK1214" s="28">
        <f>IF(AN1214=12,J1214,0)</f>
        <v>0</v>
      </c>
      <c r="AL1214" s="28">
        <f>IF(AN1214=21,J1214,0)</f>
        <v>0</v>
      </c>
      <c r="AN1214" s="28">
        <v>21</v>
      </c>
      <c r="AO1214" s="28">
        <f>G1214*0.875004763</f>
        <v>0</v>
      </c>
      <c r="AP1214" s="28">
        <f>G1214*(1-0.875004763)</f>
        <v>0</v>
      </c>
      <c r="AQ1214" s="30" t="s">
        <v>56</v>
      </c>
      <c r="AV1214" s="28">
        <f>ROUND(AW1214+AX1214,2)</f>
        <v>0</v>
      </c>
      <c r="AW1214" s="28">
        <f>ROUND(F1214*AO1214,2)</f>
        <v>0</v>
      </c>
      <c r="AX1214" s="28">
        <f>ROUND(F1214*AP1214,2)</f>
        <v>0</v>
      </c>
      <c r="AY1214" s="30" t="s">
        <v>537</v>
      </c>
      <c r="AZ1214" s="30" t="s">
        <v>2114</v>
      </c>
      <c r="BA1214" s="10" t="s">
        <v>2075</v>
      </c>
      <c r="BC1214" s="28">
        <f>AW1214+AX1214</f>
        <v>0</v>
      </c>
      <c r="BD1214" s="28">
        <f>G1214/(100-BE1214)*100</f>
        <v>0</v>
      </c>
      <c r="BE1214" s="28">
        <v>0</v>
      </c>
      <c r="BF1214" s="28">
        <f>1214</f>
        <v>1214</v>
      </c>
      <c r="BH1214" s="28">
        <f>F1214*AO1214</f>
        <v>0</v>
      </c>
      <c r="BI1214" s="28">
        <f>F1214*AP1214</f>
        <v>0</v>
      </c>
      <c r="BJ1214" s="28">
        <f>F1214*G1214</f>
        <v>0</v>
      </c>
      <c r="BK1214" s="28"/>
      <c r="BL1214" s="28">
        <v>89</v>
      </c>
      <c r="BW1214" s="28">
        <v>21</v>
      </c>
      <c r="BX1214" s="4" t="s">
        <v>561</v>
      </c>
    </row>
    <row r="1215" spans="1:76" ht="39.6" x14ac:dyDescent="0.3">
      <c r="A1215" s="31"/>
      <c r="B1215" s="35" t="s">
        <v>68</v>
      </c>
      <c r="C1215" s="93" t="s">
        <v>562</v>
      </c>
      <c r="D1215" s="94"/>
      <c r="E1215" s="94"/>
      <c r="F1215" s="94"/>
      <c r="G1215" s="94"/>
      <c r="H1215" s="94"/>
      <c r="I1215" s="94"/>
      <c r="J1215" s="94"/>
      <c r="K1215" s="95"/>
      <c r="BX1215" s="36" t="s">
        <v>562</v>
      </c>
    </row>
    <row r="1216" spans="1:76" ht="14.4" x14ac:dyDescent="0.3">
      <c r="A1216" s="2" t="s">
        <v>2122</v>
      </c>
      <c r="B1216" s="3" t="s">
        <v>2123</v>
      </c>
      <c r="C1216" s="75" t="s">
        <v>2124</v>
      </c>
      <c r="D1216" s="70"/>
      <c r="E1216" s="3" t="s">
        <v>188</v>
      </c>
      <c r="F1216" s="28">
        <v>65</v>
      </c>
      <c r="G1216" s="28">
        <v>0</v>
      </c>
      <c r="H1216" s="28">
        <f>ROUND(F1216*AO1216,2)</f>
        <v>0</v>
      </c>
      <c r="I1216" s="28">
        <f>ROUND(F1216*AP1216,2)</f>
        <v>0</v>
      </c>
      <c r="J1216" s="28">
        <f>ROUND(F1216*G1216,2)</f>
        <v>0</v>
      </c>
      <c r="K1216" s="29" t="s">
        <v>60</v>
      </c>
      <c r="Z1216" s="28">
        <f>ROUND(IF(AQ1216="5",BJ1216,0),2)</f>
        <v>0</v>
      </c>
      <c r="AB1216" s="28">
        <f>ROUND(IF(AQ1216="1",BH1216,0),2)</f>
        <v>0</v>
      </c>
      <c r="AC1216" s="28">
        <f>ROUND(IF(AQ1216="1",BI1216,0),2)</f>
        <v>0</v>
      </c>
      <c r="AD1216" s="28">
        <f>ROUND(IF(AQ1216="7",BH1216,0),2)</f>
        <v>0</v>
      </c>
      <c r="AE1216" s="28">
        <f>ROUND(IF(AQ1216="7",BI1216,0),2)</f>
        <v>0</v>
      </c>
      <c r="AF1216" s="28">
        <f>ROUND(IF(AQ1216="2",BH1216,0),2)</f>
        <v>0</v>
      </c>
      <c r="AG1216" s="28">
        <f>ROUND(IF(AQ1216="2",BI1216,0),2)</f>
        <v>0</v>
      </c>
      <c r="AH1216" s="28">
        <f>ROUND(IF(AQ1216="0",BJ1216,0),2)</f>
        <v>0</v>
      </c>
      <c r="AI1216" s="10" t="s">
        <v>2070</v>
      </c>
      <c r="AJ1216" s="28">
        <f>IF(AN1216=0,J1216,0)</f>
        <v>0</v>
      </c>
      <c r="AK1216" s="28">
        <f>IF(AN1216=12,J1216,0)</f>
        <v>0</v>
      </c>
      <c r="AL1216" s="28">
        <f>IF(AN1216=21,J1216,0)</f>
        <v>0</v>
      </c>
      <c r="AN1216" s="28">
        <v>21</v>
      </c>
      <c r="AO1216" s="28">
        <f>G1216*0</f>
        <v>0</v>
      </c>
      <c r="AP1216" s="28">
        <f>G1216*(1-0)</f>
        <v>0</v>
      </c>
      <c r="AQ1216" s="30" t="s">
        <v>56</v>
      </c>
      <c r="AV1216" s="28">
        <f>ROUND(AW1216+AX1216,2)</f>
        <v>0</v>
      </c>
      <c r="AW1216" s="28">
        <f>ROUND(F1216*AO1216,2)</f>
        <v>0</v>
      </c>
      <c r="AX1216" s="28">
        <f>ROUND(F1216*AP1216,2)</f>
        <v>0</v>
      </c>
      <c r="AY1216" s="30" t="s">
        <v>537</v>
      </c>
      <c r="AZ1216" s="30" t="s">
        <v>2114</v>
      </c>
      <c r="BA1216" s="10" t="s">
        <v>2075</v>
      </c>
      <c r="BC1216" s="28">
        <f>AW1216+AX1216</f>
        <v>0</v>
      </c>
      <c r="BD1216" s="28">
        <f>G1216/(100-BE1216)*100</f>
        <v>0</v>
      </c>
      <c r="BE1216" s="28">
        <v>0</v>
      </c>
      <c r="BF1216" s="28">
        <f>1216</f>
        <v>1216</v>
      </c>
      <c r="BH1216" s="28">
        <f>F1216*AO1216</f>
        <v>0</v>
      </c>
      <c r="BI1216" s="28">
        <f>F1216*AP1216</f>
        <v>0</v>
      </c>
      <c r="BJ1216" s="28">
        <f>F1216*G1216</f>
        <v>0</v>
      </c>
      <c r="BK1216" s="28"/>
      <c r="BL1216" s="28">
        <v>89</v>
      </c>
      <c r="BW1216" s="28">
        <v>21</v>
      </c>
      <c r="BX1216" s="4" t="s">
        <v>2124</v>
      </c>
    </row>
    <row r="1217" spans="1:76" ht="14.4" x14ac:dyDescent="0.3">
      <c r="A1217" s="2" t="s">
        <v>2125</v>
      </c>
      <c r="B1217" s="3" t="s">
        <v>2126</v>
      </c>
      <c r="C1217" s="75" t="s">
        <v>2127</v>
      </c>
      <c r="D1217" s="70"/>
      <c r="E1217" s="3" t="s">
        <v>293</v>
      </c>
      <c r="F1217" s="28">
        <v>3</v>
      </c>
      <c r="G1217" s="28">
        <v>0</v>
      </c>
      <c r="H1217" s="28">
        <f>ROUND(F1217*AO1217,2)</f>
        <v>0</v>
      </c>
      <c r="I1217" s="28">
        <f>ROUND(F1217*AP1217,2)</f>
        <v>0</v>
      </c>
      <c r="J1217" s="28">
        <f>ROUND(F1217*G1217,2)</f>
        <v>0</v>
      </c>
      <c r="K1217" s="29" t="s">
        <v>60</v>
      </c>
      <c r="Z1217" s="28">
        <f>ROUND(IF(AQ1217="5",BJ1217,0),2)</f>
        <v>0</v>
      </c>
      <c r="AB1217" s="28">
        <f>ROUND(IF(AQ1217="1",BH1217,0),2)</f>
        <v>0</v>
      </c>
      <c r="AC1217" s="28">
        <f>ROUND(IF(AQ1217="1",BI1217,0),2)</f>
        <v>0</v>
      </c>
      <c r="AD1217" s="28">
        <f>ROUND(IF(AQ1217="7",BH1217,0),2)</f>
        <v>0</v>
      </c>
      <c r="AE1217" s="28">
        <f>ROUND(IF(AQ1217="7",BI1217,0),2)</f>
        <v>0</v>
      </c>
      <c r="AF1217" s="28">
        <f>ROUND(IF(AQ1217="2",BH1217,0),2)</f>
        <v>0</v>
      </c>
      <c r="AG1217" s="28">
        <f>ROUND(IF(AQ1217="2",BI1217,0),2)</f>
        <v>0</v>
      </c>
      <c r="AH1217" s="28">
        <f>ROUND(IF(AQ1217="0",BJ1217,0),2)</f>
        <v>0</v>
      </c>
      <c r="AI1217" s="10" t="s">
        <v>2070</v>
      </c>
      <c r="AJ1217" s="28">
        <f>IF(AN1217=0,J1217,0)</f>
        <v>0</v>
      </c>
      <c r="AK1217" s="28">
        <f>IF(AN1217=12,J1217,0)</f>
        <v>0</v>
      </c>
      <c r="AL1217" s="28">
        <f>IF(AN1217=21,J1217,0)</f>
        <v>0</v>
      </c>
      <c r="AN1217" s="28">
        <v>21</v>
      </c>
      <c r="AO1217" s="28">
        <f>G1217*0</f>
        <v>0</v>
      </c>
      <c r="AP1217" s="28">
        <f>G1217*(1-0)</f>
        <v>0</v>
      </c>
      <c r="AQ1217" s="30" t="s">
        <v>56</v>
      </c>
      <c r="AV1217" s="28">
        <f>ROUND(AW1217+AX1217,2)</f>
        <v>0</v>
      </c>
      <c r="AW1217" s="28">
        <f>ROUND(F1217*AO1217,2)</f>
        <v>0</v>
      </c>
      <c r="AX1217" s="28">
        <f>ROUND(F1217*AP1217,2)</f>
        <v>0</v>
      </c>
      <c r="AY1217" s="30" t="s">
        <v>537</v>
      </c>
      <c r="AZ1217" s="30" t="s">
        <v>2114</v>
      </c>
      <c r="BA1217" s="10" t="s">
        <v>2075</v>
      </c>
      <c r="BC1217" s="28">
        <f>AW1217+AX1217</f>
        <v>0</v>
      </c>
      <c r="BD1217" s="28">
        <f>G1217/(100-BE1217)*100</f>
        <v>0</v>
      </c>
      <c r="BE1217" s="28">
        <v>0</v>
      </c>
      <c r="BF1217" s="28">
        <f>1217</f>
        <v>1217</v>
      </c>
      <c r="BH1217" s="28">
        <f>F1217*AO1217</f>
        <v>0</v>
      </c>
      <c r="BI1217" s="28">
        <f>F1217*AP1217</f>
        <v>0</v>
      </c>
      <c r="BJ1217" s="28">
        <f>F1217*G1217</f>
        <v>0</v>
      </c>
      <c r="BK1217" s="28"/>
      <c r="BL1217" s="28">
        <v>89</v>
      </c>
      <c r="BW1217" s="28">
        <v>21</v>
      </c>
      <c r="BX1217" s="4" t="s">
        <v>2127</v>
      </c>
    </row>
    <row r="1218" spans="1:76" ht="14.4" x14ac:dyDescent="0.3">
      <c r="A1218" s="31"/>
      <c r="C1218" s="32" t="s">
        <v>80</v>
      </c>
      <c r="D1218" s="32" t="s">
        <v>51</v>
      </c>
      <c r="F1218" s="33">
        <v>3</v>
      </c>
      <c r="K1218" s="34"/>
    </row>
    <row r="1219" spans="1:76" ht="39.6" x14ac:dyDescent="0.3">
      <c r="A1219" s="31"/>
      <c r="B1219" s="35" t="s">
        <v>68</v>
      </c>
      <c r="C1219" s="93" t="s">
        <v>2128</v>
      </c>
      <c r="D1219" s="94"/>
      <c r="E1219" s="94"/>
      <c r="F1219" s="94"/>
      <c r="G1219" s="94"/>
      <c r="H1219" s="94"/>
      <c r="I1219" s="94"/>
      <c r="J1219" s="94"/>
      <c r="K1219" s="95"/>
      <c r="BX1219" s="36" t="s">
        <v>2128</v>
      </c>
    </row>
    <row r="1220" spans="1:76" ht="14.4" x14ac:dyDescent="0.3">
      <c r="A1220" s="2" t="s">
        <v>2129</v>
      </c>
      <c r="B1220" s="3" t="s">
        <v>2130</v>
      </c>
      <c r="C1220" s="75" t="s">
        <v>2131</v>
      </c>
      <c r="D1220" s="70"/>
      <c r="E1220" s="3" t="s">
        <v>293</v>
      </c>
      <c r="F1220" s="28">
        <v>3</v>
      </c>
      <c r="G1220" s="28">
        <v>0</v>
      </c>
      <c r="H1220" s="28">
        <f>ROUND(F1220*AO1220,2)</f>
        <v>0</v>
      </c>
      <c r="I1220" s="28">
        <f>ROUND(F1220*AP1220,2)</f>
        <v>0</v>
      </c>
      <c r="J1220" s="28">
        <f>ROUND(F1220*G1220,2)</f>
        <v>0</v>
      </c>
      <c r="K1220" s="29" t="s">
        <v>60</v>
      </c>
      <c r="Z1220" s="28">
        <f>ROUND(IF(AQ1220="5",BJ1220,0),2)</f>
        <v>0</v>
      </c>
      <c r="AB1220" s="28">
        <f>ROUND(IF(AQ1220="1",BH1220,0),2)</f>
        <v>0</v>
      </c>
      <c r="AC1220" s="28">
        <f>ROUND(IF(AQ1220="1",BI1220,0),2)</f>
        <v>0</v>
      </c>
      <c r="AD1220" s="28">
        <f>ROUND(IF(AQ1220="7",BH1220,0),2)</f>
        <v>0</v>
      </c>
      <c r="AE1220" s="28">
        <f>ROUND(IF(AQ1220="7",BI1220,0),2)</f>
        <v>0</v>
      </c>
      <c r="AF1220" s="28">
        <f>ROUND(IF(AQ1220="2",BH1220,0),2)</f>
        <v>0</v>
      </c>
      <c r="AG1220" s="28">
        <f>ROUND(IF(AQ1220="2",BI1220,0),2)</f>
        <v>0</v>
      </c>
      <c r="AH1220" s="28">
        <f>ROUND(IF(AQ1220="0",BJ1220,0),2)</f>
        <v>0</v>
      </c>
      <c r="AI1220" s="10" t="s">
        <v>2070</v>
      </c>
      <c r="AJ1220" s="28">
        <f>IF(AN1220=0,J1220,0)</f>
        <v>0</v>
      </c>
      <c r="AK1220" s="28">
        <f>IF(AN1220=12,J1220,0)</f>
        <v>0</v>
      </c>
      <c r="AL1220" s="28">
        <f>IF(AN1220=21,J1220,0)</f>
        <v>0</v>
      </c>
      <c r="AN1220" s="28">
        <v>21</v>
      </c>
      <c r="AO1220" s="28">
        <f>G1220*1</f>
        <v>0</v>
      </c>
      <c r="AP1220" s="28">
        <f>G1220*(1-1)</f>
        <v>0</v>
      </c>
      <c r="AQ1220" s="30" t="s">
        <v>56</v>
      </c>
      <c r="AV1220" s="28">
        <f>ROUND(AW1220+AX1220,2)</f>
        <v>0</v>
      </c>
      <c r="AW1220" s="28">
        <f>ROUND(F1220*AO1220,2)</f>
        <v>0</v>
      </c>
      <c r="AX1220" s="28">
        <f>ROUND(F1220*AP1220,2)</f>
        <v>0</v>
      </c>
      <c r="AY1220" s="30" t="s">
        <v>537</v>
      </c>
      <c r="AZ1220" s="30" t="s">
        <v>2114</v>
      </c>
      <c r="BA1220" s="10" t="s">
        <v>2075</v>
      </c>
      <c r="BC1220" s="28">
        <f>AW1220+AX1220</f>
        <v>0</v>
      </c>
      <c r="BD1220" s="28">
        <f>G1220/(100-BE1220)*100</f>
        <v>0</v>
      </c>
      <c r="BE1220" s="28">
        <v>0</v>
      </c>
      <c r="BF1220" s="28">
        <f>1220</f>
        <v>1220</v>
      </c>
      <c r="BH1220" s="28">
        <f>F1220*AO1220</f>
        <v>0</v>
      </c>
      <c r="BI1220" s="28">
        <f>F1220*AP1220</f>
        <v>0</v>
      </c>
      <c r="BJ1220" s="28">
        <f>F1220*G1220</f>
        <v>0</v>
      </c>
      <c r="BK1220" s="28"/>
      <c r="BL1220" s="28">
        <v>89</v>
      </c>
      <c r="BW1220" s="28">
        <v>21</v>
      </c>
      <c r="BX1220" s="4" t="s">
        <v>2131</v>
      </c>
    </row>
    <row r="1221" spans="1:76" ht="14.4" x14ac:dyDescent="0.3">
      <c r="A1221" s="2" t="s">
        <v>2132</v>
      </c>
      <c r="B1221" s="3" t="s">
        <v>300</v>
      </c>
      <c r="C1221" s="75" t="s">
        <v>301</v>
      </c>
      <c r="D1221" s="70"/>
      <c r="E1221" s="3" t="s">
        <v>293</v>
      </c>
      <c r="F1221" s="28">
        <v>3</v>
      </c>
      <c r="G1221" s="28">
        <v>0</v>
      </c>
      <c r="H1221" s="28">
        <f>ROUND(F1221*AO1221,2)</f>
        <v>0</v>
      </c>
      <c r="I1221" s="28">
        <f>ROUND(F1221*AP1221,2)</f>
        <v>0</v>
      </c>
      <c r="J1221" s="28">
        <f>ROUND(F1221*G1221,2)</f>
        <v>0</v>
      </c>
      <c r="K1221" s="29" t="s">
        <v>60</v>
      </c>
      <c r="Z1221" s="28">
        <f>ROUND(IF(AQ1221="5",BJ1221,0),2)</f>
        <v>0</v>
      </c>
      <c r="AB1221" s="28">
        <f>ROUND(IF(AQ1221="1",BH1221,0),2)</f>
        <v>0</v>
      </c>
      <c r="AC1221" s="28">
        <f>ROUND(IF(AQ1221="1",BI1221,0),2)</f>
        <v>0</v>
      </c>
      <c r="AD1221" s="28">
        <f>ROUND(IF(AQ1221="7",BH1221,0),2)</f>
        <v>0</v>
      </c>
      <c r="AE1221" s="28">
        <f>ROUND(IF(AQ1221="7",BI1221,0),2)</f>
        <v>0</v>
      </c>
      <c r="AF1221" s="28">
        <f>ROUND(IF(AQ1221="2",BH1221,0),2)</f>
        <v>0</v>
      </c>
      <c r="AG1221" s="28">
        <f>ROUND(IF(AQ1221="2",BI1221,0),2)</f>
        <v>0</v>
      </c>
      <c r="AH1221" s="28">
        <f>ROUND(IF(AQ1221="0",BJ1221,0),2)</f>
        <v>0</v>
      </c>
      <c r="AI1221" s="10" t="s">
        <v>2070</v>
      </c>
      <c r="AJ1221" s="28">
        <f>IF(AN1221=0,J1221,0)</f>
        <v>0</v>
      </c>
      <c r="AK1221" s="28">
        <f>IF(AN1221=12,J1221,0)</f>
        <v>0</v>
      </c>
      <c r="AL1221" s="28">
        <f>IF(AN1221=21,J1221,0)</f>
        <v>0</v>
      </c>
      <c r="AN1221" s="28">
        <v>21</v>
      </c>
      <c r="AO1221" s="28">
        <f>G1221*1</f>
        <v>0</v>
      </c>
      <c r="AP1221" s="28">
        <f>G1221*(1-1)</f>
        <v>0</v>
      </c>
      <c r="AQ1221" s="30" t="s">
        <v>56</v>
      </c>
      <c r="AV1221" s="28">
        <f>ROUND(AW1221+AX1221,2)</f>
        <v>0</v>
      </c>
      <c r="AW1221" s="28">
        <f>ROUND(F1221*AO1221,2)</f>
        <v>0</v>
      </c>
      <c r="AX1221" s="28">
        <f>ROUND(F1221*AP1221,2)</f>
        <v>0</v>
      </c>
      <c r="AY1221" s="30" t="s">
        <v>537</v>
      </c>
      <c r="AZ1221" s="30" t="s">
        <v>2114</v>
      </c>
      <c r="BA1221" s="10" t="s">
        <v>2075</v>
      </c>
      <c r="BC1221" s="28">
        <f>AW1221+AX1221</f>
        <v>0</v>
      </c>
      <c r="BD1221" s="28">
        <f>G1221/(100-BE1221)*100</f>
        <v>0</v>
      </c>
      <c r="BE1221" s="28">
        <v>0</v>
      </c>
      <c r="BF1221" s="28">
        <f>1221</f>
        <v>1221</v>
      </c>
      <c r="BH1221" s="28">
        <f>F1221*AO1221</f>
        <v>0</v>
      </c>
      <c r="BI1221" s="28">
        <f>F1221*AP1221</f>
        <v>0</v>
      </c>
      <c r="BJ1221" s="28">
        <f>F1221*G1221</f>
        <v>0</v>
      </c>
      <c r="BK1221" s="28"/>
      <c r="BL1221" s="28">
        <v>89</v>
      </c>
      <c r="BW1221" s="28">
        <v>21</v>
      </c>
      <c r="BX1221" s="4" t="s">
        <v>301</v>
      </c>
    </row>
    <row r="1222" spans="1:76" ht="26.4" x14ac:dyDescent="0.3">
      <c r="A1222" s="31"/>
      <c r="B1222" s="35" t="s">
        <v>68</v>
      </c>
      <c r="C1222" s="93" t="s">
        <v>298</v>
      </c>
      <c r="D1222" s="94"/>
      <c r="E1222" s="94"/>
      <c r="F1222" s="94"/>
      <c r="G1222" s="94"/>
      <c r="H1222" s="94"/>
      <c r="I1222" s="94"/>
      <c r="J1222" s="94"/>
      <c r="K1222" s="95"/>
      <c r="BX1222" s="36" t="s">
        <v>298</v>
      </c>
    </row>
    <row r="1223" spans="1:76" ht="14.4" x14ac:dyDescent="0.3">
      <c r="A1223" s="2" t="s">
        <v>2133</v>
      </c>
      <c r="B1223" s="3" t="s">
        <v>540</v>
      </c>
      <c r="C1223" s="75" t="s">
        <v>541</v>
      </c>
      <c r="D1223" s="70"/>
      <c r="E1223" s="3" t="s">
        <v>293</v>
      </c>
      <c r="F1223" s="28">
        <v>3</v>
      </c>
      <c r="G1223" s="28">
        <v>0</v>
      </c>
      <c r="H1223" s="28">
        <f>ROUND(F1223*AO1223,2)</f>
        <v>0</v>
      </c>
      <c r="I1223" s="28">
        <f>ROUND(F1223*AP1223,2)</f>
        <v>0</v>
      </c>
      <c r="J1223" s="28">
        <f>ROUND(F1223*G1223,2)</f>
        <v>0</v>
      </c>
      <c r="K1223" s="29" t="s">
        <v>60</v>
      </c>
      <c r="Z1223" s="28">
        <f>ROUND(IF(AQ1223="5",BJ1223,0),2)</f>
        <v>0</v>
      </c>
      <c r="AB1223" s="28">
        <f>ROUND(IF(AQ1223="1",BH1223,0),2)</f>
        <v>0</v>
      </c>
      <c r="AC1223" s="28">
        <f>ROUND(IF(AQ1223="1",BI1223,0),2)</f>
        <v>0</v>
      </c>
      <c r="AD1223" s="28">
        <f>ROUND(IF(AQ1223="7",BH1223,0),2)</f>
        <v>0</v>
      </c>
      <c r="AE1223" s="28">
        <f>ROUND(IF(AQ1223="7",BI1223,0),2)</f>
        <v>0</v>
      </c>
      <c r="AF1223" s="28">
        <f>ROUND(IF(AQ1223="2",BH1223,0),2)</f>
        <v>0</v>
      </c>
      <c r="AG1223" s="28">
        <f>ROUND(IF(AQ1223="2",BI1223,0),2)</f>
        <v>0</v>
      </c>
      <c r="AH1223" s="28">
        <f>ROUND(IF(AQ1223="0",BJ1223,0),2)</f>
        <v>0</v>
      </c>
      <c r="AI1223" s="10" t="s">
        <v>2070</v>
      </c>
      <c r="AJ1223" s="28">
        <f>IF(AN1223=0,J1223,0)</f>
        <v>0</v>
      </c>
      <c r="AK1223" s="28">
        <f>IF(AN1223=12,J1223,0)</f>
        <v>0</v>
      </c>
      <c r="AL1223" s="28">
        <f>IF(AN1223=21,J1223,0)</f>
        <v>0</v>
      </c>
      <c r="AN1223" s="28">
        <v>21</v>
      </c>
      <c r="AO1223" s="28">
        <f>G1223*1</f>
        <v>0</v>
      </c>
      <c r="AP1223" s="28">
        <f>G1223*(1-1)</f>
        <v>0</v>
      </c>
      <c r="AQ1223" s="30" t="s">
        <v>56</v>
      </c>
      <c r="AV1223" s="28">
        <f>ROUND(AW1223+AX1223,2)</f>
        <v>0</v>
      </c>
      <c r="AW1223" s="28">
        <f>ROUND(F1223*AO1223,2)</f>
        <v>0</v>
      </c>
      <c r="AX1223" s="28">
        <f>ROUND(F1223*AP1223,2)</f>
        <v>0</v>
      </c>
      <c r="AY1223" s="30" t="s">
        <v>537</v>
      </c>
      <c r="AZ1223" s="30" t="s">
        <v>2114</v>
      </c>
      <c r="BA1223" s="10" t="s">
        <v>2075</v>
      </c>
      <c r="BC1223" s="28">
        <f>AW1223+AX1223</f>
        <v>0</v>
      </c>
      <c r="BD1223" s="28">
        <f>G1223/(100-BE1223)*100</f>
        <v>0</v>
      </c>
      <c r="BE1223" s="28">
        <v>0</v>
      </c>
      <c r="BF1223" s="28">
        <f>1223</f>
        <v>1223</v>
      </c>
      <c r="BH1223" s="28">
        <f>F1223*AO1223</f>
        <v>0</v>
      </c>
      <c r="BI1223" s="28">
        <f>F1223*AP1223</f>
        <v>0</v>
      </c>
      <c r="BJ1223" s="28">
        <f>F1223*G1223</f>
        <v>0</v>
      </c>
      <c r="BK1223" s="28"/>
      <c r="BL1223" s="28">
        <v>89</v>
      </c>
      <c r="BW1223" s="28">
        <v>21</v>
      </c>
      <c r="BX1223" s="4" t="s">
        <v>541</v>
      </c>
    </row>
    <row r="1224" spans="1:76" ht="52.8" x14ac:dyDescent="0.3">
      <c r="A1224" s="31"/>
      <c r="B1224" s="35" t="s">
        <v>68</v>
      </c>
      <c r="C1224" s="93" t="s">
        <v>542</v>
      </c>
      <c r="D1224" s="94"/>
      <c r="E1224" s="94"/>
      <c r="F1224" s="94"/>
      <c r="G1224" s="94"/>
      <c r="H1224" s="94"/>
      <c r="I1224" s="94"/>
      <c r="J1224" s="94"/>
      <c r="K1224" s="95"/>
      <c r="BX1224" s="36" t="s">
        <v>542</v>
      </c>
    </row>
    <row r="1225" spans="1:76" ht="14.4" x14ac:dyDescent="0.3">
      <c r="A1225" s="2" t="s">
        <v>2134</v>
      </c>
      <c r="B1225" s="3" t="s">
        <v>2135</v>
      </c>
      <c r="C1225" s="75" t="s">
        <v>2136</v>
      </c>
      <c r="D1225" s="70"/>
      <c r="E1225" s="3" t="s">
        <v>293</v>
      </c>
      <c r="F1225" s="28">
        <v>3</v>
      </c>
      <c r="G1225" s="28">
        <v>0</v>
      </c>
      <c r="H1225" s="28">
        <f>ROUND(F1225*AO1225,2)</f>
        <v>0</v>
      </c>
      <c r="I1225" s="28">
        <f>ROUND(F1225*AP1225,2)</f>
        <v>0</v>
      </c>
      <c r="J1225" s="28">
        <f>ROUND(F1225*G1225,2)</f>
        <v>0</v>
      </c>
      <c r="K1225" s="29" t="s">
        <v>60</v>
      </c>
      <c r="Z1225" s="28">
        <f>ROUND(IF(AQ1225="5",BJ1225,0),2)</f>
        <v>0</v>
      </c>
      <c r="AB1225" s="28">
        <f>ROUND(IF(AQ1225="1",BH1225,0),2)</f>
        <v>0</v>
      </c>
      <c r="AC1225" s="28">
        <f>ROUND(IF(AQ1225="1",BI1225,0),2)</f>
        <v>0</v>
      </c>
      <c r="AD1225" s="28">
        <f>ROUND(IF(AQ1225="7",BH1225,0),2)</f>
        <v>0</v>
      </c>
      <c r="AE1225" s="28">
        <f>ROUND(IF(AQ1225="7",BI1225,0),2)</f>
        <v>0</v>
      </c>
      <c r="AF1225" s="28">
        <f>ROUND(IF(AQ1225="2",BH1225,0),2)</f>
        <v>0</v>
      </c>
      <c r="AG1225" s="28">
        <f>ROUND(IF(AQ1225="2",BI1225,0),2)</f>
        <v>0</v>
      </c>
      <c r="AH1225" s="28">
        <f>ROUND(IF(AQ1225="0",BJ1225,0),2)</f>
        <v>0</v>
      </c>
      <c r="AI1225" s="10" t="s">
        <v>2070</v>
      </c>
      <c r="AJ1225" s="28">
        <f>IF(AN1225=0,J1225,0)</f>
        <v>0</v>
      </c>
      <c r="AK1225" s="28">
        <f>IF(AN1225=12,J1225,0)</f>
        <v>0</v>
      </c>
      <c r="AL1225" s="28">
        <f>IF(AN1225=21,J1225,0)</f>
        <v>0</v>
      </c>
      <c r="AN1225" s="28">
        <v>21</v>
      </c>
      <c r="AO1225" s="28">
        <f>G1225*1</f>
        <v>0</v>
      </c>
      <c r="AP1225" s="28">
        <f>G1225*(1-1)</f>
        <v>0</v>
      </c>
      <c r="AQ1225" s="30" t="s">
        <v>56</v>
      </c>
      <c r="AV1225" s="28">
        <f>ROUND(AW1225+AX1225,2)</f>
        <v>0</v>
      </c>
      <c r="AW1225" s="28">
        <f>ROUND(F1225*AO1225,2)</f>
        <v>0</v>
      </c>
      <c r="AX1225" s="28">
        <f>ROUND(F1225*AP1225,2)</f>
        <v>0</v>
      </c>
      <c r="AY1225" s="30" t="s">
        <v>537</v>
      </c>
      <c r="AZ1225" s="30" t="s">
        <v>2114</v>
      </c>
      <c r="BA1225" s="10" t="s">
        <v>2075</v>
      </c>
      <c r="BC1225" s="28">
        <f>AW1225+AX1225</f>
        <v>0</v>
      </c>
      <c r="BD1225" s="28">
        <f>G1225/(100-BE1225)*100</f>
        <v>0</v>
      </c>
      <c r="BE1225" s="28">
        <v>0</v>
      </c>
      <c r="BF1225" s="28">
        <f>1225</f>
        <v>1225</v>
      </c>
      <c r="BH1225" s="28">
        <f>F1225*AO1225</f>
        <v>0</v>
      </c>
      <c r="BI1225" s="28">
        <f>F1225*AP1225</f>
        <v>0</v>
      </c>
      <c r="BJ1225" s="28">
        <f>F1225*G1225</f>
        <v>0</v>
      </c>
      <c r="BK1225" s="28"/>
      <c r="BL1225" s="28">
        <v>89</v>
      </c>
      <c r="BW1225" s="28">
        <v>21</v>
      </c>
      <c r="BX1225" s="4" t="s">
        <v>2136</v>
      </c>
    </row>
    <row r="1226" spans="1:76" ht="39.6" x14ac:dyDescent="0.3">
      <c r="A1226" s="31"/>
      <c r="B1226" s="35" t="s">
        <v>68</v>
      </c>
      <c r="C1226" s="93" t="s">
        <v>2137</v>
      </c>
      <c r="D1226" s="94"/>
      <c r="E1226" s="94"/>
      <c r="F1226" s="94"/>
      <c r="G1226" s="94"/>
      <c r="H1226" s="94"/>
      <c r="I1226" s="94"/>
      <c r="J1226" s="94"/>
      <c r="K1226" s="95"/>
      <c r="BX1226" s="36" t="s">
        <v>2137</v>
      </c>
    </row>
    <row r="1227" spans="1:76" ht="14.4" x14ac:dyDescent="0.3">
      <c r="A1227" s="2" t="s">
        <v>2138</v>
      </c>
      <c r="B1227" s="3" t="s">
        <v>2139</v>
      </c>
      <c r="C1227" s="75" t="s">
        <v>2140</v>
      </c>
      <c r="D1227" s="70"/>
      <c r="E1227" s="3" t="s">
        <v>293</v>
      </c>
      <c r="F1227" s="28">
        <v>3</v>
      </c>
      <c r="G1227" s="28">
        <v>0</v>
      </c>
      <c r="H1227" s="28">
        <f>ROUND(F1227*AO1227,2)</f>
        <v>0</v>
      </c>
      <c r="I1227" s="28">
        <f>ROUND(F1227*AP1227,2)</f>
        <v>0</v>
      </c>
      <c r="J1227" s="28">
        <f>ROUND(F1227*G1227,2)</f>
        <v>0</v>
      </c>
      <c r="K1227" s="29" t="s">
        <v>426</v>
      </c>
      <c r="Z1227" s="28">
        <f>ROUND(IF(AQ1227="5",BJ1227,0),2)</f>
        <v>0</v>
      </c>
      <c r="AB1227" s="28">
        <f>ROUND(IF(AQ1227="1",BH1227,0),2)</f>
        <v>0</v>
      </c>
      <c r="AC1227" s="28">
        <f>ROUND(IF(AQ1227="1",BI1227,0),2)</f>
        <v>0</v>
      </c>
      <c r="AD1227" s="28">
        <f>ROUND(IF(AQ1227="7",BH1227,0),2)</f>
        <v>0</v>
      </c>
      <c r="AE1227" s="28">
        <f>ROUND(IF(AQ1227="7",BI1227,0),2)</f>
        <v>0</v>
      </c>
      <c r="AF1227" s="28">
        <f>ROUND(IF(AQ1227="2",BH1227,0),2)</f>
        <v>0</v>
      </c>
      <c r="AG1227" s="28">
        <f>ROUND(IF(AQ1227="2",BI1227,0),2)</f>
        <v>0</v>
      </c>
      <c r="AH1227" s="28">
        <f>ROUND(IF(AQ1227="0",BJ1227,0),2)</f>
        <v>0</v>
      </c>
      <c r="AI1227" s="10" t="s">
        <v>2070</v>
      </c>
      <c r="AJ1227" s="28">
        <f>IF(AN1227=0,J1227,0)</f>
        <v>0</v>
      </c>
      <c r="AK1227" s="28">
        <f>IF(AN1227=12,J1227,0)</f>
        <v>0</v>
      </c>
      <c r="AL1227" s="28">
        <f>IF(AN1227=21,J1227,0)</f>
        <v>0</v>
      </c>
      <c r="AN1227" s="28">
        <v>21</v>
      </c>
      <c r="AO1227" s="28">
        <f>G1227*1</f>
        <v>0</v>
      </c>
      <c r="AP1227" s="28">
        <f>G1227*(1-1)</f>
        <v>0</v>
      </c>
      <c r="AQ1227" s="30" t="s">
        <v>56</v>
      </c>
      <c r="AV1227" s="28">
        <f>ROUND(AW1227+AX1227,2)</f>
        <v>0</v>
      </c>
      <c r="AW1227" s="28">
        <f>ROUND(F1227*AO1227,2)</f>
        <v>0</v>
      </c>
      <c r="AX1227" s="28">
        <f>ROUND(F1227*AP1227,2)</f>
        <v>0</v>
      </c>
      <c r="AY1227" s="30" t="s">
        <v>537</v>
      </c>
      <c r="AZ1227" s="30" t="s">
        <v>2114</v>
      </c>
      <c r="BA1227" s="10" t="s">
        <v>2075</v>
      </c>
      <c r="BC1227" s="28">
        <f>AW1227+AX1227</f>
        <v>0</v>
      </c>
      <c r="BD1227" s="28">
        <f>G1227/(100-BE1227)*100</f>
        <v>0</v>
      </c>
      <c r="BE1227" s="28">
        <v>0</v>
      </c>
      <c r="BF1227" s="28">
        <f>1227</f>
        <v>1227</v>
      </c>
      <c r="BH1227" s="28">
        <f>F1227*AO1227</f>
        <v>0</v>
      </c>
      <c r="BI1227" s="28">
        <f>F1227*AP1227</f>
        <v>0</v>
      </c>
      <c r="BJ1227" s="28">
        <f>F1227*G1227</f>
        <v>0</v>
      </c>
      <c r="BK1227" s="28"/>
      <c r="BL1227" s="28">
        <v>89</v>
      </c>
      <c r="BW1227" s="28">
        <v>21</v>
      </c>
      <c r="BX1227" s="4" t="s">
        <v>2140</v>
      </c>
    </row>
    <row r="1228" spans="1:76" ht="14.4" x14ac:dyDescent="0.3">
      <c r="A1228" s="24" t="s">
        <v>51</v>
      </c>
      <c r="B1228" s="25" t="s">
        <v>2141</v>
      </c>
      <c r="C1228" s="91" t="s">
        <v>2142</v>
      </c>
      <c r="D1228" s="92"/>
      <c r="E1228" s="26" t="s">
        <v>4</v>
      </c>
      <c r="F1228" s="26" t="s">
        <v>4</v>
      </c>
      <c r="G1228" s="26" t="s">
        <v>4</v>
      </c>
      <c r="H1228" s="1">
        <f>SUM(H1229:H1229)</f>
        <v>0</v>
      </c>
      <c r="I1228" s="1">
        <f>SUM(I1229:I1229)</f>
        <v>0</v>
      </c>
      <c r="J1228" s="1">
        <f>SUM(J1229:J1229)</f>
        <v>0</v>
      </c>
      <c r="K1228" s="27" t="s">
        <v>51</v>
      </c>
      <c r="AI1228" s="10" t="s">
        <v>2070</v>
      </c>
      <c r="AS1228" s="1">
        <f>SUM(AJ1229:AJ1229)</f>
        <v>0</v>
      </c>
      <c r="AT1228" s="1">
        <f>SUM(AK1229:AK1229)</f>
        <v>0</v>
      </c>
      <c r="AU1228" s="1">
        <f>SUM(AL1229:AL1229)</f>
        <v>0</v>
      </c>
    </row>
    <row r="1229" spans="1:76" ht="14.4" x14ac:dyDescent="0.3">
      <c r="A1229" s="2" t="s">
        <v>2143</v>
      </c>
      <c r="B1229" s="3" t="s">
        <v>2144</v>
      </c>
      <c r="C1229" s="75" t="s">
        <v>2145</v>
      </c>
      <c r="D1229" s="70"/>
      <c r="E1229" s="3" t="s">
        <v>201</v>
      </c>
      <c r="F1229" s="28">
        <v>340.92</v>
      </c>
      <c r="G1229" s="28">
        <v>0</v>
      </c>
      <c r="H1229" s="28">
        <f>ROUND(F1229*AO1229,2)</f>
        <v>0</v>
      </c>
      <c r="I1229" s="28">
        <f>ROUND(F1229*AP1229,2)</f>
        <v>0</v>
      </c>
      <c r="J1229" s="28">
        <f>ROUND(F1229*G1229,2)</f>
        <v>0</v>
      </c>
      <c r="K1229" s="29" t="s">
        <v>60</v>
      </c>
      <c r="Z1229" s="28">
        <f>ROUND(IF(AQ1229="5",BJ1229,0),2)</f>
        <v>0</v>
      </c>
      <c r="AB1229" s="28">
        <f>ROUND(IF(AQ1229="1",BH1229,0),2)</f>
        <v>0</v>
      </c>
      <c r="AC1229" s="28">
        <f>ROUND(IF(AQ1229="1",BI1229,0),2)</f>
        <v>0</v>
      </c>
      <c r="AD1229" s="28">
        <f>ROUND(IF(AQ1229="7",BH1229,0),2)</f>
        <v>0</v>
      </c>
      <c r="AE1229" s="28">
        <f>ROUND(IF(AQ1229="7",BI1229,0),2)</f>
        <v>0</v>
      </c>
      <c r="AF1229" s="28">
        <f>ROUND(IF(AQ1229="2",BH1229,0),2)</f>
        <v>0</v>
      </c>
      <c r="AG1229" s="28">
        <f>ROUND(IF(AQ1229="2",BI1229,0),2)</f>
        <v>0</v>
      </c>
      <c r="AH1229" s="28">
        <f>ROUND(IF(AQ1229="0",BJ1229,0),2)</f>
        <v>0</v>
      </c>
      <c r="AI1229" s="10" t="s">
        <v>2070</v>
      </c>
      <c r="AJ1229" s="28">
        <f>IF(AN1229=0,J1229,0)</f>
        <v>0</v>
      </c>
      <c r="AK1229" s="28">
        <f>IF(AN1229=12,J1229,0)</f>
        <v>0</v>
      </c>
      <c r="AL1229" s="28">
        <f>IF(AN1229=21,J1229,0)</f>
        <v>0</v>
      </c>
      <c r="AN1229" s="28">
        <v>21</v>
      </c>
      <c r="AO1229" s="28">
        <f>G1229*0</f>
        <v>0</v>
      </c>
      <c r="AP1229" s="28">
        <f>G1229*(1-0)</f>
        <v>0</v>
      </c>
      <c r="AQ1229" s="30" t="s">
        <v>100</v>
      </c>
      <c r="AV1229" s="28">
        <f>ROUND(AW1229+AX1229,2)</f>
        <v>0</v>
      </c>
      <c r="AW1229" s="28">
        <f>ROUND(F1229*AO1229,2)</f>
        <v>0</v>
      </c>
      <c r="AX1229" s="28">
        <f>ROUND(F1229*AP1229,2)</f>
        <v>0</v>
      </c>
      <c r="AY1229" s="30" t="s">
        <v>2146</v>
      </c>
      <c r="AZ1229" s="30" t="s">
        <v>2147</v>
      </c>
      <c r="BA1229" s="10" t="s">
        <v>2075</v>
      </c>
      <c r="BC1229" s="28">
        <f>AW1229+AX1229</f>
        <v>0</v>
      </c>
      <c r="BD1229" s="28">
        <f>G1229/(100-BE1229)*100</f>
        <v>0</v>
      </c>
      <c r="BE1229" s="28">
        <v>0</v>
      </c>
      <c r="BF1229" s="28">
        <f>1229</f>
        <v>1229</v>
      </c>
      <c r="BH1229" s="28">
        <f>F1229*AO1229</f>
        <v>0</v>
      </c>
      <c r="BI1229" s="28">
        <f>F1229*AP1229</f>
        <v>0</v>
      </c>
      <c r="BJ1229" s="28">
        <f>F1229*G1229</f>
        <v>0</v>
      </c>
      <c r="BK1229" s="28"/>
      <c r="BL1229" s="28"/>
      <c r="BW1229" s="28">
        <v>21</v>
      </c>
      <c r="BX1229" s="4" t="s">
        <v>2145</v>
      </c>
    </row>
    <row r="1230" spans="1:76" ht="66" x14ac:dyDescent="0.3">
      <c r="A1230" s="31"/>
      <c r="B1230" s="35" t="s">
        <v>68</v>
      </c>
      <c r="C1230" s="93" t="s">
        <v>2148</v>
      </c>
      <c r="D1230" s="94"/>
      <c r="E1230" s="94"/>
      <c r="F1230" s="94"/>
      <c r="G1230" s="94"/>
      <c r="H1230" s="94"/>
      <c r="I1230" s="94"/>
      <c r="J1230" s="94"/>
      <c r="K1230" s="95"/>
      <c r="BX1230" s="36" t="s">
        <v>2148</v>
      </c>
    </row>
    <row r="1231" spans="1:76" ht="14.4" x14ac:dyDescent="0.3">
      <c r="A1231" s="24" t="s">
        <v>51</v>
      </c>
      <c r="B1231" s="25" t="s">
        <v>51</v>
      </c>
      <c r="C1231" s="91" t="s">
        <v>2149</v>
      </c>
      <c r="D1231" s="92"/>
      <c r="E1231" s="26" t="s">
        <v>4</v>
      </c>
      <c r="F1231" s="26" t="s">
        <v>4</v>
      </c>
      <c r="G1231" s="26" t="s">
        <v>4</v>
      </c>
      <c r="H1231" s="1">
        <f>H1232+H1235+H1262+H1305</f>
        <v>0</v>
      </c>
      <c r="I1231" s="1">
        <f>I1232+I1235+I1262+I1305</f>
        <v>0</v>
      </c>
      <c r="J1231" s="1">
        <f>J1232+J1235+J1262+J1305</f>
        <v>0</v>
      </c>
      <c r="K1231" s="27" t="s">
        <v>51</v>
      </c>
    </row>
    <row r="1232" spans="1:76" ht="14.4" x14ac:dyDescent="0.3">
      <c r="A1232" s="24" t="s">
        <v>51</v>
      </c>
      <c r="B1232" s="25" t="s">
        <v>605</v>
      </c>
      <c r="C1232" s="91" t="s">
        <v>629</v>
      </c>
      <c r="D1232" s="92"/>
      <c r="E1232" s="26" t="s">
        <v>4</v>
      </c>
      <c r="F1232" s="26" t="s">
        <v>4</v>
      </c>
      <c r="G1232" s="26" t="s">
        <v>4</v>
      </c>
      <c r="H1232" s="1">
        <f>SUM(H1233:H1233)</f>
        <v>0</v>
      </c>
      <c r="I1232" s="1">
        <f>SUM(I1233:I1233)</f>
        <v>0</v>
      </c>
      <c r="J1232" s="1">
        <f>SUM(J1233:J1233)</f>
        <v>0</v>
      </c>
      <c r="K1232" s="27" t="s">
        <v>51</v>
      </c>
      <c r="AI1232" s="10" t="s">
        <v>2150</v>
      </c>
      <c r="AS1232" s="1">
        <f>SUM(AJ1233:AJ1233)</f>
        <v>0</v>
      </c>
      <c r="AT1232" s="1">
        <f>SUM(AK1233:AK1233)</f>
        <v>0</v>
      </c>
      <c r="AU1232" s="1">
        <f>SUM(AL1233:AL1233)</f>
        <v>0</v>
      </c>
    </row>
    <row r="1233" spans="1:76" ht="14.4" x14ac:dyDescent="0.3">
      <c r="A1233" s="2" t="s">
        <v>2151</v>
      </c>
      <c r="B1233" s="3" t="s">
        <v>2152</v>
      </c>
      <c r="C1233" s="75" t="s">
        <v>2153</v>
      </c>
      <c r="D1233" s="70"/>
      <c r="E1233" s="3" t="s">
        <v>188</v>
      </c>
      <c r="F1233" s="28">
        <v>12</v>
      </c>
      <c r="G1233" s="28">
        <v>0</v>
      </c>
      <c r="H1233" s="28">
        <f>ROUND(F1233*AO1233,2)</f>
        <v>0</v>
      </c>
      <c r="I1233" s="28">
        <f>ROUND(F1233*AP1233,2)</f>
        <v>0</v>
      </c>
      <c r="J1233" s="28">
        <f>ROUND(F1233*G1233,2)</f>
        <v>0</v>
      </c>
      <c r="K1233" s="29" t="s">
        <v>60</v>
      </c>
      <c r="Z1233" s="28">
        <f>ROUND(IF(AQ1233="5",BJ1233,0),2)</f>
        <v>0</v>
      </c>
      <c r="AB1233" s="28">
        <f>ROUND(IF(AQ1233="1",BH1233,0),2)</f>
        <v>0</v>
      </c>
      <c r="AC1233" s="28">
        <f>ROUND(IF(AQ1233="1",BI1233,0),2)</f>
        <v>0</v>
      </c>
      <c r="AD1233" s="28">
        <f>ROUND(IF(AQ1233="7",BH1233,0),2)</f>
        <v>0</v>
      </c>
      <c r="AE1233" s="28">
        <f>ROUND(IF(AQ1233="7",BI1233,0),2)</f>
        <v>0</v>
      </c>
      <c r="AF1233" s="28">
        <f>ROUND(IF(AQ1233="2",BH1233,0),2)</f>
        <v>0</v>
      </c>
      <c r="AG1233" s="28">
        <f>ROUND(IF(AQ1233="2",BI1233,0),2)</f>
        <v>0</v>
      </c>
      <c r="AH1233" s="28">
        <f>ROUND(IF(AQ1233="0",BJ1233,0),2)</f>
        <v>0</v>
      </c>
      <c r="AI1233" s="10" t="s">
        <v>2150</v>
      </c>
      <c r="AJ1233" s="28">
        <f>IF(AN1233=0,J1233,0)</f>
        <v>0</v>
      </c>
      <c r="AK1233" s="28">
        <f>IF(AN1233=12,J1233,0)</f>
        <v>0</v>
      </c>
      <c r="AL1233" s="28">
        <f>IF(AN1233=21,J1233,0)</f>
        <v>0</v>
      </c>
      <c r="AN1233" s="28">
        <v>21</v>
      </c>
      <c r="AO1233" s="28">
        <f>G1233*0.120702479</f>
        <v>0</v>
      </c>
      <c r="AP1233" s="28">
        <f>G1233*(1-0.120702479)</f>
        <v>0</v>
      </c>
      <c r="AQ1233" s="30" t="s">
        <v>56</v>
      </c>
      <c r="AV1233" s="28">
        <f>ROUND(AW1233+AX1233,2)</f>
        <v>0</v>
      </c>
      <c r="AW1233" s="28">
        <f>ROUND(F1233*AO1233,2)</f>
        <v>0</v>
      </c>
      <c r="AX1233" s="28">
        <f>ROUND(F1233*AP1233,2)</f>
        <v>0</v>
      </c>
      <c r="AY1233" s="30" t="s">
        <v>633</v>
      </c>
      <c r="AZ1233" s="30" t="s">
        <v>2154</v>
      </c>
      <c r="BA1233" s="10" t="s">
        <v>2155</v>
      </c>
      <c r="BC1233" s="28">
        <f>AW1233+AX1233</f>
        <v>0</v>
      </c>
      <c r="BD1233" s="28">
        <f>G1233/(100-BE1233)*100</f>
        <v>0</v>
      </c>
      <c r="BE1233" s="28">
        <v>0</v>
      </c>
      <c r="BF1233" s="28">
        <f>1233</f>
        <v>1233</v>
      </c>
      <c r="BH1233" s="28">
        <f>F1233*AO1233</f>
        <v>0</v>
      </c>
      <c r="BI1233" s="28">
        <f>F1233*AP1233</f>
        <v>0</v>
      </c>
      <c r="BJ1233" s="28">
        <f>F1233*G1233</f>
        <v>0</v>
      </c>
      <c r="BK1233" s="28"/>
      <c r="BL1233" s="28">
        <v>97</v>
      </c>
      <c r="BW1233" s="28">
        <v>21</v>
      </c>
      <c r="BX1233" s="4" t="s">
        <v>2153</v>
      </c>
    </row>
    <row r="1234" spans="1:76" ht="26.4" x14ac:dyDescent="0.3">
      <c r="A1234" s="31"/>
      <c r="B1234" s="35" t="s">
        <v>68</v>
      </c>
      <c r="C1234" s="93" t="s">
        <v>2156</v>
      </c>
      <c r="D1234" s="94"/>
      <c r="E1234" s="94"/>
      <c r="F1234" s="94"/>
      <c r="G1234" s="94"/>
      <c r="H1234" s="94"/>
      <c r="I1234" s="94"/>
      <c r="J1234" s="94"/>
      <c r="K1234" s="95"/>
      <c r="BX1234" s="36" t="s">
        <v>2156</v>
      </c>
    </row>
    <row r="1235" spans="1:76" ht="14.4" x14ac:dyDescent="0.3">
      <c r="A1235" s="24" t="s">
        <v>51</v>
      </c>
      <c r="B1235" s="25" t="s">
        <v>2157</v>
      </c>
      <c r="C1235" s="91" t="s">
        <v>2158</v>
      </c>
      <c r="D1235" s="92"/>
      <c r="E1235" s="26" t="s">
        <v>4</v>
      </c>
      <c r="F1235" s="26" t="s">
        <v>4</v>
      </c>
      <c r="G1235" s="26" t="s">
        <v>4</v>
      </c>
      <c r="H1235" s="1">
        <f>SUM(H1236:H1261)</f>
        <v>0</v>
      </c>
      <c r="I1235" s="1">
        <f>SUM(I1236:I1261)</f>
        <v>0</v>
      </c>
      <c r="J1235" s="1">
        <f>SUM(J1236:J1261)</f>
        <v>0</v>
      </c>
      <c r="K1235" s="27" t="s">
        <v>51</v>
      </c>
      <c r="AI1235" s="10" t="s">
        <v>2150</v>
      </c>
      <c r="AS1235" s="1">
        <f>SUM(AJ1236:AJ1261)</f>
        <v>0</v>
      </c>
      <c r="AT1235" s="1">
        <f>SUM(AK1236:AK1261)</f>
        <v>0</v>
      </c>
      <c r="AU1235" s="1">
        <f>SUM(AL1236:AL1261)</f>
        <v>0</v>
      </c>
    </row>
    <row r="1236" spans="1:76" ht="14.4" x14ac:dyDescent="0.3">
      <c r="A1236" s="2" t="s">
        <v>2159</v>
      </c>
      <c r="B1236" s="3" t="s">
        <v>2160</v>
      </c>
      <c r="C1236" s="75" t="s">
        <v>2161</v>
      </c>
      <c r="D1236" s="70"/>
      <c r="E1236" s="3" t="s">
        <v>188</v>
      </c>
      <c r="F1236" s="28">
        <v>40</v>
      </c>
      <c r="G1236" s="28">
        <v>0</v>
      </c>
      <c r="H1236" s="28">
        <f t="shared" ref="H1236:H1248" si="72">ROUND(F1236*AO1236,2)</f>
        <v>0</v>
      </c>
      <c r="I1236" s="28">
        <f t="shared" ref="I1236:I1248" si="73">ROUND(F1236*AP1236,2)</f>
        <v>0</v>
      </c>
      <c r="J1236" s="28">
        <f t="shared" ref="J1236:J1248" si="74">ROUND(F1236*G1236,2)</f>
        <v>0</v>
      </c>
      <c r="K1236" s="29" t="s">
        <v>60</v>
      </c>
      <c r="Z1236" s="28">
        <f t="shared" ref="Z1236:Z1248" si="75">ROUND(IF(AQ1236="5",BJ1236,0),2)</f>
        <v>0</v>
      </c>
      <c r="AB1236" s="28">
        <f t="shared" ref="AB1236:AB1248" si="76">ROUND(IF(AQ1236="1",BH1236,0),2)</f>
        <v>0</v>
      </c>
      <c r="AC1236" s="28">
        <f t="shared" ref="AC1236:AC1248" si="77">ROUND(IF(AQ1236="1",BI1236,0),2)</f>
        <v>0</v>
      </c>
      <c r="AD1236" s="28">
        <f t="shared" ref="AD1236:AD1248" si="78">ROUND(IF(AQ1236="7",BH1236,0),2)</f>
        <v>0</v>
      </c>
      <c r="AE1236" s="28">
        <f t="shared" ref="AE1236:AE1248" si="79">ROUND(IF(AQ1236="7",BI1236,0),2)</f>
        <v>0</v>
      </c>
      <c r="AF1236" s="28">
        <f t="shared" ref="AF1236:AF1248" si="80">ROUND(IF(AQ1236="2",BH1236,0),2)</f>
        <v>0</v>
      </c>
      <c r="AG1236" s="28">
        <f t="shared" ref="AG1236:AG1248" si="81">ROUND(IF(AQ1236="2",BI1236,0),2)</f>
        <v>0</v>
      </c>
      <c r="AH1236" s="28">
        <f t="shared" ref="AH1236:AH1248" si="82">ROUND(IF(AQ1236="0",BJ1236,0),2)</f>
        <v>0</v>
      </c>
      <c r="AI1236" s="10" t="s">
        <v>2150</v>
      </c>
      <c r="AJ1236" s="28">
        <f t="shared" ref="AJ1236:AJ1248" si="83">IF(AN1236=0,J1236,0)</f>
        <v>0</v>
      </c>
      <c r="AK1236" s="28">
        <f t="shared" ref="AK1236:AK1248" si="84">IF(AN1236=12,J1236,0)</f>
        <v>0</v>
      </c>
      <c r="AL1236" s="28">
        <f t="shared" ref="AL1236:AL1248" si="85">IF(AN1236=21,J1236,0)</f>
        <v>0</v>
      </c>
      <c r="AN1236" s="28">
        <v>21</v>
      </c>
      <c r="AO1236" s="28">
        <f t="shared" ref="AO1236:AO1247" si="86">G1236*0</f>
        <v>0</v>
      </c>
      <c r="AP1236" s="28">
        <f t="shared" ref="AP1236:AP1247" si="87">G1236*(1-0)</f>
        <v>0</v>
      </c>
      <c r="AQ1236" s="30" t="s">
        <v>74</v>
      </c>
      <c r="AV1236" s="28">
        <f t="shared" ref="AV1236:AV1248" si="88">ROUND(AW1236+AX1236,2)</f>
        <v>0</v>
      </c>
      <c r="AW1236" s="28">
        <f t="shared" ref="AW1236:AW1248" si="89">ROUND(F1236*AO1236,2)</f>
        <v>0</v>
      </c>
      <c r="AX1236" s="28">
        <f t="shared" ref="AX1236:AX1248" si="90">ROUND(F1236*AP1236,2)</f>
        <v>0</v>
      </c>
      <c r="AY1236" s="30" t="s">
        <v>2162</v>
      </c>
      <c r="AZ1236" s="30" t="s">
        <v>2154</v>
      </c>
      <c r="BA1236" s="10" t="s">
        <v>2155</v>
      </c>
      <c r="BC1236" s="28">
        <f t="shared" ref="BC1236:BC1248" si="91">AW1236+AX1236</f>
        <v>0</v>
      </c>
      <c r="BD1236" s="28">
        <f t="shared" ref="BD1236:BD1248" si="92">G1236/(100-BE1236)*100</f>
        <v>0</v>
      </c>
      <c r="BE1236" s="28">
        <v>0</v>
      </c>
      <c r="BF1236" s="28">
        <f>1236</f>
        <v>1236</v>
      </c>
      <c r="BH1236" s="28">
        <f t="shared" ref="BH1236:BH1248" si="93">F1236*AO1236</f>
        <v>0</v>
      </c>
      <c r="BI1236" s="28">
        <f t="shared" ref="BI1236:BI1248" si="94">F1236*AP1236</f>
        <v>0</v>
      </c>
      <c r="BJ1236" s="28">
        <f t="shared" ref="BJ1236:BJ1248" si="95">F1236*G1236</f>
        <v>0</v>
      </c>
      <c r="BK1236" s="28"/>
      <c r="BL1236" s="28"/>
      <c r="BW1236" s="28">
        <v>21</v>
      </c>
      <c r="BX1236" s="4" t="s">
        <v>2161</v>
      </c>
    </row>
    <row r="1237" spans="1:76" ht="14.4" x14ac:dyDescent="0.3">
      <c r="A1237" s="2" t="s">
        <v>2163</v>
      </c>
      <c r="B1237" s="3" t="s">
        <v>2164</v>
      </c>
      <c r="C1237" s="75" t="s">
        <v>2165</v>
      </c>
      <c r="D1237" s="70"/>
      <c r="E1237" s="3" t="s">
        <v>188</v>
      </c>
      <c r="F1237" s="28">
        <v>4</v>
      </c>
      <c r="G1237" s="28">
        <v>0</v>
      </c>
      <c r="H1237" s="28">
        <f t="shared" si="72"/>
        <v>0</v>
      </c>
      <c r="I1237" s="28">
        <f t="shared" si="73"/>
        <v>0</v>
      </c>
      <c r="J1237" s="28">
        <f t="shared" si="74"/>
        <v>0</v>
      </c>
      <c r="K1237" s="29" t="s">
        <v>60</v>
      </c>
      <c r="Z1237" s="28">
        <f t="shared" si="75"/>
        <v>0</v>
      </c>
      <c r="AB1237" s="28">
        <f t="shared" si="76"/>
        <v>0</v>
      </c>
      <c r="AC1237" s="28">
        <f t="shared" si="77"/>
        <v>0</v>
      </c>
      <c r="AD1237" s="28">
        <f t="shared" si="78"/>
        <v>0</v>
      </c>
      <c r="AE1237" s="28">
        <f t="shared" si="79"/>
        <v>0</v>
      </c>
      <c r="AF1237" s="28">
        <f t="shared" si="80"/>
        <v>0</v>
      </c>
      <c r="AG1237" s="28">
        <f t="shared" si="81"/>
        <v>0</v>
      </c>
      <c r="AH1237" s="28">
        <f t="shared" si="82"/>
        <v>0</v>
      </c>
      <c r="AI1237" s="10" t="s">
        <v>2150</v>
      </c>
      <c r="AJ1237" s="28">
        <f t="shared" si="83"/>
        <v>0</v>
      </c>
      <c r="AK1237" s="28">
        <f t="shared" si="84"/>
        <v>0</v>
      </c>
      <c r="AL1237" s="28">
        <f t="shared" si="85"/>
        <v>0</v>
      </c>
      <c r="AN1237" s="28">
        <v>21</v>
      </c>
      <c r="AO1237" s="28">
        <f t="shared" si="86"/>
        <v>0</v>
      </c>
      <c r="AP1237" s="28">
        <f t="shared" si="87"/>
        <v>0</v>
      </c>
      <c r="AQ1237" s="30" t="s">
        <v>74</v>
      </c>
      <c r="AV1237" s="28">
        <f t="shared" si="88"/>
        <v>0</v>
      </c>
      <c r="AW1237" s="28">
        <f t="shared" si="89"/>
        <v>0</v>
      </c>
      <c r="AX1237" s="28">
        <f t="shared" si="90"/>
        <v>0</v>
      </c>
      <c r="AY1237" s="30" t="s">
        <v>2162</v>
      </c>
      <c r="AZ1237" s="30" t="s">
        <v>2154</v>
      </c>
      <c r="BA1237" s="10" t="s">
        <v>2155</v>
      </c>
      <c r="BC1237" s="28">
        <f t="shared" si="91"/>
        <v>0</v>
      </c>
      <c r="BD1237" s="28">
        <f t="shared" si="92"/>
        <v>0</v>
      </c>
      <c r="BE1237" s="28">
        <v>0</v>
      </c>
      <c r="BF1237" s="28">
        <f>1237</f>
        <v>1237</v>
      </c>
      <c r="BH1237" s="28">
        <f t="shared" si="93"/>
        <v>0</v>
      </c>
      <c r="BI1237" s="28">
        <f t="shared" si="94"/>
        <v>0</v>
      </c>
      <c r="BJ1237" s="28">
        <f t="shared" si="95"/>
        <v>0</v>
      </c>
      <c r="BK1237" s="28"/>
      <c r="BL1237" s="28"/>
      <c r="BW1237" s="28">
        <v>21</v>
      </c>
      <c r="BX1237" s="4" t="s">
        <v>2165</v>
      </c>
    </row>
    <row r="1238" spans="1:76" ht="14.4" x14ac:dyDescent="0.3">
      <c r="A1238" s="2" t="s">
        <v>2166</v>
      </c>
      <c r="B1238" s="3" t="s">
        <v>2167</v>
      </c>
      <c r="C1238" s="75" t="s">
        <v>2168</v>
      </c>
      <c r="D1238" s="70"/>
      <c r="E1238" s="3" t="s">
        <v>293</v>
      </c>
      <c r="F1238" s="28">
        <v>10</v>
      </c>
      <c r="G1238" s="28">
        <v>0</v>
      </c>
      <c r="H1238" s="28">
        <f t="shared" si="72"/>
        <v>0</v>
      </c>
      <c r="I1238" s="28">
        <f t="shared" si="73"/>
        <v>0</v>
      </c>
      <c r="J1238" s="28">
        <f t="shared" si="74"/>
        <v>0</v>
      </c>
      <c r="K1238" s="29" t="s">
        <v>60</v>
      </c>
      <c r="Z1238" s="28">
        <f t="shared" si="75"/>
        <v>0</v>
      </c>
      <c r="AB1238" s="28">
        <f t="shared" si="76"/>
        <v>0</v>
      </c>
      <c r="AC1238" s="28">
        <f t="shared" si="77"/>
        <v>0</v>
      </c>
      <c r="AD1238" s="28">
        <f t="shared" si="78"/>
        <v>0</v>
      </c>
      <c r="AE1238" s="28">
        <f t="shared" si="79"/>
        <v>0</v>
      </c>
      <c r="AF1238" s="28">
        <f t="shared" si="80"/>
        <v>0</v>
      </c>
      <c r="AG1238" s="28">
        <f t="shared" si="81"/>
        <v>0</v>
      </c>
      <c r="AH1238" s="28">
        <f t="shared" si="82"/>
        <v>0</v>
      </c>
      <c r="AI1238" s="10" t="s">
        <v>2150</v>
      </c>
      <c r="AJ1238" s="28">
        <f t="shared" si="83"/>
        <v>0</v>
      </c>
      <c r="AK1238" s="28">
        <f t="shared" si="84"/>
        <v>0</v>
      </c>
      <c r="AL1238" s="28">
        <f t="shared" si="85"/>
        <v>0</v>
      </c>
      <c r="AN1238" s="28">
        <v>21</v>
      </c>
      <c r="AO1238" s="28">
        <f t="shared" si="86"/>
        <v>0</v>
      </c>
      <c r="AP1238" s="28">
        <f t="shared" si="87"/>
        <v>0</v>
      </c>
      <c r="AQ1238" s="30" t="s">
        <v>74</v>
      </c>
      <c r="AV1238" s="28">
        <f t="shared" si="88"/>
        <v>0</v>
      </c>
      <c r="AW1238" s="28">
        <f t="shared" si="89"/>
        <v>0</v>
      </c>
      <c r="AX1238" s="28">
        <f t="shared" si="90"/>
        <v>0</v>
      </c>
      <c r="AY1238" s="30" t="s">
        <v>2162</v>
      </c>
      <c r="AZ1238" s="30" t="s">
        <v>2154</v>
      </c>
      <c r="BA1238" s="10" t="s">
        <v>2155</v>
      </c>
      <c r="BC1238" s="28">
        <f t="shared" si="91"/>
        <v>0</v>
      </c>
      <c r="BD1238" s="28">
        <f t="shared" si="92"/>
        <v>0</v>
      </c>
      <c r="BE1238" s="28">
        <v>0</v>
      </c>
      <c r="BF1238" s="28">
        <f>1238</f>
        <v>1238</v>
      </c>
      <c r="BH1238" s="28">
        <f t="shared" si="93"/>
        <v>0</v>
      </c>
      <c r="BI1238" s="28">
        <f t="shared" si="94"/>
        <v>0</v>
      </c>
      <c r="BJ1238" s="28">
        <f t="shared" si="95"/>
        <v>0</v>
      </c>
      <c r="BK1238" s="28"/>
      <c r="BL1238" s="28"/>
      <c r="BW1238" s="28">
        <v>21</v>
      </c>
      <c r="BX1238" s="4" t="s">
        <v>2168</v>
      </c>
    </row>
    <row r="1239" spans="1:76" ht="14.4" x14ac:dyDescent="0.3">
      <c r="A1239" s="2" t="s">
        <v>2169</v>
      </c>
      <c r="B1239" s="3" t="s">
        <v>2170</v>
      </c>
      <c r="C1239" s="75" t="s">
        <v>2171</v>
      </c>
      <c r="D1239" s="70"/>
      <c r="E1239" s="3" t="s">
        <v>293</v>
      </c>
      <c r="F1239" s="28">
        <v>14</v>
      </c>
      <c r="G1239" s="28">
        <v>0</v>
      </c>
      <c r="H1239" s="28">
        <f t="shared" si="72"/>
        <v>0</v>
      </c>
      <c r="I1239" s="28">
        <f t="shared" si="73"/>
        <v>0</v>
      </c>
      <c r="J1239" s="28">
        <f t="shared" si="74"/>
        <v>0</v>
      </c>
      <c r="K1239" s="29" t="s">
        <v>60</v>
      </c>
      <c r="Z1239" s="28">
        <f t="shared" si="75"/>
        <v>0</v>
      </c>
      <c r="AB1239" s="28">
        <f t="shared" si="76"/>
        <v>0</v>
      </c>
      <c r="AC1239" s="28">
        <f t="shared" si="77"/>
        <v>0</v>
      </c>
      <c r="AD1239" s="28">
        <f t="shared" si="78"/>
        <v>0</v>
      </c>
      <c r="AE1239" s="28">
        <f t="shared" si="79"/>
        <v>0</v>
      </c>
      <c r="AF1239" s="28">
        <f t="shared" si="80"/>
        <v>0</v>
      </c>
      <c r="AG1239" s="28">
        <f t="shared" si="81"/>
        <v>0</v>
      </c>
      <c r="AH1239" s="28">
        <f t="shared" si="82"/>
        <v>0</v>
      </c>
      <c r="AI1239" s="10" t="s">
        <v>2150</v>
      </c>
      <c r="AJ1239" s="28">
        <f t="shared" si="83"/>
        <v>0</v>
      </c>
      <c r="AK1239" s="28">
        <f t="shared" si="84"/>
        <v>0</v>
      </c>
      <c r="AL1239" s="28">
        <f t="shared" si="85"/>
        <v>0</v>
      </c>
      <c r="AN1239" s="28">
        <v>21</v>
      </c>
      <c r="AO1239" s="28">
        <f t="shared" si="86"/>
        <v>0</v>
      </c>
      <c r="AP1239" s="28">
        <f t="shared" si="87"/>
        <v>0</v>
      </c>
      <c r="AQ1239" s="30" t="s">
        <v>74</v>
      </c>
      <c r="AV1239" s="28">
        <f t="shared" si="88"/>
        <v>0</v>
      </c>
      <c r="AW1239" s="28">
        <f t="shared" si="89"/>
        <v>0</v>
      </c>
      <c r="AX1239" s="28">
        <f t="shared" si="90"/>
        <v>0</v>
      </c>
      <c r="AY1239" s="30" t="s">
        <v>2162</v>
      </c>
      <c r="AZ1239" s="30" t="s">
        <v>2154</v>
      </c>
      <c r="BA1239" s="10" t="s">
        <v>2155</v>
      </c>
      <c r="BC1239" s="28">
        <f t="shared" si="91"/>
        <v>0</v>
      </c>
      <c r="BD1239" s="28">
        <f t="shared" si="92"/>
        <v>0</v>
      </c>
      <c r="BE1239" s="28">
        <v>0</v>
      </c>
      <c r="BF1239" s="28">
        <f>1239</f>
        <v>1239</v>
      </c>
      <c r="BH1239" s="28">
        <f t="shared" si="93"/>
        <v>0</v>
      </c>
      <c r="BI1239" s="28">
        <f t="shared" si="94"/>
        <v>0</v>
      </c>
      <c r="BJ1239" s="28">
        <f t="shared" si="95"/>
        <v>0</v>
      </c>
      <c r="BK1239" s="28"/>
      <c r="BL1239" s="28"/>
      <c r="BW1239" s="28">
        <v>21</v>
      </c>
      <c r="BX1239" s="4" t="s">
        <v>2171</v>
      </c>
    </row>
    <row r="1240" spans="1:76" ht="14.4" x14ac:dyDescent="0.3">
      <c r="A1240" s="2" t="s">
        <v>2172</v>
      </c>
      <c r="B1240" s="3" t="s">
        <v>2173</v>
      </c>
      <c r="C1240" s="75" t="s">
        <v>2174</v>
      </c>
      <c r="D1240" s="70"/>
      <c r="E1240" s="3" t="s">
        <v>293</v>
      </c>
      <c r="F1240" s="28">
        <v>2</v>
      </c>
      <c r="G1240" s="28">
        <v>0</v>
      </c>
      <c r="H1240" s="28">
        <f t="shared" si="72"/>
        <v>0</v>
      </c>
      <c r="I1240" s="28">
        <f t="shared" si="73"/>
        <v>0</v>
      </c>
      <c r="J1240" s="28">
        <f t="shared" si="74"/>
        <v>0</v>
      </c>
      <c r="K1240" s="29" t="s">
        <v>60</v>
      </c>
      <c r="Z1240" s="28">
        <f t="shared" si="75"/>
        <v>0</v>
      </c>
      <c r="AB1240" s="28">
        <f t="shared" si="76"/>
        <v>0</v>
      </c>
      <c r="AC1240" s="28">
        <f t="shared" si="77"/>
        <v>0</v>
      </c>
      <c r="AD1240" s="28">
        <f t="shared" si="78"/>
        <v>0</v>
      </c>
      <c r="AE1240" s="28">
        <f t="shared" si="79"/>
        <v>0</v>
      </c>
      <c r="AF1240" s="28">
        <f t="shared" si="80"/>
        <v>0</v>
      </c>
      <c r="AG1240" s="28">
        <f t="shared" si="81"/>
        <v>0</v>
      </c>
      <c r="AH1240" s="28">
        <f t="shared" si="82"/>
        <v>0</v>
      </c>
      <c r="AI1240" s="10" t="s">
        <v>2150</v>
      </c>
      <c r="AJ1240" s="28">
        <f t="shared" si="83"/>
        <v>0</v>
      </c>
      <c r="AK1240" s="28">
        <f t="shared" si="84"/>
        <v>0</v>
      </c>
      <c r="AL1240" s="28">
        <f t="shared" si="85"/>
        <v>0</v>
      </c>
      <c r="AN1240" s="28">
        <v>21</v>
      </c>
      <c r="AO1240" s="28">
        <f t="shared" si="86"/>
        <v>0</v>
      </c>
      <c r="AP1240" s="28">
        <f t="shared" si="87"/>
        <v>0</v>
      </c>
      <c r="AQ1240" s="30" t="s">
        <v>74</v>
      </c>
      <c r="AV1240" s="28">
        <f t="shared" si="88"/>
        <v>0</v>
      </c>
      <c r="AW1240" s="28">
        <f t="shared" si="89"/>
        <v>0</v>
      </c>
      <c r="AX1240" s="28">
        <f t="shared" si="90"/>
        <v>0</v>
      </c>
      <c r="AY1240" s="30" t="s">
        <v>2162</v>
      </c>
      <c r="AZ1240" s="30" t="s">
        <v>2154</v>
      </c>
      <c r="BA1240" s="10" t="s">
        <v>2155</v>
      </c>
      <c r="BC1240" s="28">
        <f t="shared" si="91"/>
        <v>0</v>
      </c>
      <c r="BD1240" s="28">
        <f t="shared" si="92"/>
        <v>0</v>
      </c>
      <c r="BE1240" s="28">
        <v>0</v>
      </c>
      <c r="BF1240" s="28">
        <f>1240</f>
        <v>1240</v>
      </c>
      <c r="BH1240" s="28">
        <f t="shared" si="93"/>
        <v>0</v>
      </c>
      <c r="BI1240" s="28">
        <f t="shared" si="94"/>
        <v>0</v>
      </c>
      <c r="BJ1240" s="28">
        <f t="shared" si="95"/>
        <v>0</v>
      </c>
      <c r="BK1240" s="28"/>
      <c r="BL1240" s="28"/>
      <c r="BW1240" s="28">
        <v>21</v>
      </c>
      <c r="BX1240" s="4" t="s">
        <v>2174</v>
      </c>
    </row>
    <row r="1241" spans="1:76" ht="14.4" x14ac:dyDescent="0.3">
      <c r="A1241" s="2" t="s">
        <v>2175</v>
      </c>
      <c r="B1241" s="3" t="s">
        <v>2176</v>
      </c>
      <c r="C1241" s="75" t="s">
        <v>2177</v>
      </c>
      <c r="D1241" s="70"/>
      <c r="E1241" s="3" t="s">
        <v>293</v>
      </c>
      <c r="F1241" s="28">
        <v>1</v>
      </c>
      <c r="G1241" s="28">
        <v>0</v>
      </c>
      <c r="H1241" s="28">
        <f t="shared" si="72"/>
        <v>0</v>
      </c>
      <c r="I1241" s="28">
        <f t="shared" si="73"/>
        <v>0</v>
      </c>
      <c r="J1241" s="28">
        <f t="shared" si="74"/>
        <v>0</v>
      </c>
      <c r="K1241" s="29" t="s">
        <v>60</v>
      </c>
      <c r="Z1241" s="28">
        <f t="shared" si="75"/>
        <v>0</v>
      </c>
      <c r="AB1241" s="28">
        <f t="shared" si="76"/>
        <v>0</v>
      </c>
      <c r="AC1241" s="28">
        <f t="shared" si="77"/>
        <v>0</v>
      </c>
      <c r="AD1241" s="28">
        <f t="shared" si="78"/>
        <v>0</v>
      </c>
      <c r="AE1241" s="28">
        <f t="shared" si="79"/>
        <v>0</v>
      </c>
      <c r="AF1241" s="28">
        <f t="shared" si="80"/>
        <v>0</v>
      </c>
      <c r="AG1241" s="28">
        <f t="shared" si="81"/>
        <v>0</v>
      </c>
      <c r="AH1241" s="28">
        <f t="shared" si="82"/>
        <v>0</v>
      </c>
      <c r="AI1241" s="10" t="s">
        <v>2150</v>
      </c>
      <c r="AJ1241" s="28">
        <f t="shared" si="83"/>
        <v>0</v>
      </c>
      <c r="AK1241" s="28">
        <f t="shared" si="84"/>
        <v>0</v>
      </c>
      <c r="AL1241" s="28">
        <f t="shared" si="85"/>
        <v>0</v>
      </c>
      <c r="AN1241" s="28">
        <v>21</v>
      </c>
      <c r="AO1241" s="28">
        <f t="shared" si="86"/>
        <v>0</v>
      </c>
      <c r="AP1241" s="28">
        <f t="shared" si="87"/>
        <v>0</v>
      </c>
      <c r="AQ1241" s="30" t="s">
        <v>74</v>
      </c>
      <c r="AV1241" s="28">
        <f t="shared" si="88"/>
        <v>0</v>
      </c>
      <c r="AW1241" s="28">
        <f t="shared" si="89"/>
        <v>0</v>
      </c>
      <c r="AX1241" s="28">
        <f t="shared" si="90"/>
        <v>0</v>
      </c>
      <c r="AY1241" s="30" t="s">
        <v>2162</v>
      </c>
      <c r="AZ1241" s="30" t="s">
        <v>2154</v>
      </c>
      <c r="BA1241" s="10" t="s">
        <v>2155</v>
      </c>
      <c r="BC1241" s="28">
        <f t="shared" si="91"/>
        <v>0</v>
      </c>
      <c r="BD1241" s="28">
        <f t="shared" si="92"/>
        <v>0</v>
      </c>
      <c r="BE1241" s="28">
        <v>0</v>
      </c>
      <c r="BF1241" s="28">
        <f>1241</f>
        <v>1241</v>
      </c>
      <c r="BH1241" s="28">
        <f t="shared" si="93"/>
        <v>0</v>
      </c>
      <c r="BI1241" s="28">
        <f t="shared" si="94"/>
        <v>0</v>
      </c>
      <c r="BJ1241" s="28">
        <f t="shared" si="95"/>
        <v>0</v>
      </c>
      <c r="BK1241" s="28"/>
      <c r="BL1241" s="28"/>
      <c r="BW1241" s="28">
        <v>21</v>
      </c>
      <c r="BX1241" s="4" t="s">
        <v>2177</v>
      </c>
    </row>
    <row r="1242" spans="1:76" ht="14.4" x14ac:dyDescent="0.3">
      <c r="A1242" s="2" t="s">
        <v>2178</v>
      </c>
      <c r="B1242" s="3" t="s">
        <v>2179</v>
      </c>
      <c r="C1242" s="75" t="s">
        <v>2180</v>
      </c>
      <c r="D1242" s="70"/>
      <c r="E1242" s="3" t="s">
        <v>293</v>
      </c>
      <c r="F1242" s="28">
        <v>8</v>
      </c>
      <c r="G1242" s="28">
        <v>0</v>
      </c>
      <c r="H1242" s="28">
        <f t="shared" si="72"/>
        <v>0</v>
      </c>
      <c r="I1242" s="28">
        <f t="shared" si="73"/>
        <v>0</v>
      </c>
      <c r="J1242" s="28">
        <f t="shared" si="74"/>
        <v>0</v>
      </c>
      <c r="K1242" s="29" t="s">
        <v>60</v>
      </c>
      <c r="Z1242" s="28">
        <f t="shared" si="75"/>
        <v>0</v>
      </c>
      <c r="AB1242" s="28">
        <f t="shared" si="76"/>
        <v>0</v>
      </c>
      <c r="AC1242" s="28">
        <f t="shared" si="77"/>
        <v>0</v>
      </c>
      <c r="AD1242" s="28">
        <f t="shared" si="78"/>
        <v>0</v>
      </c>
      <c r="AE1242" s="28">
        <f t="shared" si="79"/>
        <v>0</v>
      </c>
      <c r="AF1242" s="28">
        <f t="shared" si="80"/>
        <v>0</v>
      </c>
      <c r="AG1242" s="28">
        <f t="shared" si="81"/>
        <v>0</v>
      </c>
      <c r="AH1242" s="28">
        <f t="shared" si="82"/>
        <v>0</v>
      </c>
      <c r="AI1242" s="10" t="s">
        <v>2150</v>
      </c>
      <c r="AJ1242" s="28">
        <f t="shared" si="83"/>
        <v>0</v>
      </c>
      <c r="AK1242" s="28">
        <f t="shared" si="84"/>
        <v>0</v>
      </c>
      <c r="AL1242" s="28">
        <f t="shared" si="85"/>
        <v>0</v>
      </c>
      <c r="AN1242" s="28">
        <v>21</v>
      </c>
      <c r="AO1242" s="28">
        <f t="shared" si="86"/>
        <v>0</v>
      </c>
      <c r="AP1242" s="28">
        <f t="shared" si="87"/>
        <v>0</v>
      </c>
      <c r="AQ1242" s="30" t="s">
        <v>74</v>
      </c>
      <c r="AV1242" s="28">
        <f t="shared" si="88"/>
        <v>0</v>
      </c>
      <c r="AW1242" s="28">
        <f t="shared" si="89"/>
        <v>0</v>
      </c>
      <c r="AX1242" s="28">
        <f t="shared" si="90"/>
        <v>0</v>
      </c>
      <c r="AY1242" s="30" t="s">
        <v>2162</v>
      </c>
      <c r="AZ1242" s="30" t="s">
        <v>2154</v>
      </c>
      <c r="BA1242" s="10" t="s">
        <v>2155</v>
      </c>
      <c r="BC1242" s="28">
        <f t="shared" si="91"/>
        <v>0</v>
      </c>
      <c r="BD1242" s="28">
        <f t="shared" si="92"/>
        <v>0</v>
      </c>
      <c r="BE1242" s="28">
        <v>0</v>
      </c>
      <c r="BF1242" s="28">
        <f>1242</f>
        <v>1242</v>
      </c>
      <c r="BH1242" s="28">
        <f t="shared" si="93"/>
        <v>0</v>
      </c>
      <c r="BI1242" s="28">
        <f t="shared" si="94"/>
        <v>0</v>
      </c>
      <c r="BJ1242" s="28">
        <f t="shared" si="95"/>
        <v>0</v>
      </c>
      <c r="BK1242" s="28"/>
      <c r="BL1242" s="28"/>
      <c r="BW1242" s="28">
        <v>21</v>
      </c>
      <c r="BX1242" s="4" t="s">
        <v>2180</v>
      </c>
    </row>
    <row r="1243" spans="1:76" ht="14.4" x14ac:dyDescent="0.3">
      <c r="A1243" s="2" t="s">
        <v>2181</v>
      </c>
      <c r="B1243" s="3" t="s">
        <v>2182</v>
      </c>
      <c r="C1243" s="75" t="s">
        <v>2183</v>
      </c>
      <c r="D1243" s="70"/>
      <c r="E1243" s="3" t="s">
        <v>188</v>
      </c>
      <c r="F1243" s="28">
        <v>40</v>
      </c>
      <c r="G1243" s="28">
        <v>0</v>
      </c>
      <c r="H1243" s="28">
        <f t="shared" si="72"/>
        <v>0</v>
      </c>
      <c r="I1243" s="28">
        <f t="shared" si="73"/>
        <v>0</v>
      </c>
      <c r="J1243" s="28">
        <f t="shared" si="74"/>
        <v>0</v>
      </c>
      <c r="K1243" s="29" t="s">
        <v>60</v>
      </c>
      <c r="Z1243" s="28">
        <f t="shared" si="75"/>
        <v>0</v>
      </c>
      <c r="AB1243" s="28">
        <f t="shared" si="76"/>
        <v>0</v>
      </c>
      <c r="AC1243" s="28">
        <f t="shared" si="77"/>
        <v>0</v>
      </c>
      <c r="AD1243" s="28">
        <f t="shared" si="78"/>
        <v>0</v>
      </c>
      <c r="AE1243" s="28">
        <f t="shared" si="79"/>
        <v>0</v>
      </c>
      <c r="AF1243" s="28">
        <f t="shared" si="80"/>
        <v>0</v>
      </c>
      <c r="AG1243" s="28">
        <f t="shared" si="81"/>
        <v>0</v>
      </c>
      <c r="AH1243" s="28">
        <f t="shared" si="82"/>
        <v>0</v>
      </c>
      <c r="AI1243" s="10" t="s">
        <v>2150</v>
      </c>
      <c r="AJ1243" s="28">
        <f t="shared" si="83"/>
        <v>0</v>
      </c>
      <c r="AK1243" s="28">
        <f t="shared" si="84"/>
        <v>0</v>
      </c>
      <c r="AL1243" s="28">
        <f t="shared" si="85"/>
        <v>0</v>
      </c>
      <c r="AN1243" s="28">
        <v>21</v>
      </c>
      <c r="AO1243" s="28">
        <f t="shared" si="86"/>
        <v>0</v>
      </c>
      <c r="AP1243" s="28">
        <f t="shared" si="87"/>
        <v>0</v>
      </c>
      <c r="AQ1243" s="30" t="s">
        <v>74</v>
      </c>
      <c r="AV1243" s="28">
        <f t="shared" si="88"/>
        <v>0</v>
      </c>
      <c r="AW1243" s="28">
        <f t="shared" si="89"/>
        <v>0</v>
      </c>
      <c r="AX1243" s="28">
        <f t="shared" si="90"/>
        <v>0</v>
      </c>
      <c r="AY1243" s="30" t="s">
        <v>2162</v>
      </c>
      <c r="AZ1243" s="30" t="s">
        <v>2154</v>
      </c>
      <c r="BA1243" s="10" t="s">
        <v>2155</v>
      </c>
      <c r="BC1243" s="28">
        <f t="shared" si="91"/>
        <v>0</v>
      </c>
      <c r="BD1243" s="28">
        <f t="shared" si="92"/>
        <v>0</v>
      </c>
      <c r="BE1243" s="28">
        <v>0</v>
      </c>
      <c r="BF1243" s="28">
        <f>1243</f>
        <v>1243</v>
      </c>
      <c r="BH1243" s="28">
        <f t="shared" si="93"/>
        <v>0</v>
      </c>
      <c r="BI1243" s="28">
        <f t="shared" si="94"/>
        <v>0</v>
      </c>
      <c r="BJ1243" s="28">
        <f t="shared" si="95"/>
        <v>0</v>
      </c>
      <c r="BK1243" s="28"/>
      <c r="BL1243" s="28"/>
      <c r="BW1243" s="28">
        <v>21</v>
      </c>
      <c r="BX1243" s="4" t="s">
        <v>2183</v>
      </c>
    </row>
    <row r="1244" spans="1:76" ht="14.4" x14ac:dyDescent="0.3">
      <c r="A1244" s="2" t="s">
        <v>1751</v>
      </c>
      <c r="B1244" s="3" t="s">
        <v>2184</v>
      </c>
      <c r="C1244" s="75" t="s">
        <v>2185</v>
      </c>
      <c r="D1244" s="70"/>
      <c r="E1244" s="3" t="s">
        <v>188</v>
      </c>
      <c r="F1244" s="28">
        <v>40</v>
      </c>
      <c r="G1244" s="28">
        <v>0</v>
      </c>
      <c r="H1244" s="28">
        <f t="shared" si="72"/>
        <v>0</v>
      </c>
      <c r="I1244" s="28">
        <f t="shared" si="73"/>
        <v>0</v>
      </c>
      <c r="J1244" s="28">
        <f t="shared" si="74"/>
        <v>0</v>
      </c>
      <c r="K1244" s="29" t="s">
        <v>60</v>
      </c>
      <c r="Z1244" s="28">
        <f t="shared" si="75"/>
        <v>0</v>
      </c>
      <c r="AB1244" s="28">
        <f t="shared" si="76"/>
        <v>0</v>
      </c>
      <c r="AC1244" s="28">
        <f t="shared" si="77"/>
        <v>0</v>
      </c>
      <c r="AD1244" s="28">
        <f t="shared" si="78"/>
        <v>0</v>
      </c>
      <c r="AE1244" s="28">
        <f t="shared" si="79"/>
        <v>0</v>
      </c>
      <c r="AF1244" s="28">
        <f t="shared" si="80"/>
        <v>0</v>
      </c>
      <c r="AG1244" s="28">
        <f t="shared" si="81"/>
        <v>0</v>
      </c>
      <c r="AH1244" s="28">
        <f t="shared" si="82"/>
        <v>0</v>
      </c>
      <c r="AI1244" s="10" t="s">
        <v>2150</v>
      </c>
      <c r="AJ1244" s="28">
        <f t="shared" si="83"/>
        <v>0</v>
      </c>
      <c r="AK1244" s="28">
        <f t="shared" si="84"/>
        <v>0</v>
      </c>
      <c r="AL1244" s="28">
        <f t="shared" si="85"/>
        <v>0</v>
      </c>
      <c r="AN1244" s="28">
        <v>21</v>
      </c>
      <c r="AO1244" s="28">
        <f t="shared" si="86"/>
        <v>0</v>
      </c>
      <c r="AP1244" s="28">
        <f t="shared" si="87"/>
        <v>0</v>
      </c>
      <c r="AQ1244" s="30" t="s">
        <v>74</v>
      </c>
      <c r="AV1244" s="28">
        <f t="shared" si="88"/>
        <v>0</v>
      </c>
      <c r="AW1244" s="28">
        <f t="shared" si="89"/>
        <v>0</v>
      </c>
      <c r="AX1244" s="28">
        <f t="shared" si="90"/>
        <v>0</v>
      </c>
      <c r="AY1244" s="30" t="s">
        <v>2162</v>
      </c>
      <c r="AZ1244" s="30" t="s">
        <v>2154</v>
      </c>
      <c r="BA1244" s="10" t="s">
        <v>2155</v>
      </c>
      <c r="BC1244" s="28">
        <f t="shared" si="91"/>
        <v>0</v>
      </c>
      <c r="BD1244" s="28">
        <f t="shared" si="92"/>
        <v>0</v>
      </c>
      <c r="BE1244" s="28">
        <v>0</v>
      </c>
      <c r="BF1244" s="28">
        <f>1244</f>
        <v>1244</v>
      </c>
      <c r="BH1244" s="28">
        <f t="shared" si="93"/>
        <v>0</v>
      </c>
      <c r="BI1244" s="28">
        <f t="shared" si="94"/>
        <v>0</v>
      </c>
      <c r="BJ1244" s="28">
        <f t="shared" si="95"/>
        <v>0</v>
      </c>
      <c r="BK1244" s="28"/>
      <c r="BL1244" s="28"/>
      <c r="BW1244" s="28">
        <v>21</v>
      </c>
      <c r="BX1244" s="4" t="s">
        <v>2185</v>
      </c>
    </row>
    <row r="1245" spans="1:76" ht="14.4" x14ac:dyDescent="0.3">
      <c r="A1245" s="2" t="s">
        <v>2186</v>
      </c>
      <c r="B1245" s="3" t="s">
        <v>2187</v>
      </c>
      <c r="C1245" s="75" t="s">
        <v>2188</v>
      </c>
      <c r="D1245" s="70"/>
      <c r="E1245" s="3" t="s">
        <v>188</v>
      </c>
      <c r="F1245" s="28">
        <v>0.2</v>
      </c>
      <c r="G1245" s="28">
        <v>0</v>
      </c>
      <c r="H1245" s="28">
        <f t="shared" si="72"/>
        <v>0</v>
      </c>
      <c r="I1245" s="28">
        <f t="shared" si="73"/>
        <v>0</v>
      </c>
      <c r="J1245" s="28">
        <f t="shared" si="74"/>
        <v>0</v>
      </c>
      <c r="K1245" s="29" t="s">
        <v>60</v>
      </c>
      <c r="Z1245" s="28">
        <f t="shared" si="75"/>
        <v>0</v>
      </c>
      <c r="AB1245" s="28">
        <f t="shared" si="76"/>
        <v>0</v>
      </c>
      <c r="AC1245" s="28">
        <f t="shared" si="77"/>
        <v>0</v>
      </c>
      <c r="AD1245" s="28">
        <f t="shared" si="78"/>
        <v>0</v>
      </c>
      <c r="AE1245" s="28">
        <f t="shared" si="79"/>
        <v>0</v>
      </c>
      <c r="AF1245" s="28">
        <f t="shared" si="80"/>
        <v>0</v>
      </c>
      <c r="AG1245" s="28">
        <f t="shared" si="81"/>
        <v>0</v>
      </c>
      <c r="AH1245" s="28">
        <f t="shared" si="82"/>
        <v>0</v>
      </c>
      <c r="AI1245" s="10" t="s">
        <v>2150</v>
      </c>
      <c r="AJ1245" s="28">
        <f t="shared" si="83"/>
        <v>0</v>
      </c>
      <c r="AK1245" s="28">
        <f t="shared" si="84"/>
        <v>0</v>
      </c>
      <c r="AL1245" s="28">
        <f t="shared" si="85"/>
        <v>0</v>
      </c>
      <c r="AN1245" s="28">
        <v>21</v>
      </c>
      <c r="AO1245" s="28">
        <f t="shared" si="86"/>
        <v>0</v>
      </c>
      <c r="AP1245" s="28">
        <f t="shared" si="87"/>
        <v>0</v>
      </c>
      <c r="AQ1245" s="30" t="s">
        <v>74</v>
      </c>
      <c r="AV1245" s="28">
        <f t="shared" si="88"/>
        <v>0</v>
      </c>
      <c r="AW1245" s="28">
        <f t="shared" si="89"/>
        <v>0</v>
      </c>
      <c r="AX1245" s="28">
        <f t="shared" si="90"/>
        <v>0</v>
      </c>
      <c r="AY1245" s="30" t="s">
        <v>2162</v>
      </c>
      <c r="AZ1245" s="30" t="s">
        <v>2154</v>
      </c>
      <c r="BA1245" s="10" t="s">
        <v>2155</v>
      </c>
      <c r="BC1245" s="28">
        <f t="shared" si="91"/>
        <v>0</v>
      </c>
      <c r="BD1245" s="28">
        <f t="shared" si="92"/>
        <v>0</v>
      </c>
      <c r="BE1245" s="28">
        <v>0</v>
      </c>
      <c r="BF1245" s="28">
        <f>1245</f>
        <v>1245</v>
      </c>
      <c r="BH1245" s="28">
        <f t="shared" si="93"/>
        <v>0</v>
      </c>
      <c r="BI1245" s="28">
        <f t="shared" si="94"/>
        <v>0</v>
      </c>
      <c r="BJ1245" s="28">
        <f t="shared" si="95"/>
        <v>0</v>
      </c>
      <c r="BK1245" s="28"/>
      <c r="BL1245" s="28"/>
      <c r="BW1245" s="28">
        <v>21</v>
      </c>
      <c r="BX1245" s="4" t="s">
        <v>2188</v>
      </c>
    </row>
    <row r="1246" spans="1:76" ht="14.4" x14ac:dyDescent="0.3">
      <c r="A1246" s="2" t="s">
        <v>2189</v>
      </c>
      <c r="B1246" s="3" t="s">
        <v>2190</v>
      </c>
      <c r="C1246" s="75" t="s">
        <v>2191</v>
      </c>
      <c r="D1246" s="70"/>
      <c r="E1246" s="3" t="s">
        <v>293</v>
      </c>
      <c r="F1246" s="28">
        <v>2</v>
      </c>
      <c r="G1246" s="28">
        <v>0</v>
      </c>
      <c r="H1246" s="28">
        <f t="shared" si="72"/>
        <v>0</v>
      </c>
      <c r="I1246" s="28">
        <f t="shared" si="73"/>
        <v>0</v>
      </c>
      <c r="J1246" s="28">
        <f t="shared" si="74"/>
        <v>0</v>
      </c>
      <c r="K1246" s="29" t="s">
        <v>60</v>
      </c>
      <c r="Z1246" s="28">
        <f t="shared" si="75"/>
        <v>0</v>
      </c>
      <c r="AB1246" s="28">
        <f t="shared" si="76"/>
        <v>0</v>
      </c>
      <c r="AC1246" s="28">
        <f t="shared" si="77"/>
        <v>0</v>
      </c>
      <c r="AD1246" s="28">
        <f t="shared" si="78"/>
        <v>0</v>
      </c>
      <c r="AE1246" s="28">
        <f t="shared" si="79"/>
        <v>0</v>
      </c>
      <c r="AF1246" s="28">
        <f t="shared" si="80"/>
        <v>0</v>
      </c>
      <c r="AG1246" s="28">
        <f t="shared" si="81"/>
        <v>0</v>
      </c>
      <c r="AH1246" s="28">
        <f t="shared" si="82"/>
        <v>0</v>
      </c>
      <c r="AI1246" s="10" t="s">
        <v>2150</v>
      </c>
      <c r="AJ1246" s="28">
        <f t="shared" si="83"/>
        <v>0</v>
      </c>
      <c r="AK1246" s="28">
        <f t="shared" si="84"/>
        <v>0</v>
      </c>
      <c r="AL1246" s="28">
        <f t="shared" si="85"/>
        <v>0</v>
      </c>
      <c r="AN1246" s="28">
        <v>21</v>
      </c>
      <c r="AO1246" s="28">
        <f t="shared" si="86"/>
        <v>0</v>
      </c>
      <c r="AP1246" s="28">
        <f t="shared" si="87"/>
        <v>0</v>
      </c>
      <c r="AQ1246" s="30" t="s">
        <v>74</v>
      </c>
      <c r="AV1246" s="28">
        <f t="shared" si="88"/>
        <v>0</v>
      </c>
      <c r="AW1246" s="28">
        <f t="shared" si="89"/>
        <v>0</v>
      </c>
      <c r="AX1246" s="28">
        <f t="shared" si="90"/>
        <v>0</v>
      </c>
      <c r="AY1246" s="30" t="s">
        <v>2162</v>
      </c>
      <c r="AZ1246" s="30" t="s">
        <v>2154</v>
      </c>
      <c r="BA1246" s="10" t="s">
        <v>2155</v>
      </c>
      <c r="BC1246" s="28">
        <f t="shared" si="91"/>
        <v>0</v>
      </c>
      <c r="BD1246" s="28">
        <f t="shared" si="92"/>
        <v>0</v>
      </c>
      <c r="BE1246" s="28">
        <v>0</v>
      </c>
      <c r="BF1246" s="28">
        <f>1246</f>
        <v>1246</v>
      </c>
      <c r="BH1246" s="28">
        <f t="shared" si="93"/>
        <v>0</v>
      </c>
      <c r="BI1246" s="28">
        <f t="shared" si="94"/>
        <v>0</v>
      </c>
      <c r="BJ1246" s="28">
        <f t="shared" si="95"/>
        <v>0</v>
      </c>
      <c r="BK1246" s="28"/>
      <c r="BL1246" s="28"/>
      <c r="BW1246" s="28">
        <v>21</v>
      </c>
      <c r="BX1246" s="4" t="s">
        <v>2191</v>
      </c>
    </row>
    <row r="1247" spans="1:76" ht="14.4" x14ac:dyDescent="0.3">
      <c r="A1247" s="2" t="s">
        <v>2192</v>
      </c>
      <c r="B1247" s="3" t="s">
        <v>2193</v>
      </c>
      <c r="C1247" s="75" t="s">
        <v>2194</v>
      </c>
      <c r="D1247" s="70"/>
      <c r="E1247" s="3" t="s">
        <v>293</v>
      </c>
      <c r="F1247" s="28">
        <v>6</v>
      </c>
      <c r="G1247" s="28">
        <v>0</v>
      </c>
      <c r="H1247" s="28">
        <f t="shared" si="72"/>
        <v>0</v>
      </c>
      <c r="I1247" s="28">
        <f t="shared" si="73"/>
        <v>0</v>
      </c>
      <c r="J1247" s="28">
        <f t="shared" si="74"/>
        <v>0</v>
      </c>
      <c r="K1247" s="29" t="s">
        <v>60</v>
      </c>
      <c r="Z1247" s="28">
        <f t="shared" si="75"/>
        <v>0</v>
      </c>
      <c r="AB1247" s="28">
        <f t="shared" si="76"/>
        <v>0</v>
      </c>
      <c r="AC1247" s="28">
        <f t="shared" si="77"/>
        <v>0</v>
      </c>
      <c r="AD1247" s="28">
        <f t="shared" si="78"/>
        <v>0</v>
      </c>
      <c r="AE1247" s="28">
        <f t="shared" si="79"/>
        <v>0</v>
      </c>
      <c r="AF1247" s="28">
        <f t="shared" si="80"/>
        <v>0</v>
      </c>
      <c r="AG1247" s="28">
        <f t="shared" si="81"/>
        <v>0</v>
      </c>
      <c r="AH1247" s="28">
        <f t="shared" si="82"/>
        <v>0</v>
      </c>
      <c r="AI1247" s="10" t="s">
        <v>2150</v>
      </c>
      <c r="AJ1247" s="28">
        <f t="shared" si="83"/>
        <v>0</v>
      </c>
      <c r="AK1247" s="28">
        <f t="shared" si="84"/>
        <v>0</v>
      </c>
      <c r="AL1247" s="28">
        <f t="shared" si="85"/>
        <v>0</v>
      </c>
      <c r="AN1247" s="28">
        <v>21</v>
      </c>
      <c r="AO1247" s="28">
        <f t="shared" si="86"/>
        <v>0</v>
      </c>
      <c r="AP1247" s="28">
        <f t="shared" si="87"/>
        <v>0</v>
      </c>
      <c r="AQ1247" s="30" t="s">
        <v>74</v>
      </c>
      <c r="AV1247" s="28">
        <f t="shared" si="88"/>
        <v>0</v>
      </c>
      <c r="AW1247" s="28">
        <f t="shared" si="89"/>
        <v>0</v>
      </c>
      <c r="AX1247" s="28">
        <f t="shared" si="90"/>
        <v>0</v>
      </c>
      <c r="AY1247" s="30" t="s">
        <v>2162</v>
      </c>
      <c r="AZ1247" s="30" t="s">
        <v>2154</v>
      </c>
      <c r="BA1247" s="10" t="s">
        <v>2155</v>
      </c>
      <c r="BC1247" s="28">
        <f t="shared" si="91"/>
        <v>0</v>
      </c>
      <c r="BD1247" s="28">
        <f t="shared" si="92"/>
        <v>0</v>
      </c>
      <c r="BE1247" s="28">
        <v>0</v>
      </c>
      <c r="BF1247" s="28">
        <f>1247</f>
        <v>1247</v>
      </c>
      <c r="BH1247" s="28">
        <f t="shared" si="93"/>
        <v>0</v>
      </c>
      <c r="BI1247" s="28">
        <f t="shared" si="94"/>
        <v>0</v>
      </c>
      <c r="BJ1247" s="28">
        <f t="shared" si="95"/>
        <v>0</v>
      </c>
      <c r="BK1247" s="28"/>
      <c r="BL1247" s="28"/>
      <c r="BW1247" s="28">
        <v>21</v>
      </c>
      <c r="BX1247" s="4" t="s">
        <v>2194</v>
      </c>
    </row>
    <row r="1248" spans="1:76" ht="14.4" x14ac:dyDescent="0.3">
      <c r="A1248" s="2" t="s">
        <v>2195</v>
      </c>
      <c r="B1248" s="3" t="s">
        <v>2196</v>
      </c>
      <c r="C1248" s="75" t="s">
        <v>2197</v>
      </c>
      <c r="D1248" s="70"/>
      <c r="E1248" s="3" t="s">
        <v>188</v>
      </c>
      <c r="F1248" s="28">
        <v>60</v>
      </c>
      <c r="G1248" s="28">
        <v>0</v>
      </c>
      <c r="H1248" s="28">
        <f t="shared" si="72"/>
        <v>0</v>
      </c>
      <c r="I1248" s="28">
        <f t="shared" si="73"/>
        <v>0</v>
      </c>
      <c r="J1248" s="28">
        <f t="shared" si="74"/>
        <v>0</v>
      </c>
      <c r="K1248" s="29" t="s">
        <v>60</v>
      </c>
      <c r="Z1248" s="28">
        <f t="shared" si="75"/>
        <v>0</v>
      </c>
      <c r="AB1248" s="28">
        <f t="shared" si="76"/>
        <v>0</v>
      </c>
      <c r="AC1248" s="28">
        <f t="shared" si="77"/>
        <v>0</v>
      </c>
      <c r="AD1248" s="28">
        <f t="shared" si="78"/>
        <v>0</v>
      </c>
      <c r="AE1248" s="28">
        <f t="shared" si="79"/>
        <v>0</v>
      </c>
      <c r="AF1248" s="28">
        <f t="shared" si="80"/>
        <v>0</v>
      </c>
      <c r="AG1248" s="28">
        <f t="shared" si="81"/>
        <v>0</v>
      </c>
      <c r="AH1248" s="28">
        <f t="shared" si="82"/>
        <v>0</v>
      </c>
      <c r="AI1248" s="10" t="s">
        <v>2150</v>
      </c>
      <c r="AJ1248" s="28">
        <f t="shared" si="83"/>
        <v>0</v>
      </c>
      <c r="AK1248" s="28">
        <f t="shared" si="84"/>
        <v>0</v>
      </c>
      <c r="AL1248" s="28">
        <f t="shared" si="85"/>
        <v>0</v>
      </c>
      <c r="AN1248" s="28">
        <v>21</v>
      </c>
      <c r="AO1248" s="28">
        <f>G1248*0.305481121</f>
        <v>0</v>
      </c>
      <c r="AP1248" s="28">
        <f>G1248*(1-0.305481121)</f>
        <v>0</v>
      </c>
      <c r="AQ1248" s="30" t="s">
        <v>74</v>
      </c>
      <c r="AV1248" s="28">
        <f t="shared" si="88"/>
        <v>0</v>
      </c>
      <c r="AW1248" s="28">
        <f t="shared" si="89"/>
        <v>0</v>
      </c>
      <c r="AX1248" s="28">
        <f t="shared" si="90"/>
        <v>0</v>
      </c>
      <c r="AY1248" s="30" t="s">
        <v>2162</v>
      </c>
      <c r="AZ1248" s="30" t="s">
        <v>2154</v>
      </c>
      <c r="BA1248" s="10" t="s">
        <v>2155</v>
      </c>
      <c r="BC1248" s="28">
        <f t="shared" si="91"/>
        <v>0</v>
      </c>
      <c r="BD1248" s="28">
        <f t="shared" si="92"/>
        <v>0</v>
      </c>
      <c r="BE1248" s="28">
        <v>0</v>
      </c>
      <c r="BF1248" s="28">
        <f>1248</f>
        <v>1248</v>
      </c>
      <c r="BH1248" s="28">
        <f t="shared" si="93"/>
        <v>0</v>
      </c>
      <c r="BI1248" s="28">
        <f t="shared" si="94"/>
        <v>0</v>
      </c>
      <c r="BJ1248" s="28">
        <f t="shared" si="95"/>
        <v>0</v>
      </c>
      <c r="BK1248" s="28"/>
      <c r="BL1248" s="28"/>
      <c r="BW1248" s="28">
        <v>21</v>
      </c>
      <c r="BX1248" s="4" t="s">
        <v>2197</v>
      </c>
    </row>
    <row r="1249" spans="1:76" ht="13.5" customHeight="1" x14ac:dyDescent="0.3">
      <c r="A1249" s="31"/>
      <c r="B1249" s="35" t="s">
        <v>105</v>
      </c>
      <c r="C1249" s="96" t="s">
        <v>2198</v>
      </c>
      <c r="D1249" s="97"/>
      <c r="E1249" s="97"/>
      <c r="F1249" s="97"/>
      <c r="G1249" s="97"/>
      <c r="H1249" s="97"/>
      <c r="I1249" s="97"/>
      <c r="J1249" s="97"/>
      <c r="K1249" s="98"/>
    </row>
    <row r="1250" spans="1:76" ht="14.4" x14ac:dyDescent="0.3">
      <c r="A1250" s="2" t="s">
        <v>2199</v>
      </c>
      <c r="B1250" s="3" t="s">
        <v>2200</v>
      </c>
      <c r="C1250" s="75" t="s">
        <v>2201</v>
      </c>
      <c r="D1250" s="70"/>
      <c r="E1250" s="3" t="s">
        <v>188</v>
      </c>
      <c r="F1250" s="28">
        <v>40</v>
      </c>
      <c r="G1250" s="28">
        <v>0</v>
      </c>
      <c r="H1250" s="28">
        <f>ROUND(F1250*AO1250,2)</f>
        <v>0</v>
      </c>
      <c r="I1250" s="28">
        <f>ROUND(F1250*AP1250,2)</f>
        <v>0</v>
      </c>
      <c r="J1250" s="28">
        <f>ROUND(F1250*G1250,2)</f>
        <v>0</v>
      </c>
      <c r="K1250" s="29" t="s">
        <v>60</v>
      </c>
      <c r="Z1250" s="28">
        <f>ROUND(IF(AQ1250="5",BJ1250,0),2)</f>
        <v>0</v>
      </c>
      <c r="AB1250" s="28">
        <f>ROUND(IF(AQ1250="1",BH1250,0),2)</f>
        <v>0</v>
      </c>
      <c r="AC1250" s="28">
        <f>ROUND(IF(AQ1250="1",BI1250,0),2)</f>
        <v>0</v>
      </c>
      <c r="AD1250" s="28">
        <f>ROUND(IF(AQ1250="7",BH1250,0),2)</f>
        <v>0</v>
      </c>
      <c r="AE1250" s="28">
        <f>ROUND(IF(AQ1250="7",BI1250,0),2)</f>
        <v>0</v>
      </c>
      <c r="AF1250" s="28">
        <f>ROUND(IF(AQ1250="2",BH1250,0),2)</f>
        <v>0</v>
      </c>
      <c r="AG1250" s="28">
        <f>ROUND(IF(AQ1250="2",BI1250,0),2)</f>
        <v>0</v>
      </c>
      <c r="AH1250" s="28">
        <f>ROUND(IF(AQ1250="0",BJ1250,0),2)</f>
        <v>0</v>
      </c>
      <c r="AI1250" s="10" t="s">
        <v>2150</v>
      </c>
      <c r="AJ1250" s="28">
        <f>IF(AN1250=0,J1250,0)</f>
        <v>0</v>
      </c>
      <c r="AK1250" s="28">
        <f>IF(AN1250=12,J1250,0)</f>
        <v>0</v>
      </c>
      <c r="AL1250" s="28">
        <f>IF(AN1250=21,J1250,0)</f>
        <v>0</v>
      </c>
      <c r="AN1250" s="28">
        <v>21</v>
      </c>
      <c r="AO1250" s="28">
        <f>G1250*0.403874346</f>
        <v>0</v>
      </c>
      <c r="AP1250" s="28">
        <f>G1250*(1-0.403874346)</f>
        <v>0</v>
      </c>
      <c r="AQ1250" s="30" t="s">
        <v>74</v>
      </c>
      <c r="AV1250" s="28">
        <f>ROUND(AW1250+AX1250,2)</f>
        <v>0</v>
      </c>
      <c r="AW1250" s="28">
        <f>ROUND(F1250*AO1250,2)</f>
        <v>0</v>
      </c>
      <c r="AX1250" s="28">
        <f>ROUND(F1250*AP1250,2)</f>
        <v>0</v>
      </c>
      <c r="AY1250" s="30" t="s">
        <v>2162</v>
      </c>
      <c r="AZ1250" s="30" t="s">
        <v>2154</v>
      </c>
      <c r="BA1250" s="10" t="s">
        <v>2155</v>
      </c>
      <c r="BC1250" s="28">
        <f>AW1250+AX1250</f>
        <v>0</v>
      </c>
      <c r="BD1250" s="28">
        <f>G1250/(100-BE1250)*100</f>
        <v>0</v>
      </c>
      <c r="BE1250" s="28">
        <v>0</v>
      </c>
      <c r="BF1250" s="28">
        <f>1250</f>
        <v>1250</v>
      </c>
      <c r="BH1250" s="28">
        <f>F1250*AO1250</f>
        <v>0</v>
      </c>
      <c r="BI1250" s="28">
        <f>F1250*AP1250</f>
        <v>0</v>
      </c>
      <c r="BJ1250" s="28">
        <f>F1250*G1250</f>
        <v>0</v>
      </c>
      <c r="BK1250" s="28"/>
      <c r="BL1250" s="28"/>
      <c r="BW1250" s="28">
        <v>21</v>
      </c>
      <c r="BX1250" s="4" t="s">
        <v>2201</v>
      </c>
    </row>
    <row r="1251" spans="1:76" ht="13.5" customHeight="1" x14ac:dyDescent="0.3">
      <c r="A1251" s="31"/>
      <c r="B1251" s="35" t="s">
        <v>105</v>
      </c>
      <c r="C1251" s="96" t="s">
        <v>2198</v>
      </c>
      <c r="D1251" s="97"/>
      <c r="E1251" s="97"/>
      <c r="F1251" s="97"/>
      <c r="G1251" s="97"/>
      <c r="H1251" s="97"/>
      <c r="I1251" s="97"/>
      <c r="J1251" s="97"/>
      <c r="K1251" s="98"/>
    </row>
    <row r="1252" spans="1:76" ht="14.4" x14ac:dyDescent="0.3">
      <c r="A1252" s="2" t="s">
        <v>2202</v>
      </c>
      <c r="B1252" s="3" t="s">
        <v>2203</v>
      </c>
      <c r="C1252" s="75" t="s">
        <v>2204</v>
      </c>
      <c r="D1252" s="70"/>
      <c r="E1252" s="3" t="s">
        <v>188</v>
      </c>
      <c r="F1252" s="28">
        <v>80</v>
      </c>
      <c r="G1252" s="28">
        <v>0</v>
      </c>
      <c r="H1252" s="28">
        <f>ROUND(F1252*AO1252,2)</f>
        <v>0</v>
      </c>
      <c r="I1252" s="28">
        <f>ROUND(F1252*AP1252,2)</f>
        <v>0</v>
      </c>
      <c r="J1252" s="28">
        <f>ROUND(F1252*G1252,2)</f>
        <v>0</v>
      </c>
      <c r="K1252" s="29" t="s">
        <v>60</v>
      </c>
      <c r="Z1252" s="28">
        <f>ROUND(IF(AQ1252="5",BJ1252,0),2)</f>
        <v>0</v>
      </c>
      <c r="AB1252" s="28">
        <f>ROUND(IF(AQ1252="1",BH1252,0),2)</f>
        <v>0</v>
      </c>
      <c r="AC1252" s="28">
        <f>ROUND(IF(AQ1252="1",BI1252,0),2)</f>
        <v>0</v>
      </c>
      <c r="AD1252" s="28">
        <f>ROUND(IF(AQ1252="7",BH1252,0),2)</f>
        <v>0</v>
      </c>
      <c r="AE1252" s="28">
        <f>ROUND(IF(AQ1252="7",BI1252,0),2)</f>
        <v>0</v>
      </c>
      <c r="AF1252" s="28">
        <f>ROUND(IF(AQ1252="2",BH1252,0),2)</f>
        <v>0</v>
      </c>
      <c r="AG1252" s="28">
        <f>ROUND(IF(AQ1252="2",BI1252,0),2)</f>
        <v>0</v>
      </c>
      <c r="AH1252" s="28">
        <f>ROUND(IF(AQ1252="0",BJ1252,0),2)</f>
        <v>0</v>
      </c>
      <c r="AI1252" s="10" t="s">
        <v>2150</v>
      </c>
      <c r="AJ1252" s="28">
        <f>IF(AN1252=0,J1252,0)</f>
        <v>0</v>
      </c>
      <c r="AK1252" s="28">
        <f>IF(AN1252=12,J1252,0)</f>
        <v>0</v>
      </c>
      <c r="AL1252" s="28">
        <f>IF(AN1252=21,J1252,0)</f>
        <v>0</v>
      </c>
      <c r="AN1252" s="28">
        <v>21</v>
      </c>
      <c r="AO1252" s="28">
        <f>G1252*0</f>
        <v>0</v>
      </c>
      <c r="AP1252" s="28">
        <f>G1252*(1-0)</f>
        <v>0</v>
      </c>
      <c r="AQ1252" s="30" t="s">
        <v>74</v>
      </c>
      <c r="AV1252" s="28">
        <f>ROUND(AW1252+AX1252,2)</f>
        <v>0</v>
      </c>
      <c r="AW1252" s="28">
        <f>ROUND(F1252*AO1252,2)</f>
        <v>0</v>
      </c>
      <c r="AX1252" s="28">
        <f>ROUND(F1252*AP1252,2)</f>
        <v>0</v>
      </c>
      <c r="AY1252" s="30" t="s">
        <v>2162</v>
      </c>
      <c r="AZ1252" s="30" t="s">
        <v>2154</v>
      </c>
      <c r="BA1252" s="10" t="s">
        <v>2155</v>
      </c>
      <c r="BC1252" s="28">
        <f>AW1252+AX1252</f>
        <v>0</v>
      </c>
      <c r="BD1252" s="28">
        <f>G1252/(100-BE1252)*100</f>
        <v>0</v>
      </c>
      <c r="BE1252" s="28">
        <v>0</v>
      </c>
      <c r="BF1252" s="28">
        <f>1252</f>
        <v>1252</v>
      </c>
      <c r="BH1252" s="28">
        <f>F1252*AO1252</f>
        <v>0</v>
      </c>
      <c r="BI1252" s="28">
        <f>F1252*AP1252</f>
        <v>0</v>
      </c>
      <c r="BJ1252" s="28">
        <f>F1252*G1252</f>
        <v>0</v>
      </c>
      <c r="BK1252" s="28"/>
      <c r="BL1252" s="28"/>
      <c r="BW1252" s="28">
        <v>21</v>
      </c>
      <c r="BX1252" s="4" t="s">
        <v>2204</v>
      </c>
    </row>
    <row r="1253" spans="1:76" ht="14.4" x14ac:dyDescent="0.3">
      <c r="A1253" s="2" t="s">
        <v>2205</v>
      </c>
      <c r="B1253" s="3" t="s">
        <v>2206</v>
      </c>
      <c r="C1253" s="75" t="s">
        <v>2207</v>
      </c>
      <c r="D1253" s="70"/>
      <c r="E1253" s="3" t="s">
        <v>188</v>
      </c>
      <c r="F1253" s="28">
        <v>5</v>
      </c>
      <c r="G1253" s="28">
        <v>0</v>
      </c>
      <c r="H1253" s="28">
        <f>ROUND(F1253*AO1253,2)</f>
        <v>0</v>
      </c>
      <c r="I1253" s="28">
        <f>ROUND(F1253*AP1253,2)</f>
        <v>0</v>
      </c>
      <c r="J1253" s="28">
        <f>ROUND(F1253*G1253,2)</f>
        <v>0</v>
      </c>
      <c r="K1253" s="29" t="s">
        <v>60</v>
      </c>
      <c r="Z1253" s="28">
        <f>ROUND(IF(AQ1253="5",BJ1253,0),2)</f>
        <v>0</v>
      </c>
      <c r="AB1253" s="28">
        <f>ROUND(IF(AQ1253="1",BH1253,0),2)</f>
        <v>0</v>
      </c>
      <c r="AC1253" s="28">
        <f>ROUND(IF(AQ1253="1",BI1253,0),2)</f>
        <v>0</v>
      </c>
      <c r="AD1253" s="28">
        <f>ROUND(IF(AQ1253="7",BH1253,0),2)</f>
        <v>0</v>
      </c>
      <c r="AE1253" s="28">
        <f>ROUND(IF(AQ1253="7",BI1253,0),2)</f>
        <v>0</v>
      </c>
      <c r="AF1253" s="28">
        <f>ROUND(IF(AQ1253="2",BH1253,0),2)</f>
        <v>0</v>
      </c>
      <c r="AG1253" s="28">
        <f>ROUND(IF(AQ1253="2",BI1253,0),2)</f>
        <v>0</v>
      </c>
      <c r="AH1253" s="28">
        <f>ROUND(IF(AQ1253="0",BJ1253,0),2)</f>
        <v>0</v>
      </c>
      <c r="AI1253" s="10" t="s">
        <v>2150</v>
      </c>
      <c r="AJ1253" s="28">
        <f>IF(AN1253=0,J1253,0)</f>
        <v>0</v>
      </c>
      <c r="AK1253" s="28">
        <f>IF(AN1253=12,J1253,0)</f>
        <v>0</v>
      </c>
      <c r="AL1253" s="28">
        <f>IF(AN1253=21,J1253,0)</f>
        <v>0</v>
      </c>
      <c r="AN1253" s="28">
        <v>21</v>
      </c>
      <c r="AO1253" s="28">
        <f>G1253*0</f>
        <v>0</v>
      </c>
      <c r="AP1253" s="28">
        <f>G1253*(1-0)</f>
        <v>0</v>
      </c>
      <c r="AQ1253" s="30" t="s">
        <v>74</v>
      </c>
      <c r="AV1253" s="28">
        <f>ROUND(AW1253+AX1253,2)</f>
        <v>0</v>
      </c>
      <c r="AW1253" s="28">
        <f>ROUND(F1253*AO1253,2)</f>
        <v>0</v>
      </c>
      <c r="AX1253" s="28">
        <f>ROUND(F1253*AP1253,2)</f>
        <v>0</v>
      </c>
      <c r="AY1253" s="30" t="s">
        <v>2162</v>
      </c>
      <c r="AZ1253" s="30" t="s">
        <v>2154</v>
      </c>
      <c r="BA1253" s="10" t="s">
        <v>2155</v>
      </c>
      <c r="BC1253" s="28">
        <f>AW1253+AX1253</f>
        <v>0</v>
      </c>
      <c r="BD1253" s="28">
        <f>G1253/(100-BE1253)*100</f>
        <v>0</v>
      </c>
      <c r="BE1253" s="28">
        <v>0</v>
      </c>
      <c r="BF1253" s="28">
        <f>1253</f>
        <v>1253</v>
      </c>
      <c r="BH1253" s="28">
        <f>F1253*AO1253</f>
        <v>0</v>
      </c>
      <c r="BI1253" s="28">
        <f>F1253*AP1253</f>
        <v>0</v>
      </c>
      <c r="BJ1253" s="28">
        <f>F1253*G1253</f>
        <v>0</v>
      </c>
      <c r="BK1253" s="28"/>
      <c r="BL1253" s="28"/>
      <c r="BW1253" s="28">
        <v>21</v>
      </c>
      <c r="BX1253" s="4" t="s">
        <v>2207</v>
      </c>
    </row>
    <row r="1254" spans="1:76" ht="14.4" x14ac:dyDescent="0.3">
      <c r="A1254" s="2" t="s">
        <v>2208</v>
      </c>
      <c r="B1254" s="3" t="s">
        <v>2209</v>
      </c>
      <c r="C1254" s="75" t="s">
        <v>2210</v>
      </c>
      <c r="D1254" s="70"/>
      <c r="E1254" s="3" t="s">
        <v>293</v>
      </c>
      <c r="F1254" s="28">
        <v>2</v>
      </c>
      <c r="G1254" s="28">
        <v>0</v>
      </c>
      <c r="H1254" s="28">
        <f>ROUND(F1254*AO1254,2)</f>
        <v>0</v>
      </c>
      <c r="I1254" s="28">
        <f>ROUND(F1254*AP1254,2)</f>
        <v>0</v>
      </c>
      <c r="J1254" s="28">
        <f>ROUND(F1254*G1254,2)</f>
        <v>0</v>
      </c>
      <c r="K1254" s="29" t="s">
        <v>60</v>
      </c>
      <c r="Z1254" s="28">
        <f>ROUND(IF(AQ1254="5",BJ1254,0),2)</f>
        <v>0</v>
      </c>
      <c r="AB1254" s="28">
        <f>ROUND(IF(AQ1254="1",BH1254,0),2)</f>
        <v>0</v>
      </c>
      <c r="AC1254" s="28">
        <f>ROUND(IF(AQ1254="1",BI1254,0),2)</f>
        <v>0</v>
      </c>
      <c r="AD1254" s="28">
        <f>ROUND(IF(AQ1254="7",BH1254,0),2)</f>
        <v>0</v>
      </c>
      <c r="AE1254" s="28">
        <f>ROUND(IF(AQ1254="7",BI1254,0),2)</f>
        <v>0</v>
      </c>
      <c r="AF1254" s="28">
        <f>ROUND(IF(AQ1254="2",BH1254,0),2)</f>
        <v>0</v>
      </c>
      <c r="AG1254" s="28">
        <f>ROUND(IF(AQ1254="2",BI1254,0),2)</f>
        <v>0</v>
      </c>
      <c r="AH1254" s="28">
        <f>ROUND(IF(AQ1254="0",BJ1254,0),2)</f>
        <v>0</v>
      </c>
      <c r="AI1254" s="10" t="s">
        <v>2150</v>
      </c>
      <c r="AJ1254" s="28">
        <f>IF(AN1254=0,J1254,0)</f>
        <v>0</v>
      </c>
      <c r="AK1254" s="28">
        <f>IF(AN1254=12,J1254,0)</f>
        <v>0</v>
      </c>
      <c r="AL1254" s="28">
        <f>IF(AN1254=21,J1254,0)</f>
        <v>0</v>
      </c>
      <c r="AN1254" s="28">
        <v>21</v>
      </c>
      <c r="AO1254" s="28">
        <f>G1254*0</f>
        <v>0</v>
      </c>
      <c r="AP1254" s="28">
        <f>G1254*(1-0)</f>
        <v>0</v>
      </c>
      <c r="AQ1254" s="30" t="s">
        <v>74</v>
      </c>
      <c r="AV1254" s="28">
        <f>ROUND(AW1254+AX1254,2)</f>
        <v>0</v>
      </c>
      <c r="AW1254" s="28">
        <f>ROUND(F1254*AO1254,2)</f>
        <v>0</v>
      </c>
      <c r="AX1254" s="28">
        <f>ROUND(F1254*AP1254,2)</f>
        <v>0</v>
      </c>
      <c r="AY1254" s="30" t="s">
        <v>2162</v>
      </c>
      <c r="AZ1254" s="30" t="s">
        <v>2154</v>
      </c>
      <c r="BA1254" s="10" t="s">
        <v>2155</v>
      </c>
      <c r="BC1254" s="28">
        <f>AW1254+AX1254</f>
        <v>0</v>
      </c>
      <c r="BD1254" s="28">
        <f>G1254/(100-BE1254)*100</f>
        <v>0</v>
      </c>
      <c r="BE1254" s="28">
        <v>0</v>
      </c>
      <c r="BF1254" s="28">
        <f>1254</f>
        <v>1254</v>
      </c>
      <c r="BH1254" s="28">
        <f>F1254*AO1254</f>
        <v>0</v>
      </c>
      <c r="BI1254" s="28">
        <f>F1254*AP1254</f>
        <v>0</v>
      </c>
      <c r="BJ1254" s="28">
        <f>F1254*G1254</f>
        <v>0</v>
      </c>
      <c r="BK1254" s="28"/>
      <c r="BL1254" s="28"/>
      <c r="BW1254" s="28">
        <v>21</v>
      </c>
      <c r="BX1254" s="4" t="s">
        <v>2210</v>
      </c>
    </row>
    <row r="1255" spans="1:76" ht="14.4" x14ac:dyDescent="0.3">
      <c r="A1255" s="2" t="s">
        <v>2211</v>
      </c>
      <c r="B1255" s="3" t="s">
        <v>2212</v>
      </c>
      <c r="C1255" s="75" t="s">
        <v>2213</v>
      </c>
      <c r="D1255" s="70"/>
      <c r="E1255" s="3" t="s">
        <v>293</v>
      </c>
      <c r="F1255" s="28">
        <v>2</v>
      </c>
      <c r="G1255" s="28">
        <v>0</v>
      </c>
      <c r="H1255" s="28">
        <f>ROUND(F1255*AO1255,2)</f>
        <v>0</v>
      </c>
      <c r="I1255" s="28">
        <f>ROUND(F1255*AP1255,2)</f>
        <v>0</v>
      </c>
      <c r="J1255" s="28">
        <f>ROUND(F1255*G1255,2)</f>
        <v>0</v>
      </c>
      <c r="K1255" s="29" t="s">
        <v>60</v>
      </c>
      <c r="Z1255" s="28">
        <f>ROUND(IF(AQ1255="5",BJ1255,0),2)</f>
        <v>0</v>
      </c>
      <c r="AB1255" s="28">
        <f>ROUND(IF(AQ1255="1",BH1255,0),2)</f>
        <v>0</v>
      </c>
      <c r="AC1255" s="28">
        <f>ROUND(IF(AQ1255="1",BI1255,0),2)</f>
        <v>0</v>
      </c>
      <c r="AD1255" s="28">
        <f>ROUND(IF(AQ1255="7",BH1255,0),2)</f>
        <v>0</v>
      </c>
      <c r="AE1255" s="28">
        <f>ROUND(IF(AQ1255="7",BI1255,0),2)</f>
        <v>0</v>
      </c>
      <c r="AF1255" s="28">
        <f>ROUND(IF(AQ1255="2",BH1255,0),2)</f>
        <v>0</v>
      </c>
      <c r="AG1255" s="28">
        <f>ROUND(IF(AQ1255="2",BI1255,0),2)</f>
        <v>0</v>
      </c>
      <c r="AH1255" s="28">
        <f>ROUND(IF(AQ1255="0",BJ1255,0),2)</f>
        <v>0</v>
      </c>
      <c r="AI1255" s="10" t="s">
        <v>2150</v>
      </c>
      <c r="AJ1255" s="28">
        <f>IF(AN1255=0,J1255,0)</f>
        <v>0</v>
      </c>
      <c r="AK1255" s="28">
        <f>IF(AN1255=12,J1255,0)</f>
        <v>0</v>
      </c>
      <c r="AL1255" s="28">
        <f>IF(AN1255=21,J1255,0)</f>
        <v>0</v>
      </c>
      <c r="AN1255" s="28">
        <v>21</v>
      </c>
      <c r="AO1255" s="28">
        <f>G1255*0</f>
        <v>0</v>
      </c>
      <c r="AP1255" s="28">
        <f>G1255*(1-0)</f>
        <v>0</v>
      </c>
      <c r="AQ1255" s="30" t="s">
        <v>74</v>
      </c>
      <c r="AV1255" s="28">
        <f>ROUND(AW1255+AX1255,2)</f>
        <v>0</v>
      </c>
      <c r="AW1255" s="28">
        <f>ROUND(F1255*AO1255,2)</f>
        <v>0</v>
      </c>
      <c r="AX1255" s="28">
        <f>ROUND(F1255*AP1255,2)</f>
        <v>0</v>
      </c>
      <c r="AY1255" s="30" t="s">
        <v>2162</v>
      </c>
      <c r="AZ1255" s="30" t="s">
        <v>2154</v>
      </c>
      <c r="BA1255" s="10" t="s">
        <v>2155</v>
      </c>
      <c r="BC1255" s="28">
        <f>AW1255+AX1255</f>
        <v>0</v>
      </c>
      <c r="BD1255" s="28">
        <f>G1255/(100-BE1255)*100</f>
        <v>0</v>
      </c>
      <c r="BE1255" s="28">
        <v>0</v>
      </c>
      <c r="BF1255" s="28">
        <f>1255</f>
        <v>1255</v>
      </c>
      <c r="BH1255" s="28">
        <f>F1255*AO1255</f>
        <v>0</v>
      </c>
      <c r="BI1255" s="28">
        <f>F1255*AP1255</f>
        <v>0</v>
      </c>
      <c r="BJ1255" s="28">
        <f>F1255*G1255</f>
        <v>0</v>
      </c>
      <c r="BK1255" s="28"/>
      <c r="BL1255" s="28"/>
      <c r="BW1255" s="28">
        <v>21</v>
      </c>
      <c r="BX1255" s="4" t="s">
        <v>2213</v>
      </c>
    </row>
    <row r="1256" spans="1:76" ht="14.4" x14ac:dyDescent="0.3">
      <c r="A1256" s="2" t="s">
        <v>2214</v>
      </c>
      <c r="B1256" s="3" t="s">
        <v>2215</v>
      </c>
      <c r="C1256" s="75" t="s">
        <v>2216</v>
      </c>
      <c r="D1256" s="70"/>
      <c r="E1256" s="3" t="s">
        <v>293</v>
      </c>
      <c r="F1256" s="28">
        <v>1</v>
      </c>
      <c r="G1256" s="28">
        <v>0</v>
      </c>
      <c r="H1256" s="28">
        <f>ROUND(F1256*AO1256,2)</f>
        <v>0</v>
      </c>
      <c r="I1256" s="28">
        <f>ROUND(F1256*AP1256,2)</f>
        <v>0</v>
      </c>
      <c r="J1256" s="28">
        <f>ROUND(F1256*G1256,2)</f>
        <v>0</v>
      </c>
      <c r="K1256" s="29" t="s">
        <v>60</v>
      </c>
      <c r="Z1256" s="28">
        <f>ROUND(IF(AQ1256="5",BJ1256,0),2)</f>
        <v>0</v>
      </c>
      <c r="AB1256" s="28">
        <f>ROUND(IF(AQ1256="1",BH1256,0),2)</f>
        <v>0</v>
      </c>
      <c r="AC1256" s="28">
        <f>ROUND(IF(AQ1256="1",BI1256,0),2)</f>
        <v>0</v>
      </c>
      <c r="AD1256" s="28">
        <f>ROUND(IF(AQ1256="7",BH1256,0),2)</f>
        <v>0</v>
      </c>
      <c r="AE1256" s="28">
        <f>ROUND(IF(AQ1256="7",BI1256,0),2)</f>
        <v>0</v>
      </c>
      <c r="AF1256" s="28">
        <f>ROUND(IF(AQ1256="2",BH1256,0),2)</f>
        <v>0</v>
      </c>
      <c r="AG1256" s="28">
        <f>ROUND(IF(AQ1256="2",BI1256,0),2)</f>
        <v>0</v>
      </c>
      <c r="AH1256" s="28">
        <f>ROUND(IF(AQ1256="0",BJ1256,0),2)</f>
        <v>0</v>
      </c>
      <c r="AI1256" s="10" t="s">
        <v>2150</v>
      </c>
      <c r="AJ1256" s="28">
        <f>IF(AN1256=0,J1256,0)</f>
        <v>0</v>
      </c>
      <c r="AK1256" s="28">
        <f>IF(AN1256=12,J1256,0)</f>
        <v>0</v>
      </c>
      <c r="AL1256" s="28">
        <f>IF(AN1256=21,J1256,0)</f>
        <v>0</v>
      </c>
      <c r="AN1256" s="28">
        <v>21</v>
      </c>
      <c r="AO1256" s="28">
        <f>G1256*0</f>
        <v>0</v>
      </c>
      <c r="AP1256" s="28">
        <f>G1256*(1-0)</f>
        <v>0</v>
      </c>
      <c r="AQ1256" s="30" t="s">
        <v>74</v>
      </c>
      <c r="AV1256" s="28">
        <f>ROUND(AW1256+AX1256,2)</f>
        <v>0</v>
      </c>
      <c r="AW1256" s="28">
        <f>ROUND(F1256*AO1256,2)</f>
        <v>0</v>
      </c>
      <c r="AX1256" s="28">
        <f>ROUND(F1256*AP1256,2)</f>
        <v>0</v>
      </c>
      <c r="AY1256" s="30" t="s">
        <v>2162</v>
      </c>
      <c r="AZ1256" s="30" t="s">
        <v>2154</v>
      </c>
      <c r="BA1256" s="10" t="s">
        <v>2155</v>
      </c>
      <c r="BC1256" s="28">
        <f>AW1256+AX1256</f>
        <v>0</v>
      </c>
      <c r="BD1256" s="28">
        <f>G1256/(100-BE1256)*100</f>
        <v>0</v>
      </c>
      <c r="BE1256" s="28">
        <v>0</v>
      </c>
      <c r="BF1256" s="28">
        <f>1256</f>
        <v>1256</v>
      </c>
      <c r="BH1256" s="28">
        <f>F1256*AO1256</f>
        <v>0</v>
      </c>
      <c r="BI1256" s="28">
        <f>F1256*AP1256</f>
        <v>0</v>
      </c>
      <c r="BJ1256" s="28">
        <f>F1256*G1256</f>
        <v>0</v>
      </c>
      <c r="BK1256" s="28"/>
      <c r="BL1256" s="28"/>
      <c r="BW1256" s="28">
        <v>21</v>
      </c>
      <c r="BX1256" s="4" t="s">
        <v>2216</v>
      </c>
    </row>
    <row r="1257" spans="1:76" ht="13.5" customHeight="1" x14ac:dyDescent="0.3">
      <c r="A1257" s="31"/>
      <c r="B1257" s="35" t="s">
        <v>105</v>
      </c>
      <c r="C1257" s="96" t="s">
        <v>2217</v>
      </c>
      <c r="D1257" s="97"/>
      <c r="E1257" s="97"/>
      <c r="F1257" s="97"/>
      <c r="G1257" s="97"/>
      <c r="H1257" s="97"/>
      <c r="I1257" s="97"/>
      <c r="J1257" s="97"/>
      <c r="K1257" s="98"/>
    </row>
    <row r="1258" spans="1:76" ht="14.4" x14ac:dyDescent="0.3">
      <c r="A1258" s="2" t="s">
        <v>2218</v>
      </c>
      <c r="B1258" s="3" t="s">
        <v>2219</v>
      </c>
      <c r="C1258" s="75" t="s">
        <v>2220</v>
      </c>
      <c r="D1258" s="70"/>
      <c r="E1258" s="3" t="s">
        <v>293</v>
      </c>
      <c r="F1258" s="28">
        <v>2</v>
      </c>
      <c r="G1258" s="28">
        <v>0</v>
      </c>
      <c r="H1258" s="28">
        <f>ROUND(F1258*AO1258,2)</f>
        <v>0</v>
      </c>
      <c r="I1258" s="28">
        <f>ROUND(F1258*AP1258,2)</f>
        <v>0</v>
      </c>
      <c r="J1258" s="28">
        <f>ROUND(F1258*G1258,2)</f>
        <v>0</v>
      </c>
      <c r="K1258" s="29" t="s">
        <v>60</v>
      </c>
      <c r="Z1258" s="28">
        <f>ROUND(IF(AQ1258="5",BJ1258,0),2)</f>
        <v>0</v>
      </c>
      <c r="AB1258" s="28">
        <f>ROUND(IF(AQ1258="1",BH1258,0),2)</f>
        <v>0</v>
      </c>
      <c r="AC1258" s="28">
        <f>ROUND(IF(AQ1258="1",BI1258,0),2)</f>
        <v>0</v>
      </c>
      <c r="AD1258" s="28">
        <f>ROUND(IF(AQ1258="7",BH1258,0),2)</f>
        <v>0</v>
      </c>
      <c r="AE1258" s="28">
        <f>ROUND(IF(AQ1258="7",BI1258,0),2)</f>
        <v>0</v>
      </c>
      <c r="AF1258" s="28">
        <f>ROUND(IF(AQ1258="2",BH1258,0),2)</f>
        <v>0</v>
      </c>
      <c r="AG1258" s="28">
        <f>ROUND(IF(AQ1258="2",BI1258,0),2)</f>
        <v>0</v>
      </c>
      <c r="AH1258" s="28">
        <f>ROUND(IF(AQ1258="0",BJ1258,0),2)</f>
        <v>0</v>
      </c>
      <c r="AI1258" s="10" t="s">
        <v>2150</v>
      </c>
      <c r="AJ1258" s="28">
        <f>IF(AN1258=0,J1258,0)</f>
        <v>0</v>
      </c>
      <c r="AK1258" s="28">
        <f>IF(AN1258=12,J1258,0)</f>
        <v>0</v>
      </c>
      <c r="AL1258" s="28">
        <f>IF(AN1258=21,J1258,0)</f>
        <v>0</v>
      </c>
      <c r="AN1258" s="28">
        <v>21</v>
      </c>
      <c r="AO1258" s="28">
        <f>G1258*0</f>
        <v>0</v>
      </c>
      <c r="AP1258" s="28">
        <f>G1258*(1-0)</f>
        <v>0</v>
      </c>
      <c r="AQ1258" s="30" t="s">
        <v>74</v>
      </c>
      <c r="AV1258" s="28">
        <f>ROUND(AW1258+AX1258,2)</f>
        <v>0</v>
      </c>
      <c r="AW1258" s="28">
        <f>ROUND(F1258*AO1258,2)</f>
        <v>0</v>
      </c>
      <c r="AX1258" s="28">
        <f>ROUND(F1258*AP1258,2)</f>
        <v>0</v>
      </c>
      <c r="AY1258" s="30" t="s">
        <v>2162</v>
      </c>
      <c r="AZ1258" s="30" t="s">
        <v>2154</v>
      </c>
      <c r="BA1258" s="10" t="s">
        <v>2155</v>
      </c>
      <c r="BC1258" s="28">
        <f>AW1258+AX1258</f>
        <v>0</v>
      </c>
      <c r="BD1258" s="28">
        <f>G1258/(100-BE1258)*100</f>
        <v>0</v>
      </c>
      <c r="BE1258" s="28">
        <v>0</v>
      </c>
      <c r="BF1258" s="28">
        <f>1258</f>
        <v>1258</v>
      </c>
      <c r="BH1258" s="28">
        <f>F1258*AO1258</f>
        <v>0</v>
      </c>
      <c r="BI1258" s="28">
        <f>F1258*AP1258</f>
        <v>0</v>
      </c>
      <c r="BJ1258" s="28">
        <f>F1258*G1258</f>
        <v>0</v>
      </c>
      <c r="BK1258" s="28"/>
      <c r="BL1258" s="28"/>
      <c r="BW1258" s="28">
        <v>21</v>
      </c>
      <c r="BX1258" s="4" t="s">
        <v>2220</v>
      </c>
    </row>
    <row r="1259" spans="1:76" ht="14.4" x14ac:dyDescent="0.3">
      <c r="A1259" s="31"/>
      <c r="B1259" s="35" t="s">
        <v>68</v>
      </c>
      <c r="C1259" s="93" t="s">
        <v>2221</v>
      </c>
      <c r="D1259" s="94"/>
      <c r="E1259" s="94"/>
      <c r="F1259" s="94"/>
      <c r="G1259" s="94"/>
      <c r="H1259" s="94"/>
      <c r="I1259" s="94"/>
      <c r="J1259" s="94"/>
      <c r="K1259" s="95"/>
      <c r="BX1259" s="36" t="s">
        <v>2221</v>
      </c>
    </row>
    <row r="1260" spans="1:76" ht="14.4" x14ac:dyDescent="0.3">
      <c r="A1260" s="2" t="s">
        <v>2222</v>
      </c>
      <c r="B1260" s="3" t="s">
        <v>2223</v>
      </c>
      <c r="C1260" s="75" t="s">
        <v>2224</v>
      </c>
      <c r="D1260" s="70"/>
      <c r="E1260" s="3" t="s">
        <v>293</v>
      </c>
      <c r="F1260" s="28">
        <v>1</v>
      </c>
      <c r="G1260" s="28">
        <v>0</v>
      </c>
      <c r="H1260" s="28">
        <f>ROUND(F1260*AO1260,2)</f>
        <v>0</v>
      </c>
      <c r="I1260" s="28">
        <f>ROUND(F1260*AP1260,2)</f>
        <v>0</v>
      </c>
      <c r="J1260" s="28">
        <f>ROUND(F1260*G1260,2)</f>
        <v>0</v>
      </c>
      <c r="K1260" s="29" t="s">
        <v>426</v>
      </c>
      <c r="Z1260" s="28">
        <f>ROUND(IF(AQ1260="5",BJ1260,0),2)</f>
        <v>0</v>
      </c>
      <c r="AB1260" s="28">
        <f>ROUND(IF(AQ1260="1",BH1260,0),2)</f>
        <v>0</v>
      </c>
      <c r="AC1260" s="28">
        <f>ROUND(IF(AQ1260="1",BI1260,0),2)</f>
        <v>0</v>
      </c>
      <c r="AD1260" s="28">
        <f>ROUND(IF(AQ1260="7",BH1260,0),2)</f>
        <v>0</v>
      </c>
      <c r="AE1260" s="28">
        <f>ROUND(IF(AQ1260="7",BI1260,0),2)</f>
        <v>0</v>
      </c>
      <c r="AF1260" s="28">
        <f>ROUND(IF(AQ1260="2",BH1260,0),2)</f>
        <v>0</v>
      </c>
      <c r="AG1260" s="28">
        <f>ROUND(IF(AQ1260="2",BI1260,0),2)</f>
        <v>0</v>
      </c>
      <c r="AH1260" s="28">
        <f>ROUND(IF(AQ1260="0",BJ1260,0),2)</f>
        <v>0</v>
      </c>
      <c r="AI1260" s="10" t="s">
        <v>2150</v>
      </c>
      <c r="AJ1260" s="28">
        <f>IF(AN1260=0,J1260,0)</f>
        <v>0</v>
      </c>
      <c r="AK1260" s="28">
        <f>IF(AN1260=12,J1260,0)</f>
        <v>0</v>
      </c>
      <c r="AL1260" s="28">
        <f>IF(AN1260=21,J1260,0)</f>
        <v>0</v>
      </c>
      <c r="AN1260" s="28">
        <v>21</v>
      </c>
      <c r="AO1260" s="28">
        <f>G1260*0</f>
        <v>0</v>
      </c>
      <c r="AP1260" s="28">
        <f>G1260*(1-0)</f>
        <v>0</v>
      </c>
      <c r="AQ1260" s="30" t="s">
        <v>74</v>
      </c>
      <c r="AV1260" s="28">
        <f>ROUND(AW1260+AX1260,2)</f>
        <v>0</v>
      </c>
      <c r="AW1260" s="28">
        <f>ROUND(F1260*AO1260,2)</f>
        <v>0</v>
      </c>
      <c r="AX1260" s="28">
        <f>ROUND(F1260*AP1260,2)</f>
        <v>0</v>
      </c>
      <c r="AY1260" s="30" t="s">
        <v>2162</v>
      </c>
      <c r="AZ1260" s="30" t="s">
        <v>2154</v>
      </c>
      <c r="BA1260" s="10" t="s">
        <v>2155</v>
      </c>
      <c r="BC1260" s="28">
        <f>AW1260+AX1260</f>
        <v>0</v>
      </c>
      <c r="BD1260" s="28">
        <f>G1260/(100-BE1260)*100</f>
        <v>0</v>
      </c>
      <c r="BE1260" s="28">
        <v>0</v>
      </c>
      <c r="BF1260" s="28">
        <f>1260</f>
        <v>1260</v>
      </c>
      <c r="BH1260" s="28">
        <f>F1260*AO1260</f>
        <v>0</v>
      </c>
      <c r="BI1260" s="28">
        <f>F1260*AP1260</f>
        <v>0</v>
      </c>
      <c r="BJ1260" s="28">
        <f>F1260*G1260</f>
        <v>0</v>
      </c>
      <c r="BK1260" s="28"/>
      <c r="BL1260" s="28"/>
      <c r="BW1260" s="28">
        <v>21</v>
      </c>
      <c r="BX1260" s="4" t="s">
        <v>2224</v>
      </c>
    </row>
    <row r="1261" spans="1:76" ht="14.4" x14ac:dyDescent="0.3">
      <c r="A1261" s="2" t="s">
        <v>2225</v>
      </c>
      <c r="B1261" s="3" t="s">
        <v>2226</v>
      </c>
      <c r="C1261" s="75" t="s">
        <v>2227</v>
      </c>
      <c r="D1261" s="70"/>
      <c r="E1261" s="3" t="s">
        <v>293</v>
      </c>
      <c r="F1261" s="28">
        <v>3</v>
      </c>
      <c r="G1261" s="28">
        <v>0</v>
      </c>
      <c r="H1261" s="28">
        <f>ROUND(F1261*AO1261,2)</f>
        <v>0</v>
      </c>
      <c r="I1261" s="28">
        <f>ROUND(F1261*AP1261,2)</f>
        <v>0</v>
      </c>
      <c r="J1261" s="28">
        <f>ROUND(F1261*G1261,2)</f>
        <v>0</v>
      </c>
      <c r="K1261" s="29" t="s">
        <v>426</v>
      </c>
      <c r="Z1261" s="28">
        <f>ROUND(IF(AQ1261="5",BJ1261,0),2)</f>
        <v>0</v>
      </c>
      <c r="AB1261" s="28">
        <f>ROUND(IF(AQ1261="1",BH1261,0),2)</f>
        <v>0</v>
      </c>
      <c r="AC1261" s="28">
        <f>ROUND(IF(AQ1261="1",BI1261,0),2)</f>
        <v>0</v>
      </c>
      <c r="AD1261" s="28">
        <f>ROUND(IF(AQ1261="7",BH1261,0),2)</f>
        <v>0</v>
      </c>
      <c r="AE1261" s="28">
        <f>ROUND(IF(AQ1261="7",BI1261,0),2)</f>
        <v>0</v>
      </c>
      <c r="AF1261" s="28">
        <f>ROUND(IF(AQ1261="2",BH1261,0),2)</f>
        <v>0</v>
      </c>
      <c r="AG1261" s="28">
        <f>ROUND(IF(AQ1261="2",BI1261,0),2)</f>
        <v>0</v>
      </c>
      <c r="AH1261" s="28">
        <f>ROUND(IF(AQ1261="0",BJ1261,0),2)</f>
        <v>0</v>
      </c>
      <c r="AI1261" s="10" t="s">
        <v>2150</v>
      </c>
      <c r="AJ1261" s="28">
        <f>IF(AN1261=0,J1261,0)</f>
        <v>0</v>
      </c>
      <c r="AK1261" s="28">
        <f>IF(AN1261=12,J1261,0)</f>
        <v>0</v>
      </c>
      <c r="AL1261" s="28">
        <f>IF(AN1261=21,J1261,0)</f>
        <v>0</v>
      </c>
      <c r="AN1261" s="28">
        <v>21</v>
      </c>
      <c r="AO1261" s="28">
        <f>G1261*0</f>
        <v>0</v>
      </c>
      <c r="AP1261" s="28">
        <f>G1261*(1-0)</f>
        <v>0</v>
      </c>
      <c r="AQ1261" s="30" t="s">
        <v>74</v>
      </c>
      <c r="AV1261" s="28">
        <f>ROUND(AW1261+AX1261,2)</f>
        <v>0</v>
      </c>
      <c r="AW1261" s="28">
        <f>ROUND(F1261*AO1261,2)</f>
        <v>0</v>
      </c>
      <c r="AX1261" s="28">
        <f>ROUND(F1261*AP1261,2)</f>
        <v>0</v>
      </c>
      <c r="AY1261" s="30" t="s">
        <v>2162</v>
      </c>
      <c r="AZ1261" s="30" t="s">
        <v>2154</v>
      </c>
      <c r="BA1261" s="10" t="s">
        <v>2155</v>
      </c>
      <c r="BC1261" s="28">
        <f>AW1261+AX1261</f>
        <v>0</v>
      </c>
      <c r="BD1261" s="28">
        <f>G1261/(100-BE1261)*100</f>
        <v>0</v>
      </c>
      <c r="BE1261" s="28">
        <v>0</v>
      </c>
      <c r="BF1261" s="28">
        <f>1261</f>
        <v>1261</v>
      </c>
      <c r="BH1261" s="28">
        <f>F1261*AO1261</f>
        <v>0</v>
      </c>
      <c r="BI1261" s="28">
        <f>F1261*AP1261</f>
        <v>0</v>
      </c>
      <c r="BJ1261" s="28">
        <f>F1261*G1261</f>
        <v>0</v>
      </c>
      <c r="BK1261" s="28"/>
      <c r="BL1261" s="28"/>
      <c r="BW1261" s="28">
        <v>21</v>
      </c>
      <c r="BX1261" s="4" t="s">
        <v>2227</v>
      </c>
    </row>
    <row r="1262" spans="1:76" ht="14.4" x14ac:dyDescent="0.3">
      <c r="A1262" s="24" t="s">
        <v>51</v>
      </c>
      <c r="B1262" s="25" t="s">
        <v>953</v>
      </c>
      <c r="C1262" s="91" t="s">
        <v>954</v>
      </c>
      <c r="D1262" s="92"/>
      <c r="E1262" s="26" t="s">
        <v>4</v>
      </c>
      <c r="F1262" s="26" t="s">
        <v>4</v>
      </c>
      <c r="G1262" s="26" t="s">
        <v>4</v>
      </c>
      <c r="H1262" s="1">
        <f>SUM(H1263:H1303)</f>
        <v>0</v>
      </c>
      <c r="I1262" s="1">
        <f>SUM(I1263:I1303)</f>
        <v>0</v>
      </c>
      <c r="J1262" s="1">
        <f>SUM(J1263:J1303)</f>
        <v>0</v>
      </c>
      <c r="K1262" s="27" t="s">
        <v>51</v>
      </c>
      <c r="AI1262" s="10" t="s">
        <v>2150</v>
      </c>
      <c r="AS1262" s="1">
        <f>SUM(AJ1263:AJ1303)</f>
        <v>0</v>
      </c>
      <c r="AT1262" s="1">
        <f>SUM(AK1263:AK1303)</f>
        <v>0</v>
      </c>
      <c r="AU1262" s="1">
        <f>SUM(AL1263:AL1303)</f>
        <v>0</v>
      </c>
    </row>
    <row r="1263" spans="1:76" ht="14.4" x14ac:dyDescent="0.3">
      <c r="A1263" s="2" t="s">
        <v>2228</v>
      </c>
      <c r="B1263" s="3" t="s">
        <v>2229</v>
      </c>
      <c r="C1263" s="75" t="s">
        <v>2230</v>
      </c>
      <c r="D1263" s="70"/>
      <c r="E1263" s="3" t="s">
        <v>293</v>
      </c>
      <c r="F1263" s="28">
        <v>1</v>
      </c>
      <c r="G1263" s="28">
        <v>0</v>
      </c>
      <c r="H1263" s="28">
        <f>ROUND(F1263*AO1263,2)</f>
        <v>0</v>
      </c>
      <c r="I1263" s="28">
        <f>ROUND(F1263*AP1263,2)</f>
        <v>0</v>
      </c>
      <c r="J1263" s="28">
        <f>ROUND(F1263*G1263,2)</f>
        <v>0</v>
      </c>
      <c r="K1263" s="29" t="s">
        <v>426</v>
      </c>
      <c r="Z1263" s="28">
        <f>ROUND(IF(AQ1263="5",BJ1263,0),2)</f>
        <v>0</v>
      </c>
      <c r="AB1263" s="28">
        <f>ROUND(IF(AQ1263="1",BH1263,0),2)</f>
        <v>0</v>
      </c>
      <c r="AC1263" s="28">
        <f>ROUND(IF(AQ1263="1",BI1263,0),2)</f>
        <v>0</v>
      </c>
      <c r="AD1263" s="28">
        <f>ROUND(IF(AQ1263="7",BH1263,0),2)</f>
        <v>0</v>
      </c>
      <c r="AE1263" s="28">
        <f>ROUND(IF(AQ1263="7",BI1263,0),2)</f>
        <v>0</v>
      </c>
      <c r="AF1263" s="28">
        <f>ROUND(IF(AQ1263="2",BH1263,0),2)</f>
        <v>0</v>
      </c>
      <c r="AG1263" s="28">
        <f>ROUND(IF(AQ1263="2",BI1263,0),2)</f>
        <v>0</v>
      </c>
      <c r="AH1263" s="28">
        <f>ROUND(IF(AQ1263="0",BJ1263,0),2)</f>
        <v>0</v>
      </c>
      <c r="AI1263" s="10" t="s">
        <v>2150</v>
      </c>
      <c r="AJ1263" s="28">
        <f>IF(AN1263=0,J1263,0)</f>
        <v>0</v>
      </c>
      <c r="AK1263" s="28">
        <f>IF(AN1263=12,J1263,0)</f>
        <v>0</v>
      </c>
      <c r="AL1263" s="28">
        <f>IF(AN1263=21,J1263,0)</f>
        <v>0</v>
      </c>
      <c r="AN1263" s="28">
        <v>21</v>
      </c>
      <c r="AO1263" s="28">
        <f>G1263*1</f>
        <v>0</v>
      </c>
      <c r="AP1263" s="28">
        <f>G1263*(1-1)</f>
        <v>0</v>
      </c>
      <c r="AQ1263" s="30" t="s">
        <v>56</v>
      </c>
      <c r="AV1263" s="28">
        <f>ROUND(AW1263+AX1263,2)</f>
        <v>0</v>
      </c>
      <c r="AW1263" s="28">
        <f>ROUND(F1263*AO1263,2)</f>
        <v>0</v>
      </c>
      <c r="AX1263" s="28">
        <f>ROUND(F1263*AP1263,2)</f>
        <v>0</v>
      </c>
      <c r="AY1263" s="30" t="s">
        <v>958</v>
      </c>
      <c r="AZ1263" s="30" t="s">
        <v>2154</v>
      </c>
      <c r="BA1263" s="10" t="s">
        <v>2155</v>
      </c>
      <c r="BC1263" s="28">
        <f>AW1263+AX1263</f>
        <v>0</v>
      </c>
      <c r="BD1263" s="28">
        <f>G1263/(100-BE1263)*100</f>
        <v>0</v>
      </c>
      <c r="BE1263" s="28">
        <v>0</v>
      </c>
      <c r="BF1263" s="28">
        <f>1263</f>
        <v>1263</v>
      </c>
      <c r="BH1263" s="28">
        <f>F1263*AO1263</f>
        <v>0</v>
      </c>
      <c r="BI1263" s="28">
        <f>F1263*AP1263</f>
        <v>0</v>
      </c>
      <c r="BJ1263" s="28">
        <f>F1263*G1263</f>
        <v>0</v>
      </c>
      <c r="BK1263" s="28"/>
      <c r="BL1263" s="28"/>
      <c r="BW1263" s="28">
        <v>21</v>
      </c>
      <c r="BX1263" s="4" t="s">
        <v>2230</v>
      </c>
    </row>
    <row r="1264" spans="1:76" ht="14.4" x14ac:dyDescent="0.3">
      <c r="A1264" s="2" t="s">
        <v>2231</v>
      </c>
      <c r="B1264" s="3" t="s">
        <v>2187</v>
      </c>
      <c r="C1264" s="75" t="s">
        <v>2188</v>
      </c>
      <c r="D1264" s="70"/>
      <c r="E1264" s="3" t="s">
        <v>188</v>
      </c>
      <c r="F1264" s="28">
        <v>0.5</v>
      </c>
      <c r="G1264" s="28">
        <v>0</v>
      </c>
      <c r="H1264" s="28">
        <f>ROUND(F1264*AO1264,2)</f>
        <v>0</v>
      </c>
      <c r="I1264" s="28">
        <f>ROUND(F1264*AP1264,2)</f>
        <v>0</v>
      </c>
      <c r="J1264" s="28">
        <f>ROUND(F1264*G1264,2)</f>
        <v>0</v>
      </c>
      <c r="K1264" s="29" t="s">
        <v>60</v>
      </c>
      <c r="Z1264" s="28">
        <f>ROUND(IF(AQ1264="5",BJ1264,0),2)</f>
        <v>0</v>
      </c>
      <c r="AB1264" s="28">
        <f>ROUND(IF(AQ1264="1",BH1264,0),2)</f>
        <v>0</v>
      </c>
      <c r="AC1264" s="28">
        <f>ROUND(IF(AQ1264="1",BI1264,0),2)</f>
        <v>0</v>
      </c>
      <c r="AD1264" s="28">
        <f>ROUND(IF(AQ1264="7",BH1264,0),2)</f>
        <v>0</v>
      </c>
      <c r="AE1264" s="28">
        <f>ROUND(IF(AQ1264="7",BI1264,0),2)</f>
        <v>0</v>
      </c>
      <c r="AF1264" s="28">
        <f>ROUND(IF(AQ1264="2",BH1264,0),2)</f>
        <v>0</v>
      </c>
      <c r="AG1264" s="28">
        <f>ROUND(IF(AQ1264="2",BI1264,0),2)</f>
        <v>0</v>
      </c>
      <c r="AH1264" s="28">
        <f>ROUND(IF(AQ1264="0",BJ1264,0),2)</f>
        <v>0</v>
      </c>
      <c r="AI1264" s="10" t="s">
        <v>2150</v>
      </c>
      <c r="AJ1264" s="28">
        <f>IF(AN1264=0,J1264,0)</f>
        <v>0</v>
      </c>
      <c r="AK1264" s="28">
        <f>IF(AN1264=12,J1264,0)</f>
        <v>0</v>
      </c>
      <c r="AL1264" s="28">
        <f>IF(AN1264=21,J1264,0)</f>
        <v>0</v>
      </c>
      <c r="AN1264" s="28">
        <v>21</v>
      </c>
      <c r="AO1264" s="28">
        <f>G1264*0</f>
        <v>0</v>
      </c>
      <c r="AP1264" s="28">
        <f>G1264*(1-0)</f>
        <v>0</v>
      </c>
      <c r="AQ1264" s="30" t="s">
        <v>74</v>
      </c>
      <c r="AV1264" s="28">
        <f>ROUND(AW1264+AX1264,2)</f>
        <v>0</v>
      </c>
      <c r="AW1264" s="28">
        <f>ROUND(F1264*AO1264,2)</f>
        <v>0</v>
      </c>
      <c r="AX1264" s="28">
        <f>ROUND(F1264*AP1264,2)</f>
        <v>0</v>
      </c>
      <c r="AY1264" s="30" t="s">
        <v>958</v>
      </c>
      <c r="AZ1264" s="30" t="s">
        <v>2154</v>
      </c>
      <c r="BA1264" s="10" t="s">
        <v>2155</v>
      </c>
      <c r="BC1264" s="28">
        <f>AW1264+AX1264</f>
        <v>0</v>
      </c>
      <c r="BD1264" s="28">
        <f>G1264/(100-BE1264)*100</f>
        <v>0</v>
      </c>
      <c r="BE1264" s="28">
        <v>0</v>
      </c>
      <c r="BF1264" s="28">
        <f>1264</f>
        <v>1264</v>
      </c>
      <c r="BH1264" s="28">
        <f>F1264*AO1264</f>
        <v>0</v>
      </c>
      <c r="BI1264" s="28">
        <f>F1264*AP1264</f>
        <v>0</v>
      </c>
      <c r="BJ1264" s="28">
        <f>F1264*G1264</f>
        <v>0</v>
      </c>
      <c r="BK1264" s="28"/>
      <c r="BL1264" s="28"/>
      <c r="BW1264" s="28">
        <v>21</v>
      </c>
      <c r="BX1264" s="4" t="s">
        <v>2188</v>
      </c>
    </row>
    <row r="1265" spans="1:76" ht="14.4" x14ac:dyDescent="0.3">
      <c r="A1265" s="2" t="s">
        <v>2232</v>
      </c>
      <c r="B1265" s="3" t="s">
        <v>2233</v>
      </c>
      <c r="C1265" s="75" t="s">
        <v>2234</v>
      </c>
      <c r="D1265" s="70"/>
      <c r="E1265" s="3" t="s">
        <v>293</v>
      </c>
      <c r="F1265" s="28">
        <v>2</v>
      </c>
      <c r="G1265" s="28">
        <v>0</v>
      </c>
      <c r="H1265" s="28">
        <f>ROUND(F1265*AO1265,2)</f>
        <v>0</v>
      </c>
      <c r="I1265" s="28">
        <f>ROUND(F1265*AP1265,2)</f>
        <v>0</v>
      </c>
      <c r="J1265" s="28">
        <f>ROUND(F1265*G1265,2)</f>
        <v>0</v>
      </c>
      <c r="K1265" s="29" t="s">
        <v>60</v>
      </c>
      <c r="Z1265" s="28">
        <f>ROUND(IF(AQ1265="5",BJ1265,0),2)</f>
        <v>0</v>
      </c>
      <c r="AB1265" s="28">
        <f>ROUND(IF(AQ1265="1",BH1265,0),2)</f>
        <v>0</v>
      </c>
      <c r="AC1265" s="28">
        <f>ROUND(IF(AQ1265="1",BI1265,0),2)</f>
        <v>0</v>
      </c>
      <c r="AD1265" s="28">
        <f>ROUND(IF(AQ1265="7",BH1265,0),2)</f>
        <v>0</v>
      </c>
      <c r="AE1265" s="28">
        <f>ROUND(IF(AQ1265="7",BI1265,0),2)</f>
        <v>0</v>
      </c>
      <c r="AF1265" s="28">
        <f>ROUND(IF(AQ1265="2",BH1265,0),2)</f>
        <v>0</v>
      </c>
      <c r="AG1265" s="28">
        <f>ROUND(IF(AQ1265="2",BI1265,0),2)</f>
        <v>0</v>
      </c>
      <c r="AH1265" s="28">
        <f>ROUND(IF(AQ1265="0",BJ1265,0),2)</f>
        <v>0</v>
      </c>
      <c r="AI1265" s="10" t="s">
        <v>2150</v>
      </c>
      <c r="AJ1265" s="28">
        <f>IF(AN1265=0,J1265,0)</f>
        <v>0</v>
      </c>
      <c r="AK1265" s="28">
        <f>IF(AN1265=12,J1265,0)</f>
        <v>0</v>
      </c>
      <c r="AL1265" s="28">
        <f>IF(AN1265=21,J1265,0)</f>
        <v>0</v>
      </c>
      <c r="AN1265" s="28">
        <v>21</v>
      </c>
      <c r="AO1265" s="28">
        <f>G1265*0.06</f>
        <v>0</v>
      </c>
      <c r="AP1265" s="28">
        <f>G1265*(1-0.06)</f>
        <v>0</v>
      </c>
      <c r="AQ1265" s="30" t="s">
        <v>74</v>
      </c>
      <c r="AV1265" s="28">
        <f>ROUND(AW1265+AX1265,2)</f>
        <v>0</v>
      </c>
      <c r="AW1265" s="28">
        <f>ROUND(F1265*AO1265,2)</f>
        <v>0</v>
      </c>
      <c r="AX1265" s="28">
        <f>ROUND(F1265*AP1265,2)</f>
        <v>0</v>
      </c>
      <c r="AY1265" s="30" t="s">
        <v>958</v>
      </c>
      <c r="AZ1265" s="30" t="s">
        <v>2154</v>
      </c>
      <c r="BA1265" s="10" t="s">
        <v>2155</v>
      </c>
      <c r="BC1265" s="28">
        <f>AW1265+AX1265</f>
        <v>0</v>
      </c>
      <c r="BD1265" s="28">
        <f>G1265/(100-BE1265)*100</f>
        <v>0</v>
      </c>
      <c r="BE1265" s="28">
        <v>0</v>
      </c>
      <c r="BF1265" s="28">
        <f>1265</f>
        <v>1265</v>
      </c>
      <c r="BH1265" s="28">
        <f>F1265*AO1265</f>
        <v>0</v>
      </c>
      <c r="BI1265" s="28">
        <f>F1265*AP1265</f>
        <v>0</v>
      </c>
      <c r="BJ1265" s="28">
        <f>F1265*G1265</f>
        <v>0</v>
      </c>
      <c r="BK1265" s="28"/>
      <c r="BL1265" s="28"/>
      <c r="BW1265" s="28">
        <v>21</v>
      </c>
      <c r="BX1265" s="4" t="s">
        <v>2234</v>
      </c>
    </row>
    <row r="1266" spans="1:76" ht="13.5" customHeight="1" x14ac:dyDescent="0.3">
      <c r="A1266" s="31"/>
      <c r="B1266" s="35" t="s">
        <v>105</v>
      </c>
      <c r="C1266" s="96" t="s">
        <v>2235</v>
      </c>
      <c r="D1266" s="97"/>
      <c r="E1266" s="97"/>
      <c r="F1266" s="97"/>
      <c r="G1266" s="97"/>
      <c r="H1266" s="97"/>
      <c r="I1266" s="97"/>
      <c r="J1266" s="97"/>
      <c r="K1266" s="98"/>
    </row>
    <row r="1267" spans="1:76" ht="14.4" x14ac:dyDescent="0.3">
      <c r="A1267" s="2" t="s">
        <v>2236</v>
      </c>
      <c r="B1267" s="3" t="s">
        <v>2237</v>
      </c>
      <c r="C1267" s="75" t="s">
        <v>2238</v>
      </c>
      <c r="D1267" s="70"/>
      <c r="E1267" s="3" t="s">
        <v>293</v>
      </c>
      <c r="F1267" s="28">
        <v>2</v>
      </c>
      <c r="G1267" s="28">
        <v>0</v>
      </c>
      <c r="H1267" s="28">
        <f>ROUND(F1267*AO1267,2)</f>
        <v>0</v>
      </c>
      <c r="I1267" s="28">
        <f>ROUND(F1267*AP1267,2)</f>
        <v>0</v>
      </c>
      <c r="J1267" s="28">
        <f>ROUND(F1267*G1267,2)</f>
        <v>0</v>
      </c>
      <c r="K1267" s="29" t="s">
        <v>60</v>
      </c>
      <c r="Z1267" s="28">
        <f>ROUND(IF(AQ1267="5",BJ1267,0),2)</f>
        <v>0</v>
      </c>
      <c r="AB1267" s="28">
        <f>ROUND(IF(AQ1267="1",BH1267,0),2)</f>
        <v>0</v>
      </c>
      <c r="AC1267" s="28">
        <f>ROUND(IF(AQ1267="1",BI1267,0),2)</f>
        <v>0</v>
      </c>
      <c r="AD1267" s="28">
        <f>ROUND(IF(AQ1267="7",BH1267,0),2)</f>
        <v>0</v>
      </c>
      <c r="AE1267" s="28">
        <f>ROUND(IF(AQ1267="7",BI1267,0),2)</f>
        <v>0</v>
      </c>
      <c r="AF1267" s="28">
        <f>ROUND(IF(AQ1267="2",BH1267,0),2)</f>
        <v>0</v>
      </c>
      <c r="AG1267" s="28">
        <f>ROUND(IF(AQ1267="2",BI1267,0),2)</f>
        <v>0</v>
      </c>
      <c r="AH1267" s="28">
        <f>ROUND(IF(AQ1267="0",BJ1267,0),2)</f>
        <v>0</v>
      </c>
      <c r="AI1267" s="10" t="s">
        <v>2150</v>
      </c>
      <c r="AJ1267" s="28">
        <f>IF(AN1267=0,J1267,0)</f>
        <v>0</v>
      </c>
      <c r="AK1267" s="28">
        <f>IF(AN1267=12,J1267,0)</f>
        <v>0</v>
      </c>
      <c r="AL1267" s="28">
        <f>IF(AN1267=21,J1267,0)</f>
        <v>0</v>
      </c>
      <c r="AN1267" s="28">
        <v>21</v>
      </c>
      <c r="AO1267" s="28">
        <f>G1267*0.137044968</f>
        <v>0</v>
      </c>
      <c r="AP1267" s="28">
        <f>G1267*(1-0.137044968)</f>
        <v>0</v>
      </c>
      <c r="AQ1267" s="30" t="s">
        <v>74</v>
      </c>
      <c r="AV1267" s="28">
        <f>ROUND(AW1267+AX1267,2)</f>
        <v>0</v>
      </c>
      <c r="AW1267" s="28">
        <f>ROUND(F1267*AO1267,2)</f>
        <v>0</v>
      </c>
      <c r="AX1267" s="28">
        <f>ROUND(F1267*AP1267,2)</f>
        <v>0</v>
      </c>
      <c r="AY1267" s="30" t="s">
        <v>958</v>
      </c>
      <c r="AZ1267" s="30" t="s">
        <v>2154</v>
      </c>
      <c r="BA1267" s="10" t="s">
        <v>2155</v>
      </c>
      <c r="BC1267" s="28">
        <f>AW1267+AX1267</f>
        <v>0</v>
      </c>
      <c r="BD1267" s="28">
        <f>G1267/(100-BE1267)*100</f>
        <v>0</v>
      </c>
      <c r="BE1267" s="28">
        <v>0</v>
      </c>
      <c r="BF1267" s="28">
        <f>1267</f>
        <v>1267</v>
      </c>
      <c r="BH1267" s="28">
        <f>F1267*AO1267</f>
        <v>0</v>
      </c>
      <c r="BI1267" s="28">
        <f>F1267*AP1267</f>
        <v>0</v>
      </c>
      <c r="BJ1267" s="28">
        <f>F1267*G1267</f>
        <v>0</v>
      </c>
      <c r="BK1267" s="28"/>
      <c r="BL1267" s="28"/>
      <c r="BW1267" s="28">
        <v>21</v>
      </c>
      <c r="BX1267" s="4" t="s">
        <v>2238</v>
      </c>
    </row>
    <row r="1268" spans="1:76" ht="13.5" customHeight="1" x14ac:dyDescent="0.3">
      <c r="A1268" s="31"/>
      <c r="B1268" s="35" t="s">
        <v>105</v>
      </c>
      <c r="C1268" s="96" t="s">
        <v>2239</v>
      </c>
      <c r="D1268" s="97"/>
      <c r="E1268" s="97"/>
      <c r="F1268" s="97"/>
      <c r="G1268" s="97"/>
      <c r="H1268" s="97"/>
      <c r="I1268" s="97"/>
      <c r="J1268" s="97"/>
      <c r="K1268" s="98"/>
    </row>
    <row r="1269" spans="1:76" ht="14.4" x14ac:dyDescent="0.3">
      <c r="A1269" s="2" t="s">
        <v>2240</v>
      </c>
      <c r="B1269" s="3" t="s">
        <v>2241</v>
      </c>
      <c r="C1269" s="75" t="s">
        <v>2238</v>
      </c>
      <c r="D1269" s="70"/>
      <c r="E1269" s="3" t="s">
        <v>293</v>
      </c>
      <c r="F1269" s="28">
        <v>20</v>
      </c>
      <c r="G1269" s="28">
        <v>0</v>
      </c>
      <c r="H1269" s="28">
        <f>ROUND(F1269*AO1269,2)</f>
        <v>0</v>
      </c>
      <c r="I1269" s="28">
        <f>ROUND(F1269*AP1269,2)</f>
        <v>0</v>
      </c>
      <c r="J1269" s="28">
        <f>ROUND(F1269*G1269,2)</f>
        <v>0</v>
      </c>
      <c r="K1269" s="29" t="s">
        <v>60</v>
      </c>
      <c r="Z1269" s="28">
        <f>ROUND(IF(AQ1269="5",BJ1269,0),2)</f>
        <v>0</v>
      </c>
      <c r="AB1269" s="28">
        <f>ROUND(IF(AQ1269="1",BH1269,0),2)</f>
        <v>0</v>
      </c>
      <c r="AC1269" s="28">
        <f>ROUND(IF(AQ1269="1",BI1269,0),2)</f>
        <v>0</v>
      </c>
      <c r="AD1269" s="28">
        <f>ROUND(IF(AQ1269="7",BH1269,0),2)</f>
        <v>0</v>
      </c>
      <c r="AE1269" s="28">
        <f>ROUND(IF(AQ1269="7",BI1269,0),2)</f>
        <v>0</v>
      </c>
      <c r="AF1269" s="28">
        <f>ROUND(IF(AQ1269="2",BH1269,0),2)</f>
        <v>0</v>
      </c>
      <c r="AG1269" s="28">
        <f>ROUND(IF(AQ1269="2",BI1269,0),2)</f>
        <v>0</v>
      </c>
      <c r="AH1269" s="28">
        <f>ROUND(IF(AQ1269="0",BJ1269,0),2)</f>
        <v>0</v>
      </c>
      <c r="AI1269" s="10" t="s">
        <v>2150</v>
      </c>
      <c r="AJ1269" s="28">
        <f>IF(AN1269=0,J1269,0)</f>
        <v>0</v>
      </c>
      <c r="AK1269" s="28">
        <f>IF(AN1269=12,J1269,0)</f>
        <v>0</v>
      </c>
      <c r="AL1269" s="28">
        <f>IF(AN1269=21,J1269,0)</f>
        <v>0</v>
      </c>
      <c r="AN1269" s="28">
        <v>21</v>
      </c>
      <c r="AO1269" s="28">
        <f>G1269*0.096689038</f>
        <v>0</v>
      </c>
      <c r="AP1269" s="28">
        <f>G1269*(1-0.096689038)</f>
        <v>0</v>
      </c>
      <c r="AQ1269" s="30" t="s">
        <v>74</v>
      </c>
      <c r="AV1269" s="28">
        <f>ROUND(AW1269+AX1269,2)</f>
        <v>0</v>
      </c>
      <c r="AW1269" s="28">
        <f>ROUND(F1269*AO1269,2)</f>
        <v>0</v>
      </c>
      <c r="AX1269" s="28">
        <f>ROUND(F1269*AP1269,2)</f>
        <v>0</v>
      </c>
      <c r="AY1269" s="30" t="s">
        <v>958</v>
      </c>
      <c r="AZ1269" s="30" t="s">
        <v>2154</v>
      </c>
      <c r="BA1269" s="10" t="s">
        <v>2155</v>
      </c>
      <c r="BC1269" s="28">
        <f>AW1269+AX1269</f>
        <v>0</v>
      </c>
      <c r="BD1269" s="28">
        <f>G1269/(100-BE1269)*100</f>
        <v>0</v>
      </c>
      <c r="BE1269" s="28">
        <v>0</v>
      </c>
      <c r="BF1269" s="28">
        <f>1269</f>
        <v>1269</v>
      </c>
      <c r="BH1269" s="28">
        <f>F1269*AO1269</f>
        <v>0</v>
      </c>
      <c r="BI1269" s="28">
        <f>F1269*AP1269</f>
        <v>0</v>
      </c>
      <c r="BJ1269" s="28">
        <f>F1269*G1269</f>
        <v>0</v>
      </c>
      <c r="BK1269" s="28"/>
      <c r="BL1269" s="28"/>
      <c r="BW1269" s="28">
        <v>21</v>
      </c>
      <c r="BX1269" s="4" t="s">
        <v>2238</v>
      </c>
    </row>
    <row r="1270" spans="1:76" ht="13.5" customHeight="1" x14ac:dyDescent="0.3">
      <c r="A1270" s="31"/>
      <c r="B1270" s="35" t="s">
        <v>105</v>
      </c>
      <c r="C1270" s="96" t="s">
        <v>2242</v>
      </c>
      <c r="D1270" s="97"/>
      <c r="E1270" s="97"/>
      <c r="F1270" s="97"/>
      <c r="G1270" s="97"/>
      <c r="H1270" s="97"/>
      <c r="I1270" s="97"/>
      <c r="J1270" s="97"/>
      <c r="K1270" s="98"/>
    </row>
    <row r="1271" spans="1:76" ht="14.4" x14ac:dyDescent="0.3">
      <c r="A1271" s="2" t="s">
        <v>2243</v>
      </c>
      <c r="B1271" s="3" t="s">
        <v>2244</v>
      </c>
      <c r="C1271" s="75" t="s">
        <v>2238</v>
      </c>
      <c r="D1271" s="70"/>
      <c r="E1271" s="3" t="s">
        <v>293</v>
      </c>
      <c r="F1271" s="28">
        <v>2</v>
      </c>
      <c r="G1271" s="28">
        <v>0</v>
      </c>
      <c r="H1271" s="28">
        <f>ROUND(F1271*AO1271,2)</f>
        <v>0</v>
      </c>
      <c r="I1271" s="28">
        <f>ROUND(F1271*AP1271,2)</f>
        <v>0</v>
      </c>
      <c r="J1271" s="28">
        <f>ROUND(F1271*G1271,2)</f>
        <v>0</v>
      </c>
      <c r="K1271" s="29" t="s">
        <v>60</v>
      </c>
      <c r="Z1271" s="28">
        <f>ROUND(IF(AQ1271="5",BJ1271,0),2)</f>
        <v>0</v>
      </c>
      <c r="AB1271" s="28">
        <f>ROUND(IF(AQ1271="1",BH1271,0),2)</f>
        <v>0</v>
      </c>
      <c r="AC1271" s="28">
        <f>ROUND(IF(AQ1271="1",BI1271,0),2)</f>
        <v>0</v>
      </c>
      <c r="AD1271" s="28">
        <f>ROUND(IF(AQ1271="7",BH1271,0),2)</f>
        <v>0</v>
      </c>
      <c r="AE1271" s="28">
        <f>ROUND(IF(AQ1271="7",BI1271,0),2)</f>
        <v>0</v>
      </c>
      <c r="AF1271" s="28">
        <f>ROUND(IF(AQ1271="2",BH1271,0),2)</f>
        <v>0</v>
      </c>
      <c r="AG1271" s="28">
        <f>ROUND(IF(AQ1271="2",BI1271,0),2)</f>
        <v>0</v>
      </c>
      <c r="AH1271" s="28">
        <f>ROUND(IF(AQ1271="0",BJ1271,0),2)</f>
        <v>0</v>
      </c>
      <c r="AI1271" s="10" t="s">
        <v>2150</v>
      </c>
      <c r="AJ1271" s="28">
        <f>IF(AN1271=0,J1271,0)</f>
        <v>0</v>
      </c>
      <c r="AK1271" s="28">
        <f>IF(AN1271=12,J1271,0)</f>
        <v>0</v>
      </c>
      <c r="AL1271" s="28">
        <f>IF(AN1271=21,J1271,0)</f>
        <v>0</v>
      </c>
      <c r="AN1271" s="28">
        <v>21</v>
      </c>
      <c r="AO1271" s="28">
        <f>G1271*0.153794549</f>
        <v>0</v>
      </c>
      <c r="AP1271" s="28">
        <f>G1271*(1-0.153794549)</f>
        <v>0</v>
      </c>
      <c r="AQ1271" s="30" t="s">
        <v>74</v>
      </c>
      <c r="AV1271" s="28">
        <f>ROUND(AW1271+AX1271,2)</f>
        <v>0</v>
      </c>
      <c r="AW1271" s="28">
        <f>ROUND(F1271*AO1271,2)</f>
        <v>0</v>
      </c>
      <c r="AX1271" s="28">
        <f>ROUND(F1271*AP1271,2)</f>
        <v>0</v>
      </c>
      <c r="AY1271" s="30" t="s">
        <v>958</v>
      </c>
      <c r="AZ1271" s="30" t="s">
        <v>2154</v>
      </c>
      <c r="BA1271" s="10" t="s">
        <v>2155</v>
      </c>
      <c r="BC1271" s="28">
        <f>AW1271+AX1271</f>
        <v>0</v>
      </c>
      <c r="BD1271" s="28">
        <f>G1271/(100-BE1271)*100</f>
        <v>0</v>
      </c>
      <c r="BE1271" s="28">
        <v>0</v>
      </c>
      <c r="BF1271" s="28">
        <f>1271</f>
        <v>1271</v>
      </c>
      <c r="BH1271" s="28">
        <f>F1271*AO1271</f>
        <v>0</v>
      </c>
      <c r="BI1271" s="28">
        <f>F1271*AP1271</f>
        <v>0</v>
      </c>
      <c r="BJ1271" s="28">
        <f>F1271*G1271</f>
        <v>0</v>
      </c>
      <c r="BK1271" s="28"/>
      <c r="BL1271" s="28"/>
      <c r="BW1271" s="28">
        <v>21</v>
      </c>
      <c r="BX1271" s="4" t="s">
        <v>2238</v>
      </c>
    </row>
    <row r="1272" spans="1:76" ht="13.5" customHeight="1" x14ac:dyDescent="0.3">
      <c r="A1272" s="31"/>
      <c r="B1272" s="35" t="s">
        <v>105</v>
      </c>
      <c r="C1272" s="96" t="s">
        <v>2245</v>
      </c>
      <c r="D1272" s="97"/>
      <c r="E1272" s="97"/>
      <c r="F1272" s="97"/>
      <c r="G1272" s="97"/>
      <c r="H1272" s="97"/>
      <c r="I1272" s="97"/>
      <c r="J1272" s="97"/>
      <c r="K1272" s="98"/>
    </row>
    <row r="1273" spans="1:76" ht="14.4" x14ac:dyDescent="0.3">
      <c r="A1273" s="2" t="s">
        <v>2246</v>
      </c>
      <c r="B1273" s="3" t="s">
        <v>2247</v>
      </c>
      <c r="C1273" s="75" t="s">
        <v>2238</v>
      </c>
      <c r="D1273" s="70"/>
      <c r="E1273" s="3" t="s">
        <v>293</v>
      </c>
      <c r="F1273" s="28">
        <v>4</v>
      </c>
      <c r="G1273" s="28">
        <v>0</v>
      </c>
      <c r="H1273" s="28">
        <f>ROUND(F1273*AO1273,2)</f>
        <v>0</v>
      </c>
      <c r="I1273" s="28">
        <f>ROUND(F1273*AP1273,2)</f>
        <v>0</v>
      </c>
      <c r="J1273" s="28">
        <f>ROUND(F1273*G1273,2)</f>
        <v>0</v>
      </c>
      <c r="K1273" s="29" t="s">
        <v>60</v>
      </c>
      <c r="Z1273" s="28">
        <f>ROUND(IF(AQ1273="5",BJ1273,0),2)</f>
        <v>0</v>
      </c>
      <c r="AB1273" s="28">
        <f>ROUND(IF(AQ1273="1",BH1273,0),2)</f>
        <v>0</v>
      </c>
      <c r="AC1273" s="28">
        <f>ROUND(IF(AQ1273="1",BI1273,0),2)</f>
        <v>0</v>
      </c>
      <c r="AD1273" s="28">
        <f>ROUND(IF(AQ1273="7",BH1273,0),2)</f>
        <v>0</v>
      </c>
      <c r="AE1273" s="28">
        <f>ROUND(IF(AQ1273="7",BI1273,0),2)</f>
        <v>0</v>
      </c>
      <c r="AF1273" s="28">
        <f>ROUND(IF(AQ1273="2",BH1273,0),2)</f>
        <v>0</v>
      </c>
      <c r="AG1273" s="28">
        <f>ROUND(IF(AQ1273="2",BI1273,0),2)</f>
        <v>0</v>
      </c>
      <c r="AH1273" s="28">
        <f>ROUND(IF(AQ1273="0",BJ1273,0),2)</f>
        <v>0</v>
      </c>
      <c r="AI1273" s="10" t="s">
        <v>2150</v>
      </c>
      <c r="AJ1273" s="28">
        <f>IF(AN1273=0,J1273,0)</f>
        <v>0</v>
      </c>
      <c r="AK1273" s="28">
        <f>IF(AN1273=12,J1273,0)</f>
        <v>0</v>
      </c>
      <c r="AL1273" s="28">
        <f>IF(AN1273=21,J1273,0)</f>
        <v>0</v>
      </c>
      <c r="AN1273" s="28">
        <v>21</v>
      </c>
      <c r="AO1273" s="28">
        <f>G1273*0.146596195</f>
        <v>0</v>
      </c>
      <c r="AP1273" s="28">
        <f>G1273*(1-0.146596195)</f>
        <v>0</v>
      </c>
      <c r="AQ1273" s="30" t="s">
        <v>74</v>
      </c>
      <c r="AV1273" s="28">
        <f>ROUND(AW1273+AX1273,2)</f>
        <v>0</v>
      </c>
      <c r="AW1273" s="28">
        <f>ROUND(F1273*AO1273,2)</f>
        <v>0</v>
      </c>
      <c r="AX1273" s="28">
        <f>ROUND(F1273*AP1273,2)</f>
        <v>0</v>
      </c>
      <c r="AY1273" s="30" t="s">
        <v>958</v>
      </c>
      <c r="AZ1273" s="30" t="s">
        <v>2154</v>
      </c>
      <c r="BA1273" s="10" t="s">
        <v>2155</v>
      </c>
      <c r="BC1273" s="28">
        <f>AW1273+AX1273</f>
        <v>0</v>
      </c>
      <c r="BD1273" s="28">
        <f>G1273/(100-BE1273)*100</f>
        <v>0</v>
      </c>
      <c r="BE1273" s="28">
        <v>0</v>
      </c>
      <c r="BF1273" s="28">
        <f>1273</f>
        <v>1273</v>
      </c>
      <c r="BH1273" s="28">
        <f>F1273*AO1273</f>
        <v>0</v>
      </c>
      <c r="BI1273" s="28">
        <f>F1273*AP1273</f>
        <v>0</v>
      </c>
      <c r="BJ1273" s="28">
        <f>F1273*G1273</f>
        <v>0</v>
      </c>
      <c r="BK1273" s="28"/>
      <c r="BL1273" s="28"/>
      <c r="BW1273" s="28">
        <v>21</v>
      </c>
      <c r="BX1273" s="4" t="s">
        <v>2238</v>
      </c>
    </row>
    <row r="1274" spans="1:76" ht="13.5" customHeight="1" x14ac:dyDescent="0.3">
      <c r="A1274" s="31"/>
      <c r="B1274" s="35" t="s">
        <v>105</v>
      </c>
      <c r="C1274" s="96" t="s">
        <v>2248</v>
      </c>
      <c r="D1274" s="97"/>
      <c r="E1274" s="97"/>
      <c r="F1274" s="97"/>
      <c r="G1274" s="97"/>
      <c r="H1274" s="97"/>
      <c r="I1274" s="97"/>
      <c r="J1274" s="97"/>
      <c r="K1274" s="98"/>
    </row>
    <row r="1275" spans="1:76" ht="14.4" x14ac:dyDescent="0.3">
      <c r="A1275" s="2" t="s">
        <v>2249</v>
      </c>
      <c r="B1275" s="3" t="s">
        <v>2250</v>
      </c>
      <c r="C1275" s="75" t="s">
        <v>2238</v>
      </c>
      <c r="D1275" s="70"/>
      <c r="E1275" s="3" t="s">
        <v>293</v>
      </c>
      <c r="F1275" s="28">
        <v>4</v>
      </c>
      <c r="G1275" s="28">
        <v>0</v>
      </c>
      <c r="H1275" s="28">
        <f>ROUND(F1275*AO1275,2)</f>
        <v>0</v>
      </c>
      <c r="I1275" s="28">
        <f>ROUND(F1275*AP1275,2)</f>
        <v>0</v>
      </c>
      <c r="J1275" s="28">
        <f>ROUND(F1275*G1275,2)</f>
        <v>0</v>
      </c>
      <c r="K1275" s="29" t="s">
        <v>60</v>
      </c>
      <c r="Z1275" s="28">
        <f>ROUND(IF(AQ1275="5",BJ1275,0),2)</f>
        <v>0</v>
      </c>
      <c r="AB1275" s="28">
        <f>ROUND(IF(AQ1275="1",BH1275,0),2)</f>
        <v>0</v>
      </c>
      <c r="AC1275" s="28">
        <f>ROUND(IF(AQ1275="1",BI1275,0),2)</f>
        <v>0</v>
      </c>
      <c r="AD1275" s="28">
        <f>ROUND(IF(AQ1275="7",BH1275,0),2)</f>
        <v>0</v>
      </c>
      <c r="AE1275" s="28">
        <f>ROUND(IF(AQ1275="7",BI1275,0),2)</f>
        <v>0</v>
      </c>
      <c r="AF1275" s="28">
        <f>ROUND(IF(AQ1275="2",BH1275,0),2)</f>
        <v>0</v>
      </c>
      <c r="AG1275" s="28">
        <f>ROUND(IF(AQ1275="2",BI1275,0),2)</f>
        <v>0</v>
      </c>
      <c r="AH1275" s="28">
        <f>ROUND(IF(AQ1275="0",BJ1275,0),2)</f>
        <v>0</v>
      </c>
      <c r="AI1275" s="10" t="s">
        <v>2150</v>
      </c>
      <c r="AJ1275" s="28">
        <f>IF(AN1275=0,J1275,0)</f>
        <v>0</v>
      </c>
      <c r="AK1275" s="28">
        <f>IF(AN1275=12,J1275,0)</f>
        <v>0</v>
      </c>
      <c r="AL1275" s="28">
        <f>IF(AN1275=21,J1275,0)</f>
        <v>0</v>
      </c>
      <c r="AN1275" s="28">
        <v>21</v>
      </c>
      <c r="AO1275" s="28">
        <f>G1275*0.184363636</f>
        <v>0</v>
      </c>
      <c r="AP1275" s="28">
        <f>G1275*(1-0.184363636)</f>
        <v>0</v>
      </c>
      <c r="AQ1275" s="30" t="s">
        <v>74</v>
      </c>
      <c r="AV1275" s="28">
        <f>ROUND(AW1275+AX1275,2)</f>
        <v>0</v>
      </c>
      <c r="AW1275" s="28">
        <f>ROUND(F1275*AO1275,2)</f>
        <v>0</v>
      </c>
      <c r="AX1275" s="28">
        <f>ROUND(F1275*AP1275,2)</f>
        <v>0</v>
      </c>
      <c r="AY1275" s="30" t="s">
        <v>958</v>
      </c>
      <c r="AZ1275" s="30" t="s">
        <v>2154</v>
      </c>
      <c r="BA1275" s="10" t="s">
        <v>2155</v>
      </c>
      <c r="BC1275" s="28">
        <f>AW1275+AX1275</f>
        <v>0</v>
      </c>
      <c r="BD1275" s="28">
        <f>G1275/(100-BE1275)*100</f>
        <v>0</v>
      </c>
      <c r="BE1275" s="28">
        <v>0</v>
      </c>
      <c r="BF1275" s="28">
        <f>1275</f>
        <v>1275</v>
      </c>
      <c r="BH1275" s="28">
        <f>F1275*AO1275</f>
        <v>0</v>
      </c>
      <c r="BI1275" s="28">
        <f>F1275*AP1275</f>
        <v>0</v>
      </c>
      <c r="BJ1275" s="28">
        <f>F1275*G1275</f>
        <v>0</v>
      </c>
      <c r="BK1275" s="28"/>
      <c r="BL1275" s="28"/>
      <c r="BW1275" s="28">
        <v>21</v>
      </c>
      <c r="BX1275" s="4" t="s">
        <v>2238</v>
      </c>
    </row>
    <row r="1276" spans="1:76" ht="13.5" customHeight="1" x14ac:dyDescent="0.3">
      <c r="A1276" s="31"/>
      <c r="B1276" s="35" t="s">
        <v>105</v>
      </c>
      <c r="C1276" s="96" t="s">
        <v>2251</v>
      </c>
      <c r="D1276" s="97"/>
      <c r="E1276" s="97"/>
      <c r="F1276" s="97"/>
      <c r="G1276" s="97"/>
      <c r="H1276" s="97"/>
      <c r="I1276" s="97"/>
      <c r="J1276" s="97"/>
      <c r="K1276" s="98"/>
    </row>
    <row r="1277" spans="1:76" ht="14.4" x14ac:dyDescent="0.3">
      <c r="A1277" s="2" t="s">
        <v>2252</v>
      </c>
      <c r="B1277" s="3" t="s">
        <v>2253</v>
      </c>
      <c r="C1277" s="75" t="s">
        <v>2254</v>
      </c>
      <c r="D1277" s="70"/>
      <c r="E1277" s="3" t="s">
        <v>293</v>
      </c>
      <c r="F1277" s="28">
        <v>3</v>
      </c>
      <c r="G1277" s="28">
        <v>0</v>
      </c>
      <c r="H1277" s="28">
        <f>ROUND(F1277*AO1277,2)</f>
        <v>0</v>
      </c>
      <c r="I1277" s="28">
        <f>ROUND(F1277*AP1277,2)</f>
        <v>0</v>
      </c>
      <c r="J1277" s="28">
        <f>ROUND(F1277*G1277,2)</f>
        <v>0</v>
      </c>
      <c r="K1277" s="29" t="s">
        <v>60</v>
      </c>
      <c r="Z1277" s="28">
        <f>ROUND(IF(AQ1277="5",BJ1277,0),2)</f>
        <v>0</v>
      </c>
      <c r="AB1277" s="28">
        <f>ROUND(IF(AQ1277="1",BH1277,0),2)</f>
        <v>0</v>
      </c>
      <c r="AC1277" s="28">
        <f>ROUND(IF(AQ1277="1",BI1277,0),2)</f>
        <v>0</v>
      </c>
      <c r="AD1277" s="28">
        <f>ROUND(IF(AQ1277="7",BH1277,0),2)</f>
        <v>0</v>
      </c>
      <c r="AE1277" s="28">
        <f>ROUND(IF(AQ1277="7",BI1277,0),2)</f>
        <v>0</v>
      </c>
      <c r="AF1277" s="28">
        <f>ROUND(IF(AQ1277="2",BH1277,0),2)</f>
        <v>0</v>
      </c>
      <c r="AG1277" s="28">
        <f>ROUND(IF(AQ1277="2",BI1277,0),2)</f>
        <v>0</v>
      </c>
      <c r="AH1277" s="28">
        <f>ROUND(IF(AQ1277="0",BJ1277,0),2)</f>
        <v>0</v>
      </c>
      <c r="AI1277" s="10" t="s">
        <v>2150</v>
      </c>
      <c r="AJ1277" s="28">
        <f>IF(AN1277=0,J1277,0)</f>
        <v>0</v>
      </c>
      <c r="AK1277" s="28">
        <f>IF(AN1277=12,J1277,0)</f>
        <v>0</v>
      </c>
      <c r="AL1277" s="28">
        <f>IF(AN1277=21,J1277,0)</f>
        <v>0</v>
      </c>
      <c r="AN1277" s="28">
        <v>21</v>
      </c>
      <c r="AO1277" s="28">
        <f>G1277*0.297437186</f>
        <v>0</v>
      </c>
      <c r="AP1277" s="28">
        <f>G1277*(1-0.297437186)</f>
        <v>0</v>
      </c>
      <c r="AQ1277" s="30" t="s">
        <v>74</v>
      </c>
      <c r="AV1277" s="28">
        <f>ROUND(AW1277+AX1277,2)</f>
        <v>0</v>
      </c>
      <c r="AW1277" s="28">
        <f>ROUND(F1277*AO1277,2)</f>
        <v>0</v>
      </c>
      <c r="AX1277" s="28">
        <f>ROUND(F1277*AP1277,2)</f>
        <v>0</v>
      </c>
      <c r="AY1277" s="30" t="s">
        <v>958</v>
      </c>
      <c r="AZ1277" s="30" t="s">
        <v>2154</v>
      </c>
      <c r="BA1277" s="10" t="s">
        <v>2155</v>
      </c>
      <c r="BC1277" s="28">
        <f>AW1277+AX1277</f>
        <v>0</v>
      </c>
      <c r="BD1277" s="28">
        <f>G1277/(100-BE1277)*100</f>
        <v>0</v>
      </c>
      <c r="BE1277" s="28">
        <v>0</v>
      </c>
      <c r="BF1277" s="28">
        <f>1277</f>
        <v>1277</v>
      </c>
      <c r="BH1277" s="28">
        <f>F1277*AO1277</f>
        <v>0</v>
      </c>
      <c r="BI1277" s="28">
        <f>F1277*AP1277</f>
        <v>0</v>
      </c>
      <c r="BJ1277" s="28">
        <f>F1277*G1277</f>
        <v>0</v>
      </c>
      <c r="BK1277" s="28"/>
      <c r="BL1277" s="28"/>
      <c r="BW1277" s="28">
        <v>21</v>
      </c>
      <c r="BX1277" s="4" t="s">
        <v>2254</v>
      </c>
    </row>
    <row r="1278" spans="1:76" ht="13.5" customHeight="1" x14ac:dyDescent="0.3">
      <c r="A1278" s="31"/>
      <c r="B1278" s="35" t="s">
        <v>105</v>
      </c>
      <c r="C1278" s="96" t="s">
        <v>2255</v>
      </c>
      <c r="D1278" s="97"/>
      <c r="E1278" s="97"/>
      <c r="F1278" s="97"/>
      <c r="G1278" s="97"/>
      <c r="H1278" s="97"/>
      <c r="I1278" s="97"/>
      <c r="J1278" s="97"/>
      <c r="K1278" s="98"/>
    </row>
    <row r="1279" spans="1:76" ht="14.4" x14ac:dyDescent="0.3">
      <c r="A1279" s="2" t="s">
        <v>2256</v>
      </c>
      <c r="B1279" s="3" t="s">
        <v>2257</v>
      </c>
      <c r="C1279" s="75" t="s">
        <v>2258</v>
      </c>
      <c r="D1279" s="70"/>
      <c r="E1279" s="3" t="s">
        <v>188</v>
      </c>
      <c r="F1279" s="28">
        <v>6</v>
      </c>
      <c r="G1279" s="28">
        <v>0</v>
      </c>
      <c r="H1279" s="28">
        <f>ROUND(F1279*AO1279,2)</f>
        <v>0</v>
      </c>
      <c r="I1279" s="28">
        <f>ROUND(F1279*AP1279,2)</f>
        <v>0</v>
      </c>
      <c r="J1279" s="28">
        <f>ROUND(F1279*G1279,2)</f>
        <v>0</v>
      </c>
      <c r="K1279" s="29" t="s">
        <v>60</v>
      </c>
      <c r="Z1279" s="28">
        <f>ROUND(IF(AQ1279="5",BJ1279,0),2)</f>
        <v>0</v>
      </c>
      <c r="AB1279" s="28">
        <f>ROUND(IF(AQ1279="1",BH1279,0),2)</f>
        <v>0</v>
      </c>
      <c r="AC1279" s="28">
        <f>ROUND(IF(AQ1279="1",BI1279,0),2)</f>
        <v>0</v>
      </c>
      <c r="AD1279" s="28">
        <f>ROUND(IF(AQ1279="7",BH1279,0),2)</f>
        <v>0</v>
      </c>
      <c r="AE1279" s="28">
        <f>ROUND(IF(AQ1279="7",BI1279,0),2)</f>
        <v>0</v>
      </c>
      <c r="AF1279" s="28">
        <f>ROUND(IF(AQ1279="2",BH1279,0),2)</f>
        <v>0</v>
      </c>
      <c r="AG1279" s="28">
        <f>ROUND(IF(AQ1279="2",BI1279,0),2)</f>
        <v>0</v>
      </c>
      <c r="AH1279" s="28">
        <f>ROUND(IF(AQ1279="0",BJ1279,0),2)</f>
        <v>0</v>
      </c>
      <c r="AI1279" s="10" t="s">
        <v>2150</v>
      </c>
      <c r="AJ1279" s="28">
        <f>IF(AN1279=0,J1279,0)</f>
        <v>0</v>
      </c>
      <c r="AK1279" s="28">
        <f>IF(AN1279=12,J1279,0)</f>
        <v>0</v>
      </c>
      <c r="AL1279" s="28">
        <f>IF(AN1279=21,J1279,0)</f>
        <v>0</v>
      </c>
      <c r="AN1279" s="28">
        <v>21</v>
      </c>
      <c r="AO1279" s="28">
        <f>G1279*0</f>
        <v>0</v>
      </c>
      <c r="AP1279" s="28">
        <f>G1279*(1-0)</f>
        <v>0</v>
      </c>
      <c r="AQ1279" s="30" t="s">
        <v>74</v>
      </c>
      <c r="AV1279" s="28">
        <f>ROUND(AW1279+AX1279,2)</f>
        <v>0</v>
      </c>
      <c r="AW1279" s="28">
        <f>ROUND(F1279*AO1279,2)</f>
        <v>0</v>
      </c>
      <c r="AX1279" s="28">
        <f>ROUND(F1279*AP1279,2)</f>
        <v>0</v>
      </c>
      <c r="AY1279" s="30" t="s">
        <v>958</v>
      </c>
      <c r="AZ1279" s="30" t="s">
        <v>2154</v>
      </c>
      <c r="BA1279" s="10" t="s">
        <v>2155</v>
      </c>
      <c r="BC1279" s="28">
        <f>AW1279+AX1279</f>
        <v>0</v>
      </c>
      <c r="BD1279" s="28">
        <f>G1279/(100-BE1279)*100</f>
        <v>0</v>
      </c>
      <c r="BE1279" s="28">
        <v>0</v>
      </c>
      <c r="BF1279" s="28">
        <f>1279</f>
        <v>1279</v>
      </c>
      <c r="BH1279" s="28">
        <f>F1279*AO1279</f>
        <v>0</v>
      </c>
      <c r="BI1279" s="28">
        <f>F1279*AP1279</f>
        <v>0</v>
      </c>
      <c r="BJ1279" s="28">
        <f>F1279*G1279</f>
        <v>0</v>
      </c>
      <c r="BK1279" s="28"/>
      <c r="BL1279" s="28"/>
      <c r="BW1279" s="28">
        <v>21</v>
      </c>
      <c r="BX1279" s="4" t="s">
        <v>2258</v>
      </c>
    </row>
    <row r="1280" spans="1:76" ht="14.4" x14ac:dyDescent="0.3">
      <c r="A1280" s="2" t="s">
        <v>2259</v>
      </c>
      <c r="B1280" s="3" t="s">
        <v>2260</v>
      </c>
      <c r="C1280" s="75" t="s">
        <v>2261</v>
      </c>
      <c r="D1280" s="70"/>
      <c r="E1280" s="3" t="s">
        <v>188</v>
      </c>
      <c r="F1280" s="28">
        <v>30</v>
      </c>
      <c r="G1280" s="28">
        <v>0</v>
      </c>
      <c r="H1280" s="28">
        <f>ROUND(F1280*AO1280,2)</f>
        <v>0</v>
      </c>
      <c r="I1280" s="28">
        <f>ROUND(F1280*AP1280,2)</f>
        <v>0</v>
      </c>
      <c r="J1280" s="28">
        <f>ROUND(F1280*G1280,2)</f>
        <v>0</v>
      </c>
      <c r="K1280" s="29" t="s">
        <v>60</v>
      </c>
      <c r="Z1280" s="28">
        <f>ROUND(IF(AQ1280="5",BJ1280,0),2)</f>
        <v>0</v>
      </c>
      <c r="AB1280" s="28">
        <f>ROUND(IF(AQ1280="1",BH1280,0),2)</f>
        <v>0</v>
      </c>
      <c r="AC1280" s="28">
        <f>ROUND(IF(AQ1280="1",BI1280,0),2)</f>
        <v>0</v>
      </c>
      <c r="AD1280" s="28">
        <f>ROUND(IF(AQ1280="7",BH1280,0),2)</f>
        <v>0</v>
      </c>
      <c r="AE1280" s="28">
        <f>ROUND(IF(AQ1280="7",BI1280,0),2)</f>
        <v>0</v>
      </c>
      <c r="AF1280" s="28">
        <f>ROUND(IF(AQ1280="2",BH1280,0),2)</f>
        <v>0</v>
      </c>
      <c r="AG1280" s="28">
        <f>ROUND(IF(AQ1280="2",BI1280,0),2)</f>
        <v>0</v>
      </c>
      <c r="AH1280" s="28">
        <f>ROUND(IF(AQ1280="0",BJ1280,0),2)</f>
        <v>0</v>
      </c>
      <c r="AI1280" s="10" t="s">
        <v>2150</v>
      </c>
      <c r="AJ1280" s="28">
        <f>IF(AN1280=0,J1280,0)</f>
        <v>0</v>
      </c>
      <c r="AK1280" s="28">
        <f>IF(AN1280=12,J1280,0)</f>
        <v>0</v>
      </c>
      <c r="AL1280" s="28">
        <f>IF(AN1280=21,J1280,0)</f>
        <v>0</v>
      </c>
      <c r="AN1280" s="28">
        <v>21</v>
      </c>
      <c r="AO1280" s="28">
        <f>G1280*0.065153854</f>
        <v>0</v>
      </c>
      <c r="AP1280" s="28">
        <f>G1280*(1-0.065153854)</f>
        <v>0</v>
      </c>
      <c r="AQ1280" s="30" t="s">
        <v>74</v>
      </c>
      <c r="AV1280" s="28">
        <f>ROUND(AW1280+AX1280,2)</f>
        <v>0</v>
      </c>
      <c r="AW1280" s="28">
        <f>ROUND(F1280*AO1280,2)</f>
        <v>0</v>
      </c>
      <c r="AX1280" s="28">
        <f>ROUND(F1280*AP1280,2)</f>
        <v>0</v>
      </c>
      <c r="AY1280" s="30" t="s">
        <v>958</v>
      </c>
      <c r="AZ1280" s="30" t="s">
        <v>2154</v>
      </c>
      <c r="BA1280" s="10" t="s">
        <v>2155</v>
      </c>
      <c r="BC1280" s="28">
        <f>AW1280+AX1280</f>
        <v>0</v>
      </c>
      <c r="BD1280" s="28">
        <f>G1280/(100-BE1280)*100</f>
        <v>0</v>
      </c>
      <c r="BE1280" s="28">
        <v>0</v>
      </c>
      <c r="BF1280" s="28">
        <f>1280</f>
        <v>1280</v>
      </c>
      <c r="BH1280" s="28">
        <f>F1280*AO1280</f>
        <v>0</v>
      </c>
      <c r="BI1280" s="28">
        <f>F1280*AP1280</f>
        <v>0</v>
      </c>
      <c r="BJ1280" s="28">
        <f>F1280*G1280</f>
        <v>0</v>
      </c>
      <c r="BK1280" s="28"/>
      <c r="BL1280" s="28"/>
      <c r="BW1280" s="28">
        <v>21</v>
      </c>
      <c r="BX1280" s="4" t="s">
        <v>2261</v>
      </c>
    </row>
    <row r="1281" spans="1:76" ht="13.5" customHeight="1" x14ac:dyDescent="0.3">
      <c r="A1281" s="31"/>
      <c r="B1281" s="35" t="s">
        <v>105</v>
      </c>
      <c r="C1281" s="96" t="s">
        <v>2262</v>
      </c>
      <c r="D1281" s="97"/>
      <c r="E1281" s="97"/>
      <c r="F1281" s="97"/>
      <c r="G1281" s="97"/>
      <c r="H1281" s="97"/>
      <c r="I1281" s="97"/>
      <c r="J1281" s="97"/>
      <c r="K1281" s="98"/>
    </row>
    <row r="1282" spans="1:76" ht="14.4" x14ac:dyDescent="0.3">
      <c r="A1282" s="2" t="s">
        <v>2263</v>
      </c>
      <c r="B1282" s="3" t="s">
        <v>2264</v>
      </c>
      <c r="C1282" s="75" t="s">
        <v>2183</v>
      </c>
      <c r="D1282" s="70"/>
      <c r="E1282" s="3" t="s">
        <v>188</v>
      </c>
      <c r="F1282" s="28">
        <v>30</v>
      </c>
      <c r="G1282" s="28">
        <v>0</v>
      </c>
      <c r="H1282" s="28">
        <f>ROUND(F1282*AO1282,2)</f>
        <v>0</v>
      </c>
      <c r="I1282" s="28">
        <f>ROUND(F1282*AP1282,2)</f>
        <v>0</v>
      </c>
      <c r="J1282" s="28">
        <f>ROUND(F1282*G1282,2)</f>
        <v>0</v>
      </c>
      <c r="K1282" s="29" t="s">
        <v>60</v>
      </c>
      <c r="Z1282" s="28">
        <f>ROUND(IF(AQ1282="5",BJ1282,0),2)</f>
        <v>0</v>
      </c>
      <c r="AB1282" s="28">
        <f>ROUND(IF(AQ1282="1",BH1282,0),2)</f>
        <v>0</v>
      </c>
      <c r="AC1282" s="28">
        <f>ROUND(IF(AQ1282="1",BI1282,0),2)</f>
        <v>0</v>
      </c>
      <c r="AD1282" s="28">
        <f>ROUND(IF(AQ1282="7",BH1282,0),2)</f>
        <v>0</v>
      </c>
      <c r="AE1282" s="28">
        <f>ROUND(IF(AQ1282="7",BI1282,0),2)</f>
        <v>0</v>
      </c>
      <c r="AF1282" s="28">
        <f>ROUND(IF(AQ1282="2",BH1282,0),2)</f>
        <v>0</v>
      </c>
      <c r="AG1282" s="28">
        <f>ROUND(IF(AQ1282="2",BI1282,0),2)</f>
        <v>0</v>
      </c>
      <c r="AH1282" s="28">
        <f>ROUND(IF(AQ1282="0",BJ1282,0),2)</f>
        <v>0</v>
      </c>
      <c r="AI1282" s="10" t="s">
        <v>2150</v>
      </c>
      <c r="AJ1282" s="28">
        <f>IF(AN1282=0,J1282,0)</f>
        <v>0</v>
      </c>
      <c r="AK1282" s="28">
        <f>IF(AN1282=12,J1282,0)</f>
        <v>0</v>
      </c>
      <c r="AL1282" s="28">
        <f>IF(AN1282=21,J1282,0)</f>
        <v>0</v>
      </c>
      <c r="AN1282" s="28">
        <v>21</v>
      </c>
      <c r="AO1282" s="28">
        <f>G1282*0.361857351</f>
        <v>0</v>
      </c>
      <c r="AP1282" s="28">
        <f>G1282*(1-0.361857351)</f>
        <v>0</v>
      </c>
      <c r="AQ1282" s="30" t="s">
        <v>74</v>
      </c>
      <c r="AV1282" s="28">
        <f>ROUND(AW1282+AX1282,2)</f>
        <v>0</v>
      </c>
      <c r="AW1282" s="28">
        <f>ROUND(F1282*AO1282,2)</f>
        <v>0</v>
      </c>
      <c r="AX1282" s="28">
        <f>ROUND(F1282*AP1282,2)</f>
        <v>0</v>
      </c>
      <c r="AY1282" s="30" t="s">
        <v>958</v>
      </c>
      <c r="AZ1282" s="30" t="s">
        <v>2154</v>
      </c>
      <c r="BA1282" s="10" t="s">
        <v>2155</v>
      </c>
      <c r="BC1282" s="28">
        <f>AW1282+AX1282</f>
        <v>0</v>
      </c>
      <c r="BD1282" s="28">
        <f>G1282/(100-BE1282)*100</f>
        <v>0</v>
      </c>
      <c r="BE1282" s="28">
        <v>0</v>
      </c>
      <c r="BF1282" s="28">
        <f>1282</f>
        <v>1282</v>
      </c>
      <c r="BH1282" s="28">
        <f>F1282*AO1282</f>
        <v>0</v>
      </c>
      <c r="BI1282" s="28">
        <f>F1282*AP1282</f>
        <v>0</v>
      </c>
      <c r="BJ1282" s="28">
        <f>F1282*G1282</f>
        <v>0</v>
      </c>
      <c r="BK1282" s="28"/>
      <c r="BL1282" s="28"/>
      <c r="BW1282" s="28">
        <v>21</v>
      </c>
      <c r="BX1282" s="4" t="s">
        <v>2183</v>
      </c>
    </row>
    <row r="1283" spans="1:76" ht="13.5" customHeight="1" x14ac:dyDescent="0.3">
      <c r="A1283" s="31"/>
      <c r="B1283" s="35" t="s">
        <v>105</v>
      </c>
      <c r="C1283" s="96" t="s">
        <v>2265</v>
      </c>
      <c r="D1283" s="97"/>
      <c r="E1283" s="97"/>
      <c r="F1283" s="97"/>
      <c r="G1283" s="97"/>
      <c r="H1283" s="97"/>
      <c r="I1283" s="97"/>
      <c r="J1283" s="97"/>
      <c r="K1283" s="98"/>
    </row>
    <row r="1284" spans="1:76" ht="14.4" x14ac:dyDescent="0.3">
      <c r="A1284" s="2" t="s">
        <v>2266</v>
      </c>
      <c r="B1284" s="3" t="s">
        <v>2267</v>
      </c>
      <c r="C1284" s="75" t="s">
        <v>2268</v>
      </c>
      <c r="D1284" s="70"/>
      <c r="E1284" s="3" t="s">
        <v>293</v>
      </c>
      <c r="F1284" s="28">
        <v>1</v>
      </c>
      <c r="G1284" s="28">
        <v>0</v>
      </c>
      <c r="H1284" s="28">
        <f>ROUND(F1284*AO1284,2)</f>
        <v>0</v>
      </c>
      <c r="I1284" s="28">
        <f>ROUND(F1284*AP1284,2)</f>
        <v>0</v>
      </c>
      <c r="J1284" s="28">
        <f>ROUND(F1284*G1284,2)</f>
        <v>0</v>
      </c>
      <c r="K1284" s="29" t="s">
        <v>426</v>
      </c>
      <c r="Z1284" s="28">
        <f>ROUND(IF(AQ1284="5",BJ1284,0),2)</f>
        <v>0</v>
      </c>
      <c r="AB1284" s="28">
        <f>ROUND(IF(AQ1284="1",BH1284,0),2)</f>
        <v>0</v>
      </c>
      <c r="AC1284" s="28">
        <f>ROUND(IF(AQ1284="1",BI1284,0),2)</f>
        <v>0</v>
      </c>
      <c r="AD1284" s="28">
        <f>ROUND(IF(AQ1284="7",BH1284,0),2)</f>
        <v>0</v>
      </c>
      <c r="AE1284" s="28">
        <f>ROUND(IF(AQ1284="7",BI1284,0),2)</f>
        <v>0</v>
      </c>
      <c r="AF1284" s="28">
        <f>ROUND(IF(AQ1284="2",BH1284,0),2)</f>
        <v>0</v>
      </c>
      <c r="AG1284" s="28">
        <f>ROUND(IF(AQ1284="2",BI1284,0),2)</f>
        <v>0</v>
      </c>
      <c r="AH1284" s="28">
        <f>ROUND(IF(AQ1284="0",BJ1284,0),2)</f>
        <v>0</v>
      </c>
      <c r="AI1284" s="10" t="s">
        <v>2150</v>
      </c>
      <c r="AJ1284" s="28">
        <f>IF(AN1284=0,J1284,0)</f>
        <v>0</v>
      </c>
      <c r="AK1284" s="28">
        <f>IF(AN1284=12,J1284,0)</f>
        <v>0</v>
      </c>
      <c r="AL1284" s="28">
        <f>IF(AN1284=21,J1284,0)</f>
        <v>0</v>
      </c>
      <c r="AN1284" s="28">
        <v>21</v>
      </c>
      <c r="AO1284" s="28">
        <f>G1284*1</f>
        <v>0</v>
      </c>
      <c r="AP1284" s="28">
        <f>G1284*(1-1)</f>
        <v>0</v>
      </c>
      <c r="AQ1284" s="30" t="s">
        <v>56</v>
      </c>
      <c r="AV1284" s="28">
        <f>ROUND(AW1284+AX1284,2)</f>
        <v>0</v>
      </c>
      <c r="AW1284" s="28">
        <f>ROUND(F1284*AO1284,2)</f>
        <v>0</v>
      </c>
      <c r="AX1284" s="28">
        <f>ROUND(F1284*AP1284,2)</f>
        <v>0</v>
      </c>
      <c r="AY1284" s="30" t="s">
        <v>958</v>
      </c>
      <c r="AZ1284" s="30" t="s">
        <v>2154</v>
      </c>
      <c r="BA1284" s="10" t="s">
        <v>2155</v>
      </c>
      <c r="BC1284" s="28">
        <f>AW1284+AX1284</f>
        <v>0</v>
      </c>
      <c r="BD1284" s="28">
        <f>G1284/(100-BE1284)*100</f>
        <v>0</v>
      </c>
      <c r="BE1284" s="28">
        <v>0</v>
      </c>
      <c r="BF1284" s="28">
        <f>1284</f>
        <v>1284</v>
      </c>
      <c r="BH1284" s="28">
        <f>F1284*AO1284</f>
        <v>0</v>
      </c>
      <c r="BI1284" s="28">
        <f>F1284*AP1284</f>
        <v>0</v>
      </c>
      <c r="BJ1284" s="28">
        <f>F1284*G1284</f>
        <v>0</v>
      </c>
      <c r="BK1284" s="28"/>
      <c r="BL1284" s="28"/>
      <c r="BW1284" s="28">
        <v>21</v>
      </c>
      <c r="BX1284" s="4" t="s">
        <v>2268</v>
      </c>
    </row>
    <row r="1285" spans="1:76" ht="118.8" x14ac:dyDescent="0.3">
      <c r="A1285" s="31"/>
      <c r="B1285" s="35" t="s">
        <v>68</v>
      </c>
      <c r="C1285" s="93" t="s">
        <v>2269</v>
      </c>
      <c r="D1285" s="94"/>
      <c r="E1285" s="94"/>
      <c r="F1285" s="94"/>
      <c r="G1285" s="94"/>
      <c r="H1285" s="94"/>
      <c r="I1285" s="94"/>
      <c r="J1285" s="94"/>
      <c r="K1285" s="95"/>
      <c r="BX1285" s="36" t="s">
        <v>2269</v>
      </c>
    </row>
    <row r="1286" spans="1:76" ht="14.4" x14ac:dyDescent="0.3">
      <c r="A1286" s="2" t="s">
        <v>2270</v>
      </c>
      <c r="B1286" s="3" t="s">
        <v>2271</v>
      </c>
      <c r="C1286" s="75" t="s">
        <v>2272</v>
      </c>
      <c r="D1286" s="70"/>
      <c r="E1286" s="3" t="s">
        <v>293</v>
      </c>
      <c r="F1286" s="28">
        <v>2</v>
      </c>
      <c r="G1286" s="28">
        <v>0</v>
      </c>
      <c r="H1286" s="28">
        <f>ROUND(F1286*AO1286,2)</f>
        <v>0</v>
      </c>
      <c r="I1286" s="28">
        <f>ROUND(F1286*AP1286,2)</f>
        <v>0</v>
      </c>
      <c r="J1286" s="28">
        <f>ROUND(F1286*G1286,2)</f>
        <v>0</v>
      </c>
      <c r="K1286" s="29" t="s">
        <v>60</v>
      </c>
      <c r="Z1286" s="28">
        <f>ROUND(IF(AQ1286="5",BJ1286,0),2)</f>
        <v>0</v>
      </c>
      <c r="AB1286" s="28">
        <f>ROUND(IF(AQ1286="1",BH1286,0),2)</f>
        <v>0</v>
      </c>
      <c r="AC1286" s="28">
        <f>ROUND(IF(AQ1286="1",BI1286,0),2)</f>
        <v>0</v>
      </c>
      <c r="AD1286" s="28">
        <f>ROUND(IF(AQ1286="7",BH1286,0),2)</f>
        <v>0</v>
      </c>
      <c r="AE1286" s="28">
        <f>ROUND(IF(AQ1286="7",BI1286,0),2)</f>
        <v>0</v>
      </c>
      <c r="AF1286" s="28">
        <f>ROUND(IF(AQ1286="2",BH1286,0),2)</f>
        <v>0</v>
      </c>
      <c r="AG1286" s="28">
        <f>ROUND(IF(AQ1286="2",BI1286,0),2)</f>
        <v>0</v>
      </c>
      <c r="AH1286" s="28">
        <f>ROUND(IF(AQ1286="0",BJ1286,0),2)</f>
        <v>0</v>
      </c>
      <c r="AI1286" s="10" t="s">
        <v>2150</v>
      </c>
      <c r="AJ1286" s="28">
        <f>IF(AN1286=0,J1286,0)</f>
        <v>0</v>
      </c>
      <c r="AK1286" s="28">
        <f>IF(AN1286=12,J1286,0)</f>
        <v>0</v>
      </c>
      <c r="AL1286" s="28">
        <f>IF(AN1286=21,J1286,0)</f>
        <v>0</v>
      </c>
      <c r="AN1286" s="28">
        <v>21</v>
      </c>
      <c r="AO1286" s="28">
        <f>G1286*0</f>
        <v>0</v>
      </c>
      <c r="AP1286" s="28">
        <f>G1286*(1-0)</f>
        <v>0</v>
      </c>
      <c r="AQ1286" s="30" t="s">
        <v>74</v>
      </c>
      <c r="AV1286" s="28">
        <f>ROUND(AW1286+AX1286,2)</f>
        <v>0</v>
      </c>
      <c r="AW1286" s="28">
        <f>ROUND(F1286*AO1286,2)</f>
        <v>0</v>
      </c>
      <c r="AX1286" s="28">
        <f>ROUND(F1286*AP1286,2)</f>
        <v>0</v>
      </c>
      <c r="AY1286" s="30" t="s">
        <v>958</v>
      </c>
      <c r="AZ1286" s="30" t="s">
        <v>2154</v>
      </c>
      <c r="BA1286" s="10" t="s">
        <v>2155</v>
      </c>
      <c r="BC1286" s="28">
        <f>AW1286+AX1286</f>
        <v>0</v>
      </c>
      <c r="BD1286" s="28">
        <f>G1286/(100-BE1286)*100</f>
        <v>0</v>
      </c>
      <c r="BE1286" s="28">
        <v>0</v>
      </c>
      <c r="BF1286" s="28">
        <f>1286</f>
        <v>1286</v>
      </c>
      <c r="BH1286" s="28">
        <f>F1286*AO1286</f>
        <v>0</v>
      </c>
      <c r="BI1286" s="28">
        <f>F1286*AP1286</f>
        <v>0</v>
      </c>
      <c r="BJ1286" s="28">
        <f>F1286*G1286</f>
        <v>0</v>
      </c>
      <c r="BK1286" s="28"/>
      <c r="BL1286" s="28"/>
      <c r="BW1286" s="28">
        <v>21</v>
      </c>
      <c r="BX1286" s="4" t="s">
        <v>2272</v>
      </c>
    </row>
    <row r="1287" spans="1:76" ht="14.4" x14ac:dyDescent="0.3">
      <c r="A1287" s="2" t="s">
        <v>2273</v>
      </c>
      <c r="B1287" s="3" t="s">
        <v>2274</v>
      </c>
      <c r="C1287" s="75" t="s">
        <v>2275</v>
      </c>
      <c r="D1287" s="70"/>
      <c r="E1287" s="3" t="s">
        <v>103</v>
      </c>
      <c r="F1287" s="28">
        <v>40</v>
      </c>
      <c r="G1287" s="28">
        <v>0</v>
      </c>
      <c r="H1287" s="28">
        <f>ROUND(F1287*AO1287,2)</f>
        <v>0</v>
      </c>
      <c r="I1287" s="28">
        <f>ROUND(F1287*AP1287,2)</f>
        <v>0</v>
      </c>
      <c r="J1287" s="28">
        <f>ROUND(F1287*G1287,2)</f>
        <v>0</v>
      </c>
      <c r="K1287" s="29" t="s">
        <v>60</v>
      </c>
      <c r="Z1287" s="28">
        <f>ROUND(IF(AQ1287="5",BJ1287,0),2)</f>
        <v>0</v>
      </c>
      <c r="AB1287" s="28">
        <f>ROUND(IF(AQ1287="1",BH1287,0),2)</f>
        <v>0</v>
      </c>
      <c r="AC1287" s="28">
        <f>ROUND(IF(AQ1287="1",BI1287,0),2)</f>
        <v>0</v>
      </c>
      <c r="AD1287" s="28">
        <f>ROUND(IF(AQ1287="7",BH1287,0),2)</f>
        <v>0</v>
      </c>
      <c r="AE1287" s="28">
        <f>ROUND(IF(AQ1287="7",BI1287,0),2)</f>
        <v>0</v>
      </c>
      <c r="AF1287" s="28">
        <f>ROUND(IF(AQ1287="2",BH1287,0),2)</f>
        <v>0</v>
      </c>
      <c r="AG1287" s="28">
        <f>ROUND(IF(AQ1287="2",BI1287,0),2)</f>
        <v>0</v>
      </c>
      <c r="AH1287" s="28">
        <f>ROUND(IF(AQ1287="0",BJ1287,0),2)</f>
        <v>0</v>
      </c>
      <c r="AI1287" s="10" t="s">
        <v>2150</v>
      </c>
      <c r="AJ1287" s="28">
        <f>IF(AN1287=0,J1287,0)</f>
        <v>0</v>
      </c>
      <c r="AK1287" s="28">
        <f>IF(AN1287=12,J1287,0)</f>
        <v>0</v>
      </c>
      <c r="AL1287" s="28">
        <f>IF(AN1287=21,J1287,0)</f>
        <v>0</v>
      </c>
      <c r="AN1287" s="28">
        <v>21</v>
      </c>
      <c r="AO1287" s="28">
        <f>G1287*0</f>
        <v>0</v>
      </c>
      <c r="AP1287" s="28">
        <f>G1287*(1-0)</f>
        <v>0</v>
      </c>
      <c r="AQ1287" s="30" t="s">
        <v>74</v>
      </c>
      <c r="AV1287" s="28">
        <f>ROUND(AW1287+AX1287,2)</f>
        <v>0</v>
      </c>
      <c r="AW1287" s="28">
        <f>ROUND(F1287*AO1287,2)</f>
        <v>0</v>
      </c>
      <c r="AX1287" s="28">
        <f>ROUND(F1287*AP1287,2)</f>
        <v>0</v>
      </c>
      <c r="AY1287" s="30" t="s">
        <v>958</v>
      </c>
      <c r="AZ1287" s="30" t="s">
        <v>2154</v>
      </c>
      <c r="BA1287" s="10" t="s">
        <v>2155</v>
      </c>
      <c r="BC1287" s="28">
        <f>AW1287+AX1287</f>
        <v>0</v>
      </c>
      <c r="BD1287" s="28">
        <f>G1287/(100-BE1287)*100</f>
        <v>0</v>
      </c>
      <c r="BE1287" s="28">
        <v>0</v>
      </c>
      <c r="BF1287" s="28">
        <f>1287</f>
        <v>1287</v>
      </c>
      <c r="BH1287" s="28">
        <f>F1287*AO1287</f>
        <v>0</v>
      </c>
      <c r="BI1287" s="28">
        <f>F1287*AP1287</f>
        <v>0</v>
      </c>
      <c r="BJ1287" s="28">
        <f>F1287*G1287</f>
        <v>0</v>
      </c>
      <c r="BK1287" s="28"/>
      <c r="BL1287" s="28"/>
      <c r="BW1287" s="28">
        <v>21</v>
      </c>
      <c r="BX1287" s="4" t="s">
        <v>2275</v>
      </c>
    </row>
    <row r="1288" spans="1:76" ht="14.4" x14ac:dyDescent="0.3">
      <c r="A1288" s="2" t="s">
        <v>2276</v>
      </c>
      <c r="B1288" s="3" t="s">
        <v>2277</v>
      </c>
      <c r="C1288" s="75" t="s">
        <v>2278</v>
      </c>
      <c r="D1288" s="70"/>
      <c r="E1288" s="3" t="s">
        <v>188</v>
      </c>
      <c r="F1288" s="28">
        <v>40</v>
      </c>
      <c r="G1288" s="28">
        <v>0</v>
      </c>
      <c r="H1288" s="28">
        <f>ROUND(F1288*AO1288,2)</f>
        <v>0</v>
      </c>
      <c r="I1288" s="28">
        <f>ROUND(F1288*AP1288,2)</f>
        <v>0</v>
      </c>
      <c r="J1288" s="28">
        <f>ROUND(F1288*G1288,2)</f>
        <v>0</v>
      </c>
      <c r="K1288" s="29" t="s">
        <v>60</v>
      </c>
      <c r="Z1288" s="28">
        <f>ROUND(IF(AQ1288="5",BJ1288,0),2)</f>
        <v>0</v>
      </c>
      <c r="AB1288" s="28">
        <f>ROUND(IF(AQ1288="1",BH1288,0),2)</f>
        <v>0</v>
      </c>
      <c r="AC1288" s="28">
        <f>ROUND(IF(AQ1288="1",BI1288,0),2)</f>
        <v>0</v>
      </c>
      <c r="AD1288" s="28">
        <f>ROUND(IF(AQ1288="7",BH1288,0),2)</f>
        <v>0</v>
      </c>
      <c r="AE1288" s="28">
        <f>ROUND(IF(AQ1288="7",BI1288,0),2)</f>
        <v>0</v>
      </c>
      <c r="AF1288" s="28">
        <f>ROUND(IF(AQ1288="2",BH1288,0),2)</f>
        <v>0</v>
      </c>
      <c r="AG1288" s="28">
        <f>ROUND(IF(AQ1288="2",BI1288,0),2)</f>
        <v>0</v>
      </c>
      <c r="AH1288" s="28">
        <f>ROUND(IF(AQ1288="0",BJ1288,0),2)</f>
        <v>0</v>
      </c>
      <c r="AI1288" s="10" t="s">
        <v>2150</v>
      </c>
      <c r="AJ1288" s="28">
        <f>IF(AN1288=0,J1288,0)</f>
        <v>0</v>
      </c>
      <c r="AK1288" s="28">
        <f>IF(AN1288=12,J1288,0)</f>
        <v>0</v>
      </c>
      <c r="AL1288" s="28">
        <f>IF(AN1288=21,J1288,0)</f>
        <v>0</v>
      </c>
      <c r="AN1288" s="28">
        <v>21</v>
      </c>
      <c r="AO1288" s="28">
        <f>G1288*0</f>
        <v>0</v>
      </c>
      <c r="AP1288" s="28">
        <f>G1288*(1-0)</f>
        <v>0</v>
      </c>
      <c r="AQ1288" s="30" t="s">
        <v>74</v>
      </c>
      <c r="AV1288" s="28">
        <f>ROUND(AW1288+AX1288,2)</f>
        <v>0</v>
      </c>
      <c r="AW1288" s="28">
        <f>ROUND(F1288*AO1288,2)</f>
        <v>0</v>
      </c>
      <c r="AX1288" s="28">
        <f>ROUND(F1288*AP1288,2)</f>
        <v>0</v>
      </c>
      <c r="AY1288" s="30" t="s">
        <v>958</v>
      </c>
      <c r="AZ1288" s="30" t="s">
        <v>2154</v>
      </c>
      <c r="BA1288" s="10" t="s">
        <v>2155</v>
      </c>
      <c r="BC1288" s="28">
        <f>AW1288+AX1288</f>
        <v>0</v>
      </c>
      <c r="BD1288" s="28">
        <f>G1288/(100-BE1288)*100</f>
        <v>0</v>
      </c>
      <c r="BE1288" s="28">
        <v>0</v>
      </c>
      <c r="BF1288" s="28">
        <f>1288</f>
        <v>1288</v>
      </c>
      <c r="BH1288" s="28">
        <f>F1288*AO1288</f>
        <v>0</v>
      </c>
      <c r="BI1288" s="28">
        <f>F1288*AP1288</f>
        <v>0</v>
      </c>
      <c r="BJ1288" s="28">
        <f>F1288*G1288</f>
        <v>0</v>
      </c>
      <c r="BK1288" s="28"/>
      <c r="BL1288" s="28"/>
      <c r="BW1288" s="28">
        <v>21</v>
      </c>
      <c r="BX1288" s="4" t="s">
        <v>2278</v>
      </c>
    </row>
    <row r="1289" spans="1:76" ht="14.4" x14ac:dyDescent="0.3">
      <c r="A1289" s="2" t="s">
        <v>2279</v>
      </c>
      <c r="B1289" s="3" t="s">
        <v>2280</v>
      </c>
      <c r="C1289" s="75" t="s">
        <v>2281</v>
      </c>
      <c r="D1289" s="70"/>
      <c r="E1289" s="3" t="s">
        <v>188</v>
      </c>
      <c r="F1289" s="28">
        <v>40</v>
      </c>
      <c r="G1289" s="28">
        <v>0</v>
      </c>
      <c r="H1289" s="28">
        <f>ROUND(F1289*AO1289,2)</f>
        <v>0</v>
      </c>
      <c r="I1289" s="28">
        <f>ROUND(F1289*AP1289,2)</f>
        <v>0</v>
      </c>
      <c r="J1289" s="28">
        <f>ROUND(F1289*G1289,2)</f>
        <v>0</v>
      </c>
      <c r="K1289" s="29" t="s">
        <v>60</v>
      </c>
      <c r="Z1289" s="28">
        <f>ROUND(IF(AQ1289="5",BJ1289,0),2)</f>
        <v>0</v>
      </c>
      <c r="AB1289" s="28">
        <f>ROUND(IF(AQ1289="1",BH1289,0),2)</f>
        <v>0</v>
      </c>
      <c r="AC1289" s="28">
        <f>ROUND(IF(AQ1289="1",BI1289,0),2)</f>
        <v>0</v>
      </c>
      <c r="AD1289" s="28">
        <f>ROUND(IF(AQ1289="7",BH1289,0),2)</f>
        <v>0</v>
      </c>
      <c r="AE1289" s="28">
        <f>ROUND(IF(AQ1289="7",BI1289,0),2)</f>
        <v>0</v>
      </c>
      <c r="AF1289" s="28">
        <f>ROUND(IF(AQ1289="2",BH1289,0),2)</f>
        <v>0</v>
      </c>
      <c r="AG1289" s="28">
        <f>ROUND(IF(AQ1289="2",BI1289,0),2)</f>
        <v>0</v>
      </c>
      <c r="AH1289" s="28">
        <f>ROUND(IF(AQ1289="0",BJ1289,0),2)</f>
        <v>0</v>
      </c>
      <c r="AI1289" s="10" t="s">
        <v>2150</v>
      </c>
      <c r="AJ1289" s="28">
        <f>IF(AN1289=0,J1289,0)</f>
        <v>0</v>
      </c>
      <c r="AK1289" s="28">
        <f>IF(AN1289=12,J1289,0)</f>
        <v>0</v>
      </c>
      <c r="AL1289" s="28">
        <f>IF(AN1289=21,J1289,0)</f>
        <v>0</v>
      </c>
      <c r="AN1289" s="28">
        <v>21</v>
      </c>
      <c r="AO1289" s="28">
        <f>G1289*0.419911504</f>
        <v>0</v>
      </c>
      <c r="AP1289" s="28">
        <f>G1289*(1-0.419911504)</f>
        <v>0</v>
      </c>
      <c r="AQ1289" s="30" t="s">
        <v>74</v>
      </c>
      <c r="AV1289" s="28">
        <f>ROUND(AW1289+AX1289,2)</f>
        <v>0</v>
      </c>
      <c r="AW1289" s="28">
        <f>ROUND(F1289*AO1289,2)</f>
        <v>0</v>
      </c>
      <c r="AX1289" s="28">
        <f>ROUND(F1289*AP1289,2)</f>
        <v>0</v>
      </c>
      <c r="AY1289" s="30" t="s">
        <v>958</v>
      </c>
      <c r="AZ1289" s="30" t="s">
        <v>2154</v>
      </c>
      <c r="BA1289" s="10" t="s">
        <v>2155</v>
      </c>
      <c r="BC1289" s="28">
        <f>AW1289+AX1289</f>
        <v>0</v>
      </c>
      <c r="BD1289" s="28">
        <f>G1289/(100-BE1289)*100</f>
        <v>0</v>
      </c>
      <c r="BE1289" s="28">
        <v>0</v>
      </c>
      <c r="BF1289" s="28">
        <f>1289</f>
        <v>1289</v>
      </c>
      <c r="BH1289" s="28">
        <f>F1289*AO1289</f>
        <v>0</v>
      </c>
      <c r="BI1289" s="28">
        <f>F1289*AP1289</f>
        <v>0</v>
      </c>
      <c r="BJ1289" s="28">
        <f>F1289*G1289</f>
        <v>0</v>
      </c>
      <c r="BK1289" s="28"/>
      <c r="BL1289" s="28"/>
      <c r="BW1289" s="28">
        <v>21</v>
      </c>
      <c r="BX1289" s="4" t="s">
        <v>2281</v>
      </c>
    </row>
    <row r="1290" spans="1:76" ht="14.4" x14ac:dyDescent="0.3">
      <c r="A1290" s="2" t="s">
        <v>2282</v>
      </c>
      <c r="B1290" s="3" t="s">
        <v>2283</v>
      </c>
      <c r="C1290" s="75" t="s">
        <v>2284</v>
      </c>
      <c r="D1290" s="70"/>
      <c r="E1290" s="3" t="s">
        <v>293</v>
      </c>
      <c r="F1290" s="28">
        <v>2</v>
      </c>
      <c r="G1290" s="28">
        <v>0</v>
      </c>
      <c r="H1290" s="28">
        <f>ROUND(F1290*AO1290,2)</f>
        <v>0</v>
      </c>
      <c r="I1290" s="28">
        <f>ROUND(F1290*AP1290,2)</f>
        <v>0</v>
      </c>
      <c r="J1290" s="28">
        <f>ROUND(F1290*G1290,2)</f>
        <v>0</v>
      </c>
      <c r="K1290" s="29" t="s">
        <v>60</v>
      </c>
      <c r="Z1290" s="28">
        <f>ROUND(IF(AQ1290="5",BJ1290,0),2)</f>
        <v>0</v>
      </c>
      <c r="AB1290" s="28">
        <f>ROUND(IF(AQ1290="1",BH1290,0),2)</f>
        <v>0</v>
      </c>
      <c r="AC1290" s="28">
        <f>ROUND(IF(AQ1290="1",BI1290,0),2)</f>
        <v>0</v>
      </c>
      <c r="AD1290" s="28">
        <f>ROUND(IF(AQ1290="7",BH1290,0),2)</f>
        <v>0</v>
      </c>
      <c r="AE1290" s="28">
        <f>ROUND(IF(AQ1290="7",BI1290,0),2)</f>
        <v>0</v>
      </c>
      <c r="AF1290" s="28">
        <f>ROUND(IF(AQ1290="2",BH1290,0),2)</f>
        <v>0</v>
      </c>
      <c r="AG1290" s="28">
        <f>ROUND(IF(AQ1290="2",BI1290,0),2)</f>
        <v>0</v>
      </c>
      <c r="AH1290" s="28">
        <f>ROUND(IF(AQ1290="0",BJ1290,0),2)</f>
        <v>0</v>
      </c>
      <c r="AI1290" s="10" t="s">
        <v>2150</v>
      </c>
      <c r="AJ1290" s="28">
        <f>IF(AN1290=0,J1290,0)</f>
        <v>0</v>
      </c>
      <c r="AK1290" s="28">
        <f>IF(AN1290=12,J1290,0)</f>
        <v>0</v>
      </c>
      <c r="AL1290" s="28">
        <f>IF(AN1290=21,J1290,0)</f>
        <v>0</v>
      </c>
      <c r="AN1290" s="28">
        <v>21</v>
      </c>
      <c r="AO1290" s="28">
        <f>G1290*0.700123566</f>
        <v>0</v>
      </c>
      <c r="AP1290" s="28">
        <f>G1290*(1-0.700123566)</f>
        <v>0</v>
      </c>
      <c r="AQ1290" s="30" t="s">
        <v>74</v>
      </c>
      <c r="AV1290" s="28">
        <f>ROUND(AW1290+AX1290,2)</f>
        <v>0</v>
      </c>
      <c r="AW1290" s="28">
        <f>ROUND(F1290*AO1290,2)</f>
        <v>0</v>
      </c>
      <c r="AX1290" s="28">
        <f>ROUND(F1290*AP1290,2)</f>
        <v>0</v>
      </c>
      <c r="AY1290" s="30" t="s">
        <v>958</v>
      </c>
      <c r="AZ1290" s="30" t="s">
        <v>2154</v>
      </c>
      <c r="BA1290" s="10" t="s">
        <v>2155</v>
      </c>
      <c r="BC1290" s="28">
        <f>AW1290+AX1290</f>
        <v>0</v>
      </c>
      <c r="BD1290" s="28">
        <f>G1290/(100-BE1290)*100</f>
        <v>0</v>
      </c>
      <c r="BE1290" s="28">
        <v>0</v>
      </c>
      <c r="BF1290" s="28">
        <f>1290</f>
        <v>1290</v>
      </c>
      <c r="BH1290" s="28">
        <f>F1290*AO1290</f>
        <v>0</v>
      </c>
      <c r="BI1290" s="28">
        <f>F1290*AP1290</f>
        <v>0</v>
      </c>
      <c r="BJ1290" s="28">
        <f>F1290*G1290</f>
        <v>0</v>
      </c>
      <c r="BK1290" s="28"/>
      <c r="BL1290" s="28"/>
      <c r="BW1290" s="28">
        <v>21</v>
      </c>
      <c r="BX1290" s="4" t="s">
        <v>2284</v>
      </c>
    </row>
    <row r="1291" spans="1:76" ht="13.5" customHeight="1" x14ac:dyDescent="0.3">
      <c r="A1291" s="31"/>
      <c r="B1291" s="35" t="s">
        <v>105</v>
      </c>
      <c r="C1291" s="96" t="s">
        <v>2285</v>
      </c>
      <c r="D1291" s="97"/>
      <c r="E1291" s="97"/>
      <c r="F1291" s="97"/>
      <c r="G1291" s="97"/>
      <c r="H1291" s="97"/>
      <c r="I1291" s="97"/>
      <c r="J1291" s="97"/>
      <c r="K1291" s="98"/>
    </row>
    <row r="1292" spans="1:76" ht="14.4" x14ac:dyDescent="0.3">
      <c r="A1292" s="2" t="s">
        <v>2286</v>
      </c>
      <c r="B1292" s="3" t="s">
        <v>2287</v>
      </c>
      <c r="C1292" s="75" t="s">
        <v>2288</v>
      </c>
      <c r="D1292" s="70"/>
      <c r="E1292" s="3" t="s">
        <v>188</v>
      </c>
      <c r="F1292" s="28">
        <v>40</v>
      </c>
      <c r="G1292" s="28">
        <v>0</v>
      </c>
      <c r="H1292" s="28">
        <f>ROUND(F1292*AO1292,2)</f>
        <v>0</v>
      </c>
      <c r="I1292" s="28">
        <f>ROUND(F1292*AP1292,2)</f>
        <v>0</v>
      </c>
      <c r="J1292" s="28">
        <f>ROUND(F1292*G1292,2)</f>
        <v>0</v>
      </c>
      <c r="K1292" s="29" t="s">
        <v>60</v>
      </c>
      <c r="Z1292" s="28">
        <f>ROUND(IF(AQ1292="5",BJ1292,0),2)</f>
        <v>0</v>
      </c>
      <c r="AB1292" s="28">
        <f>ROUND(IF(AQ1292="1",BH1292,0),2)</f>
        <v>0</v>
      </c>
      <c r="AC1292" s="28">
        <f>ROUND(IF(AQ1292="1",BI1292,0),2)</f>
        <v>0</v>
      </c>
      <c r="AD1292" s="28">
        <f>ROUND(IF(AQ1292="7",BH1292,0),2)</f>
        <v>0</v>
      </c>
      <c r="AE1292" s="28">
        <f>ROUND(IF(AQ1292="7",BI1292,0),2)</f>
        <v>0</v>
      </c>
      <c r="AF1292" s="28">
        <f>ROUND(IF(AQ1292="2",BH1292,0),2)</f>
        <v>0</v>
      </c>
      <c r="AG1292" s="28">
        <f>ROUND(IF(AQ1292="2",BI1292,0),2)</f>
        <v>0</v>
      </c>
      <c r="AH1292" s="28">
        <f>ROUND(IF(AQ1292="0",BJ1292,0),2)</f>
        <v>0</v>
      </c>
      <c r="AI1292" s="10" t="s">
        <v>2150</v>
      </c>
      <c r="AJ1292" s="28">
        <f>IF(AN1292=0,J1292,0)</f>
        <v>0</v>
      </c>
      <c r="AK1292" s="28">
        <f>IF(AN1292=12,J1292,0)</f>
        <v>0</v>
      </c>
      <c r="AL1292" s="28">
        <f>IF(AN1292=21,J1292,0)</f>
        <v>0</v>
      </c>
      <c r="AN1292" s="28">
        <v>21</v>
      </c>
      <c r="AO1292" s="28">
        <f>G1292*0.628172757</f>
        <v>0</v>
      </c>
      <c r="AP1292" s="28">
        <f>G1292*(1-0.628172757)</f>
        <v>0</v>
      </c>
      <c r="AQ1292" s="30" t="s">
        <v>74</v>
      </c>
      <c r="AV1292" s="28">
        <f>ROUND(AW1292+AX1292,2)</f>
        <v>0</v>
      </c>
      <c r="AW1292" s="28">
        <f>ROUND(F1292*AO1292,2)</f>
        <v>0</v>
      </c>
      <c r="AX1292" s="28">
        <f>ROUND(F1292*AP1292,2)</f>
        <v>0</v>
      </c>
      <c r="AY1292" s="30" t="s">
        <v>958</v>
      </c>
      <c r="AZ1292" s="30" t="s">
        <v>2154</v>
      </c>
      <c r="BA1292" s="10" t="s">
        <v>2155</v>
      </c>
      <c r="BC1292" s="28">
        <f>AW1292+AX1292</f>
        <v>0</v>
      </c>
      <c r="BD1292" s="28">
        <f>G1292/(100-BE1292)*100</f>
        <v>0</v>
      </c>
      <c r="BE1292" s="28">
        <v>0</v>
      </c>
      <c r="BF1292" s="28">
        <f>1292</f>
        <v>1292</v>
      </c>
      <c r="BH1292" s="28">
        <f>F1292*AO1292</f>
        <v>0</v>
      </c>
      <c r="BI1292" s="28">
        <f>F1292*AP1292</f>
        <v>0</v>
      </c>
      <c r="BJ1292" s="28">
        <f>F1292*G1292</f>
        <v>0</v>
      </c>
      <c r="BK1292" s="28"/>
      <c r="BL1292" s="28"/>
      <c r="BW1292" s="28">
        <v>21</v>
      </c>
      <c r="BX1292" s="4" t="s">
        <v>2288</v>
      </c>
    </row>
    <row r="1293" spans="1:76" ht="13.5" customHeight="1" x14ac:dyDescent="0.3">
      <c r="A1293" s="31"/>
      <c r="B1293" s="35" t="s">
        <v>105</v>
      </c>
      <c r="C1293" s="96" t="s">
        <v>2289</v>
      </c>
      <c r="D1293" s="97"/>
      <c r="E1293" s="97"/>
      <c r="F1293" s="97"/>
      <c r="G1293" s="97"/>
      <c r="H1293" s="97"/>
      <c r="I1293" s="97"/>
      <c r="J1293" s="97"/>
      <c r="K1293" s="98"/>
    </row>
    <row r="1294" spans="1:76" ht="14.4" x14ac:dyDescent="0.3">
      <c r="A1294" s="2" t="s">
        <v>2290</v>
      </c>
      <c r="B1294" s="3" t="s">
        <v>2291</v>
      </c>
      <c r="C1294" s="75" t="s">
        <v>2292</v>
      </c>
      <c r="D1294" s="70"/>
      <c r="E1294" s="3" t="s">
        <v>293</v>
      </c>
      <c r="F1294" s="28">
        <v>1</v>
      </c>
      <c r="G1294" s="28">
        <v>0</v>
      </c>
      <c r="H1294" s="28">
        <f>ROUND(F1294*AO1294,2)</f>
        <v>0</v>
      </c>
      <c r="I1294" s="28">
        <f>ROUND(F1294*AP1294,2)</f>
        <v>0</v>
      </c>
      <c r="J1294" s="28">
        <f>ROUND(F1294*G1294,2)</f>
        <v>0</v>
      </c>
      <c r="K1294" s="29" t="s">
        <v>60</v>
      </c>
      <c r="Z1294" s="28">
        <f>ROUND(IF(AQ1294="5",BJ1294,0),2)</f>
        <v>0</v>
      </c>
      <c r="AB1294" s="28">
        <f>ROUND(IF(AQ1294="1",BH1294,0),2)</f>
        <v>0</v>
      </c>
      <c r="AC1294" s="28">
        <f>ROUND(IF(AQ1294="1",BI1294,0),2)</f>
        <v>0</v>
      </c>
      <c r="AD1294" s="28">
        <f>ROUND(IF(AQ1294="7",BH1294,0),2)</f>
        <v>0</v>
      </c>
      <c r="AE1294" s="28">
        <f>ROUND(IF(AQ1294="7",BI1294,0),2)</f>
        <v>0</v>
      </c>
      <c r="AF1294" s="28">
        <f>ROUND(IF(AQ1294="2",BH1294,0),2)</f>
        <v>0</v>
      </c>
      <c r="AG1294" s="28">
        <f>ROUND(IF(AQ1294="2",BI1294,0),2)</f>
        <v>0</v>
      </c>
      <c r="AH1294" s="28">
        <f>ROUND(IF(AQ1294="0",BJ1294,0),2)</f>
        <v>0</v>
      </c>
      <c r="AI1294" s="10" t="s">
        <v>2150</v>
      </c>
      <c r="AJ1294" s="28">
        <f>IF(AN1294=0,J1294,0)</f>
        <v>0</v>
      </c>
      <c r="AK1294" s="28">
        <f>IF(AN1294=12,J1294,0)</f>
        <v>0</v>
      </c>
      <c r="AL1294" s="28">
        <f>IF(AN1294=21,J1294,0)</f>
        <v>0</v>
      </c>
      <c r="AN1294" s="28">
        <v>21</v>
      </c>
      <c r="AO1294" s="28">
        <f>G1294*0.067985808</f>
        <v>0</v>
      </c>
      <c r="AP1294" s="28">
        <f>G1294*(1-0.067985808)</f>
        <v>0</v>
      </c>
      <c r="AQ1294" s="30" t="s">
        <v>74</v>
      </c>
      <c r="AV1294" s="28">
        <f>ROUND(AW1294+AX1294,2)</f>
        <v>0</v>
      </c>
      <c r="AW1294" s="28">
        <f>ROUND(F1294*AO1294,2)</f>
        <v>0</v>
      </c>
      <c r="AX1294" s="28">
        <f>ROUND(F1294*AP1294,2)</f>
        <v>0</v>
      </c>
      <c r="AY1294" s="30" t="s">
        <v>958</v>
      </c>
      <c r="AZ1294" s="30" t="s">
        <v>2154</v>
      </c>
      <c r="BA1294" s="10" t="s">
        <v>2155</v>
      </c>
      <c r="BC1294" s="28">
        <f>AW1294+AX1294</f>
        <v>0</v>
      </c>
      <c r="BD1294" s="28">
        <f>G1294/(100-BE1294)*100</f>
        <v>0</v>
      </c>
      <c r="BE1294" s="28">
        <v>0</v>
      </c>
      <c r="BF1294" s="28">
        <f>1294</f>
        <v>1294</v>
      </c>
      <c r="BH1294" s="28">
        <f>F1294*AO1294</f>
        <v>0</v>
      </c>
      <c r="BI1294" s="28">
        <f>F1294*AP1294</f>
        <v>0</v>
      </c>
      <c r="BJ1294" s="28">
        <f>F1294*G1294</f>
        <v>0</v>
      </c>
      <c r="BK1294" s="28"/>
      <c r="BL1294" s="28"/>
      <c r="BW1294" s="28">
        <v>21</v>
      </c>
      <c r="BX1294" s="4" t="s">
        <v>2292</v>
      </c>
    </row>
    <row r="1295" spans="1:76" ht="14.4" x14ac:dyDescent="0.3">
      <c r="A1295" s="2" t="s">
        <v>2293</v>
      </c>
      <c r="B1295" s="3" t="s">
        <v>2294</v>
      </c>
      <c r="C1295" s="75" t="s">
        <v>2295</v>
      </c>
      <c r="D1295" s="70"/>
      <c r="E1295" s="3" t="s">
        <v>293</v>
      </c>
      <c r="F1295" s="28">
        <v>6</v>
      </c>
      <c r="G1295" s="28">
        <v>0</v>
      </c>
      <c r="H1295" s="28">
        <f>ROUND(F1295*AO1295,2)</f>
        <v>0</v>
      </c>
      <c r="I1295" s="28">
        <f>ROUND(F1295*AP1295,2)</f>
        <v>0</v>
      </c>
      <c r="J1295" s="28">
        <f>ROUND(F1295*G1295,2)</f>
        <v>0</v>
      </c>
      <c r="K1295" s="29" t="s">
        <v>60</v>
      </c>
      <c r="Z1295" s="28">
        <f>ROUND(IF(AQ1295="5",BJ1295,0),2)</f>
        <v>0</v>
      </c>
      <c r="AB1295" s="28">
        <f>ROUND(IF(AQ1295="1",BH1295,0),2)</f>
        <v>0</v>
      </c>
      <c r="AC1295" s="28">
        <f>ROUND(IF(AQ1295="1",BI1295,0),2)</f>
        <v>0</v>
      </c>
      <c r="AD1295" s="28">
        <f>ROUND(IF(AQ1295="7",BH1295,0),2)</f>
        <v>0</v>
      </c>
      <c r="AE1295" s="28">
        <f>ROUND(IF(AQ1295="7",BI1295,0),2)</f>
        <v>0</v>
      </c>
      <c r="AF1295" s="28">
        <f>ROUND(IF(AQ1295="2",BH1295,0),2)</f>
        <v>0</v>
      </c>
      <c r="AG1295" s="28">
        <f>ROUND(IF(AQ1295="2",BI1295,0),2)</f>
        <v>0</v>
      </c>
      <c r="AH1295" s="28">
        <f>ROUND(IF(AQ1295="0",BJ1295,0),2)</f>
        <v>0</v>
      </c>
      <c r="AI1295" s="10" t="s">
        <v>2150</v>
      </c>
      <c r="AJ1295" s="28">
        <f>IF(AN1295=0,J1295,0)</f>
        <v>0</v>
      </c>
      <c r="AK1295" s="28">
        <f>IF(AN1295=12,J1295,0)</f>
        <v>0</v>
      </c>
      <c r="AL1295" s="28">
        <f>IF(AN1295=21,J1295,0)</f>
        <v>0</v>
      </c>
      <c r="AN1295" s="28">
        <v>21</v>
      </c>
      <c r="AO1295" s="28">
        <f>G1295*0.076413158</f>
        <v>0</v>
      </c>
      <c r="AP1295" s="28">
        <f>G1295*(1-0.076413158)</f>
        <v>0</v>
      </c>
      <c r="AQ1295" s="30" t="s">
        <v>74</v>
      </c>
      <c r="AV1295" s="28">
        <f>ROUND(AW1295+AX1295,2)</f>
        <v>0</v>
      </c>
      <c r="AW1295" s="28">
        <f>ROUND(F1295*AO1295,2)</f>
        <v>0</v>
      </c>
      <c r="AX1295" s="28">
        <f>ROUND(F1295*AP1295,2)</f>
        <v>0</v>
      </c>
      <c r="AY1295" s="30" t="s">
        <v>958</v>
      </c>
      <c r="AZ1295" s="30" t="s">
        <v>2154</v>
      </c>
      <c r="BA1295" s="10" t="s">
        <v>2155</v>
      </c>
      <c r="BC1295" s="28">
        <f>AW1295+AX1295</f>
        <v>0</v>
      </c>
      <c r="BD1295" s="28">
        <f>G1295/(100-BE1295)*100</f>
        <v>0</v>
      </c>
      <c r="BE1295" s="28">
        <v>0</v>
      </c>
      <c r="BF1295" s="28">
        <f>1295</f>
        <v>1295</v>
      </c>
      <c r="BH1295" s="28">
        <f>F1295*AO1295</f>
        <v>0</v>
      </c>
      <c r="BI1295" s="28">
        <f>F1295*AP1295</f>
        <v>0</v>
      </c>
      <c r="BJ1295" s="28">
        <f>F1295*G1295</f>
        <v>0</v>
      </c>
      <c r="BK1295" s="28"/>
      <c r="BL1295" s="28"/>
      <c r="BW1295" s="28">
        <v>21</v>
      </c>
      <c r="BX1295" s="4" t="s">
        <v>2295</v>
      </c>
    </row>
    <row r="1296" spans="1:76" ht="14.4" x14ac:dyDescent="0.3">
      <c r="A1296" s="2" t="s">
        <v>2296</v>
      </c>
      <c r="B1296" s="3" t="s">
        <v>2297</v>
      </c>
      <c r="C1296" s="75" t="s">
        <v>2298</v>
      </c>
      <c r="D1296" s="70"/>
      <c r="E1296" s="3" t="s">
        <v>188</v>
      </c>
      <c r="F1296" s="28">
        <v>40</v>
      </c>
      <c r="G1296" s="28">
        <v>0</v>
      </c>
      <c r="H1296" s="28">
        <f>ROUND(F1296*AO1296,2)</f>
        <v>0</v>
      </c>
      <c r="I1296" s="28">
        <f>ROUND(F1296*AP1296,2)</f>
        <v>0</v>
      </c>
      <c r="J1296" s="28">
        <f>ROUND(F1296*G1296,2)</f>
        <v>0</v>
      </c>
      <c r="K1296" s="29" t="s">
        <v>60</v>
      </c>
      <c r="Z1296" s="28">
        <f>ROUND(IF(AQ1296="5",BJ1296,0),2)</f>
        <v>0</v>
      </c>
      <c r="AB1296" s="28">
        <f>ROUND(IF(AQ1296="1",BH1296,0),2)</f>
        <v>0</v>
      </c>
      <c r="AC1296" s="28">
        <f>ROUND(IF(AQ1296="1",BI1296,0),2)</f>
        <v>0</v>
      </c>
      <c r="AD1296" s="28">
        <f>ROUND(IF(AQ1296="7",BH1296,0),2)</f>
        <v>0</v>
      </c>
      <c r="AE1296" s="28">
        <f>ROUND(IF(AQ1296="7",BI1296,0),2)</f>
        <v>0</v>
      </c>
      <c r="AF1296" s="28">
        <f>ROUND(IF(AQ1296="2",BH1296,0),2)</f>
        <v>0</v>
      </c>
      <c r="AG1296" s="28">
        <f>ROUND(IF(AQ1296="2",BI1296,0),2)</f>
        <v>0</v>
      </c>
      <c r="AH1296" s="28">
        <f>ROUND(IF(AQ1296="0",BJ1296,0),2)</f>
        <v>0</v>
      </c>
      <c r="AI1296" s="10" t="s">
        <v>2150</v>
      </c>
      <c r="AJ1296" s="28">
        <f>IF(AN1296=0,J1296,0)</f>
        <v>0</v>
      </c>
      <c r="AK1296" s="28">
        <f>IF(AN1296=12,J1296,0)</f>
        <v>0</v>
      </c>
      <c r="AL1296" s="28">
        <f>IF(AN1296=21,J1296,0)</f>
        <v>0</v>
      </c>
      <c r="AN1296" s="28">
        <v>21</v>
      </c>
      <c r="AO1296" s="28">
        <f>G1296*0</f>
        <v>0</v>
      </c>
      <c r="AP1296" s="28">
        <f>G1296*(1-0)</f>
        <v>0</v>
      </c>
      <c r="AQ1296" s="30" t="s">
        <v>74</v>
      </c>
      <c r="AV1296" s="28">
        <f>ROUND(AW1296+AX1296,2)</f>
        <v>0</v>
      </c>
      <c r="AW1296" s="28">
        <f>ROUND(F1296*AO1296,2)</f>
        <v>0</v>
      </c>
      <c r="AX1296" s="28">
        <f>ROUND(F1296*AP1296,2)</f>
        <v>0</v>
      </c>
      <c r="AY1296" s="30" t="s">
        <v>958</v>
      </c>
      <c r="AZ1296" s="30" t="s">
        <v>2154</v>
      </c>
      <c r="BA1296" s="10" t="s">
        <v>2155</v>
      </c>
      <c r="BC1296" s="28">
        <f>AW1296+AX1296</f>
        <v>0</v>
      </c>
      <c r="BD1296" s="28">
        <f>G1296/(100-BE1296)*100</f>
        <v>0</v>
      </c>
      <c r="BE1296" s="28">
        <v>0</v>
      </c>
      <c r="BF1296" s="28">
        <f>1296</f>
        <v>1296</v>
      </c>
      <c r="BH1296" s="28">
        <f>F1296*AO1296</f>
        <v>0</v>
      </c>
      <c r="BI1296" s="28">
        <f>F1296*AP1296</f>
        <v>0</v>
      </c>
      <c r="BJ1296" s="28">
        <f>F1296*G1296</f>
        <v>0</v>
      </c>
      <c r="BK1296" s="28"/>
      <c r="BL1296" s="28"/>
      <c r="BW1296" s="28">
        <v>21</v>
      </c>
      <c r="BX1296" s="4" t="s">
        <v>2298</v>
      </c>
    </row>
    <row r="1297" spans="1:76" ht="13.5" customHeight="1" x14ac:dyDescent="0.3">
      <c r="A1297" s="31"/>
      <c r="B1297" s="35" t="s">
        <v>105</v>
      </c>
      <c r="C1297" s="96" t="s">
        <v>2299</v>
      </c>
      <c r="D1297" s="97"/>
      <c r="E1297" s="97"/>
      <c r="F1297" s="97"/>
      <c r="G1297" s="97"/>
      <c r="H1297" s="97"/>
      <c r="I1297" s="97"/>
      <c r="J1297" s="97"/>
      <c r="K1297" s="98"/>
    </row>
    <row r="1298" spans="1:76" ht="14.4" x14ac:dyDescent="0.3">
      <c r="A1298" s="2" t="s">
        <v>2300</v>
      </c>
      <c r="B1298" s="3" t="s">
        <v>2301</v>
      </c>
      <c r="C1298" s="75" t="s">
        <v>2302</v>
      </c>
      <c r="D1298" s="70"/>
      <c r="E1298" s="3" t="s">
        <v>59</v>
      </c>
      <c r="F1298" s="28">
        <v>1</v>
      </c>
      <c r="G1298" s="28">
        <v>0</v>
      </c>
      <c r="H1298" s="28">
        <f>ROUND(F1298*AO1298,2)</f>
        <v>0</v>
      </c>
      <c r="I1298" s="28">
        <f>ROUND(F1298*AP1298,2)</f>
        <v>0</v>
      </c>
      <c r="J1298" s="28">
        <f>ROUND(F1298*G1298,2)</f>
        <v>0</v>
      </c>
      <c r="K1298" s="29" t="s">
        <v>60</v>
      </c>
      <c r="Z1298" s="28">
        <f>ROUND(IF(AQ1298="5",BJ1298,0),2)</f>
        <v>0</v>
      </c>
      <c r="AB1298" s="28">
        <f>ROUND(IF(AQ1298="1",BH1298,0),2)</f>
        <v>0</v>
      </c>
      <c r="AC1298" s="28">
        <f>ROUND(IF(AQ1298="1",BI1298,0),2)</f>
        <v>0</v>
      </c>
      <c r="AD1298" s="28">
        <f>ROUND(IF(AQ1298="7",BH1298,0),2)</f>
        <v>0</v>
      </c>
      <c r="AE1298" s="28">
        <f>ROUND(IF(AQ1298="7",BI1298,0),2)</f>
        <v>0</v>
      </c>
      <c r="AF1298" s="28">
        <f>ROUND(IF(AQ1298="2",BH1298,0),2)</f>
        <v>0</v>
      </c>
      <c r="AG1298" s="28">
        <f>ROUND(IF(AQ1298="2",BI1298,0),2)</f>
        <v>0</v>
      </c>
      <c r="AH1298" s="28">
        <f>ROUND(IF(AQ1298="0",BJ1298,0),2)</f>
        <v>0</v>
      </c>
      <c r="AI1298" s="10" t="s">
        <v>2150</v>
      </c>
      <c r="AJ1298" s="28">
        <f>IF(AN1298=0,J1298,0)</f>
        <v>0</v>
      </c>
      <c r="AK1298" s="28">
        <f>IF(AN1298=12,J1298,0)</f>
        <v>0</v>
      </c>
      <c r="AL1298" s="28">
        <f>IF(AN1298=21,J1298,0)</f>
        <v>0</v>
      </c>
      <c r="AN1298" s="28">
        <v>21</v>
      </c>
      <c r="AO1298" s="28">
        <f>G1298*0.634961778</f>
        <v>0</v>
      </c>
      <c r="AP1298" s="28">
        <f>G1298*(1-0.634961778)</f>
        <v>0</v>
      </c>
      <c r="AQ1298" s="30" t="s">
        <v>74</v>
      </c>
      <c r="AV1298" s="28">
        <f>ROUND(AW1298+AX1298,2)</f>
        <v>0</v>
      </c>
      <c r="AW1298" s="28">
        <f>ROUND(F1298*AO1298,2)</f>
        <v>0</v>
      </c>
      <c r="AX1298" s="28">
        <f>ROUND(F1298*AP1298,2)</f>
        <v>0</v>
      </c>
      <c r="AY1298" s="30" t="s">
        <v>958</v>
      </c>
      <c r="AZ1298" s="30" t="s">
        <v>2154</v>
      </c>
      <c r="BA1298" s="10" t="s">
        <v>2155</v>
      </c>
      <c r="BC1298" s="28">
        <f>AW1298+AX1298</f>
        <v>0</v>
      </c>
      <c r="BD1298" s="28">
        <f>G1298/(100-BE1298)*100</f>
        <v>0</v>
      </c>
      <c r="BE1298" s="28">
        <v>0</v>
      </c>
      <c r="BF1298" s="28">
        <f>1298</f>
        <v>1298</v>
      </c>
      <c r="BH1298" s="28">
        <f>F1298*AO1298</f>
        <v>0</v>
      </c>
      <c r="BI1298" s="28">
        <f>F1298*AP1298</f>
        <v>0</v>
      </c>
      <c r="BJ1298" s="28">
        <f>F1298*G1298</f>
        <v>0</v>
      </c>
      <c r="BK1298" s="28"/>
      <c r="BL1298" s="28"/>
      <c r="BW1298" s="28">
        <v>21</v>
      </c>
      <c r="BX1298" s="4" t="s">
        <v>2302</v>
      </c>
    </row>
    <row r="1299" spans="1:76" ht="13.5" customHeight="1" x14ac:dyDescent="0.3">
      <c r="A1299" s="31"/>
      <c r="B1299" s="35" t="s">
        <v>105</v>
      </c>
      <c r="C1299" s="96" t="s">
        <v>2303</v>
      </c>
      <c r="D1299" s="97"/>
      <c r="E1299" s="97"/>
      <c r="F1299" s="97"/>
      <c r="G1299" s="97"/>
      <c r="H1299" s="97"/>
      <c r="I1299" s="97"/>
      <c r="J1299" s="97"/>
      <c r="K1299" s="98"/>
    </row>
    <row r="1300" spans="1:76" ht="14.4" x14ac:dyDescent="0.3">
      <c r="A1300" s="2" t="s">
        <v>2304</v>
      </c>
      <c r="B1300" s="3" t="s">
        <v>2305</v>
      </c>
      <c r="C1300" s="75" t="s">
        <v>2306</v>
      </c>
      <c r="D1300" s="70"/>
      <c r="E1300" s="3" t="s">
        <v>2307</v>
      </c>
      <c r="F1300" s="28">
        <v>0.1</v>
      </c>
      <c r="G1300" s="28">
        <v>0</v>
      </c>
      <c r="H1300" s="28">
        <f>ROUND(F1300*AO1300,2)</f>
        <v>0</v>
      </c>
      <c r="I1300" s="28">
        <f>ROUND(F1300*AP1300,2)</f>
        <v>0</v>
      </c>
      <c r="J1300" s="28">
        <f>ROUND(F1300*G1300,2)</f>
        <v>0</v>
      </c>
      <c r="K1300" s="29" t="s">
        <v>60</v>
      </c>
      <c r="Z1300" s="28">
        <f>ROUND(IF(AQ1300="5",BJ1300,0),2)</f>
        <v>0</v>
      </c>
      <c r="AB1300" s="28">
        <f>ROUND(IF(AQ1300="1",BH1300,0),2)</f>
        <v>0</v>
      </c>
      <c r="AC1300" s="28">
        <f>ROUND(IF(AQ1300="1",BI1300,0),2)</f>
        <v>0</v>
      </c>
      <c r="AD1300" s="28">
        <f>ROUND(IF(AQ1300="7",BH1300,0),2)</f>
        <v>0</v>
      </c>
      <c r="AE1300" s="28">
        <f>ROUND(IF(AQ1300="7",BI1300,0),2)</f>
        <v>0</v>
      </c>
      <c r="AF1300" s="28">
        <f>ROUND(IF(AQ1300="2",BH1300,0),2)</f>
        <v>0</v>
      </c>
      <c r="AG1300" s="28">
        <f>ROUND(IF(AQ1300="2",BI1300,0),2)</f>
        <v>0</v>
      </c>
      <c r="AH1300" s="28">
        <f>ROUND(IF(AQ1300="0",BJ1300,0),2)</f>
        <v>0</v>
      </c>
      <c r="AI1300" s="10" t="s">
        <v>2150</v>
      </c>
      <c r="AJ1300" s="28">
        <f>IF(AN1300=0,J1300,0)</f>
        <v>0</v>
      </c>
      <c r="AK1300" s="28">
        <f>IF(AN1300=12,J1300,0)</f>
        <v>0</v>
      </c>
      <c r="AL1300" s="28">
        <f>IF(AN1300=21,J1300,0)</f>
        <v>0</v>
      </c>
      <c r="AN1300" s="28">
        <v>21</v>
      </c>
      <c r="AO1300" s="28">
        <f>G1300*0.261396731</f>
        <v>0</v>
      </c>
      <c r="AP1300" s="28">
        <f>G1300*(1-0.261396731)</f>
        <v>0</v>
      </c>
      <c r="AQ1300" s="30" t="s">
        <v>74</v>
      </c>
      <c r="AV1300" s="28">
        <f>ROUND(AW1300+AX1300,2)</f>
        <v>0</v>
      </c>
      <c r="AW1300" s="28">
        <f>ROUND(F1300*AO1300,2)</f>
        <v>0</v>
      </c>
      <c r="AX1300" s="28">
        <f>ROUND(F1300*AP1300,2)</f>
        <v>0</v>
      </c>
      <c r="AY1300" s="30" t="s">
        <v>958</v>
      </c>
      <c r="AZ1300" s="30" t="s">
        <v>2154</v>
      </c>
      <c r="BA1300" s="10" t="s">
        <v>2155</v>
      </c>
      <c r="BC1300" s="28">
        <f>AW1300+AX1300</f>
        <v>0</v>
      </c>
      <c r="BD1300" s="28">
        <f>G1300/(100-BE1300)*100</f>
        <v>0</v>
      </c>
      <c r="BE1300" s="28">
        <v>0</v>
      </c>
      <c r="BF1300" s="28">
        <f>1300</f>
        <v>1300</v>
      </c>
      <c r="BH1300" s="28">
        <f>F1300*AO1300</f>
        <v>0</v>
      </c>
      <c r="BI1300" s="28">
        <f>F1300*AP1300</f>
        <v>0</v>
      </c>
      <c r="BJ1300" s="28">
        <f>F1300*G1300</f>
        <v>0</v>
      </c>
      <c r="BK1300" s="28"/>
      <c r="BL1300" s="28"/>
      <c r="BW1300" s="28">
        <v>21</v>
      </c>
      <c r="BX1300" s="4" t="s">
        <v>2306</v>
      </c>
    </row>
    <row r="1301" spans="1:76" ht="14.4" x14ac:dyDescent="0.3">
      <c r="A1301" s="2" t="s">
        <v>2308</v>
      </c>
      <c r="B1301" s="3" t="s">
        <v>2309</v>
      </c>
      <c r="C1301" s="75" t="s">
        <v>2310</v>
      </c>
      <c r="D1301" s="70"/>
      <c r="E1301" s="3" t="s">
        <v>293</v>
      </c>
      <c r="F1301" s="28">
        <v>25</v>
      </c>
      <c r="G1301" s="28">
        <v>0</v>
      </c>
      <c r="H1301" s="28">
        <f>ROUND(F1301*AO1301,2)</f>
        <v>0</v>
      </c>
      <c r="I1301" s="28">
        <f>ROUND(F1301*AP1301,2)</f>
        <v>0</v>
      </c>
      <c r="J1301" s="28">
        <f>ROUND(F1301*G1301,2)</f>
        <v>0</v>
      </c>
      <c r="K1301" s="29" t="s">
        <v>60</v>
      </c>
      <c r="Z1301" s="28">
        <f>ROUND(IF(AQ1301="5",BJ1301,0),2)</f>
        <v>0</v>
      </c>
      <c r="AB1301" s="28">
        <f>ROUND(IF(AQ1301="1",BH1301,0),2)</f>
        <v>0</v>
      </c>
      <c r="AC1301" s="28">
        <f>ROUND(IF(AQ1301="1",BI1301,0),2)</f>
        <v>0</v>
      </c>
      <c r="AD1301" s="28">
        <f>ROUND(IF(AQ1301="7",BH1301,0),2)</f>
        <v>0</v>
      </c>
      <c r="AE1301" s="28">
        <f>ROUND(IF(AQ1301="7",BI1301,0),2)</f>
        <v>0</v>
      </c>
      <c r="AF1301" s="28">
        <f>ROUND(IF(AQ1301="2",BH1301,0),2)</f>
        <v>0</v>
      </c>
      <c r="AG1301" s="28">
        <f>ROUND(IF(AQ1301="2",BI1301,0),2)</f>
        <v>0</v>
      </c>
      <c r="AH1301" s="28">
        <f>ROUND(IF(AQ1301="0",BJ1301,0),2)</f>
        <v>0</v>
      </c>
      <c r="AI1301" s="10" t="s">
        <v>2150</v>
      </c>
      <c r="AJ1301" s="28">
        <f>IF(AN1301=0,J1301,0)</f>
        <v>0</v>
      </c>
      <c r="AK1301" s="28">
        <f>IF(AN1301=12,J1301,0)</f>
        <v>0</v>
      </c>
      <c r="AL1301" s="28">
        <f>IF(AN1301=21,J1301,0)</f>
        <v>0</v>
      </c>
      <c r="AN1301" s="28">
        <v>21</v>
      </c>
      <c r="AO1301" s="28">
        <f>G1301*1</f>
        <v>0</v>
      </c>
      <c r="AP1301" s="28">
        <f>G1301*(1-1)</f>
        <v>0</v>
      </c>
      <c r="AQ1301" s="30" t="s">
        <v>74</v>
      </c>
      <c r="AV1301" s="28">
        <f>ROUND(AW1301+AX1301,2)</f>
        <v>0</v>
      </c>
      <c r="AW1301" s="28">
        <f>ROUND(F1301*AO1301,2)</f>
        <v>0</v>
      </c>
      <c r="AX1301" s="28">
        <f>ROUND(F1301*AP1301,2)</f>
        <v>0</v>
      </c>
      <c r="AY1301" s="30" t="s">
        <v>958</v>
      </c>
      <c r="AZ1301" s="30" t="s">
        <v>2154</v>
      </c>
      <c r="BA1301" s="10" t="s">
        <v>2155</v>
      </c>
      <c r="BC1301" s="28">
        <f>AW1301+AX1301</f>
        <v>0</v>
      </c>
      <c r="BD1301" s="28">
        <f>G1301/(100-BE1301)*100</f>
        <v>0</v>
      </c>
      <c r="BE1301" s="28">
        <v>0</v>
      </c>
      <c r="BF1301" s="28">
        <f>1301</f>
        <v>1301</v>
      </c>
      <c r="BH1301" s="28">
        <f>F1301*AO1301</f>
        <v>0</v>
      </c>
      <c r="BI1301" s="28">
        <f>F1301*AP1301</f>
        <v>0</v>
      </c>
      <c r="BJ1301" s="28">
        <f>F1301*G1301</f>
        <v>0</v>
      </c>
      <c r="BK1301" s="28"/>
      <c r="BL1301" s="28"/>
      <c r="BW1301" s="28">
        <v>21</v>
      </c>
      <c r="BX1301" s="4" t="s">
        <v>2310</v>
      </c>
    </row>
    <row r="1302" spans="1:76" ht="14.4" x14ac:dyDescent="0.3">
      <c r="A1302" s="31"/>
      <c r="B1302" s="35" t="s">
        <v>68</v>
      </c>
      <c r="C1302" s="93" t="s">
        <v>2311</v>
      </c>
      <c r="D1302" s="94"/>
      <c r="E1302" s="94"/>
      <c r="F1302" s="94"/>
      <c r="G1302" s="94"/>
      <c r="H1302" s="94"/>
      <c r="I1302" s="94"/>
      <c r="J1302" s="94"/>
      <c r="K1302" s="95"/>
      <c r="BX1302" s="36" t="s">
        <v>2311</v>
      </c>
    </row>
    <row r="1303" spans="1:76" ht="14.4" x14ac:dyDescent="0.3">
      <c r="A1303" s="2" t="s">
        <v>2312</v>
      </c>
      <c r="B1303" s="3" t="s">
        <v>2313</v>
      </c>
      <c r="C1303" s="75" t="s">
        <v>2314</v>
      </c>
      <c r="D1303" s="70"/>
      <c r="E1303" s="3" t="s">
        <v>293</v>
      </c>
      <c r="F1303" s="28">
        <v>2</v>
      </c>
      <c r="G1303" s="28">
        <v>0</v>
      </c>
      <c r="H1303" s="28">
        <f>ROUND(F1303*AO1303,2)</f>
        <v>0</v>
      </c>
      <c r="I1303" s="28">
        <f>ROUND(F1303*AP1303,2)</f>
        <v>0</v>
      </c>
      <c r="J1303" s="28">
        <f>ROUND(F1303*G1303,2)</f>
        <v>0</v>
      </c>
      <c r="K1303" s="29" t="s">
        <v>60</v>
      </c>
      <c r="Z1303" s="28">
        <f>ROUND(IF(AQ1303="5",BJ1303,0),2)</f>
        <v>0</v>
      </c>
      <c r="AB1303" s="28">
        <f>ROUND(IF(AQ1303="1",BH1303,0),2)</f>
        <v>0</v>
      </c>
      <c r="AC1303" s="28">
        <f>ROUND(IF(AQ1303="1",BI1303,0),2)</f>
        <v>0</v>
      </c>
      <c r="AD1303" s="28">
        <f>ROUND(IF(AQ1303="7",BH1303,0),2)</f>
        <v>0</v>
      </c>
      <c r="AE1303" s="28">
        <f>ROUND(IF(AQ1303="7",BI1303,0),2)</f>
        <v>0</v>
      </c>
      <c r="AF1303" s="28">
        <f>ROUND(IF(AQ1303="2",BH1303,0),2)</f>
        <v>0</v>
      </c>
      <c r="AG1303" s="28">
        <f>ROUND(IF(AQ1303="2",BI1303,0),2)</f>
        <v>0</v>
      </c>
      <c r="AH1303" s="28">
        <f>ROUND(IF(AQ1303="0",BJ1303,0),2)</f>
        <v>0</v>
      </c>
      <c r="AI1303" s="10" t="s">
        <v>2150</v>
      </c>
      <c r="AJ1303" s="28">
        <f>IF(AN1303=0,J1303,0)</f>
        <v>0</v>
      </c>
      <c r="AK1303" s="28">
        <f>IF(AN1303=12,J1303,0)</f>
        <v>0</v>
      </c>
      <c r="AL1303" s="28">
        <f>IF(AN1303=21,J1303,0)</f>
        <v>0</v>
      </c>
      <c r="AN1303" s="28">
        <v>21</v>
      </c>
      <c r="AO1303" s="28">
        <f>G1303*1</f>
        <v>0</v>
      </c>
      <c r="AP1303" s="28">
        <f>G1303*(1-1)</f>
        <v>0</v>
      </c>
      <c r="AQ1303" s="30" t="s">
        <v>74</v>
      </c>
      <c r="AV1303" s="28">
        <f>ROUND(AW1303+AX1303,2)</f>
        <v>0</v>
      </c>
      <c r="AW1303" s="28">
        <f>ROUND(F1303*AO1303,2)</f>
        <v>0</v>
      </c>
      <c r="AX1303" s="28">
        <f>ROUND(F1303*AP1303,2)</f>
        <v>0</v>
      </c>
      <c r="AY1303" s="30" t="s">
        <v>958</v>
      </c>
      <c r="AZ1303" s="30" t="s">
        <v>2154</v>
      </c>
      <c r="BA1303" s="10" t="s">
        <v>2155</v>
      </c>
      <c r="BC1303" s="28">
        <f>AW1303+AX1303</f>
        <v>0</v>
      </c>
      <c r="BD1303" s="28">
        <f>G1303/(100-BE1303)*100</f>
        <v>0</v>
      </c>
      <c r="BE1303" s="28">
        <v>0</v>
      </c>
      <c r="BF1303" s="28">
        <f>1303</f>
        <v>1303</v>
      </c>
      <c r="BH1303" s="28">
        <f>F1303*AO1303</f>
        <v>0</v>
      </c>
      <c r="BI1303" s="28">
        <f>F1303*AP1303</f>
        <v>0</v>
      </c>
      <c r="BJ1303" s="28">
        <f>F1303*G1303</f>
        <v>0</v>
      </c>
      <c r="BK1303" s="28"/>
      <c r="BL1303" s="28"/>
      <c r="BW1303" s="28">
        <v>21</v>
      </c>
      <c r="BX1303" s="4" t="s">
        <v>2314</v>
      </c>
    </row>
    <row r="1304" spans="1:76" ht="26.4" x14ac:dyDescent="0.3">
      <c r="A1304" s="31"/>
      <c r="B1304" s="35" t="s">
        <v>68</v>
      </c>
      <c r="C1304" s="93" t="s">
        <v>2315</v>
      </c>
      <c r="D1304" s="94"/>
      <c r="E1304" s="94"/>
      <c r="F1304" s="94"/>
      <c r="G1304" s="94"/>
      <c r="H1304" s="94"/>
      <c r="I1304" s="94"/>
      <c r="J1304" s="94"/>
      <c r="K1304" s="95"/>
      <c r="BX1304" s="36" t="s">
        <v>2315</v>
      </c>
    </row>
    <row r="1305" spans="1:76" ht="14.4" x14ac:dyDescent="0.3">
      <c r="A1305" s="24" t="s">
        <v>51</v>
      </c>
      <c r="B1305" s="25" t="s">
        <v>1532</v>
      </c>
      <c r="C1305" s="91" t="s">
        <v>1533</v>
      </c>
      <c r="D1305" s="92"/>
      <c r="E1305" s="26" t="s">
        <v>4</v>
      </c>
      <c r="F1305" s="26" t="s">
        <v>4</v>
      </c>
      <c r="G1305" s="26" t="s">
        <v>4</v>
      </c>
      <c r="H1305" s="1">
        <f>SUM(H1306:H1322)</f>
        <v>0</v>
      </c>
      <c r="I1305" s="1">
        <f>SUM(I1306:I1322)</f>
        <v>0</v>
      </c>
      <c r="J1305" s="1">
        <f>SUM(J1306:J1322)</f>
        <v>0</v>
      </c>
      <c r="K1305" s="27" t="s">
        <v>51</v>
      </c>
      <c r="AI1305" s="10" t="s">
        <v>2150</v>
      </c>
      <c r="AS1305" s="1">
        <f>SUM(AJ1306:AJ1322)</f>
        <v>0</v>
      </c>
      <c r="AT1305" s="1">
        <f>SUM(AK1306:AK1322)</f>
        <v>0</v>
      </c>
      <c r="AU1305" s="1">
        <f>SUM(AL1306:AL1322)</f>
        <v>0</v>
      </c>
    </row>
    <row r="1306" spans="1:76" ht="14.4" x14ac:dyDescent="0.3">
      <c r="A1306" s="2" t="s">
        <v>2316</v>
      </c>
      <c r="B1306" s="3" t="s">
        <v>2317</v>
      </c>
      <c r="C1306" s="75" t="s">
        <v>2318</v>
      </c>
      <c r="D1306" s="70"/>
      <c r="E1306" s="3" t="s">
        <v>188</v>
      </c>
      <c r="F1306" s="28">
        <v>4</v>
      </c>
      <c r="G1306" s="28">
        <v>0</v>
      </c>
      <c r="H1306" s="28">
        <f>ROUND(F1306*AO1306,2)</f>
        <v>0</v>
      </c>
      <c r="I1306" s="28">
        <f>ROUND(F1306*AP1306,2)</f>
        <v>0</v>
      </c>
      <c r="J1306" s="28">
        <f>ROUND(F1306*G1306,2)</f>
        <v>0</v>
      </c>
      <c r="K1306" s="29" t="s">
        <v>60</v>
      </c>
      <c r="Z1306" s="28">
        <f>ROUND(IF(AQ1306="5",BJ1306,0),2)</f>
        <v>0</v>
      </c>
      <c r="AB1306" s="28">
        <f>ROUND(IF(AQ1306="1",BH1306,0),2)</f>
        <v>0</v>
      </c>
      <c r="AC1306" s="28">
        <f>ROUND(IF(AQ1306="1",BI1306,0),2)</f>
        <v>0</v>
      </c>
      <c r="AD1306" s="28">
        <f>ROUND(IF(AQ1306="7",BH1306,0),2)</f>
        <v>0</v>
      </c>
      <c r="AE1306" s="28">
        <f>ROUND(IF(AQ1306="7",BI1306,0),2)</f>
        <v>0</v>
      </c>
      <c r="AF1306" s="28">
        <f>ROUND(IF(AQ1306="2",BH1306,0),2)</f>
        <v>0</v>
      </c>
      <c r="AG1306" s="28">
        <f>ROUND(IF(AQ1306="2",BI1306,0),2)</f>
        <v>0</v>
      </c>
      <c r="AH1306" s="28">
        <f>ROUND(IF(AQ1306="0",BJ1306,0),2)</f>
        <v>0</v>
      </c>
      <c r="AI1306" s="10" t="s">
        <v>2150</v>
      </c>
      <c r="AJ1306" s="28">
        <f>IF(AN1306=0,J1306,0)</f>
        <v>0</v>
      </c>
      <c r="AK1306" s="28">
        <f>IF(AN1306=12,J1306,0)</f>
        <v>0</v>
      </c>
      <c r="AL1306" s="28">
        <f>IF(AN1306=21,J1306,0)</f>
        <v>0</v>
      </c>
      <c r="AN1306" s="28">
        <v>21</v>
      </c>
      <c r="AO1306" s="28">
        <f>G1306*1</f>
        <v>0</v>
      </c>
      <c r="AP1306" s="28">
        <f>G1306*(1-1)</f>
        <v>0</v>
      </c>
      <c r="AQ1306" s="30" t="s">
        <v>1537</v>
      </c>
      <c r="AV1306" s="28">
        <f>ROUND(AW1306+AX1306,2)</f>
        <v>0</v>
      </c>
      <c r="AW1306" s="28">
        <f>ROUND(F1306*AO1306,2)</f>
        <v>0</v>
      </c>
      <c r="AX1306" s="28">
        <f>ROUND(F1306*AP1306,2)</f>
        <v>0</v>
      </c>
      <c r="AY1306" s="30" t="s">
        <v>1538</v>
      </c>
      <c r="AZ1306" s="30" t="s">
        <v>2319</v>
      </c>
      <c r="BA1306" s="10" t="s">
        <v>2155</v>
      </c>
      <c r="BC1306" s="28">
        <f>AW1306+AX1306</f>
        <v>0</v>
      </c>
      <c r="BD1306" s="28">
        <f>G1306/(100-BE1306)*100</f>
        <v>0</v>
      </c>
      <c r="BE1306" s="28">
        <v>0</v>
      </c>
      <c r="BF1306" s="28">
        <f>1306</f>
        <v>1306</v>
      </c>
      <c r="BH1306" s="28">
        <f>F1306*AO1306</f>
        <v>0</v>
      </c>
      <c r="BI1306" s="28">
        <f>F1306*AP1306</f>
        <v>0</v>
      </c>
      <c r="BJ1306" s="28">
        <f>F1306*G1306</f>
        <v>0</v>
      </c>
      <c r="BK1306" s="28"/>
      <c r="BL1306" s="28"/>
      <c r="BW1306" s="28">
        <v>21</v>
      </c>
      <c r="BX1306" s="4" t="s">
        <v>2318</v>
      </c>
    </row>
    <row r="1307" spans="1:76" ht="14.4" x14ac:dyDescent="0.3">
      <c r="A1307" s="2" t="s">
        <v>2320</v>
      </c>
      <c r="B1307" s="3" t="s">
        <v>2321</v>
      </c>
      <c r="C1307" s="75" t="s">
        <v>2322</v>
      </c>
      <c r="D1307" s="70"/>
      <c r="E1307" s="3" t="s">
        <v>188</v>
      </c>
      <c r="F1307" s="28">
        <v>40</v>
      </c>
      <c r="G1307" s="28">
        <v>0</v>
      </c>
      <c r="H1307" s="28">
        <f>ROUND(F1307*AO1307,2)</f>
        <v>0</v>
      </c>
      <c r="I1307" s="28">
        <f>ROUND(F1307*AP1307,2)</f>
        <v>0</v>
      </c>
      <c r="J1307" s="28">
        <f>ROUND(F1307*G1307,2)</f>
        <v>0</v>
      </c>
      <c r="K1307" s="29" t="s">
        <v>60</v>
      </c>
      <c r="Z1307" s="28">
        <f>ROUND(IF(AQ1307="5",BJ1307,0),2)</f>
        <v>0</v>
      </c>
      <c r="AB1307" s="28">
        <f>ROUND(IF(AQ1307="1",BH1307,0),2)</f>
        <v>0</v>
      </c>
      <c r="AC1307" s="28">
        <f>ROUND(IF(AQ1307="1",BI1307,0),2)</f>
        <v>0</v>
      </c>
      <c r="AD1307" s="28">
        <f>ROUND(IF(AQ1307="7",BH1307,0),2)</f>
        <v>0</v>
      </c>
      <c r="AE1307" s="28">
        <f>ROUND(IF(AQ1307="7",BI1307,0),2)</f>
        <v>0</v>
      </c>
      <c r="AF1307" s="28">
        <f>ROUND(IF(AQ1307="2",BH1307,0),2)</f>
        <v>0</v>
      </c>
      <c r="AG1307" s="28">
        <f>ROUND(IF(AQ1307="2",BI1307,0),2)</f>
        <v>0</v>
      </c>
      <c r="AH1307" s="28">
        <f>ROUND(IF(AQ1307="0",BJ1307,0),2)</f>
        <v>0</v>
      </c>
      <c r="AI1307" s="10" t="s">
        <v>2150</v>
      </c>
      <c r="AJ1307" s="28">
        <f>IF(AN1307=0,J1307,0)</f>
        <v>0</v>
      </c>
      <c r="AK1307" s="28">
        <f>IF(AN1307=12,J1307,0)</f>
        <v>0</v>
      </c>
      <c r="AL1307" s="28">
        <f>IF(AN1307=21,J1307,0)</f>
        <v>0</v>
      </c>
      <c r="AN1307" s="28">
        <v>21</v>
      </c>
      <c r="AO1307" s="28">
        <f>G1307*1</f>
        <v>0</v>
      </c>
      <c r="AP1307" s="28">
        <f>G1307*(1-1)</f>
        <v>0</v>
      </c>
      <c r="AQ1307" s="30" t="s">
        <v>1537</v>
      </c>
      <c r="AV1307" s="28">
        <f>ROUND(AW1307+AX1307,2)</f>
        <v>0</v>
      </c>
      <c r="AW1307" s="28">
        <f>ROUND(F1307*AO1307,2)</f>
        <v>0</v>
      </c>
      <c r="AX1307" s="28">
        <f>ROUND(F1307*AP1307,2)</f>
        <v>0</v>
      </c>
      <c r="AY1307" s="30" t="s">
        <v>1538</v>
      </c>
      <c r="AZ1307" s="30" t="s">
        <v>2319</v>
      </c>
      <c r="BA1307" s="10" t="s">
        <v>2155</v>
      </c>
      <c r="BC1307" s="28">
        <f>AW1307+AX1307</f>
        <v>0</v>
      </c>
      <c r="BD1307" s="28">
        <f>G1307/(100-BE1307)*100</f>
        <v>0</v>
      </c>
      <c r="BE1307" s="28">
        <v>0</v>
      </c>
      <c r="BF1307" s="28">
        <f>1307</f>
        <v>1307</v>
      </c>
      <c r="BH1307" s="28">
        <f>F1307*AO1307</f>
        <v>0</v>
      </c>
      <c r="BI1307" s="28">
        <f>F1307*AP1307</f>
        <v>0</v>
      </c>
      <c r="BJ1307" s="28">
        <f>F1307*G1307</f>
        <v>0</v>
      </c>
      <c r="BK1307" s="28"/>
      <c r="BL1307" s="28"/>
      <c r="BW1307" s="28">
        <v>21</v>
      </c>
      <c r="BX1307" s="4" t="s">
        <v>2322</v>
      </c>
    </row>
    <row r="1308" spans="1:76" ht="14.4" x14ac:dyDescent="0.3">
      <c r="A1308" s="2" t="s">
        <v>2323</v>
      </c>
      <c r="B1308" s="3" t="s">
        <v>2324</v>
      </c>
      <c r="C1308" s="75" t="s">
        <v>2325</v>
      </c>
      <c r="D1308" s="70"/>
      <c r="E1308" s="3" t="s">
        <v>1306</v>
      </c>
      <c r="F1308" s="28">
        <v>20</v>
      </c>
      <c r="G1308" s="28">
        <v>0</v>
      </c>
      <c r="H1308" s="28">
        <f>ROUND(F1308*AO1308,2)</f>
        <v>0</v>
      </c>
      <c r="I1308" s="28">
        <f>ROUND(F1308*AP1308,2)</f>
        <v>0</v>
      </c>
      <c r="J1308" s="28">
        <f>ROUND(F1308*G1308,2)</f>
        <v>0</v>
      </c>
      <c r="K1308" s="29" t="s">
        <v>426</v>
      </c>
      <c r="Z1308" s="28">
        <f>ROUND(IF(AQ1308="5",BJ1308,0),2)</f>
        <v>0</v>
      </c>
      <c r="AB1308" s="28">
        <f>ROUND(IF(AQ1308="1",BH1308,0),2)</f>
        <v>0</v>
      </c>
      <c r="AC1308" s="28">
        <f>ROUND(IF(AQ1308="1",BI1308,0),2)</f>
        <v>0</v>
      </c>
      <c r="AD1308" s="28">
        <f>ROUND(IF(AQ1308="7",BH1308,0),2)</f>
        <v>0</v>
      </c>
      <c r="AE1308" s="28">
        <f>ROUND(IF(AQ1308="7",BI1308,0),2)</f>
        <v>0</v>
      </c>
      <c r="AF1308" s="28">
        <f>ROUND(IF(AQ1308="2",BH1308,0),2)</f>
        <v>0</v>
      </c>
      <c r="AG1308" s="28">
        <f>ROUND(IF(AQ1308="2",BI1308,0),2)</f>
        <v>0</v>
      </c>
      <c r="AH1308" s="28">
        <f>ROUND(IF(AQ1308="0",BJ1308,0),2)</f>
        <v>0</v>
      </c>
      <c r="AI1308" s="10" t="s">
        <v>2150</v>
      </c>
      <c r="AJ1308" s="28">
        <f>IF(AN1308=0,J1308,0)</f>
        <v>0</v>
      </c>
      <c r="AK1308" s="28">
        <f>IF(AN1308=12,J1308,0)</f>
        <v>0</v>
      </c>
      <c r="AL1308" s="28">
        <f>IF(AN1308=21,J1308,0)</f>
        <v>0</v>
      </c>
      <c r="AN1308" s="28">
        <v>21</v>
      </c>
      <c r="AO1308" s="28">
        <f>G1308*1</f>
        <v>0</v>
      </c>
      <c r="AP1308" s="28">
        <f>G1308*(1-1)</f>
        <v>0</v>
      </c>
      <c r="AQ1308" s="30" t="s">
        <v>1537</v>
      </c>
      <c r="AV1308" s="28">
        <f>ROUND(AW1308+AX1308,2)</f>
        <v>0</v>
      </c>
      <c r="AW1308" s="28">
        <f>ROUND(F1308*AO1308,2)</f>
        <v>0</v>
      </c>
      <c r="AX1308" s="28">
        <f>ROUND(F1308*AP1308,2)</f>
        <v>0</v>
      </c>
      <c r="AY1308" s="30" t="s">
        <v>1538</v>
      </c>
      <c r="AZ1308" s="30" t="s">
        <v>2319</v>
      </c>
      <c r="BA1308" s="10" t="s">
        <v>2155</v>
      </c>
      <c r="BC1308" s="28">
        <f>AW1308+AX1308</f>
        <v>0</v>
      </c>
      <c r="BD1308" s="28">
        <f>G1308/(100-BE1308)*100</f>
        <v>0</v>
      </c>
      <c r="BE1308" s="28">
        <v>0</v>
      </c>
      <c r="BF1308" s="28">
        <f>1308</f>
        <v>1308</v>
      </c>
      <c r="BH1308" s="28">
        <f>F1308*AO1308</f>
        <v>0</v>
      </c>
      <c r="BI1308" s="28">
        <f>F1308*AP1308</f>
        <v>0</v>
      </c>
      <c r="BJ1308" s="28">
        <f>F1308*G1308</f>
        <v>0</v>
      </c>
      <c r="BK1308" s="28"/>
      <c r="BL1308" s="28"/>
      <c r="BW1308" s="28">
        <v>21</v>
      </c>
      <c r="BX1308" s="4" t="s">
        <v>2325</v>
      </c>
    </row>
    <row r="1309" spans="1:76" ht="14.4" x14ac:dyDescent="0.3">
      <c r="A1309" s="2" t="s">
        <v>2326</v>
      </c>
      <c r="B1309" s="3" t="s">
        <v>2327</v>
      </c>
      <c r="C1309" s="75" t="s">
        <v>2328</v>
      </c>
      <c r="D1309" s="70"/>
      <c r="E1309" s="3" t="s">
        <v>188</v>
      </c>
      <c r="F1309" s="28">
        <v>150</v>
      </c>
      <c r="G1309" s="28">
        <v>0</v>
      </c>
      <c r="H1309" s="28">
        <f>ROUND(F1309*AO1309,2)</f>
        <v>0</v>
      </c>
      <c r="I1309" s="28">
        <f>ROUND(F1309*AP1309,2)</f>
        <v>0</v>
      </c>
      <c r="J1309" s="28">
        <f>ROUND(F1309*G1309,2)</f>
        <v>0</v>
      </c>
      <c r="K1309" s="29" t="s">
        <v>60</v>
      </c>
      <c r="Z1309" s="28">
        <f>ROUND(IF(AQ1309="5",BJ1309,0),2)</f>
        <v>0</v>
      </c>
      <c r="AB1309" s="28">
        <f>ROUND(IF(AQ1309="1",BH1309,0),2)</f>
        <v>0</v>
      </c>
      <c r="AC1309" s="28">
        <f>ROUND(IF(AQ1309="1",BI1309,0),2)</f>
        <v>0</v>
      </c>
      <c r="AD1309" s="28">
        <f>ROUND(IF(AQ1309="7",BH1309,0),2)</f>
        <v>0</v>
      </c>
      <c r="AE1309" s="28">
        <f>ROUND(IF(AQ1309="7",BI1309,0),2)</f>
        <v>0</v>
      </c>
      <c r="AF1309" s="28">
        <f>ROUND(IF(AQ1309="2",BH1309,0),2)</f>
        <v>0</v>
      </c>
      <c r="AG1309" s="28">
        <f>ROUND(IF(AQ1309="2",BI1309,0),2)</f>
        <v>0</v>
      </c>
      <c r="AH1309" s="28">
        <f>ROUND(IF(AQ1309="0",BJ1309,0),2)</f>
        <v>0</v>
      </c>
      <c r="AI1309" s="10" t="s">
        <v>2150</v>
      </c>
      <c r="AJ1309" s="28">
        <f>IF(AN1309=0,J1309,0)</f>
        <v>0</v>
      </c>
      <c r="AK1309" s="28">
        <f>IF(AN1309=12,J1309,0)</f>
        <v>0</v>
      </c>
      <c r="AL1309" s="28">
        <f>IF(AN1309=21,J1309,0)</f>
        <v>0</v>
      </c>
      <c r="AN1309" s="28">
        <v>21</v>
      </c>
      <c r="AO1309" s="28">
        <f>G1309*1</f>
        <v>0</v>
      </c>
      <c r="AP1309" s="28">
        <f>G1309*(1-1)</f>
        <v>0</v>
      </c>
      <c r="AQ1309" s="30" t="s">
        <v>1537</v>
      </c>
      <c r="AV1309" s="28">
        <f>ROUND(AW1309+AX1309,2)</f>
        <v>0</v>
      </c>
      <c r="AW1309" s="28">
        <f>ROUND(F1309*AO1309,2)</f>
        <v>0</v>
      </c>
      <c r="AX1309" s="28">
        <f>ROUND(F1309*AP1309,2)</f>
        <v>0</v>
      </c>
      <c r="AY1309" s="30" t="s">
        <v>1538</v>
      </c>
      <c r="AZ1309" s="30" t="s">
        <v>2319</v>
      </c>
      <c r="BA1309" s="10" t="s">
        <v>2155</v>
      </c>
      <c r="BC1309" s="28">
        <f>AW1309+AX1309</f>
        <v>0</v>
      </c>
      <c r="BD1309" s="28">
        <f>G1309/(100-BE1309)*100</f>
        <v>0</v>
      </c>
      <c r="BE1309" s="28">
        <v>0</v>
      </c>
      <c r="BF1309" s="28">
        <f>1309</f>
        <v>1309</v>
      </c>
      <c r="BH1309" s="28">
        <f>F1309*AO1309</f>
        <v>0</v>
      </c>
      <c r="BI1309" s="28">
        <f>F1309*AP1309</f>
        <v>0</v>
      </c>
      <c r="BJ1309" s="28">
        <f>F1309*G1309</f>
        <v>0</v>
      </c>
      <c r="BK1309" s="28"/>
      <c r="BL1309" s="28"/>
      <c r="BW1309" s="28">
        <v>21</v>
      </c>
      <c r="BX1309" s="4" t="s">
        <v>2328</v>
      </c>
    </row>
    <row r="1310" spans="1:76" ht="14.4" x14ac:dyDescent="0.3">
      <c r="A1310" s="2" t="s">
        <v>2329</v>
      </c>
      <c r="B1310" s="3" t="s">
        <v>2330</v>
      </c>
      <c r="C1310" s="75" t="s">
        <v>2331</v>
      </c>
      <c r="D1310" s="70"/>
      <c r="E1310" s="3" t="s">
        <v>293</v>
      </c>
      <c r="F1310" s="28">
        <v>6</v>
      </c>
      <c r="G1310" s="28">
        <v>0</v>
      </c>
      <c r="H1310" s="28">
        <f>ROUND(F1310*AO1310,2)</f>
        <v>0</v>
      </c>
      <c r="I1310" s="28">
        <f>ROUND(F1310*AP1310,2)</f>
        <v>0</v>
      </c>
      <c r="J1310" s="28">
        <f>ROUND(F1310*G1310,2)</f>
        <v>0</v>
      </c>
      <c r="K1310" s="29" t="s">
        <v>60</v>
      </c>
      <c r="Z1310" s="28">
        <f>ROUND(IF(AQ1310="5",BJ1310,0),2)</f>
        <v>0</v>
      </c>
      <c r="AB1310" s="28">
        <f>ROUND(IF(AQ1310="1",BH1310,0),2)</f>
        <v>0</v>
      </c>
      <c r="AC1310" s="28">
        <f>ROUND(IF(AQ1310="1",BI1310,0),2)</f>
        <v>0</v>
      </c>
      <c r="AD1310" s="28">
        <f>ROUND(IF(AQ1310="7",BH1310,0),2)</f>
        <v>0</v>
      </c>
      <c r="AE1310" s="28">
        <f>ROUND(IF(AQ1310="7",BI1310,0),2)</f>
        <v>0</v>
      </c>
      <c r="AF1310" s="28">
        <f>ROUND(IF(AQ1310="2",BH1310,0),2)</f>
        <v>0</v>
      </c>
      <c r="AG1310" s="28">
        <f>ROUND(IF(AQ1310="2",BI1310,0),2)</f>
        <v>0</v>
      </c>
      <c r="AH1310" s="28">
        <f>ROUND(IF(AQ1310="0",BJ1310,0),2)</f>
        <v>0</v>
      </c>
      <c r="AI1310" s="10" t="s">
        <v>2150</v>
      </c>
      <c r="AJ1310" s="28">
        <f>IF(AN1310=0,J1310,0)</f>
        <v>0</v>
      </c>
      <c r="AK1310" s="28">
        <f>IF(AN1310=12,J1310,0)</f>
        <v>0</v>
      </c>
      <c r="AL1310" s="28">
        <f>IF(AN1310=21,J1310,0)</f>
        <v>0</v>
      </c>
      <c r="AN1310" s="28">
        <v>21</v>
      </c>
      <c r="AO1310" s="28">
        <f>G1310*1</f>
        <v>0</v>
      </c>
      <c r="AP1310" s="28">
        <f>G1310*(1-1)</f>
        <v>0</v>
      </c>
      <c r="AQ1310" s="30" t="s">
        <v>1537</v>
      </c>
      <c r="AV1310" s="28">
        <f>ROUND(AW1310+AX1310,2)</f>
        <v>0</v>
      </c>
      <c r="AW1310" s="28">
        <f>ROUND(F1310*AO1310,2)</f>
        <v>0</v>
      </c>
      <c r="AX1310" s="28">
        <f>ROUND(F1310*AP1310,2)</f>
        <v>0</v>
      </c>
      <c r="AY1310" s="30" t="s">
        <v>1538</v>
      </c>
      <c r="AZ1310" s="30" t="s">
        <v>2319</v>
      </c>
      <c r="BA1310" s="10" t="s">
        <v>2155</v>
      </c>
      <c r="BC1310" s="28">
        <f>AW1310+AX1310</f>
        <v>0</v>
      </c>
      <c r="BD1310" s="28">
        <f>G1310/(100-BE1310)*100</f>
        <v>0</v>
      </c>
      <c r="BE1310" s="28">
        <v>0</v>
      </c>
      <c r="BF1310" s="28">
        <f>1310</f>
        <v>1310</v>
      </c>
      <c r="BH1310" s="28">
        <f>F1310*AO1310</f>
        <v>0</v>
      </c>
      <c r="BI1310" s="28">
        <f>F1310*AP1310</f>
        <v>0</v>
      </c>
      <c r="BJ1310" s="28">
        <f>F1310*G1310</f>
        <v>0</v>
      </c>
      <c r="BK1310" s="28"/>
      <c r="BL1310" s="28"/>
      <c r="BW1310" s="28">
        <v>21</v>
      </c>
      <c r="BX1310" s="4" t="s">
        <v>2331</v>
      </c>
    </row>
    <row r="1311" spans="1:76" ht="14.4" x14ac:dyDescent="0.3">
      <c r="A1311" s="31"/>
      <c r="B1311" s="35" t="s">
        <v>68</v>
      </c>
      <c r="C1311" s="93" t="s">
        <v>2332</v>
      </c>
      <c r="D1311" s="94"/>
      <c r="E1311" s="94"/>
      <c r="F1311" s="94"/>
      <c r="G1311" s="94"/>
      <c r="H1311" s="94"/>
      <c r="I1311" s="94"/>
      <c r="J1311" s="94"/>
      <c r="K1311" s="95"/>
      <c r="BX1311" s="36" t="s">
        <v>2332</v>
      </c>
    </row>
    <row r="1312" spans="1:76" ht="14.4" x14ac:dyDescent="0.3">
      <c r="A1312" s="2" t="s">
        <v>2333</v>
      </c>
      <c r="B1312" s="3" t="s">
        <v>2334</v>
      </c>
      <c r="C1312" s="75" t="s">
        <v>2335</v>
      </c>
      <c r="D1312" s="70"/>
      <c r="E1312" s="3" t="s">
        <v>188</v>
      </c>
      <c r="F1312" s="28">
        <v>80</v>
      </c>
      <c r="G1312" s="28">
        <v>0</v>
      </c>
      <c r="H1312" s="28">
        <f>ROUND(F1312*AO1312,2)</f>
        <v>0</v>
      </c>
      <c r="I1312" s="28">
        <f>ROUND(F1312*AP1312,2)</f>
        <v>0</v>
      </c>
      <c r="J1312" s="28">
        <f>ROUND(F1312*G1312,2)</f>
        <v>0</v>
      </c>
      <c r="K1312" s="29" t="s">
        <v>60</v>
      </c>
      <c r="Z1312" s="28">
        <f>ROUND(IF(AQ1312="5",BJ1312,0),2)</f>
        <v>0</v>
      </c>
      <c r="AB1312" s="28">
        <f>ROUND(IF(AQ1312="1",BH1312,0),2)</f>
        <v>0</v>
      </c>
      <c r="AC1312" s="28">
        <f>ROUND(IF(AQ1312="1",BI1312,0),2)</f>
        <v>0</v>
      </c>
      <c r="AD1312" s="28">
        <f>ROUND(IF(AQ1312="7",BH1312,0),2)</f>
        <v>0</v>
      </c>
      <c r="AE1312" s="28">
        <f>ROUND(IF(AQ1312="7",BI1312,0),2)</f>
        <v>0</v>
      </c>
      <c r="AF1312" s="28">
        <f>ROUND(IF(AQ1312="2",BH1312,0),2)</f>
        <v>0</v>
      </c>
      <c r="AG1312" s="28">
        <f>ROUND(IF(AQ1312="2",BI1312,0),2)</f>
        <v>0</v>
      </c>
      <c r="AH1312" s="28">
        <f>ROUND(IF(AQ1312="0",BJ1312,0),2)</f>
        <v>0</v>
      </c>
      <c r="AI1312" s="10" t="s">
        <v>2150</v>
      </c>
      <c r="AJ1312" s="28">
        <f>IF(AN1312=0,J1312,0)</f>
        <v>0</v>
      </c>
      <c r="AK1312" s="28">
        <f>IF(AN1312=12,J1312,0)</f>
        <v>0</v>
      </c>
      <c r="AL1312" s="28">
        <f>IF(AN1312=21,J1312,0)</f>
        <v>0</v>
      </c>
      <c r="AN1312" s="28">
        <v>21</v>
      </c>
      <c r="AO1312" s="28">
        <f>G1312*1</f>
        <v>0</v>
      </c>
      <c r="AP1312" s="28">
        <f>G1312*(1-1)</f>
        <v>0</v>
      </c>
      <c r="AQ1312" s="30" t="s">
        <v>1537</v>
      </c>
      <c r="AV1312" s="28">
        <f>ROUND(AW1312+AX1312,2)</f>
        <v>0</v>
      </c>
      <c r="AW1312" s="28">
        <f>ROUND(F1312*AO1312,2)</f>
        <v>0</v>
      </c>
      <c r="AX1312" s="28">
        <f>ROUND(F1312*AP1312,2)</f>
        <v>0</v>
      </c>
      <c r="AY1312" s="30" t="s">
        <v>1538</v>
      </c>
      <c r="AZ1312" s="30" t="s">
        <v>2319</v>
      </c>
      <c r="BA1312" s="10" t="s">
        <v>2155</v>
      </c>
      <c r="BC1312" s="28">
        <f>AW1312+AX1312</f>
        <v>0</v>
      </c>
      <c r="BD1312" s="28">
        <f>G1312/(100-BE1312)*100</f>
        <v>0</v>
      </c>
      <c r="BE1312" s="28">
        <v>0</v>
      </c>
      <c r="BF1312" s="28">
        <f>1312</f>
        <v>1312</v>
      </c>
      <c r="BH1312" s="28">
        <f>F1312*AO1312</f>
        <v>0</v>
      </c>
      <c r="BI1312" s="28">
        <f>F1312*AP1312</f>
        <v>0</v>
      </c>
      <c r="BJ1312" s="28">
        <f>F1312*G1312</f>
        <v>0</v>
      </c>
      <c r="BK1312" s="28"/>
      <c r="BL1312" s="28"/>
      <c r="BW1312" s="28">
        <v>21</v>
      </c>
      <c r="BX1312" s="4" t="s">
        <v>2335</v>
      </c>
    </row>
    <row r="1313" spans="1:76" ht="14.4" x14ac:dyDescent="0.3">
      <c r="A1313" s="2" t="s">
        <v>2336</v>
      </c>
      <c r="B1313" s="3" t="s">
        <v>2337</v>
      </c>
      <c r="C1313" s="75" t="s">
        <v>2338</v>
      </c>
      <c r="D1313" s="70"/>
      <c r="E1313" s="3" t="s">
        <v>188</v>
      </c>
      <c r="F1313" s="28">
        <v>40</v>
      </c>
      <c r="G1313" s="28">
        <v>0</v>
      </c>
      <c r="H1313" s="28">
        <f>ROUND(F1313*AO1313,2)</f>
        <v>0</v>
      </c>
      <c r="I1313" s="28">
        <f>ROUND(F1313*AP1313,2)</f>
        <v>0</v>
      </c>
      <c r="J1313" s="28">
        <f>ROUND(F1313*G1313,2)</f>
        <v>0</v>
      </c>
      <c r="K1313" s="29" t="s">
        <v>60</v>
      </c>
      <c r="Z1313" s="28">
        <f>ROUND(IF(AQ1313="5",BJ1313,0),2)</f>
        <v>0</v>
      </c>
      <c r="AB1313" s="28">
        <f>ROUND(IF(AQ1313="1",BH1313,0),2)</f>
        <v>0</v>
      </c>
      <c r="AC1313" s="28">
        <f>ROUND(IF(AQ1313="1",BI1313,0),2)</f>
        <v>0</v>
      </c>
      <c r="AD1313" s="28">
        <f>ROUND(IF(AQ1313="7",BH1313,0),2)</f>
        <v>0</v>
      </c>
      <c r="AE1313" s="28">
        <f>ROUND(IF(AQ1313="7",BI1313,0),2)</f>
        <v>0</v>
      </c>
      <c r="AF1313" s="28">
        <f>ROUND(IF(AQ1313="2",BH1313,0),2)</f>
        <v>0</v>
      </c>
      <c r="AG1313" s="28">
        <f>ROUND(IF(AQ1313="2",BI1313,0),2)</f>
        <v>0</v>
      </c>
      <c r="AH1313" s="28">
        <f>ROUND(IF(AQ1313="0",BJ1313,0),2)</f>
        <v>0</v>
      </c>
      <c r="AI1313" s="10" t="s">
        <v>2150</v>
      </c>
      <c r="AJ1313" s="28">
        <f>IF(AN1313=0,J1313,0)</f>
        <v>0</v>
      </c>
      <c r="AK1313" s="28">
        <f>IF(AN1313=12,J1313,0)</f>
        <v>0</v>
      </c>
      <c r="AL1313" s="28">
        <f>IF(AN1313=21,J1313,0)</f>
        <v>0</v>
      </c>
      <c r="AN1313" s="28">
        <v>21</v>
      </c>
      <c r="AO1313" s="28">
        <f>G1313*1</f>
        <v>0</v>
      </c>
      <c r="AP1313" s="28">
        <f>G1313*(1-1)</f>
        <v>0</v>
      </c>
      <c r="AQ1313" s="30" t="s">
        <v>1537</v>
      </c>
      <c r="AV1313" s="28">
        <f>ROUND(AW1313+AX1313,2)</f>
        <v>0</v>
      </c>
      <c r="AW1313" s="28">
        <f>ROUND(F1313*AO1313,2)</f>
        <v>0</v>
      </c>
      <c r="AX1313" s="28">
        <f>ROUND(F1313*AP1313,2)</f>
        <v>0</v>
      </c>
      <c r="AY1313" s="30" t="s">
        <v>1538</v>
      </c>
      <c r="AZ1313" s="30" t="s">
        <v>2319</v>
      </c>
      <c r="BA1313" s="10" t="s">
        <v>2155</v>
      </c>
      <c r="BC1313" s="28">
        <f>AW1313+AX1313</f>
        <v>0</v>
      </c>
      <c r="BD1313" s="28">
        <f>G1313/(100-BE1313)*100</f>
        <v>0</v>
      </c>
      <c r="BE1313" s="28">
        <v>0</v>
      </c>
      <c r="BF1313" s="28">
        <f>1313</f>
        <v>1313</v>
      </c>
      <c r="BH1313" s="28">
        <f>F1313*AO1313</f>
        <v>0</v>
      </c>
      <c r="BI1313" s="28">
        <f>F1313*AP1313</f>
        <v>0</v>
      </c>
      <c r="BJ1313" s="28">
        <f>F1313*G1313</f>
        <v>0</v>
      </c>
      <c r="BK1313" s="28"/>
      <c r="BL1313" s="28"/>
      <c r="BW1313" s="28">
        <v>21</v>
      </c>
      <c r="BX1313" s="4" t="s">
        <v>2338</v>
      </c>
    </row>
    <row r="1314" spans="1:76" ht="39.6" x14ac:dyDescent="0.3">
      <c r="A1314" s="31"/>
      <c r="B1314" s="35" t="s">
        <v>68</v>
      </c>
      <c r="C1314" s="93" t="s">
        <v>2339</v>
      </c>
      <c r="D1314" s="94"/>
      <c r="E1314" s="94"/>
      <c r="F1314" s="94"/>
      <c r="G1314" s="94"/>
      <c r="H1314" s="94"/>
      <c r="I1314" s="94"/>
      <c r="J1314" s="94"/>
      <c r="K1314" s="95"/>
      <c r="BX1314" s="36" t="s">
        <v>2339</v>
      </c>
    </row>
    <row r="1315" spans="1:76" ht="14.4" x14ac:dyDescent="0.3">
      <c r="A1315" s="2" t="s">
        <v>2340</v>
      </c>
      <c r="B1315" s="3" t="s">
        <v>2341</v>
      </c>
      <c r="C1315" s="75" t="s">
        <v>2342</v>
      </c>
      <c r="D1315" s="70"/>
      <c r="E1315" s="3" t="s">
        <v>188</v>
      </c>
      <c r="F1315" s="28">
        <v>80</v>
      </c>
      <c r="G1315" s="28">
        <v>0</v>
      </c>
      <c r="H1315" s="28">
        <f>ROUND(F1315*AO1315,2)</f>
        <v>0</v>
      </c>
      <c r="I1315" s="28">
        <f>ROUND(F1315*AP1315,2)</f>
        <v>0</v>
      </c>
      <c r="J1315" s="28">
        <f>ROUND(F1315*G1315,2)</f>
        <v>0</v>
      </c>
      <c r="K1315" s="29" t="s">
        <v>60</v>
      </c>
      <c r="Z1315" s="28">
        <f>ROUND(IF(AQ1315="5",BJ1315,0),2)</f>
        <v>0</v>
      </c>
      <c r="AB1315" s="28">
        <f>ROUND(IF(AQ1315="1",BH1315,0),2)</f>
        <v>0</v>
      </c>
      <c r="AC1315" s="28">
        <f>ROUND(IF(AQ1315="1",BI1315,0),2)</f>
        <v>0</v>
      </c>
      <c r="AD1315" s="28">
        <f>ROUND(IF(AQ1315="7",BH1315,0),2)</f>
        <v>0</v>
      </c>
      <c r="AE1315" s="28">
        <f>ROUND(IF(AQ1315="7",BI1315,0),2)</f>
        <v>0</v>
      </c>
      <c r="AF1315" s="28">
        <f>ROUND(IF(AQ1315="2",BH1315,0),2)</f>
        <v>0</v>
      </c>
      <c r="AG1315" s="28">
        <f>ROUND(IF(AQ1315="2",BI1315,0),2)</f>
        <v>0</v>
      </c>
      <c r="AH1315" s="28">
        <f>ROUND(IF(AQ1315="0",BJ1315,0),2)</f>
        <v>0</v>
      </c>
      <c r="AI1315" s="10" t="s">
        <v>2150</v>
      </c>
      <c r="AJ1315" s="28">
        <f>IF(AN1315=0,J1315,0)</f>
        <v>0</v>
      </c>
      <c r="AK1315" s="28">
        <f>IF(AN1315=12,J1315,0)</f>
        <v>0</v>
      </c>
      <c r="AL1315" s="28">
        <f>IF(AN1315=21,J1315,0)</f>
        <v>0</v>
      </c>
      <c r="AN1315" s="28">
        <v>21</v>
      </c>
      <c r="AO1315" s="28">
        <f>G1315*1</f>
        <v>0</v>
      </c>
      <c r="AP1315" s="28">
        <f>G1315*(1-1)</f>
        <v>0</v>
      </c>
      <c r="AQ1315" s="30" t="s">
        <v>1537</v>
      </c>
      <c r="AV1315" s="28">
        <f>ROUND(AW1315+AX1315,2)</f>
        <v>0</v>
      </c>
      <c r="AW1315" s="28">
        <f>ROUND(F1315*AO1315,2)</f>
        <v>0</v>
      </c>
      <c r="AX1315" s="28">
        <f>ROUND(F1315*AP1315,2)</f>
        <v>0</v>
      </c>
      <c r="AY1315" s="30" t="s">
        <v>1538</v>
      </c>
      <c r="AZ1315" s="30" t="s">
        <v>2319</v>
      </c>
      <c r="BA1315" s="10" t="s">
        <v>2155</v>
      </c>
      <c r="BC1315" s="28">
        <f>AW1315+AX1315</f>
        <v>0</v>
      </c>
      <c r="BD1315" s="28">
        <f>G1315/(100-BE1315)*100</f>
        <v>0</v>
      </c>
      <c r="BE1315" s="28">
        <v>0</v>
      </c>
      <c r="BF1315" s="28">
        <f>1315</f>
        <v>1315</v>
      </c>
      <c r="BH1315" s="28">
        <f>F1315*AO1315</f>
        <v>0</v>
      </c>
      <c r="BI1315" s="28">
        <f>F1315*AP1315</f>
        <v>0</v>
      </c>
      <c r="BJ1315" s="28">
        <f>F1315*G1315</f>
        <v>0</v>
      </c>
      <c r="BK1315" s="28"/>
      <c r="BL1315" s="28"/>
      <c r="BW1315" s="28">
        <v>21</v>
      </c>
      <c r="BX1315" s="4" t="s">
        <v>2342</v>
      </c>
    </row>
    <row r="1316" spans="1:76" ht="39.6" x14ac:dyDescent="0.3">
      <c r="A1316" s="31"/>
      <c r="B1316" s="35" t="s">
        <v>68</v>
      </c>
      <c r="C1316" s="93" t="s">
        <v>2339</v>
      </c>
      <c r="D1316" s="94"/>
      <c r="E1316" s="94"/>
      <c r="F1316" s="94"/>
      <c r="G1316" s="94"/>
      <c r="H1316" s="94"/>
      <c r="I1316" s="94"/>
      <c r="J1316" s="94"/>
      <c r="K1316" s="95"/>
      <c r="BX1316" s="36" t="s">
        <v>2339</v>
      </c>
    </row>
    <row r="1317" spans="1:76" ht="14.4" x14ac:dyDescent="0.3">
      <c r="A1317" s="2" t="s">
        <v>2343</v>
      </c>
      <c r="B1317" s="3" t="s">
        <v>2344</v>
      </c>
      <c r="C1317" s="75" t="s">
        <v>2345</v>
      </c>
      <c r="D1317" s="70"/>
      <c r="E1317" s="3" t="s">
        <v>188</v>
      </c>
      <c r="F1317" s="28">
        <v>5</v>
      </c>
      <c r="G1317" s="28">
        <v>0</v>
      </c>
      <c r="H1317" s="28">
        <f>ROUND(F1317*AO1317,2)</f>
        <v>0</v>
      </c>
      <c r="I1317" s="28">
        <f>ROUND(F1317*AP1317,2)</f>
        <v>0</v>
      </c>
      <c r="J1317" s="28">
        <f>ROUND(F1317*G1317,2)</f>
        <v>0</v>
      </c>
      <c r="K1317" s="29" t="s">
        <v>60</v>
      </c>
      <c r="Z1317" s="28">
        <f>ROUND(IF(AQ1317="5",BJ1317,0),2)</f>
        <v>0</v>
      </c>
      <c r="AB1317" s="28">
        <f>ROUND(IF(AQ1317="1",BH1317,0),2)</f>
        <v>0</v>
      </c>
      <c r="AC1317" s="28">
        <f>ROUND(IF(AQ1317="1",BI1317,0),2)</f>
        <v>0</v>
      </c>
      <c r="AD1317" s="28">
        <f>ROUND(IF(AQ1317="7",BH1317,0),2)</f>
        <v>0</v>
      </c>
      <c r="AE1317" s="28">
        <f>ROUND(IF(AQ1317="7",BI1317,0),2)</f>
        <v>0</v>
      </c>
      <c r="AF1317" s="28">
        <f>ROUND(IF(AQ1317="2",BH1317,0),2)</f>
        <v>0</v>
      </c>
      <c r="AG1317" s="28">
        <f>ROUND(IF(AQ1317="2",BI1317,0),2)</f>
        <v>0</v>
      </c>
      <c r="AH1317" s="28">
        <f>ROUND(IF(AQ1317="0",BJ1317,0),2)</f>
        <v>0</v>
      </c>
      <c r="AI1317" s="10" t="s">
        <v>2150</v>
      </c>
      <c r="AJ1317" s="28">
        <f>IF(AN1317=0,J1317,0)</f>
        <v>0</v>
      </c>
      <c r="AK1317" s="28">
        <f>IF(AN1317=12,J1317,0)</f>
        <v>0</v>
      </c>
      <c r="AL1317" s="28">
        <f>IF(AN1317=21,J1317,0)</f>
        <v>0</v>
      </c>
      <c r="AN1317" s="28">
        <v>21</v>
      </c>
      <c r="AO1317" s="28">
        <f>G1317*1</f>
        <v>0</v>
      </c>
      <c r="AP1317" s="28">
        <f>G1317*(1-1)</f>
        <v>0</v>
      </c>
      <c r="AQ1317" s="30" t="s">
        <v>1537</v>
      </c>
      <c r="AV1317" s="28">
        <f>ROUND(AW1317+AX1317,2)</f>
        <v>0</v>
      </c>
      <c r="AW1317" s="28">
        <f>ROUND(F1317*AO1317,2)</f>
        <v>0</v>
      </c>
      <c r="AX1317" s="28">
        <f>ROUND(F1317*AP1317,2)</f>
        <v>0</v>
      </c>
      <c r="AY1317" s="30" t="s">
        <v>1538</v>
      </c>
      <c r="AZ1317" s="30" t="s">
        <v>2319</v>
      </c>
      <c r="BA1317" s="10" t="s">
        <v>2155</v>
      </c>
      <c r="BC1317" s="28">
        <f>AW1317+AX1317</f>
        <v>0</v>
      </c>
      <c r="BD1317" s="28">
        <f>G1317/(100-BE1317)*100</f>
        <v>0</v>
      </c>
      <c r="BE1317" s="28">
        <v>0</v>
      </c>
      <c r="BF1317" s="28">
        <f>1317</f>
        <v>1317</v>
      </c>
      <c r="BH1317" s="28">
        <f>F1317*AO1317</f>
        <v>0</v>
      </c>
      <c r="BI1317" s="28">
        <f>F1317*AP1317</f>
        <v>0</v>
      </c>
      <c r="BJ1317" s="28">
        <f>F1317*G1317</f>
        <v>0</v>
      </c>
      <c r="BK1317" s="28"/>
      <c r="BL1317" s="28"/>
      <c r="BW1317" s="28">
        <v>21</v>
      </c>
      <c r="BX1317" s="4" t="s">
        <v>2345</v>
      </c>
    </row>
    <row r="1318" spans="1:76" ht="39.6" x14ac:dyDescent="0.3">
      <c r="A1318" s="31"/>
      <c r="B1318" s="35" t="s">
        <v>68</v>
      </c>
      <c r="C1318" s="93" t="s">
        <v>2339</v>
      </c>
      <c r="D1318" s="94"/>
      <c r="E1318" s="94"/>
      <c r="F1318" s="94"/>
      <c r="G1318" s="94"/>
      <c r="H1318" s="94"/>
      <c r="I1318" s="94"/>
      <c r="J1318" s="94"/>
      <c r="K1318" s="95"/>
      <c r="BX1318" s="36" t="s">
        <v>2339</v>
      </c>
    </row>
    <row r="1319" spans="1:76" ht="14.4" x14ac:dyDescent="0.3">
      <c r="A1319" s="2" t="s">
        <v>2346</v>
      </c>
      <c r="B1319" s="3" t="s">
        <v>2347</v>
      </c>
      <c r="C1319" s="75" t="s">
        <v>2348</v>
      </c>
      <c r="D1319" s="70"/>
      <c r="E1319" s="3" t="s">
        <v>293</v>
      </c>
      <c r="F1319" s="28">
        <v>1</v>
      </c>
      <c r="G1319" s="28">
        <v>0</v>
      </c>
      <c r="H1319" s="28">
        <f>ROUND(F1319*AO1319,2)</f>
        <v>0</v>
      </c>
      <c r="I1319" s="28">
        <f>ROUND(F1319*AP1319,2)</f>
        <v>0</v>
      </c>
      <c r="J1319" s="28">
        <f>ROUND(F1319*G1319,2)</f>
        <v>0</v>
      </c>
      <c r="K1319" s="29" t="s">
        <v>426</v>
      </c>
      <c r="Z1319" s="28">
        <f>ROUND(IF(AQ1319="5",BJ1319,0),2)</f>
        <v>0</v>
      </c>
      <c r="AB1319" s="28">
        <f>ROUND(IF(AQ1319="1",BH1319,0),2)</f>
        <v>0</v>
      </c>
      <c r="AC1319" s="28">
        <f>ROUND(IF(AQ1319="1",BI1319,0),2)</f>
        <v>0</v>
      </c>
      <c r="AD1319" s="28">
        <f>ROUND(IF(AQ1319="7",BH1319,0),2)</f>
        <v>0</v>
      </c>
      <c r="AE1319" s="28">
        <f>ROUND(IF(AQ1319="7",BI1319,0),2)</f>
        <v>0</v>
      </c>
      <c r="AF1319" s="28">
        <f>ROUND(IF(AQ1319="2",BH1319,0),2)</f>
        <v>0</v>
      </c>
      <c r="AG1319" s="28">
        <f>ROUND(IF(AQ1319="2",BI1319,0),2)</f>
        <v>0</v>
      </c>
      <c r="AH1319" s="28">
        <f>ROUND(IF(AQ1319="0",BJ1319,0),2)</f>
        <v>0</v>
      </c>
      <c r="AI1319" s="10" t="s">
        <v>2150</v>
      </c>
      <c r="AJ1319" s="28">
        <f>IF(AN1319=0,J1319,0)</f>
        <v>0</v>
      </c>
      <c r="AK1319" s="28">
        <f>IF(AN1319=12,J1319,0)</f>
        <v>0</v>
      </c>
      <c r="AL1319" s="28">
        <f>IF(AN1319=21,J1319,0)</f>
        <v>0</v>
      </c>
      <c r="AN1319" s="28">
        <v>21</v>
      </c>
      <c r="AO1319" s="28">
        <f>G1319*1</f>
        <v>0</v>
      </c>
      <c r="AP1319" s="28">
        <f>G1319*(1-1)</f>
        <v>0</v>
      </c>
      <c r="AQ1319" s="30" t="s">
        <v>1537</v>
      </c>
      <c r="AV1319" s="28">
        <f>ROUND(AW1319+AX1319,2)</f>
        <v>0</v>
      </c>
      <c r="AW1319" s="28">
        <f>ROUND(F1319*AO1319,2)</f>
        <v>0</v>
      </c>
      <c r="AX1319" s="28">
        <f>ROUND(F1319*AP1319,2)</f>
        <v>0</v>
      </c>
      <c r="AY1319" s="30" t="s">
        <v>1538</v>
      </c>
      <c r="AZ1319" s="30" t="s">
        <v>2319</v>
      </c>
      <c r="BA1319" s="10" t="s">
        <v>2155</v>
      </c>
      <c r="BC1319" s="28">
        <f>AW1319+AX1319</f>
        <v>0</v>
      </c>
      <c r="BD1319" s="28">
        <f>G1319/(100-BE1319)*100</f>
        <v>0</v>
      </c>
      <c r="BE1319" s="28">
        <v>0</v>
      </c>
      <c r="BF1319" s="28">
        <f>1319</f>
        <v>1319</v>
      </c>
      <c r="BH1319" s="28">
        <f>F1319*AO1319</f>
        <v>0</v>
      </c>
      <c r="BI1319" s="28">
        <f>F1319*AP1319</f>
        <v>0</v>
      </c>
      <c r="BJ1319" s="28">
        <f>F1319*G1319</f>
        <v>0</v>
      </c>
      <c r="BK1319" s="28"/>
      <c r="BL1319" s="28"/>
      <c r="BW1319" s="28">
        <v>21</v>
      </c>
      <c r="BX1319" s="4" t="s">
        <v>2348</v>
      </c>
    </row>
    <row r="1320" spans="1:76" ht="14.4" x14ac:dyDescent="0.3">
      <c r="A1320" s="2" t="s">
        <v>2349</v>
      </c>
      <c r="B1320" s="3" t="s">
        <v>2350</v>
      </c>
      <c r="C1320" s="75" t="s">
        <v>2351</v>
      </c>
      <c r="D1320" s="70"/>
      <c r="E1320" s="3" t="s">
        <v>293</v>
      </c>
      <c r="F1320" s="28">
        <v>2</v>
      </c>
      <c r="G1320" s="28">
        <v>0</v>
      </c>
      <c r="H1320" s="28">
        <f>ROUND(F1320*AO1320,2)</f>
        <v>0</v>
      </c>
      <c r="I1320" s="28">
        <f>ROUND(F1320*AP1320,2)</f>
        <v>0</v>
      </c>
      <c r="J1320" s="28">
        <f>ROUND(F1320*G1320,2)</f>
        <v>0</v>
      </c>
      <c r="K1320" s="29" t="s">
        <v>426</v>
      </c>
      <c r="Z1320" s="28">
        <f>ROUND(IF(AQ1320="5",BJ1320,0),2)</f>
        <v>0</v>
      </c>
      <c r="AB1320" s="28">
        <f>ROUND(IF(AQ1320="1",BH1320,0),2)</f>
        <v>0</v>
      </c>
      <c r="AC1320" s="28">
        <f>ROUND(IF(AQ1320="1",BI1320,0),2)</f>
        <v>0</v>
      </c>
      <c r="AD1320" s="28">
        <f>ROUND(IF(AQ1320="7",BH1320,0),2)</f>
        <v>0</v>
      </c>
      <c r="AE1320" s="28">
        <f>ROUND(IF(AQ1320="7",BI1320,0),2)</f>
        <v>0</v>
      </c>
      <c r="AF1320" s="28">
        <f>ROUND(IF(AQ1320="2",BH1320,0),2)</f>
        <v>0</v>
      </c>
      <c r="AG1320" s="28">
        <f>ROUND(IF(AQ1320="2",BI1320,0),2)</f>
        <v>0</v>
      </c>
      <c r="AH1320" s="28">
        <f>ROUND(IF(AQ1320="0",BJ1320,0),2)</f>
        <v>0</v>
      </c>
      <c r="AI1320" s="10" t="s">
        <v>2150</v>
      </c>
      <c r="AJ1320" s="28">
        <f>IF(AN1320=0,J1320,0)</f>
        <v>0</v>
      </c>
      <c r="AK1320" s="28">
        <f>IF(AN1320=12,J1320,0)</f>
        <v>0</v>
      </c>
      <c r="AL1320" s="28">
        <f>IF(AN1320=21,J1320,0)</f>
        <v>0</v>
      </c>
      <c r="AN1320" s="28">
        <v>21</v>
      </c>
      <c r="AO1320" s="28">
        <f>G1320*1</f>
        <v>0</v>
      </c>
      <c r="AP1320" s="28">
        <f>G1320*(1-1)</f>
        <v>0</v>
      </c>
      <c r="AQ1320" s="30" t="s">
        <v>1537</v>
      </c>
      <c r="AV1320" s="28">
        <f>ROUND(AW1320+AX1320,2)</f>
        <v>0</v>
      </c>
      <c r="AW1320" s="28">
        <f>ROUND(F1320*AO1320,2)</f>
        <v>0</v>
      </c>
      <c r="AX1320" s="28">
        <f>ROUND(F1320*AP1320,2)</f>
        <v>0</v>
      </c>
      <c r="AY1320" s="30" t="s">
        <v>1538</v>
      </c>
      <c r="AZ1320" s="30" t="s">
        <v>2319</v>
      </c>
      <c r="BA1320" s="10" t="s">
        <v>2155</v>
      </c>
      <c r="BC1320" s="28">
        <f>AW1320+AX1320</f>
        <v>0</v>
      </c>
      <c r="BD1320" s="28">
        <f>G1320/(100-BE1320)*100</f>
        <v>0</v>
      </c>
      <c r="BE1320" s="28">
        <v>0</v>
      </c>
      <c r="BF1320" s="28">
        <f>1320</f>
        <v>1320</v>
      </c>
      <c r="BH1320" s="28">
        <f>F1320*AO1320</f>
        <v>0</v>
      </c>
      <c r="BI1320" s="28">
        <f>F1320*AP1320</f>
        <v>0</v>
      </c>
      <c r="BJ1320" s="28">
        <f>F1320*G1320</f>
        <v>0</v>
      </c>
      <c r="BK1320" s="28"/>
      <c r="BL1320" s="28"/>
      <c r="BW1320" s="28">
        <v>21</v>
      </c>
      <c r="BX1320" s="4" t="s">
        <v>2351</v>
      </c>
    </row>
    <row r="1321" spans="1:76" ht="14.4" x14ac:dyDescent="0.3">
      <c r="A1321" s="2" t="s">
        <v>2352</v>
      </c>
      <c r="B1321" s="3" t="s">
        <v>2353</v>
      </c>
      <c r="C1321" s="75" t="s">
        <v>2354</v>
      </c>
      <c r="D1321" s="70"/>
      <c r="E1321" s="3" t="s">
        <v>459</v>
      </c>
      <c r="F1321" s="28">
        <v>1</v>
      </c>
      <c r="G1321" s="28">
        <v>0</v>
      </c>
      <c r="H1321" s="28">
        <f>ROUND(F1321*AO1321,2)</f>
        <v>0</v>
      </c>
      <c r="I1321" s="28">
        <f>ROUND(F1321*AP1321,2)</f>
        <v>0</v>
      </c>
      <c r="J1321" s="28">
        <f>ROUND(F1321*G1321,2)</f>
        <v>0</v>
      </c>
      <c r="K1321" s="29" t="s">
        <v>426</v>
      </c>
      <c r="Z1321" s="28">
        <f>ROUND(IF(AQ1321="5",BJ1321,0),2)</f>
        <v>0</v>
      </c>
      <c r="AB1321" s="28">
        <f>ROUND(IF(AQ1321="1",BH1321,0),2)</f>
        <v>0</v>
      </c>
      <c r="AC1321" s="28">
        <f>ROUND(IF(AQ1321="1",BI1321,0),2)</f>
        <v>0</v>
      </c>
      <c r="AD1321" s="28">
        <f>ROUND(IF(AQ1321="7",BH1321,0),2)</f>
        <v>0</v>
      </c>
      <c r="AE1321" s="28">
        <f>ROUND(IF(AQ1321="7",BI1321,0),2)</f>
        <v>0</v>
      </c>
      <c r="AF1321" s="28">
        <f>ROUND(IF(AQ1321="2",BH1321,0),2)</f>
        <v>0</v>
      </c>
      <c r="AG1321" s="28">
        <f>ROUND(IF(AQ1321="2",BI1321,0),2)</f>
        <v>0</v>
      </c>
      <c r="AH1321" s="28">
        <f>ROUND(IF(AQ1321="0",BJ1321,0),2)</f>
        <v>0</v>
      </c>
      <c r="AI1321" s="10" t="s">
        <v>2150</v>
      </c>
      <c r="AJ1321" s="28">
        <f>IF(AN1321=0,J1321,0)</f>
        <v>0</v>
      </c>
      <c r="AK1321" s="28">
        <f>IF(AN1321=12,J1321,0)</f>
        <v>0</v>
      </c>
      <c r="AL1321" s="28">
        <f>IF(AN1321=21,J1321,0)</f>
        <v>0</v>
      </c>
      <c r="AN1321" s="28">
        <v>21</v>
      </c>
      <c r="AO1321" s="28">
        <f>G1321*1</f>
        <v>0</v>
      </c>
      <c r="AP1321" s="28">
        <f>G1321*(1-1)</f>
        <v>0</v>
      </c>
      <c r="AQ1321" s="30" t="s">
        <v>1537</v>
      </c>
      <c r="AV1321" s="28">
        <f>ROUND(AW1321+AX1321,2)</f>
        <v>0</v>
      </c>
      <c r="AW1321" s="28">
        <f>ROUND(F1321*AO1321,2)</f>
        <v>0</v>
      </c>
      <c r="AX1321" s="28">
        <f>ROUND(F1321*AP1321,2)</f>
        <v>0</v>
      </c>
      <c r="AY1321" s="30" t="s">
        <v>1538</v>
      </c>
      <c r="AZ1321" s="30" t="s">
        <v>2319</v>
      </c>
      <c r="BA1321" s="10" t="s">
        <v>2155</v>
      </c>
      <c r="BC1321" s="28">
        <f>AW1321+AX1321</f>
        <v>0</v>
      </c>
      <c r="BD1321" s="28">
        <f>G1321/(100-BE1321)*100</f>
        <v>0</v>
      </c>
      <c r="BE1321" s="28">
        <v>0</v>
      </c>
      <c r="BF1321" s="28">
        <f>1321</f>
        <v>1321</v>
      </c>
      <c r="BH1321" s="28">
        <f>F1321*AO1321</f>
        <v>0</v>
      </c>
      <c r="BI1321" s="28">
        <f>F1321*AP1321</f>
        <v>0</v>
      </c>
      <c r="BJ1321" s="28">
        <f>F1321*G1321</f>
        <v>0</v>
      </c>
      <c r="BK1321" s="28"/>
      <c r="BL1321" s="28"/>
      <c r="BW1321" s="28">
        <v>21</v>
      </c>
      <c r="BX1321" s="4" t="s">
        <v>2354</v>
      </c>
    </row>
    <row r="1322" spans="1:76" ht="14.4" x14ac:dyDescent="0.3">
      <c r="A1322" s="2" t="s">
        <v>2355</v>
      </c>
      <c r="B1322" s="3" t="s">
        <v>2356</v>
      </c>
      <c r="C1322" s="75" t="s">
        <v>2357</v>
      </c>
      <c r="D1322" s="70"/>
      <c r="E1322" s="3" t="s">
        <v>459</v>
      </c>
      <c r="F1322" s="28">
        <v>2</v>
      </c>
      <c r="G1322" s="28">
        <v>0</v>
      </c>
      <c r="H1322" s="28">
        <f>ROUND(F1322*AO1322,2)</f>
        <v>0</v>
      </c>
      <c r="I1322" s="28">
        <f>ROUND(F1322*AP1322,2)</f>
        <v>0</v>
      </c>
      <c r="J1322" s="28">
        <f>ROUND(F1322*G1322,2)</f>
        <v>0</v>
      </c>
      <c r="K1322" s="29" t="s">
        <v>426</v>
      </c>
      <c r="Z1322" s="28">
        <f>ROUND(IF(AQ1322="5",BJ1322,0),2)</f>
        <v>0</v>
      </c>
      <c r="AB1322" s="28">
        <f>ROUND(IF(AQ1322="1",BH1322,0),2)</f>
        <v>0</v>
      </c>
      <c r="AC1322" s="28">
        <f>ROUND(IF(AQ1322="1",BI1322,0),2)</f>
        <v>0</v>
      </c>
      <c r="AD1322" s="28">
        <f>ROUND(IF(AQ1322="7",BH1322,0),2)</f>
        <v>0</v>
      </c>
      <c r="AE1322" s="28">
        <f>ROUND(IF(AQ1322="7",BI1322,0),2)</f>
        <v>0</v>
      </c>
      <c r="AF1322" s="28">
        <f>ROUND(IF(AQ1322="2",BH1322,0),2)</f>
        <v>0</v>
      </c>
      <c r="AG1322" s="28">
        <f>ROUND(IF(AQ1322="2",BI1322,0),2)</f>
        <v>0</v>
      </c>
      <c r="AH1322" s="28">
        <f>ROUND(IF(AQ1322="0",BJ1322,0),2)</f>
        <v>0</v>
      </c>
      <c r="AI1322" s="10" t="s">
        <v>2150</v>
      </c>
      <c r="AJ1322" s="28">
        <f>IF(AN1322=0,J1322,0)</f>
        <v>0</v>
      </c>
      <c r="AK1322" s="28">
        <f>IF(AN1322=12,J1322,0)</f>
        <v>0</v>
      </c>
      <c r="AL1322" s="28">
        <f>IF(AN1322=21,J1322,0)</f>
        <v>0</v>
      </c>
      <c r="AN1322" s="28">
        <v>21</v>
      </c>
      <c r="AO1322" s="28">
        <f>G1322*1</f>
        <v>0</v>
      </c>
      <c r="AP1322" s="28">
        <f>G1322*(1-1)</f>
        <v>0</v>
      </c>
      <c r="AQ1322" s="30" t="s">
        <v>1537</v>
      </c>
      <c r="AV1322" s="28">
        <f>ROUND(AW1322+AX1322,2)</f>
        <v>0</v>
      </c>
      <c r="AW1322" s="28">
        <f>ROUND(F1322*AO1322,2)</f>
        <v>0</v>
      </c>
      <c r="AX1322" s="28">
        <f>ROUND(F1322*AP1322,2)</f>
        <v>0</v>
      </c>
      <c r="AY1322" s="30" t="s">
        <v>1538</v>
      </c>
      <c r="AZ1322" s="30" t="s">
        <v>2319</v>
      </c>
      <c r="BA1322" s="10" t="s">
        <v>2155</v>
      </c>
      <c r="BC1322" s="28">
        <f>AW1322+AX1322</f>
        <v>0</v>
      </c>
      <c r="BD1322" s="28">
        <f>G1322/(100-BE1322)*100</f>
        <v>0</v>
      </c>
      <c r="BE1322" s="28">
        <v>0</v>
      </c>
      <c r="BF1322" s="28">
        <f>1322</f>
        <v>1322</v>
      </c>
      <c r="BH1322" s="28">
        <f>F1322*AO1322</f>
        <v>0</v>
      </c>
      <c r="BI1322" s="28">
        <f>F1322*AP1322</f>
        <v>0</v>
      </c>
      <c r="BJ1322" s="28">
        <f>F1322*G1322</f>
        <v>0</v>
      </c>
      <c r="BK1322" s="28"/>
      <c r="BL1322" s="28"/>
      <c r="BW1322" s="28">
        <v>21</v>
      </c>
      <c r="BX1322" s="4" t="s">
        <v>2357</v>
      </c>
    </row>
    <row r="1323" spans="1:76" ht="14.4" x14ac:dyDescent="0.3">
      <c r="A1323" s="24" t="s">
        <v>51</v>
      </c>
      <c r="B1323" s="25" t="s">
        <v>51</v>
      </c>
      <c r="C1323" s="91" t="s">
        <v>2358</v>
      </c>
      <c r="D1323" s="92"/>
      <c r="E1323" s="26" t="s">
        <v>4</v>
      </c>
      <c r="F1323" s="26" t="s">
        <v>4</v>
      </c>
      <c r="G1323" s="26" t="s">
        <v>4</v>
      </c>
      <c r="H1323" s="1">
        <f>H1325+H1332+H1334+H1338</f>
        <v>0</v>
      </c>
      <c r="I1323" s="1">
        <f>I1325+I1332+I1334+I1338</f>
        <v>0</v>
      </c>
      <c r="J1323" s="1">
        <f>J1325+J1332+J1334+J1338</f>
        <v>0</v>
      </c>
      <c r="K1323" s="27" t="s">
        <v>51</v>
      </c>
    </row>
    <row r="1324" spans="1:76" ht="14.4" x14ac:dyDescent="0.3">
      <c r="A1324" s="24" t="s">
        <v>51</v>
      </c>
      <c r="B1324" s="25" t="s">
        <v>2359</v>
      </c>
      <c r="C1324" s="91" t="s">
        <v>2360</v>
      </c>
      <c r="D1324" s="92"/>
      <c r="E1324" s="26" t="s">
        <v>4</v>
      </c>
      <c r="F1324" s="26" t="s">
        <v>4</v>
      </c>
      <c r="G1324" s="26" t="s">
        <v>4</v>
      </c>
      <c r="H1324" s="1">
        <f>H1325+H1332+H1334+H1338</f>
        <v>0</v>
      </c>
      <c r="I1324" s="1">
        <f>I1325+I1332+I1334+I1338</f>
        <v>0</v>
      </c>
      <c r="J1324" s="1">
        <f>J1325+J1332+J1334+J1338</f>
        <v>0</v>
      </c>
      <c r="K1324" s="27" t="s">
        <v>51</v>
      </c>
      <c r="AI1324" s="10" t="s">
        <v>2359</v>
      </c>
    </row>
    <row r="1325" spans="1:76" ht="14.4" x14ac:dyDescent="0.3">
      <c r="A1325" s="24" t="s">
        <v>51</v>
      </c>
      <c r="B1325" s="25" t="s">
        <v>2361</v>
      </c>
      <c r="C1325" s="91" t="s">
        <v>2362</v>
      </c>
      <c r="D1325" s="92"/>
      <c r="E1325" s="26" t="s">
        <v>4</v>
      </c>
      <c r="F1325" s="26" t="s">
        <v>4</v>
      </c>
      <c r="G1325" s="26" t="s">
        <v>4</v>
      </c>
      <c r="H1325" s="1">
        <f>SUM(H1326:H1330)</f>
        <v>0</v>
      </c>
      <c r="I1325" s="1">
        <f>SUM(I1326:I1330)</f>
        <v>0</v>
      </c>
      <c r="J1325" s="1">
        <f>SUM(J1326:J1330)</f>
        <v>0</v>
      </c>
      <c r="K1325" s="27" t="s">
        <v>51</v>
      </c>
      <c r="AI1325" s="10" t="s">
        <v>2359</v>
      </c>
      <c r="AS1325" s="1">
        <f>SUM(AJ1326:AJ1330)</f>
        <v>0</v>
      </c>
      <c r="AT1325" s="1">
        <f>SUM(AK1326:AK1330)</f>
        <v>0</v>
      </c>
      <c r="AU1325" s="1">
        <f>SUM(AL1326:AL1330)</f>
        <v>0</v>
      </c>
    </row>
    <row r="1326" spans="1:76" ht="14.4" x14ac:dyDescent="0.3">
      <c r="A1326" s="2" t="s">
        <v>2363</v>
      </c>
      <c r="B1326" s="3" t="s">
        <v>2364</v>
      </c>
      <c r="C1326" s="75" t="s">
        <v>2365</v>
      </c>
      <c r="D1326" s="70"/>
      <c r="E1326" s="3" t="s">
        <v>2366</v>
      </c>
      <c r="F1326" s="28">
        <v>1</v>
      </c>
      <c r="G1326" s="28">
        <v>0</v>
      </c>
      <c r="H1326" s="28">
        <f>ROUND(F1326*AO1326,2)</f>
        <v>0</v>
      </c>
      <c r="I1326" s="28">
        <f>ROUND(F1326*AP1326,2)</f>
        <v>0</v>
      </c>
      <c r="J1326" s="28">
        <f>ROUND(F1326*G1326,2)</f>
        <v>0</v>
      </c>
      <c r="K1326" s="29" t="s">
        <v>60</v>
      </c>
      <c r="Z1326" s="28">
        <f>ROUND(IF(AQ1326="5",BJ1326,0),2)</f>
        <v>0</v>
      </c>
      <c r="AB1326" s="28">
        <f>ROUND(IF(AQ1326="1",BH1326,0),2)</f>
        <v>0</v>
      </c>
      <c r="AC1326" s="28">
        <f>ROUND(IF(AQ1326="1",BI1326,0),2)</f>
        <v>0</v>
      </c>
      <c r="AD1326" s="28">
        <f>ROUND(IF(AQ1326="7",BH1326,0),2)</f>
        <v>0</v>
      </c>
      <c r="AE1326" s="28">
        <f>ROUND(IF(AQ1326="7",BI1326,0),2)</f>
        <v>0</v>
      </c>
      <c r="AF1326" s="28">
        <f>ROUND(IF(AQ1326="2",BH1326,0),2)</f>
        <v>0</v>
      </c>
      <c r="AG1326" s="28">
        <f>ROUND(IF(AQ1326="2",BI1326,0),2)</f>
        <v>0</v>
      </c>
      <c r="AH1326" s="28">
        <f>ROUND(IF(AQ1326="0",BJ1326,0),2)</f>
        <v>0</v>
      </c>
      <c r="AI1326" s="10" t="s">
        <v>2359</v>
      </c>
      <c r="AJ1326" s="28">
        <f>IF(AN1326=0,J1326,0)</f>
        <v>0</v>
      </c>
      <c r="AK1326" s="28">
        <f>IF(AN1326=12,J1326,0)</f>
        <v>0</v>
      </c>
      <c r="AL1326" s="28">
        <f>IF(AN1326=21,J1326,0)</f>
        <v>0</v>
      </c>
      <c r="AN1326" s="28">
        <v>21</v>
      </c>
      <c r="AO1326" s="28">
        <f>G1326*0</f>
        <v>0</v>
      </c>
      <c r="AP1326" s="28">
        <f>G1326*(1-0)</f>
        <v>0</v>
      </c>
      <c r="AQ1326" s="30" t="s">
        <v>617</v>
      </c>
      <c r="AV1326" s="28">
        <f>ROUND(AW1326+AX1326,2)</f>
        <v>0</v>
      </c>
      <c r="AW1326" s="28">
        <f>ROUND(F1326*AO1326,2)</f>
        <v>0</v>
      </c>
      <c r="AX1326" s="28">
        <f>ROUND(F1326*AP1326,2)</f>
        <v>0</v>
      </c>
      <c r="AY1326" s="30" t="s">
        <v>2367</v>
      </c>
      <c r="AZ1326" s="30" t="s">
        <v>2368</v>
      </c>
      <c r="BA1326" s="10" t="s">
        <v>2369</v>
      </c>
      <c r="BC1326" s="28">
        <f>AW1326+AX1326</f>
        <v>0</v>
      </c>
      <c r="BD1326" s="28">
        <f>G1326/(100-BE1326)*100</f>
        <v>0</v>
      </c>
      <c r="BE1326" s="28">
        <v>0</v>
      </c>
      <c r="BF1326" s="28">
        <f>1326</f>
        <v>1326</v>
      </c>
      <c r="BH1326" s="28">
        <f>F1326*AO1326</f>
        <v>0</v>
      </c>
      <c r="BI1326" s="28">
        <f>F1326*AP1326</f>
        <v>0</v>
      </c>
      <c r="BJ1326" s="28">
        <f>F1326*G1326</f>
        <v>0</v>
      </c>
      <c r="BK1326" s="28"/>
      <c r="BL1326" s="28"/>
      <c r="BM1326" s="28">
        <f>F1326*G1326</f>
        <v>0</v>
      </c>
      <c r="BW1326" s="28">
        <v>21</v>
      </c>
      <c r="BX1326" s="4" t="s">
        <v>2365</v>
      </c>
    </row>
    <row r="1327" spans="1:76" ht="14.4" x14ac:dyDescent="0.3">
      <c r="A1327" s="2" t="s">
        <v>2370</v>
      </c>
      <c r="B1327" s="3" t="s">
        <v>2371</v>
      </c>
      <c r="C1327" s="75" t="s">
        <v>2372</v>
      </c>
      <c r="D1327" s="70"/>
      <c r="E1327" s="3" t="s">
        <v>2366</v>
      </c>
      <c r="F1327" s="28">
        <v>1</v>
      </c>
      <c r="G1327" s="28">
        <v>0</v>
      </c>
      <c r="H1327" s="28">
        <f>ROUND(F1327*AO1327,2)</f>
        <v>0</v>
      </c>
      <c r="I1327" s="28">
        <f>ROUND(F1327*AP1327,2)</f>
        <v>0</v>
      </c>
      <c r="J1327" s="28">
        <f>ROUND(F1327*G1327,2)</f>
        <v>0</v>
      </c>
      <c r="K1327" s="29" t="s">
        <v>60</v>
      </c>
      <c r="Z1327" s="28">
        <f>ROUND(IF(AQ1327="5",BJ1327,0),2)</f>
        <v>0</v>
      </c>
      <c r="AB1327" s="28">
        <f>ROUND(IF(AQ1327="1",BH1327,0),2)</f>
        <v>0</v>
      </c>
      <c r="AC1327" s="28">
        <f>ROUND(IF(AQ1327="1",BI1327,0),2)</f>
        <v>0</v>
      </c>
      <c r="AD1327" s="28">
        <f>ROUND(IF(AQ1327="7",BH1327,0),2)</f>
        <v>0</v>
      </c>
      <c r="AE1327" s="28">
        <f>ROUND(IF(AQ1327="7",BI1327,0),2)</f>
        <v>0</v>
      </c>
      <c r="AF1327" s="28">
        <f>ROUND(IF(AQ1327="2",BH1327,0),2)</f>
        <v>0</v>
      </c>
      <c r="AG1327" s="28">
        <f>ROUND(IF(AQ1327="2",BI1327,0),2)</f>
        <v>0</v>
      </c>
      <c r="AH1327" s="28">
        <f>ROUND(IF(AQ1327="0",BJ1327,0),2)</f>
        <v>0</v>
      </c>
      <c r="AI1327" s="10" t="s">
        <v>2359</v>
      </c>
      <c r="AJ1327" s="28">
        <f>IF(AN1327=0,J1327,0)</f>
        <v>0</v>
      </c>
      <c r="AK1327" s="28">
        <f>IF(AN1327=12,J1327,0)</f>
        <v>0</v>
      </c>
      <c r="AL1327" s="28">
        <f>IF(AN1327=21,J1327,0)</f>
        <v>0</v>
      </c>
      <c r="AN1327" s="28">
        <v>21</v>
      </c>
      <c r="AO1327" s="28">
        <f>G1327*0</f>
        <v>0</v>
      </c>
      <c r="AP1327" s="28">
        <f>G1327*(1-0)</f>
        <v>0</v>
      </c>
      <c r="AQ1327" s="30" t="s">
        <v>617</v>
      </c>
      <c r="AV1327" s="28">
        <f>ROUND(AW1327+AX1327,2)</f>
        <v>0</v>
      </c>
      <c r="AW1327" s="28">
        <f>ROUND(F1327*AO1327,2)</f>
        <v>0</v>
      </c>
      <c r="AX1327" s="28">
        <f>ROUND(F1327*AP1327,2)</f>
        <v>0</v>
      </c>
      <c r="AY1327" s="30" t="s">
        <v>2367</v>
      </c>
      <c r="AZ1327" s="30" t="s">
        <v>2368</v>
      </c>
      <c r="BA1327" s="10" t="s">
        <v>2369</v>
      </c>
      <c r="BC1327" s="28">
        <f>AW1327+AX1327</f>
        <v>0</v>
      </c>
      <c r="BD1327" s="28">
        <f>G1327/(100-BE1327)*100</f>
        <v>0</v>
      </c>
      <c r="BE1327" s="28">
        <v>0</v>
      </c>
      <c r="BF1327" s="28">
        <f>1327</f>
        <v>1327</v>
      </c>
      <c r="BH1327" s="28">
        <f>F1327*AO1327</f>
        <v>0</v>
      </c>
      <c r="BI1327" s="28">
        <f>F1327*AP1327</f>
        <v>0</v>
      </c>
      <c r="BJ1327" s="28">
        <f>F1327*G1327</f>
        <v>0</v>
      </c>
      <c r="BK1327" s="28"/>
      <c r="BL1327" s="28"/>
      <c r="BM1327" s="28">
        <f>F1327*G1327</f>
        <v>0</v>
      </c>
      <c r="BW1327" s="28">
        <v>21</v>
      </c>
      <c r="BX1327" s="4" t="s">
        <v>2372</v>
      </c>
    </row>
    <row r="1328" spans="1:76" ht="14.4" x14ac:dyDescent="0.3">
      <c r="A1328" s="2" t="s">
        <v>2373</v>
      </c>
      <c r="B1328" s="3" t="s">
        <v>2371</v>
      </c>
      <c r="C1328" s="75" t="s">
        <v>2374</v>
      </c>
      <c r="D1328" s="70"/>
      <c r="E1328" s="3" t="s">
        <v>2366</v>
      </c>
      <c r="F1328" s="28">
        <v>1</v>
      </c>
      <c r="G1328" s="28">
        <v>0</v>
      </c>
      <c r="H1328" s="28">
        <f>ROUND(F1328*AO1328,2)</f>
        <v>0</v>
      </c>
      <c r="I1328" s="28">
        <f>ROUND(F1328*AP1328,2)</f>
        <v>0</v>
      </c>
      <c r="J1328" s="28">
        <f>ROUND(F1328*G1328,2)</f>
        <v>0</v>
      </c>
      <c r="K1328" s="29" t="s">
        <v>60</v>
      </c>
      <c r="Z1328" s="28">
        <f>ROUND(IF(AQ1328="5",BJ1328,0),2)</f>
        <v>0</v>
      </c>
      <c r="AB1328" s="28">
        <f>ROUND(IF(AQ1328="1",BH1328,0),2)</f>
        <v>0</v>
      </c>
      <c r="AC1328" s="28">
        <f>ROUND(IF(AQ1328="1",BI1328,0),2)</f>
        <v>0</v>
      </c>
      <c r="AD1328" s="28">
        <f>ROUND(IF(AQ1328="7",BH1328,0),2)</f>
        <v>0</v>
      </c>
      <c r="AE1328" s="28">
        <f>ROUND(IF(AQ1328="7",BI1328,0),2)</f>
        <v>0</v>
      </c>
      <c r="AF1328" s="28">
        <f>ROUND(IF(AQ1328="2",BH1328,0),2)</f>
        <v>0</v>
      </c>
      <c r="AG1328" s="28">
        <f>ROUND(IF(AQ1328="2",BI1328,0),2)</f>
        <v>0</v>
      </c>
      <c r="AH1328" s="28">
        <f>ROUND(IF(AQ1328="0",BJ1328,0),2)</f>
        <v>0</v>
      </c>
      <c r="AI1328" s="10" t="s">
        <v>2359</v>
      </c>
      <c r="AJ1328" s="28">
        <f>IF(AN1328=0,J1328,0)</f>
        <v>0</v>
      </c>
      <c r="AK1328" s="28">
        <f>IF(AN1328=12,J1328,0)</f>
        <v>0</v>
      </c>
      <c r="AL1328" s="28">
        <f>IF(AN1328=21,J1328,0)</f>
        <v>0</v>
      </c>
      <c r="AN1328" s="28">
        <v>21</v>
      </c>
      <c r="AO1328" s="28">
        <f>G1328*0</f>
        <v>0</v>
      </c>
      <c r="AP1328" s="28">
        <f>G1328*(1-0)</f>
        <v>0</v>
      </c>
      <c r="AQ1328" s="30" t="s">
        <v>617</v>
      </c>
      <c r="AV1328" s="28">
        <f>ROUND(AW1328+AX1328,2)</f>
        <v>0</v>
      </c>
      <c r="AW1328" s="28">
        <f>ROUND(F1328*AO1328,2)</f>
        <v>0</v>
      </c>
      <c r="AX1328" s="28">
        <f>ROUND(F1328*AP1328,2)</f>
        <v>0</v>
      </c>
      <c r="AY1328" s="30" t="s">
        <v>2367</v>
      </c>
      <c r="AZ1328" s="30" t="s">
        <v>2368</v>
      </c>
      <c r="BA1328" s="10" t="s">
        <v>2369</v>
      </c>
      <c r="BC1328" s="28">
        <f>AW1328+AX1328</f>
        <v>0</v>
      </c>
      <c r="BD1328" s="28">
        <f>G1328/(100-BE1328)*100</f>
        <v>0</v>
      </c>
      <c r="BE1328" s="28">
        <v>0</v>
      </c>
      <c r="BF1328" s="28">
        <f>1328</f>
        <v>1328</v>
      </c>
      <c r="BH1328" s="28">
        <f>F1328*AO1328</f>
        <v>0</v>
      </c>
      <c r="BI1328" s="28">
        <f>F1328*AP1328</f>
        <v>0</v>
      </c>
      <c r="BJ1328" s="28">
        <f>F1328*G1328</f>
        <v>0</v>
      </c>
      <c r="BK1328" s="28"/>
      <c r="BL1328" s="28"/>
      <c r="BM1328" s="28">
        <f>F1328*G1328</f>
        <v>0</v>
      </c>
      <c r="BW1328" s="28">
        <v>21</v>
      </c>
      <c r="BX1328" s="4" t="s">
        <v>2374</v>
      </c>
    </row>
    <row r="1329" spans="1:76" ht="14.4" x14ac:dyDescent="0.3">
      <c r="A1329" s="2" t="s">
        <v>2375</v>
      </c>
      <c r="B1329" s="3" t="s">
        <v>2371</v>
      </c>
      <c r="C1329" s="75" t="s">
        <v>2376</v>
      </c>
      <c r="D1329" s="70"/>
      <c r="E1329" s="3" t="s">
        <v>2366</v>
      </c>
      <c r="F1329" s="28">
        <v>1</v>
      </c>
      <c r="G1329" s="28">
        <v>0</v>
      </c>
      <c r="H1329" s="28">
        <f>ROUND(F1329*AO1329,2)</f>
        <v>0</v>
      </c>
      <c r="I1329" s="28">
        <f>ROUND(F1329*AP1329,2)</f>
        <v>0</v>
      </c>
      <c r="J1329" s="28">
        <f>ROUND(F1329*G1329,2)</f>
        <v>0</v>
      </c>
      <c r="K1329" s="29" t="s">
        <v>60</v>
      </c>
      <c r="Z1329" s="28">
        <f>ROUND(IF(AQ1329="5",BJ1329,0),2)</f>
        <v>0</v>
      </c>
      <c r="AB1329" s="28">
        <f>ROUND(IF(AQ1329="1",BH1329,0),2)</f>
        <v>0</v>
      </c>
      <c r="AC1329" s="28">
        <f>ROUND(IF(AQ1329="1",BI1329,0),2)</f>
        <v>0</v>
      </c>
      <c r="AD1329" s="28">
        <f>ROUND(IF(AQ1329="7",BH1329,0),2)</f>
        <v>0</v>
      </c>
      <c r="AE1329" s="28">
        <f>ROUND(IF(AQ1329="7",BI1329,0),2)</f>
        <v>0</v>
      </c>
      <c r="AF1329" s="28">
        <f>ROUND(IF(AQ1329="2",BH1329,0),2)</f>
        <v>0</v>
      </c>
      <c r="AG1329" s="28">
        <f>ROUND(IF(AQ1329="2",BI1329,0),2)</f>
        <v>0</v>
      </c>
      <c r="AH1329" s="28">
        <f>ROUND(IF(AQ1329="0",BJ1329,0),2)</f>
        <v>0</v>
      </c>
      <c r="AI1329" s="10" t="s">
        <v>2359</v>
      </c>
      <c r="AJ1329" s="28">
        <f>IF(AN1329=0,J1329,0)</f>
        <v>0</v>
      </c>
      <c r="AK1329" s="28">
        <f>IF(AN1329=12,J1329,0)</f>
        <v>0</v>
      </c>
      <c r="AL1329" s="28">
        <f>IF(AN1329=21,J1329,0)</f>
        <v>0</v>
      </c>
      <c r="AN1329" s="28">
        <v>21</v>
      </c>
      <c r="AO1329" s="28">
        <f>G1329*0</f>
        <v>0</v>
      </c>
      <c r="AP1329" s="28">
        <f>G1329*(1-0)</f>
        <v>0</v>
      </c>
      <c r="AQ1329" s="30" t="s">
        <v>617</v>
      </c>
      <c r="AV1329" s="28">
        <f>ROUND(AW1329+AX1329,2)</f>
        <v>0</v>
      </c>
      <c r="AW1329" s="28">
        <f>ROUND(F1329*AO1329,2)</f>
        <v>0</v>
      </c>
      <c r="AX1329" s="28">
        <f>ROUND(F1329*AP1329,2)</f>
        <v>0</v>
      </c>
      <c r="AY1329" s="30" t="s">
        <v>2367</v>
      </c>
      <c r="AZ1329" s="30" t="s">
        <v>2368</v>
      </c>
      <c r="BA1329" s="10" t="s">
        <v>2369</v>
      </c>
      <c r="BC1329" s="28">
        <f>AW1329+AX1329</f>
        <v>0</v>
      </c>
      <c r="BD1329" s="28">
        <f>G1329/(100-BE1329)*100</f>
        <v>0</v>
      </c>
      <c r="BE1329" s="28">
        <v>0</v>
      </c>
      <c r="BF1329" s="28">
        <f>1329</f>
        <v>1329</v>
      </c>
      <c r="BH1329" s="28">
        <f>F1329*AO1329</f>
        <v>0</v>
      </c>
      <c r="BI1329" s="28">
        <f>F1329*AP1329</f>
        <v>0</v>
      </c>
      <c r="BJ1329" s="28">
        <f>F1329*G1329</f>
        <v>0</v>
      </c>
      <c r="BK1329" s="28"/>
      <c r="BL1329" s="28"/>
      <c r="BM1329" s="28">
        <f>F1329*G1329</f>
        <v>0</v>
      </c>
      <c r="BW1329" s="28">
        <v>21</v>
      </c>
      <c r="BX1329" s="4" t="s">
        <v>2376</v>
      </c>
    </row>
    <row r="1330" spans="1:76" ht="14.4" x14ac:dyDescent="0.3">
      <c r="A1330" s="2" t="s">
        <v>2377</v>
      </c>
      <c r="B1330" s="3" t="s">
        <v>2364</v>
      </c>
      <c r="C1330" s="75" t="s">
        <v>2378</v>
      </c>
      <c r="D1330" s="70"/>
      <c r="E1330" s="3" t="s">
        <v>2366</v>
      </c>
      <c r="F1330" s="28">
        <v>1</v>
      </c>
      <c r="G1330" s="28">
        <v>0</v>
      </c>
      <c r="H1330" s="28">
        <f>ROUND(F1330*AO1330,2)</f>
        <v>0</v>
      </c>
      <c r="I1330" s="28">
        <f>ROUND(F1330*AP1330,2)</f>
        <v>0</v>
      </c>
      <c r="J1330" s="28">
        <f>ROUND(F1330*G1330,2)</f>
        <v>0</v>
      </c>
      <c r="K1330" s="29" t="s">
        <v>60</v>
      </c>
      <c r="Z1330" s="28">
        <f>ROUND(IF(AQ1330="5",BJ1330,0),2)</f>
        <v>0</v>
      </c>
      <c r="AB1330" s="28">
        <f>ROUND(IF(AQ1330="1",BH1330,0),2)</f>
        <v>0</v>
      </c>
      <c r="AC1330" s="28">
        <f>ROUND(IF(AQ1330="1",BI1330,0),2)</f>
        <v>0</v>
      </c>
      <c r="AD1330" s="28">
        <f>ROUND(IF(AQ1330="7",BH1330,0),2)</f>
        <v>0</v>
      </c>
      <c r="AE1330" s="28">
        <f>ROUND(IF(AQ1330="7",BI1330,0),2)</f>
        <v>0</v>
      </c>
      <c r="AF1330" s="28">
        <f>ROUND(IF(AQ1330="2",BH1330,0),2)</f>
        <v>0</v>
      </c>
      <c r="AG1330" s="28">
        <f>ROUND(IF(AQ1330="2",BI1330,0),2)</f>
        <v>0</v>
      </c>
      <c r="AH1330" s="28">
        <f>ROUND(IF(AQ1330="0",BJ1330,0),2)</f>
        <v>0</v>
      </c>
      <c r="AI1330" s="10" t="s">
        <v>2359</v>
      </c>
      <c r="AJ1330" s="28">
        <f>IF(AN1330=0,J1330,0)</f>
        <v>0</v>
      </c>
      <c r="AK1330" s="28">
        <f>IF(AN1330=12,J1330,0)</f>
        <v>0</v>
      </c>
      <c r="AL1330" s="28">
        <f>IF(AN1330=21,J1330,0)</f>
        <v>0</v>
      </c>
      <c r="AN1330" s="28">
        <v>21</v>
      </c>
      <c r="AO1330" s="28">
        <f>G1330*0</f>
        <v>0</v>
      </c>
      <c r="AP1330" s="28">
        <f>G1330*(1-0)</f>
        <v>0</v>
      </c>
      <c r="AQ1330" s="30" t="s">
        <v>617</v>
      </c>
      <c r="AV1330" s="28">
        <f>ROUND(AW1330+AX1330,2)</f>
        <v>0</v>
      </c>
      <c r="AW1330" s="28">
        <f>ROUND(F1330*AO1330,2)</f>
        <v>0</v>
      </c>
      <c r="AX1330" s="28">
        <f>ROUND(F1330*AP1330,2)</f>
        <v>0</v>
      </c>
      <c r="AY1330" s="30" t="s">
        <v>2367</v>
      </c>
      <c r="AZ1330" s="30" t="s">
        <v>2368</v>
      </c>
      <c r="BA1330" s="10" t="s">
        <v>2369</v>
      </c>
      <c r="BC1330" s="28">
        <f>AW1330+AX1330</f>
        <v>0</v>
      </c>
      <c r="BD1330" s="28">
        <f>G1330/(100-BE1330)*100</f>
        <v>0</v>
      </c>
      <c r="BE1330" s="28">
        <v>0</v>
      </c>
      <c r="BF1330" s="28">
        <f>1330</f>
        <v>1330</v>
      </c>
      <c r="BH1330" s="28">
        <f>F1330*AO1330</f>
        <v>0</v>
      </c>
      <c r="BI1330" s="28">
        <f>F1330*AP1330</f>
        <v>0</v>
      </c>
      <c r="BJ1330" s="28">
        <f>F1330*G1330</f>
        <v>0</v>
      </c>
      <c r="BK1330" s="28"/>
      <c r="BL1330" s="28"/>
      <c r="BM1330" s="28">
        <f>F1330*G1330</f>
        <v>0</v>
      </c>
      <c r="BW1330" s="28">
        <v>21</v>
      </c>
      <c r="BX1330" s="4" t="s">
        <v>2378</v>
      </c>
    </row>
    <row r="1331" spans="1:76" ht="40.5" customHeight="1" x14ac:dyDescent="0.3">
      <c r="A1331" s="31"/>
      <c r="B1331" s="35" t="s">
        <v>105</v>
      </c>
      <c r="C1331" s="96" t="s">
        <v>2379</v>
      </c>
      <c r="D1331" s="97"/>
      <c r="E1331" s="97"/>
      <c r="F1331" s="97"/>
      <c r="G1331" s="97"/>
      <c r="H1331" s="97"/>
      <c r="I1331" s="97"/>
      <c r="J1331" s="97"/>
      <c r="K1331" s="98"/>
    </row>
    <row r="1332" spans="1:76" ht="14.4" x14ac:dyDescent="0.3">
      <c r="A1332" s="24" t="s">
        <v>51</v>
      </c>
      <c r="B1332" s="25" t="s">
        <v>2380</v>
      </c>
      <c r="C1332" s="91" t="s">
        <v>2381</v>
      </c>
      <c r="D1332" s="92"/>
      <c r="E1332" s="26" t="s">
        <v>4</v>
      </c>
      <c r="F1332" s="26" t="s">
        <v>4</v>
      </c>
      <c r="G1332" s="26" t="s">
        <v>4</v>
      </c>
      <c r="H1332" s="1">
        <f>SUM(H1333:H1333)</f>
        <v>0</v>
      </c>
      <c r="I1332" s="1">
        <f>SUM(I1333:I1333)</f>
        <v>0</v>
      </c>
      <c r="J1332" s="1">
        <f>SUM(J1333:J1333)</f>
        <v>0</v>
      </c>
      <c r="K1332" s="27" t="s">
        <v>51</v>
      </c>
      <c r="AI1332" s="10" t="s">
        <v>2359</v>
      </c>
      <c r="AS1332" s="1">
        <f>SUM(AJ1333:AJ1333)</f>
        <v>0</v>
      </c>
      <c r="AT1332" s="1">
        <f>SUM(AK1333:AK1333)</f>
        <v>0</v>
      </c>
      <c r="AU1332" s="1">
        <f>SUM(AL1333:AL1333)</f>
        <v>0</v>
      </c>
    </row>
    <row r="1333" spans="1:76" ht="14.4" x14ac:dyDescent="0.3">
      <c r="A1333" s="2" t="s">
        <v>2382</v>
      </c>
      <c r="B1333" s="3" t="s">
        <v>2383</v>
      </c>
      <c r="C1333" s="75" t="s">
        <v>2384</v>
      </c>
      <c r="D1333" s="70"/>
      <c r="E1333" s="3" t="s">
        <v>2366</v>
      </c>
      <c r="F1333" s="28">
        <v>1</v>
      </c>
      <c r="G1333" s="28">
        <v>0</v>
      </c>
      <c r="H1333" s="28">
        <f>ROUND(F1333*AO1333,2)</f>
        <v>0</v>
      </c>
      <c r="I1333" s="28">
        <f>ROUND(F1333*AP1333,2)</f>
        <v>0</v>
      </c>
      <c r="J1333" s="28">
        <f>ROUND(F1333*G1333,2)</f>
        <v>0</v>
      </c>
      <c r="K1333" s="29" t="s">
        <v>60</v>
      </c>
      <c r="Z1333" s="28">
        <f>ROUND(IF(AQ1333="5",BJ1333,0),2)</f>
        <v>0</v>
      </c>
      <c r="AB1333" s="28">
        <f>ROUND(IF(AQ1333="1",BH1333,0),2)</f>
        <v>0</v>
      </c>
      <c r="AC1333" s="28">
        <f>ROUND(IF(AQ1333="1",BI1333,0),2)</f>
        <v>0</v>
      </c>
      <c r="AD1333" s="28">
        <f>ROUND(IF(AQ1333="7",BH1333,0),2)</f>
        <v>0</v>
      </c>
      <c r="AE1333" s="28">
        <f>ROUND(IF(AQ1333="7",BI1333,0),2)</f>
        <v>0</v>
      </c>
      <c r="AF1333" s="28">
        <f>ROUND(IF(AQ1333="2",BH1333,0),2)</f>
        <v>0</v>
      </c>
      <c r="AG1333" s="28">
        <f>ROUND(IF(AQ1333="2",BI1333,0),2)</f>
        <v>0</v>
      </c>
      <c r="AH1333" s="28">
        <f>ROUND(IF(AQ1333="0",BJ1333,0),2)</f>
        <v>0</v>
      </c>
      <c r="AI1333" s="10" t="s">
        <v>2359</v>
      </c>
      <c r="AJ1333" s="28">
        <f>IF(AN1333=0,J1333,0)</f>
        <v>0</v>
      </c>
      <c r="AK1333" s="28">
        <f>IF(AN1333=12,J1333,0)</f>
        <v>0</v>
      </c>
      <c r="AL1333" s="28">
        <f>IF(AN1333=21,J1333,0)</f>
        <v>0</v>
      </c>
      <c r="AN1333" s="28">
        <v>21</v>
      </c>
      <c r="AO1333" s="28">
        <f>G1333*0</f>
        <v>0</v>
      </c>
      <c r="AP1333" s="28">
        <f>G1333*(1-0)</f>
        <v>0</v>
      </c>
      <c r="AQ1333" s="30" t="s">
        <v>617</v>
      </c>
      <c r="AV1333" s="28">
        <f>ROUND(AW1333+AX1333,2)</f>
        <v>0</v>
      </c>
      <c r="AW1333" s="28">
        <f>ROUND(F1333*AO1333,2)</f>
        <v>0</v>
      </c>
      <c r="AX1333" s="28">
        <f>ROUND(F1333*AP1333,2)</f>
        <v>0</v>
      </c>
      <c r="AY1333" s="30" t="s">
        <v>2385</v>
      </c>
      <c r="AZ1333" s="30" t="s">
        <v>2368</v>
      </c>
      <c r="BA1333" s="10" t="s">
        <v>2369</v>
      </c>
      <c r="BC1333" s="28">
        <f>AW1333+AX1333</f>
        <v>0</v>
      </c>
      <c r="BD1333" s="28">
        <f>G1333/(100-BE1333)*100</f>
        <v>0</v>
      </c>
      <c r="BE1333" s="28">
        <v>0</v>
      </c>
      <c r="BF1333" s="28">
        <f>1333</f>
        <v>1333</v>
      </c>
      <c r="BH1333" s="28">
        <f>F1333*AO1333</f>
        <v>0</v>
      </c>
      <c r="BI1333" s="28">
        <f>F1333*AP1333</f>
        <v>0</v>
      </c>
      <c r="BJ1333" s="28">
        <f>F1333*G1333</f>
        <v>0</v>
      </c>
      <c r="BK1333" s="28"/>
      <c r="BL1333" s="28"/>
      <c r="BO1333" s="28">
        <f>F1333*G1333</f>
        <v>0</v>
      </c>
      <c r="BW1333" s="28">
        <v>21</v>
      </c>
      <c r="BX1333" s="4" t="s">
        <v>2384</v>
      </c>
    </row>
    <row r="1334" spans="1:76" ht="14.4" x14ac:dyDescent="0.3">
      <c r="A1334" s="24" t="s">
        <v>51</v>
      </c>
      <c r="B1334" s="25" t="s">
        <v>2386</v>
      </c>
      <c r="C1334" s="91" t="s">
        <v>2387</v>
      </c>
      <c r="D1334" s="92"/>
      <c r="E1334" s="26" t="s">
        <v>4</v>
      </c>
      <c r="F1334" s="26" t="s">
        <v>4</v>
      </c>
      <c r="G1334" s="26" t="s">
        <v>4</v>
      </c>
      <c r="H1334" s="1">
        <f>SUM(H1335:H1337)</f>
        <v>0</v>
      </c>
      <c r="I1334" s="1">
        <f>SUM(I1335:I1337)</f>
        <v>0</v>
      </c>
      <c r="J1334" s="1">
        <f>SUM(J1335:J1337)</f>
        <v>0</v>
      </c>
      <c r="K1334" s="27" t="s">
        <v>51</v>
      </c>
      <c r="AI1334" s="10" t="s">
        <v>2359</v>
      </c>
      <c r="AS1334" s="1">
        <f>SUM(AJ1335:AJ1337)</f>
        <v>0</v>
      </c>
      <c r="AT1334" s="1">
        <f>SUM(AK1335:AK1337)</f>
        <v>0</v>
      </c>
      <c r="AU1334" s="1">
        <f>SUM(AL1335:AL1337)</f>
        <v>0</v>
      </c>
    </row>
    <row r="1335" spans="1:76" ht="14.4" x14ac:dyDescent="0.3">
      <c r="A1335" s="2" t="s">
        <v>2388</v>
      </c>
      <c r="B1335" s="3" t="s">
        <v>2389</v>
      </c>
      <c r="C1335" s="75" t="s">
        <v>2390</v>
      </c>
      <c r="D1335" s="70"/>
      <c r="E1335" s="3" t="s">
        <v>2366</v>
      </c>
      <c r="F1335" s="28">
        <v>6</v>
      </c>
      <c r="G1335" s="28">
        <v>0</v>
      </c>
      <c r="H1335" s="28">
        <f>ROUND(F1335*AO1335,2)</f>
        <v>0</v>
      </c>
      <c r="I1335" s="28">
        <f>ROUND(F1335*AP1335,2)</f>
        <v>0</v>
      </c>
      <c r="J1335" s="28">
        <f>ROUND(F1335*G1335,2)</f>
        <v>0</v>
      </c>
      <c r="K1335" s="29" t="s">
        <v>60</v>
      </c>
      <c r="Z1335" s="28">
        <f>ROUND(IF(AQ1335="5",BJ1335,0),2)</f>
        <v>0</v>
      </c>
      <c r="AB1335" s="28">
        <f>ROUND(IF(AQ1335="1",BH1335,0),2)</f>
        <v>0</v>
      </c>
      <c r="AC1335" s="28">
        <f>ROUND(IF(AQ1335="1",BI1335,0),2)</f>
        <v>0</v>
      </c>
      <c r="AD1335" s="28">
        <f>ROUND(IF(AQ1335="7",BH1335,0),2)</f>
        <v>0</v>
      </c>
      <c r="AE1335" s="28">
        <f>ROUND(IF(AQ1335="7",BI1335,0),2)</f>
        <v>0</v>
      </c>
      <c r="AF1335" s="28">
        <f>ROUND(IF(AQ1335="2",BH1335,0),2)</f>
        <v>0</v>
      </c>
      <c r="AG1335" s="28">
        <f>ROUND(IF(AQ1335="2",BI1335,0),2)</f>
        <v>0</v>
      </c>
      <c r="AH1335" s="28">
        <f>ROUND(IF(AQ1335="0",BJ1335,0),2)</f>
        <v>0</v>
      </c>
      <c r="AI1335" s="10" t="s">
        <v>2359</v>
      </c>
      <c r="AJ1335" s="28">
        <f>IF(AN1335=0,J1335,0)</f>
        <v>0</v>
      </c>
      <c r="AK1335" s="28">
        <f>IF(AN1335=12,J1335,0)</f>
        <v>0</v>
      </c>
      <c r="AL1335" s="28">
        <f>IF(AN1335=21,J1335,0)</f>
        <v>0</v>
      </c>
      <c r="AN1335" s="28">
        <v>21</v>
      </c>
      <c r="AO1335" s="28">
        <f>G1335*0</f>
        <v>0</v>
      </c>
      <c r="AP1335" s="28">
        <f>G1335*(1-0)</f>
        <v>0</v>
      </c>
      <c r="AQ1335" s="30" t="s">
        <v>617</v>
      </c>
      <c r="AV1335" s="28">
        <f>ROUND(AW1335+AX1335,2)</f>
        <v>0</v>
      </c>
      <c r="AW1335" s="28">
        <f>ROUND(F1335*AO1335,2)</f>
        <v>0</v>
      </c>
      <c r="AX1335" s="28">
        <f>ROUND(F1335*AP1335,2)</f>
        <v>0</v>
      </c>
      <c r="AY1335" s="30" t="s">
        <v>2391</v>
      </c>
      <c r="AZ1335" s="30" t="s">
        <v>2368</v>
      </c>
      <c r="BA1335" s="10" t="s">
        <v>2369</v>
      </c>
      <c r="BC1335" s="28">
        <f>AW1335+AX1335</f>
        <v>0</v>
      </c>
      <c r="BD1335" s="28">
        <f>G1335/(100-BE1335)*100</f>
        <v>0</v>
      </c>
      <c r="BE1335" s="28">
        <v>0</v>
      </c>
      <c r="BF1335" s="28">
        <f>1335</f>
        <v>1335</v>
      </c>
      <c r="BH1335" s="28">
        <f>F1335*AO1335</f>
        <v>0</v>
      </c>
      <c r="BI1335" s="28">
        <f>F1335*AP1335</f>
        <v>0</v>
      </c>
      <c r="BJ1335" s="28">
        <f>F1335*G1335</f>
        <v>0</v>
      </c>
      <c r="BK1335" s="28"/>
      <c r="BL1335" s="28"/>
      <c r="BP1335" s="28">
        <f>F1335*G1335</f>
        <v>0</v>
      </c>
      <c r="BW1335" s="28">
        <v>21</v>
      </c>
      <c r="BX1335" s="4" t="s">
        <v>2390</v>
      </c>
    </row>
    <row r="1336" spans="1:76" ht="27" customHeight="1" x14ac:dyDescent="0.3">
      <c r="A1336" s="31"/>
      <c r="B1336" s="35" t="s">
        <v>105</v>
      </c>
      <c r="C1336" s="96" t="s">
        <v>2392</v>
      </c>
      <c r="D1336" s="97"/>
      <c r="E1336" s="97"/>
      <c r="F1336" s="97"/>
      <c r="G1336" s="97"/>
      <c r="H1336" s="97"/>
      <c r="I1336" s="97"/>
      <c r="J1336" s="97"/>
      <c r="K1336" s="98"/>
    </row>
    <row r="1337" spans="1:76" ht="14.4" x14ac:dyDescent="0.3">
      <c r="A1337" s="2" t="s">
        <v>2393</v>
      </c>
      <c r="B1337" s="3" t="s">
        <v>2389</v>
      </c>
      <c r="C1337" s="75" t="s">
        <v>2394</v>
      </c>
      <c r="D1337" s="70"/>
      <c r="E1337" s="3" t="s">
        <v>2366</v>
      </c>
      <c r="F1337" s="28">
        <v>1</v>
      </c>
      <c r="G1337" s="28">
        <v>0</v>
      </c>
      <c r="H1337" s="28">
        <f>ROUND(F1337*AO1337,2)</f>
        <v>0</v>
      </c>
      <c r="I1337" s="28">
        <f>ROUND(F1337*AP1337,2)</f>
        <v>0</v>
      </c>
      <c r="J1337" s="28">
        <f>ROUND(F1337*G1337,2)</f>
        <v>0</v>
      </c>
      <c r="K1337" s="29" t="s">
        <v>60</v>
      </c>
      <c r="Z1337" s="28">
        <f>ROUND(IF(AQ1337="5",BJ1337,0),2)</f>
        <v>0</v>
      </c>
      <c r="AB1337" s="28">
        <f>ROUND(IF(AQ1337="1",BH1337,0),2)</f>
        <v>0</v>
      </c>
      <c r="AC1337" s="28">
        <f>ROUND(IF(AQ1337="1",BI1337,0),2)</f>
        <v>0</v>
      </c>
      <c r="AD1337" s="28">
        <f>ROUND(IF(AQ1337="7",BH1337,0),2)</f>
        <v>0</v>
      </c>
      <c r="AE1337" s="28">
        <f>ROUND(IF(AQ1337="7",BI1337,0),2)</f>
        <v>0</v>
      </c>
      <c r="AF1337" s="28">
        <f>ROUND(IF(AQ1337="2",BH1337,0),2)</f>
        <v>0</v>
      </c>
      <c r="AG1337" s="28">
        <f>ROUND(IF(AQ1337="2",BI1337,0),2)</f>
        <v>0</v>
      </c>
      <c r="AH1337" s="28">
        <f>ROUND(IF(AQ1337="0",BJ1337,0),2)</f>
        <v>0</v>
      </c>
      <c r="AI1337" s="10" t="s">
        <v>2359</v>
      </c>
      <c r="AJ1337" s="28">
        <f>IF(AN1337=0,J1337,0)</f>
        <v>0</v>
      </c>
      <c r="AK1337" s="28">
        <f>IF(AN1337=12,J1337,0)</f>
        <v>0</v>
      </c>
      <c r="AL1337" s="28">
        <f>IF(AN1337=21,J1337,0)</f>
        <v>0</v>
      </c>
      <c r="AN1337" s="28">
        <v>21</v>
      </c>
      <c r="AO1337" s="28">
        <f>G1337*0</f>
        <v>0</v>
      </c>
      <c r="AP1337" s="28">
        <f>G1337*(1-0)</f>
        <v>0</v>
      </c>
      <c r="AQ1337" s="30" t="s">
        <v>617</v>
      </c>
      <c r="AV1337" s="28">
        <f>ROUND(AW1337+AX1337,2)</f>
        <v>0</v>
      </c>
      <c r="AW1337" s="28">
        <f>ROUND(F1337*AO1337,2)</f>
        <v>0</v>
      </c>
      <c r="AX1337" s="28">
        <f>ROUND(F1337*AP1337,2)</f>
        <v>0</v>
      </c>
      <c r="AY1337" s="30" t="s">
        <v>2391</v>
      </c>
      <c r="AZ1337" s="30" t="s">
        <v>2368</v>
      </c>
      <c r="BA1337" s="10" t="s">
        <v>2369</v>
      </c>
      <c r="BC1337" s="28">
        <f>AW1337+AX1337</f>
        <v>0</v>
      </c>
      <c r="BD1337" s="28">
        <f>G1337/(100-BE1337)*100</f>
        <v>0</v>
      </c>
      <c r="BE1337" s="28">
        <v>0</v>
      </c>
      <c r="BF1337" s="28">
        <f>1337</f>
        <v>1337</v>
      </c>
      <c r="BH1337" s="28">
        <f>F1337*AO1337</f>
        <v>0</v>
      </c>
      <c r="BI1337" s="28">
        <f>F1337*AP1337</f>
        <v>0</v>
      </c>
      <c r="BJ1337" s="28">
        <f>F1337*G1337</f>
        <v>0</v>
      </c>
      <c r="BK1337" s="28"/>
      <c r="BL1337" s="28"/>
      <c r="BP1337" s="28">
        <f>F1337*G1337</f>
        <v>0</v>
      </c>
      <c r="BW1337" s="28">
        <v>21</v>
      </c>
      <c r="BX1337" s="4" t="s">
        <v>2394</v>
      </c>
    </row>
    <row r="1338" spans="1:76" ht="14.4" x14ac:dyDescent="0.3">
      <c r="A1338" s="24" t="s">
        <v>51</v>
      </c>
      <c r="B1338" s="25" t="s">
        <v>2395</v>
      </c>
      <c r="C1338" s="91" t="s">
        <v>2396</v>
      </c>
      <c r="D1338" s="92"/>
      <c r="E1338" s="26" t="s">
        <v>4</v>
      </c>
      <c r="F1338" s="26" t="s">
        <v>4</v>
      </c>
      <c r="G1338" s="26" t="s">
        <v>4</v>
      </c>
      <c r="H1338" s="1">
        <f>SUM(H1339:H1339)</f>
        <v>0</v>
      </c>
      <c r="I1338" s="1">
        <f>SUM(I1339:I1339)</f>
        <v>0</v>
      </c>
      <c r="J1338" s="1">
        <f>SUM(J1339:J1339)</f>
        <v>0</v>
      </c>
      <c r="K1338" s="27" t="s">
        <v>51</v>
      </c>
      <c r="AI1338" s="10" t="s">
        <v>2359</v>
      </c>
      <c r="AS1338" s="1">
        <f>SUM(AJ1339:AJ1339)</f>
        <v>0</v>
      </c>
      <c r="AT1338" s="1">
        <f>SUM(AK1339:AK1339)</f>
        <v>0</v>
      </c>
      <c r="AU1338" s="1">
        <f>SUM(AL1339:AL1339)</f>
        <v>0</v>
      </c>
    </row>
    <row r="1339" spans="1:76" ht="14.4" x14ac:dyDescent="0.3">
      <c r="A1339" s="38" t="s">
        <v>2397</v>
      </c>
      <c r="B1339" s="39" t="s">
        <v>2398</v>
      </c>
      <c r="C1339" s="99" t="s">
        <v>2399</v>
      </c>
      <c r="D1339" s="100"/>
      <c r="E1339" s="39" t="s">
        <v>2366</v>
      </c>
      <c r="F1339" s="40">
        <v>1</v>
      </c>
      <c r="G1339" s="40">
        <v>0</v>
      </c>
      <c r="H1339" s="40">
        <f>ROUND(F1339*AO1339,2)</f>
        <v>0</v>
      </c>
      <c r="I1339" s="40">
        <f>ROUND(F1339*AP1339,2)</f>
        <v>0</v>
      </c>
      <c r="J1339" s="40">
        <f>ROUND(F1339*G1339,2)</f>
        <v>0</v>
      </c>
      <c r="K1339" s="41" t="s">
        <v>60</v>
      </c>
      <c r="Z1339" s="28">
        <f>ROUND(IF(AQ1339="5",BJ1339,0),2)</f>
        <v>0</v>
      </c>
      <c r="AB1339" s="28">
        <f>ROUND(IF(AQ1339="1",BH1339,0),2)</f>
        <v>0</v>
      </c>
      <c r="AC1339" s="28">
        <f>ROUND(IF(AQ1339="1",BI1339,0),2)</f>
        <v>0</v>
      </c>
      <c r="AD1339" s="28">
        <f>ROUND(IF(AQ1339="7",BH1339,0),2)</f>
        <v>0</v>
      </c>
      <c r="AE1339" s="28">
        <f>ROUND(IF(AQ1339="7",BI1339,0),2)</f>
        <v>0</v>
      </c>
      <c r="AF1339" s="28">
        <f>ROUND(IF(AQ1339="2",BH1339,0),2)</f>
        <v>0</v>
      </c>
      <c r="AG1339" s="28">
        <f>ROUND(IF(AQ1339="2",BI1339,0),2)</f>
        <v>0</v>
      </c>
      <c r="AH1339" s="28">
        <f>ROUND(IF(AQ1339="0",BJ1339,0),2)</f>
        <v>0</v>
      </c>
      <c r="AI1339" s="10" t="s">
        <v>2359</v>
      </c>
      <c r="AJ1339" s="28">
        <f>IF(AN1339=0,J1339,0)</f>
        <v>0</v>
      </c>
      <c r="AK1339" s="28">
        <f>IF(AN1339=12,J1339,0)</f>
        <v>0</v>
      </c>
      <c r="AL1339" s="28">
        <f>IF(AN1339=21,J1339,0)</f>
        <v>0</v>
      </c>
      <c r="AN1339" s="28">
        <v>21</v>
      </c>
      <c r="AO1339" s="28">
        <f>G1339*0</f>
        <v>0</v>
      </c>
      <c r="AP1339" s="28">
        <f>G1339*(1-0)</f>
        <v>0</v>
      </c>
      <c r="AQ1339" s="30" t="s">
        <v>617</v>
      </c>
      <c r="AV1339" s="28">
        <f>ROUND(AW1339+AX1339,2)</f>
        <v>0</v>
      </c>
      <c r="AW1339" s="28">
        <f>ROUND(F1339*AO1339,2)</f>
        <v>0</v>
      </c>
      <c r="AX1339" s="28">
        <f>ROUND(F1339*AP1339,2)</f>
        <v>0</v>
      </c>
      <c r="AY1339" s="30" t="s">
        <v>2400</v>
      </c>
      <c r="AZ1339" s="30" t="s">
        <v>2368</v>
      </c>
      <c r="BA1339" s="10" t="s">
        <v>2369</v>
      </c>
      <c r="BC1339" s="28">
        <f>AW1339+AX1339</f>
        <v>0</v>
      </c>
      <c r="BD1339" s="28">
        <f>G1339/(100-BE1339)*100</f>
        <v>0</v>
      </c>
      <c r="BE1339" s="28">
        <v>0</v>
      </c>
      <c r="BF1339" s="28">
        <f>1339</f>
        <v>1339</v>
      </c>
      <c r="BH1339" s="28">
        <f>F1339*AO1339</f>
        <v>0</v>
      </c>
      <c r="BI1339" s="28">
        <f>F1339*AP1339</f>
        <v>0</v>
      </c>
      <c r="BJ1339" s="28">
        <f>F1339*G1339</f>
        <v>0</v>
      </c>
      <c r="BK1339" s="28"/>
      <c r="BL1339" s="28"/>
      <c r="BU1339" s="28">
        <f>F1339*G1339</f>
        <v>0</v>
      </c>
      <c r="BW1339" s="28">
        <v>21</v>
      </c>
      <c r="BX1339" s="4" t="s">
        <v>2399</v>
      </c>
    </row>
    <row r="1340" spans="1:76" ht="14.4" x14ac:dyDescent="0.3">
      <c r="H1340" s="101" t="s">
        <v>2401</v>
      </c>
      <c r="I1340" s="101"/>
      <c r="J1340" s="42">
        <f>ROUND(J13+J34+J43+J60+J85+J89+J96+J102+J107+J111+J127+J141+J151+J169+J207+J211+J218+J222+J231+J235+J260+J300+J308+J312+J317+J320+J328+J339+J347+J354+J357+J362+J370+J373+J385+J390+J394+J403+J407+J437+J467+J470+J475+J482+J519+J522+J525+J527+J536+J544+J550+J554+J558+J577+J601+J603+J606+J613+J616+J620+J622+J636+J657+J668+J680+J684+J702+J712+J761+J764+J773+J831+J847+J866+J870+J878+J887+J893+J1039+J1045+J1048+J1078+J1087+J1093+J1110+J1127+J1131+J1141+J1155+J1168+J1173+J1179+J1184+J1193+J1197+J1207+J1213+J1228+J1232+J1235+J1262+J1305+J1325+J1332+J1334+J1338,1)</f>
        <v>0</v>
      </c>
    </row>
    <row r="1341" spans="1:76" ht="14.4" x14ac:dyDescent="0.3">
      <c r="A1341" s="43" t="s">
        <v>70</v>
      </c>
    </row>
    <row r="1342" spans="1:76" ht="12.75" customHeight="1" x14ac:dyDescent="0.3">
      <c r="A1342" s="75" t="s">
        <v>51</v>
      </c>
      <c r="B1342" s="70"/>
      <c r="C1342" s="70"/>
      <c r="D1342" s="70"/>
      <c r="E1342" s="70"/>
      <c r="F1342" s="70"/>
      <c r="G1342" s="70"/>
      <c r="H1342" s="70"/>
      <c r="I1342" s="70"/>
      <c r="J1342" s="70"/>
      <c r="K1342" s="70"/>
    </row>
  </sheetData>
  <mergeCells count="910">
    <mergeCell ref="C1338:D1338"/>
    <mergeCell ref="C1339:D1339"/>
    <mergeCell ref="H1340:I1340"/>
    <mergeCell ref="A1342:K1342"/>
    <mergeCell ref="C1333:D1333"/>
    <mergeCell ref="C1334:D1334"/>
    <mergeCell ref="C1335:D1335"/>
    <mergeCell ref="C1336:K1336"/>
    <mergeCell ref="C1337:D1337"/>
    <mergeCell ref="C1328:D1328"/>
    <mergeCell ref="C1329:D1329"/>
    <mergeCell ref="C1330:D1330"/>
    <mergeCell ref="C1331:K1331"/>
    <mergeCell ref="C1332:D1332"/>
    <mergeCell ref="C1323:D1323"/>
    <mergeCell ref="C1324:D1324"/>
    <mergeCell ref="C1325:D1325"/>
    <mergeCell ref="C1326:D1326"/>
    <mergeCell ref="C1327:D1327"/>
    <mergeCell ref="C1318:K1318"/>
    <mergeCell ref="C1319:D1319"/>
    <mergeCell ref="C1320:D1320"/>
    <mergeCell ref="C1321:D1321"/>
    <mergeCell ref="C1322:D1322"/>
    <mergeCell ref="C1313:D1313"/>
    <mergeCell ref="C1314:K1314"/>
    <mergeCell ref="C1315:D1315"/>
    <mergeCell ref="C1316:K1316"/>
    <mergeCell ref="C1317:D1317"/>
    <mergeCell ref="C1308:D1308"/>
    <mergeCell ref="C1309:D1309"/>
    <mergeCell ref="C1310:D1310"/>
    <mergeCell ref="C1311:K1311"/>
    <mergeCell ref="C1312:D1312"/>
    <mergeCell ref="C1303:D1303"/>
    <mergeCell ref="C1304:K1304"/>
    <mergeCell ref="C1305:D1305"/>
    <mergeCell ref="C1306:D1306"/>
    <mergeCell ref="C1307:D1307"/>
    <mergeCell ref="C1298:D1298"/>
    <mergeCell ref="C1299:K1299"/>
    <mergeCell ref="C1300:D1300"/>
    <mergeCell ref="C1301:D1301"/>
    <mergeCell ref="C1302:K1302"/>
    <mergeCell ref="C1293:K1293"/>
    <mergeCell ref="C1294:D1294"/>
    <mergeCell ref="C1295:D1295"/>
    <mergeCell ref="C1296:D1296"/>
    <mergeCell ref="C1297:K1297"/>
    <mergeCell ref="C1288:D1288"/>
    <mergeCell ref="C1289:D1289"/>
    <mergeCell ref="C1290:D1290"/>
    <mergeCell ref="C1291:K1291"/>
    <mergeCell ref="C1292:D1292"/>
    <mergeCell ref="C1283:K1283"/>
    <mergeCell ref="C1284:D1284"/>
    <mergeCell ref="C1285:K1285"/>
    <mergeCell ref="C1286:D1286"/>
    <mergeCell ref="C1287:D1287"/>
    <mergeCell ref="C1278:K1278"/>
    <mergeCell ref="C1279:D1279"/>
    <mergeCell ref="C1280:D1280"/>
    <mergeCell ref="C1281:K1281"/>
    <mergeCell ref="C1282:D1282"/>
    <mergeCell ref="C1273:D1273"/>
    <mergeCell ref="C1274:K1274"/>
    <mergeCell ref="C1275:D1275"/>
    <mergeCell ref="C1276:K1276"/>
    <mergeCell ref="C1277:D1277"/>
    <mergeCell ref="C1268:K1268"/>
    <mergeCell ref="C1269:D1269"/>
    <mergeCell ref="C1270:K1270"/>
    <mergeCell ref="C1271:D1271"/>
    <mergeCell ref="C1272:K1272"/>
    <mergeCell ref="C1263:D1263"/>
    <mergeCell ref="C1264:D1264"/>
    <mergeCell ref="C1265:D1265"/>
    <mergeCell ref="C1266:K1266"/>
    <mergeCell ref="C1267:D1267"/>
    <mergeCell ref="C1258:D1258"/>
    <mergeCell ref="C1259:K1259"/>
    <mergeCell ref="C1260:D1260"/>
    <mergeCell ref="C1261:D1261"/>
    <mergeCell ref="C1262:D1262"/>
    <mergeCell ref="C1253:D1253"/>
    <mergeCell ref="C1254:D1254"/>
    <mergeCell ref="C1255:D1255"/>
    <mergeCell ref="C1256:D1256"/>
    <mergeCell ref="C1257:K1257"/>
    <mergeCell ref="C1248:D1248"/>
    <mergeCell ref="C1249:K1249"/>
    <mergeCell ref="C1250:D1250"/>
    <mergeCell ref="C1251:K1251"/>
    <mergeCell ref="C1252:D1252"/>
    <mergeCell ref="C1243:D1243"/>
    <mergeCell ref="C1244:D1244"/>
    <mergeCell ref="C1245:D1245"/>
    <mergeCell ref="C1246:D1246"/>
    <mergeCell ref="C1247:D1247"/>
    <mergeCell ref="C1238:D1238"/>
    <mergeCell ref="C1239:D1239"/>
    <mergeCell ref="C1240:D1240"/>
    <mergeCell ref="C1241:D1241"/>
    <mergeCell ref="C1242:D1242"/>
    <mergeCell ref="C1233:D1233"/>
    <mergeCell ref="C1234:K1234"/>
    <mergeCell ref="C1235:D1235"/>
    <mergeCell ref="C1236:D1236"/>
    <mergeCell ref="C1237:D1237"/>
    <mergeCell ref="C1228:D1228"/>
    <mergeCell ref="C1229:D1229"/>
    <mergeCell ref="C1230:K1230"/>
    <mergeCell ref="C1231:D1231"/>
    <mergeCell ref="C1232:D1232"/>
    <mergeCell ref="C1223:D1223"/>
    <mergeCell ref="C1224:K1224"/>
    <mergeCell ref="C1225:D1225"/>
    <mergeCell ref="C1226:K1226"/>
    <mergeCell ref="C1227:D1227"/>
    <mergeCell ref="C1217:D1217"/>
    <mergeCell ref="C1219:K1219"/>
    <mergeCell ref="C1220:D1220"/>
    <mergeCell ref="C1221:D1221"/>
    <mergeCell ref="C1222:K1222"/>
    <mergeCell ref="C1212:K1212"/>
    <mergeCell ref="C1213:D1213"/>
    <mergeCell ref="C1214:D1214"/>
    <mergeCell ref="C1215:K1215"/>
    <mergeCell ref="C1216:D1216"/>
    <mergeCell ref="C1204:D1204"/>
    <mergeCell ref="C1206:K1206"/>
    <mergeCell ref="C1207:D1207"/>
    <mergeCell ref="C1208:D1208"/>
    <mergeCell ref="C1209:D1209"/>
    <mergeCell ref="C1198:D1198"/>
    <mergeCell ref="C1199:K1199"/>
    <mergeCell ref="C1201:K1201"/>
    <mergeCell ref="C1202:D1202"/>
    <mergeCell ref="C1203:K1203"/>
    <mergeCell ref="C1191:K1191"/>
    <mergeCell ref="C1193:D1193"/>
    <mergeCell ref="C1194:D1194"/>
    <mergeCell ref="C1196:K1196"/>
    <mergeCell ref="C1197:D1197"/>
    <mergeCell ref="C1186:K1186"/>
    <mergeCell ref="C1187:K1187"/>
    <mergeCell ref="C1188:D1188"/>
    <mergeCell ref="C1189:K1189"/>
    <mergeCell ref="C1190:D1190"/>
    <mergeCell ref="C1181:D1181"/>
    <mergeCell ref="C1182:D1182"/>
    <mergeCell ref="C1183:D1183"/>
    <mergeCell ref="C1184:D1184"/>
    <mergeCell ref="C1185:D1185"/>
    <mergeCell ref="C1174:D1174"/>
    <mergeCell ref="C1176:K1176"/>
    <mergeCell ref="C1177:D1177"/>
    <mergeCell ref="C1179:D1179"/>
    <mergeCell ref="C1180:D1180"/>
    <mergeCell ref="C1169:D1169"/>
    <mergeCell ref="C1170:K1170"/>
    <mergeCell ref="C1171:D1171"/>
    <mergeCell ref="C1172:K1172"/>
    <mergeCell ref="C1173:D1173"/>
    <mergeCell ref="C1164:D1164"/>
    <mergeCell ref="C1165:D1165"/>
    <mergeCell ref="C1166:K1166"/>
    <mergeCell ref="C1167:D1167"/>
    <mergeCell ref="C1168:D1168"/>
    <mergeCell ref="C1159:D1159"/>
    <mergeCell ref="C1160:K1160"/>
    <mergeCell ref="C1161:D1161"/>
    <mergeCell ref="C1162:K1162"/>
    <mergeCell ref="C1163:D1163"/>
    <mergeCell ref="C1154:K1154"/>
    <mergeCell ref="C1155:D1155"/>
    <mergeCell ref="C1156:D1156"/>
    <mergeCell ref="C1157:D1157"/>
    <mergeCell ref="C1158:K1158"/>
    <mergeCell ref="C1149:D1149"/>
    <mergeCell ref="C1150:K1150"/>
    <mergeCell ref="C1151:D1151"/>
    <mergeCell ref="C1152:K1152"/>
    <mergeCell ref="C1153:D1153"/>
    <mergeCell ref="C1144:D1144"/>
    <mergeCell ref="C1145:D1145"/>
    <mergeCell ref="C1146:K1146"/>
    <mergeCell ref="C1147:D1147"/>
    <mergeCell ref="C1148:K1148"/>
    <mergeCell ref="C1139:D1139"/>
    <mergeCell ref="C1140:K1140"/>
    <mergeCell ref="C1141:D1141"/>
    <mergeCell ref="C1142:D1142"/>
    <mergeCell ref="C1143:K1143"/>
    <mergeCell ref="C1133:D1133"/>
    <mergeCell ref="C1134:K1134"/>
    <mergeCell ref="C1135:D1135"/>
    <mergeCell ref="C1137:K1137"/>
    <mergeCell ref="C1138:D1138"/>
    <mergeCell ref="C1128:D1128"/>
    <mergeCell ref="C1129:K1129"/>
    <mergeCell ref="C1130:K1130"/>
    <mergeCell ref="C1131:D1131"/>
    <mergeCell ref="C1132:D1132"/>
    <mergeCell ref="C1123:K1123"/>
    <mergeCell ref="C1124:D1124"/>
    <mergeCell ref="C1125:K1125"/>
    <mergeCell ref="C1126:D1126"/>
    <mergeCell ref="C1127:D1127"/>
    <mergeCell ref="C1109:K1109"/>
    <mergeCell ref="C1110:D1110"/>
    <mergeCell ref="C1111:D1111"/>
    <mergeCell ref="C1115:D1115"/>
    <mergeCell ref="C1119:D1119"/>
    <mergeCell ref="C1103:D1103"/>
    <mergeCell ref="C1105:D1105"/>
    <mergeCell ref="C1106:K1106"/>
    <mergeCell ref="C1107:D1107"/>
    <mergeCell ref="C1108:K1108"/>
    <mergeCell ref="C1089:K1089"/>
    <mergeCell ref="C1093:D1093"/>
    <mergeCell ref="C1094:D1094"/>
    <mergeCell ref="C1101:K1101"/>
    <mergeCell ref="C1102:D1102"/>
    <mergeCell ref="C1079:D1079"/>
    <mergeCell ref="C1082:D1082"/>
    <mergeCell ref="C1086:K1086"/>
    <mergeCell ref="C1087:D1087"/>
    <mergeCell ref="C1088:D1088"/>
    <mergeCell ref="C1066:D1066"/>
    <mergeCell ref="C1073:K1073"/>
    <mergeCell ref="C1074:D1074"/>
    <mergeCell ref="C1077:K1077"/>
    <mergeCell ref="C1078:D1078"/>
    <mergeCell ref="C1054:D1054"/>
    <mergeCell ref="C1056:D1056"/>
    <mergeCell ref="C1057:D1057"/>
    <mergeCell ref="C1061:D1061"/>
    <mergeCell ref="C1065:K1065"/>
    <mergeCell ref="C1047:D1047"/>
    <mergeCell ref="C1048:D1048"/>
    <mergeCell ref="C1049:D1049"/>
    <mergeCell ref="C1050:D1050"/>
    <mergeCell ref="C1052:D1052"/>
    <mergeCell ref="C1041:K1041"/>
    <mergeCell ref="C1042:D1042"/>
    <mergeCell ref="C1043:D1043"/>
    <mergeCell ref="C1045:D1045"/>
    <mergeCell ref="C1046:D1046"/>
    <mergeCell ref="C1036:K1036"/>
    <mergeCell ref="C1037:D1037"/>
    <mergeCell ref="C1038:K1038"/>
    <mergeCell ref="C1039:D1039"/>
    <mergeCell ref="C1040:D1040"/>
    <mergeCell ref="C1023:D1023"/>
    <mergeCell ref="C1026:D1026"/>
    <mergeCell ref="C1029:D1029"/>
    <mergeCell ref="C1032:D1032"/>
    <mergeCell ref="C1035:D1035"/>
    <mergeCell ref="C1004:K1004"/>
    <mergeCell ref="C1009:D1009"/>
    <mergeCell ref="C1010:D1010"/>
    <mergeCell ref="C1019:D1019"/>
    <mergeCell ref="C1020:D1020"/>
    <mergeCell ref="C993:K993"/>
    <mergeCell ref="C994:D994"/>
    <mergeCell ref="C998:D998"/>
    <mergeCell ref="C1002:K1002"/>
    <mergeCell ref="C1003:D1003"/>
    <mergeCell ref="C982:D982"/>
    <mergeCell ref="C983:K983"/>
    <mergeCell ref="C984:D984"/>
    <mergeCell ref="C988:K988"/>
    <mergeCell ref="C989:D989"/>
    <mergeCell ref="C976:D976"/>
    <mergeCell ref="C977:K977"/>
    <mergeCell ref="C978:D978"/>
    <mergeCell ref="C979:D979"/>
    <mergeCell ref="C980:D980"/>
    <mergeCell ref="C969:K969"/>
    <mergeCell ref="C970:D970"/>
    <mergeCell ref="C972:K972"/>
    <mergeCell ref="C973:D973"/>
    <mergeCell ref="C975:K975"/>
    <mergeCell ref="C961:D961"/>
    <mergeCell ref="C964:K964"/>
    <mergeCell ref="C965:D965"/>
    <mergeCell ref="C966:D966"/>
    <mergeCell ref="C967:D967"/>
    <mergeCell ref="C953:K953"/>
    <mergeCell ref="C954:D954"/>
    <mergeCell ref="C956:K956"/>
    <mergeCell ref="C957:D957"/>
    <mergeCell ref="C958:D958"/>
    <mergeCell ref="C944:D944"/>
    <mergeCell ref="C946:D946"/>
    <mergeCell ref="C947:D947"/>
    <mergeCell ref="C950:K950"/>
    <mergeCell ref="C951:D951"/>
    <mergeCell ref="C929:D929"/>
    <mergeCell ref="C931:D931"/>
    <mergeCell ref="C932:D932"/>
    <mergeCell ref="C937:D937"/>
    <mergeCell ref="C940:D940"/>
    <mergeCell ref="C920:D920"/>
    <mergeCell ref="C921:D921"/>
    <mergeCell ref="C922:K922"/>
    <mergeCell ref="C923:D923"/>
    <mergeCell ref="C926:D926"/>
    <mergeCell ref="C911:K911"/>
    <mergeCell ref="C912:D912"/>
    <mergeCell ref="C914:D914"/>
    <mergeCell ref="C916:D916"/>
    <mergeCell ref="C919:K919"/>
    <mergeCell ref="C899:D899"/>
    <mergeCell ref="C904:D904"/>
    <mergeCell ref="C906:D906"/>
    <mergeCell ref="C909:D909"/>
    <mergeCell ref="C910:D910"/>
    <mergeCell ref="C891:D891"/>
    <mergeCell ref="C892:D892"/>
    <mergeCell ref="C893:D893"/>
    <mergeCell ref="C894:D894"/>
    <mergeCell ref="C897:D897"/>
    <mergeCell ref="C886:K886"/>
    <mergeCell ref="C887:D887"/>
    <mergeCell ref="C888:D888"/>
    <mergeCell ref="C889:K889"/>
    <mergeCell ref="C890:K890"/>
    <mergeCell ref="C878:D878"/>
    <mergeCell ref="C879:D879"/>
    <mergeCell ref="C880:K880"/>
    <mergeCell ref="C882:D882"/>
    <mergeCell ref="C885:D885"/>
    <mergeCell ref="C868:K868"/>
    <mergeCell ref="C870:D870"/>
    <mergeCell ref="C871:D871"/>
    <mergeCell ref="C874:D874"/>
    <mergeCell ref="C877:D877"/>
    <mergeCell ref="C849:K849"/>
    <mergeCell ref="C864:D864"/>
    <mergeCell ref="C865:K865"/>
    <mergeCell ref="C866:D866"/>
    <mergeCell ref="C867:D867"/>
    <mergeCell ref="C843:D843"/>
    <mergeCell ref="C844:K844"/>
    <mergeCell ref="C846:D846"/>
    <mergeCell ref="C847:D847"/>
    <mergeCell ref="C848:D848"/>
    <mergeCell ref="C833:D833"/>
    <mergeCell ref="C836:D836"/>
    <mergeCell ref="C839:D839"/>
    <mergeCell ref="C840:K840"/>
    <mergeCell ref="C841:D841"/>
    <mergeCell ref="C828:D828"/>
    <mergeCell ref="C829:D829"/>
    <mergeCell ref="C830:D830"/>
    <mergeCell ref="C831:D831"/>
    <mergeCell ref="C832:D832"/>
    <mergeCell ref="C822:D822"/>
    <mergeCell ref="C823:D823"/>
    <mergeCell ref="C825:D825"/>
    <mergeCell ref="C826:D826"/>
    <mergeCell ref="C827:D827"/>
    <mergeCell ref="C817:D817"/>
    <mergeCell ref="C818:D818"/>
    <mergeCell ref="C819:D819"/>
    <mergeCell ref="C820:D820"/>
    <mergeCell ref="C821:D821"/>
    <mergeCell ref="C812:D812"/>
    <mergeCell ref="C813:D813"/>
    <mergeCell ref="C814:D814"/>
    <mergeCell ref="C815:D815"/>
    <mergeCell ref="C816:D816"/>
    <mergeCell ref="C806:D806"/>
    <mergeCell ref="C807:D807"/>
    <mergeCell ref="C808:D808"/>
    <mergeCell ref="C809:D809"/>
    <mergeCell ref="C811:K811"/>
    <mergeCell ref="C801:D801"/>
    <mergeCell ref="C802:D802"/>
    <mergeCell ref="C803:D803"/>
    <mergeCell ref="C804:D804"/>
    <mergeCell ref="C805:D805"/>
    <mergeCell ref="C796:D796"/>
    <mergeCell ref="C797:D797"/>
    <mergeCell ref="C798:D798"/>
    <mergeCell ref="C799:D799"/>
    <mergeCell ref="C800:D800"/>
    <mergeCell ref="C791:D791"/>
    <mergeCell ref="C792:D792"/>
    <mergeCell ref="C793:D793"/>
    <mergeCell ref="C794:D794"/>
    <mergeCell ref="C795:D795"/>
    <mergeCell ref="C786:D786"/>
    <mergeCell ref="C787:D787"/>
    <mergeCell ref="C788:K788"/>
    <mergeCell ref="C789:K789"/>
    <mergeCell ref="C790:D790"/>
    <mergeCell ref="C776:D776"/>
    <mergeCell ref="C778:D778"/>
    <mergeCell ref="C780:D780"/>
    <mergeCell ref="C781:K781"/>
    <mergeCell ref="C782:D782"/>
    <mergeCell ref="C770:D770"/>
    <mergeCell ref="C771:D771"/>
    <mergeCell ref="C772:D772"/>
    <mergeCell ref="C773:D773"/>
    <mergeCell ref="C774:D774"/>
    <mergeCell ref="C762:D762"/>
    <mergeCell ref="C764:D764"/>
    <mergeCell ref="C765:D765"/>
    <mergeCell ref="C768:D768"/>
    <mergeCell ref="C769:D769"/>
    <mergeCell ref="C756:K756"/>
    <mergeCell ref="C757:D757"/>
    <mergeCell ref="C758:D758"/>
    <mergeCell ref="C760:D760"/>
    <mergeCell ref="C761:D761"/>
    <mergeCell ref="C729:D729"/>
    <mergeCell ref="C732:D732"/>
    <mergeCell ref="C737:D737"/>
    <mergeCell ref="C740:D740"/>
    <mergeCell ref="C741:D741"/>
    <mergeCell ref="C717:D717"/>
    <mergeCell ref="C720:D720"/>
    <mergeCell ref="C721:K721"/>
    <mergeCell ref="C723:D723"/>
    <mergeCell ref="C725:D725"/>
    <mergeCell ref="C710:D710"/>
    <mergeCell ref="C711:K711"/>
    <mergeCell ref="C712:D712"/>
    <mergeCell ref="C713:D713"/>
    <mergeCell ref="C715:D715"/>
    <mergeCell ref="C702:D702"/>
    <mergeCell ref="C703:D703"/>
    <mergeCell ref="C704:K704"/>
    <mergeCell ref="C706:D706"/>
    <mergeCell ref="C709:K709"/>
    <mergeCell ref="C694:K694"/>
    <mergeCell ref="C695:D695"/>
    <mergeCell ref="C697:K697"/>
    <mergeCell ref="C698:D698"/>
    <mergeCell ref="C699:K699"/>
    <mergeCell ref="C684:D684"/>
    <mergeCell ref="C685:D685"/>
    <mergeCell ref="C688:D688"/>
    <mergeCell ref="C689:K689"/>
    <mergeCell ref="C692:D692"/>
    <mergeCell ref="C676:K676"/>
    <mergeCell ref="C677:D677"/>
    <mergeCell ref="C679:K679"/>
    <mergeCell ref="C680:D680"/>
    <mergeCell ref="C681:D681"/>
    <mergeCell ref="C665:D665"/>
    <mergeCell ref="C667:K667"/>
    <mergeCell ref="C668:D668"/>
    <mergeCell ref="C669:D669"/>
    <mergeCell ref="C673:D673"/>
    <mergeCell ref="C653:D653"/>
    <mergeCell ref="C654:D654"/>
    <mergeCell ref="C656:D656"/>
    <mergeCell ref="C657:D657"/>
    <mergeCell ref="C658:D658"/>
    <mergeCell ref="C633:D633"/>
    <mergeCell ref="C635:D635"/>
    <mergeCell ref="C636:D636"/>
    <mergeCell ref="C637:D637"/>
    <mergeCell ref="C645:D645"/>
    <mergeCell ref="C622:D622"/>
    <mergeCell ref="C623:D623"/>
    <mergeCell ref="C626:D626"/>
    <mergeCell ref="C629:D629"/>
    <mergeCell ref="C630:D630"/>
    <mergeCell ref="C616:D616"/>
    <mergeCell ref="C617:D617"/>
    <mergeCell ref="C618:K618"/>
    <mergeCell ref="C620:D620"/>
    <mergeCell ref="C621:D621"/>
    <mergeCell ref="C606:D606"/>
    <mergeCell ref="C607:D607"/>
    <mergeCell ref="C608:K608"/>
    <mergeCell ref="C613:D613"/>
    <mergeCell ref="C614:D614"/>
    <mergeCell ref="C601:D601"/>
    <mergeCell ref="C602:D602"/>
    <mergeCell ref="C603:D603"/>
    <mergeCell ref="C604:D604"/>
    <mergeCell ref="C605:D605"/>
    <mergeCell ref="C591:K591"/>
    <mergeCell ref="C592:D592"/>
    <mergeCell ref="C595:D595"/>
    <mergeCell ref="C597:D597"/>
    <mergeCell ref="C600:K600"/>
    <mergeCell ref="C581:D581"/>
    <mergeCell ref="C584:K584"/>
    <mergeCell ref="C585:D585"/>
    <mergeCell ref="C587:D587"/>
    <mergeCell ref="C589:D589"/>
    <mergeCell ref="C573:D573"/>
    <mergeCell ref="C576:K576"/>
    <mergeCell ref="C577:D577"/>
    <mergeCell ref="C578:D578"/>
    <mergeCell ref="C580:K580"/>
    <mergeCell ref="C564:D564"/>
    <mergeCell ref="C566:K566"/>
    <mergeCell ref="C567:D567"/>
    <mergeCell ref="C569:D569"/>
    <mergeCell ref="C572:K572"/>
    <mergeCell ref="C557:K557"/>
    <mergeCell ref="C558:D558"/>
    <mergeCell ref="C559:D559"/>
    <mergeCell ref="C561:D561"/>
    <mergeCell ref="C563:K563"/>
    <mergeCell ref="C552:K552"/>
    <mergeCell ref="C553:K553"/>
    <mergeCell ref="C554:D554"/>
    <mergeCell ref="C555:D555"/>
    <mergeCell ref="C556:K556"/>
    <mergeCell ref="C544:D544"/>
    <mergeCell ref="C545:D545"/>
    <mergeCell ref="C549:K549"/>
    <mergeCell ref="C550:D550"/>
    <mergeCell ref="C551:D551"/>
    <mergeCell ref="C535:D535"/>
    <mergeCell ref="C536:D536"/>
    <mergeCell ref="C537:D537"/>
    <mergeCell ref="C540:D540"/>
    <mergeCell ref="C543:K543"/>
    <mergeCell ref="C529:K529"/>
    <mergeCell ref="C530:D530"/>
    <mergeCell ref="C531:K531"/>
    <mergeCell ref="C532:D532"/>
    <mergeCell ref="C534:K534"/>
    <mergeCell ref="C523:D523"/>
    <mergeCell ref="C525:D525"/>
    <mergeCell ref="C526:D526"/>
    <mergeCell ref="C527:D527"/>
    <mergeCell ref="C528:D528"/>
    <mergeCell ref="C514:K514"/>
    <mergeCell ref="C518:K518"/>
    <mergeCell ref="C519:D519"/>
    <mergeCell ref="C520:D520"/>
    <mergeCell ref="C522:D522"/>
    <mergeCell ref="C507:D507"/>
    <mergeCell ref="C508:D508"/>
    <mergeCell ref="C511:D511"/>
    <mergeCell ref="C512:D512"/>
    <mergeCell ref="C513:D513"/>
    <mergeCell ref="C500:K500"/>
    <mergeCell ref="C501:D501"/>
    <mergeCell ref="C502:K502"/>
    <mergeCell ref="C503:K503"/>
    <mergeCell ref="C504:D504"/>
    <mergeCell ref="C493:D493"/>
    <mergeCell ref="C496:K496"/>
    <mergeCell ref="C497:D497"/>
    <mergeCell ref="C498:K498"/>
    <mergeCell ref="C499:D499"/>
    <mergeCell ref="C487:K487"/>
    <mergeCell ref="C488:K488"/>
    <mergeCell ref="C489:D489"/>
    <mergeCell ref="C490:K490"/>
    <mergeCell ref="C491:D491"/>
    <mergeCell ref="C482:D482"/>
    <mergeCell ref="C483:D483"/>
    <mergeCell ref="C484:K484"/>
    <mergeCell ref="C485:K485"/>
    <mergeCell ref="C486:D486"/>
    <mergeCell ref="C475:D475"/>
    <mergeCell ref="C476:D476"/>
    <mergeCell ref="C477:K477"/>
    <mergeCell ref="C480:D480"/>
    <mergeCell ref="C481:K481"/>
    <mergeCell ref="C470:D470"/>
    <mergeCell ref="C471:D471"/>
    <mergeCell ref="C472:K472"/>
    <mergeCell ref="C473:D473"/>
    <mergeCell ref="C474:K474"/>
    <mergeCell ref="C465:K465"/>
    <mergeCell ref="C466:K466"/>
    <mergeCell ref="C467:D467"/>
    <mergeCell ref="C468:D468"/>
    <mergeCell ref="C469:K469"/>
    <mergeCell ref="C449:D449"/>
    <mergeCell ref="C455:D455"/>
    <mergeCell ref="C458:D458"/>
    <mergeCell ref="C461:D461"/>
    <mergeCell ref="C464:D464"/>
    <mergeCell ref="C435:K435"/>
    <mergeCell ref="C437:D437"/>
    <mergeCell ref="C438:D438"/>
    <mergeCell ref="C444:K444"/>
    <mergeCell ref="C445:D445"/>
    <mergeCell ref="C426:D426"/>
    <mergeCell ref="C430:K430"/>
    <mergeCell ref="C431:D431"/>
    <mergeCell ref="C433:K433"/>
    <mergeCell ref="C434:D434"/>
    <mergeCell ref="C413:D413"/>
    <mergeCell ref="C417:K417"/>
    <mergeCell ref="C418:D418"/>
    <mergeCell ref="C422:D422"/>
    <mergeCell ref="C425:K425"/>
    <mergeCell ref="C405:K405"/>
    <mergeCell ref="C406:K406"/>
    <mergeCell ref="C407:D407"/>
    <mergeCell ref="C408:D408"/>
    <mergeCell ref="C412:K412"/>
    <mergeCell ref="C394:D394"/>
    <mergeCell ref="C395:D395"/>
    <mergeCell ref="C402:K402"/>
    <mergeCell ref="C403:D403"/>
    <mergeCell ref="C404:D404"/>
    <mergeCell ref="C387:K387"/>
    <mergeCell ref="C389:K389"/>
    <mergeCell ref="C390:D390"/>
    <mergeCell ref="C391:D391"/>
    <mergeCell ref="C392:K392"/>
    <mergeCell ref="C374:D374"/>
    <mergeCell ref="C379:D379"/>
    <mergeCell ref="C384:K384"/>
    <mergeCell ref="C385:D385"/>
    <mergeCell ref="C386:D386"/>
    <mergeCell ref="C369:D369"/>
    <mergeCell ref="C370:D370"/>
    <mergeCell ref="C371:D371"/>
    <mergeCell ref="C372:D372"/>
    <mergeCell ref="C373:D373"/>
    <mergeCell ref="C363:D363"/>
    <mergeCell ref="C364:K364"/>
    <mergeCell ref="C365:D365"/>
    <mergeCell ref="C366:K366"/>
    <mergeCell ref="C367:D367"/>
    <mergeCell ref="C358:D358"/>
    <mergeCell ref="C359:D359"/>
    <mergeCell ref="C360:D360"/>
    <mergeCell ref="C361:D361"/>
    <mergeCell ref="C362:D362"/>
    <mergeCell ref="C353:K353"/>
    <mergeCell ref="C354:D354"/>
    <mergeCell ref="C355:D355"/>
    <mergeCell ref="C356:K356"/>
    <mergeCell ref="C357:D357"/>
    <mergeCell ref="C346:D346"/>
    <mergeCell ref="C347:D347"/>
    <mergeCell ref="C348:D348"/>
    <mergeCell ref="C350:D350"/>
    <mergeCell ref="C352:D352"/>
    <mergeCell ref="C340:D340"/>
    <mergeCell ref="C342:K342"/>
    <mergeCell ref="C343:D343"/>
    <mergeCell ref="C344:D344"/>
    <mergeCell ref="C345:D345"/>
    <mergeCell ref="C332:D332"/>
    <mergeCell ref="C334:D334"/>
    <mergeCell ref="C335:K335"/>
    <mergeCell ref="C337:D337"/>
    <mergeCell ref="C339:D339"/>
    <mergeCell ref="C325:K325"/>
    <mergeCell ref="C326:D326"/>
    <mergeCell ref="C328:D328"/>
    <mergeCell ref="C329:D329"/>
    <mergeCell ref="C331:K331"/>
    <mergeCell ref="C319:D319"/>
    <mergeCell ref="C320:D320"/>
    <mergeCell ref="C321:D321"/>
    <mergeCell ref="C323:K323"/>
    <mergeCell ref="C324:K324"/>
    <mergeCell ref="C314:K314"/>
    <mergeCell ref="C315:D315"/>
    <mergeCell ref="C316:K316"/>
    <mergeCell ref="C317:D317"/>
    <mergeCell ref="C318:D318"/>
    <mergeCell ref="C308:D308"/>
    <mergeCell ref="C309:D309"/>
    <mergeCell ref="C311:K311"/>
    <mergeCell ref="C312:D312"/>
    <mergeCell ref="C313:D313"/>
    <mergeCell ref="C301:D301"/>
    <mergeCell ref="C303:D303"/>
    <mergeCell ref="C305:K305"/>
    <mergeCell ref="C306:D306"/>
    <mergeCell ref="C307:D307"/>
    <mergeCell ref="C296:K296"/>
    <mergeCell ref="C297:K297"/>
    <mergeCell ref="C298:D298"/>
    <mergeCell ref="C299:K299"/>
    <mergeCell ref="C300:D300"/>
    <mergeCell ref="C291:K291"/>
    <mergeCell ref="C292:K292"/>
    <mergeCell ref="C293:D293"/>
    <mergeCell ref="C294:K294"/>
    <mergeCell ref="C295:D295"/>
    <mergeCell ref="C286:K286"/>
    <mergeCell ref="C287:D287"/>
    <mergeCell ref="C288:K288"/>
    <mergeCell ref="C289:K289"/>
    <mergeCell ref="C290:D290"/>
    <mergeCell ref="C277:K277"/>
    <mergeCell ref="C278:D278"/>
    <mergeCell ref="C281:D281"/>
    <mergeCell ref="C284:D284"/>
    <mergeCell ref="C285:D285"/>
    <mergeCell ref="C271:D271"/>
    <mergeCell ref="C272:K272"/>
    <mergeCell ref="C273:D273"/>
    <mergeCell ref="C274:K274"/>
    <mergeCell ref="C275:D275"/>
    <mergeCell ref="C265:D265"/>
    <mergeCell ref="C266:K266"/>
    <mergeCell ref="C267:D267"/>
    <mergeCell ref="C268:D268"/>
    <mergeCell ref="C270:K270"/>
    <mergeCell ref="C260:D260"/>
    <mergeCell ref="C261:D261"/>
    <mergeCell ref="C262:K262"/>
    <mergeCell ref="C263:D263"/>
    <mergeCell ref="C264:K264"/>
    <mergeCell ref="C255:K255"/>
    <mergeCell ref="C256:D256"/>
    <mergeCell ref="C257:K257"/>
    <mergeCell ref="C258:D258"/>
    <mergeCell ref="C259:K259"/>
    <mergeCell ref="C249:D249"/>
    <mergeCell ref="C250:K250"/>
    <mergeCell ref="C251:D251"/>
    <mergeCell ref="C252:D252"/>
    <mergeCell ref="C253:D253"/>
    <mergeCell ref="C244:K244"/>
    <mergeCell ref="C245:D245"/>
    <mergeCell ref="C246:K246"/>
    <mergeCell ref="C247:D247"/>
    <mergeCell ref="C248:K248"/>
    <mergeCell ref="C236:D236"/>
    <mergeCell ref="C240:K240"/>
    <mergeCell ref="C241:D241"/>
    <mergeCell ref="C242:K242"/>
    <mergeCell ref="C243:D243"/>
    <mergeCell ref="C231:D231"/>
    <mergeCell ref="C232:D232"/>
    <mergeCell ref="C233:K233"/>
    <mergeCell ref="C234:K234"/>
    <mergeCell ref="C235:D235"/>
    <mergeCell ref="C223:D223"/>
    <mergeCell ref="C224:D224"/>
    <mergeCell ref="C225:D225"/>
    <mergeCell ref="C228:D228"/>
    <mergeCell ref="C229:D229"/>
    <mergeCell ref="C217:K217"/>
    <mergeCell ref="C218:D218"/>
    <mergeCell ref="C219:D219"/>
    <mergeCell ref="C220:D220"/>
    <mergeCell ref="C222:D222"/>
    <mergeCell ref="C210:K210"/>
    <mergeCell ref="C211:D211"/>
    <mergeCell ref="C212:D212"/>
    <mergeCell ref="C215:K215"/>
    <mergeCell ref="C216:D216"/>
    <mergeCell ref="C203:D203"/>
    <mergeCell ref="C206:K206"/>
    <mergeCell ref="C207:D207"/>
    <mergeCell ref="C208:D208"/>
    <mergeCell ref="C209:D209"/>
    <mergeCell ref="C193:K193"/>
    <mergeCell ref="C194:D194"/>
    <mergeCell ref="C198:K198"/>
    <mergeCell ref="C199:D199"/>
    <mergeCell ref="C202:K202"/>
    <mergeCell ref="C183:D183"/>
    <mergeCell ref="C187:K187"/>
    <mergeCell ref="C188:D188"/>
    <mergeCell ref="C190:K190"/>
    <mergeCell ref="C191:D191"/>
    <mergeCell ref="C174:K174"/>
    <mergeCell ref="C175:D175"/>
    <mergeCell ref="C178:K178"/>
    <mergeCell ref="C179:D179"/>
    <mergeCell ref="C182:K182"/>
    <mergeCell ref="C163:D163"/>
    <mergeCell ref="C164:K164"/>
    <mergeCell ref="C168:K168"/>
    <mergeCell ref="C169:D169"/>
    <mergeCell ref="C170:D170"/>
    <mergeCell ref="C157:D157"/>
    <mergeCell ref="C158:K158"/>
    <mergeCell ref="C159:D159"/>
    <mergeCell ref="C160:D160"/>
    <mergeCell ref="C162:K162"/>
    <mergeCell ref="C151:D151"/>
    <mergeCell ref="C152:D152"/>
    <mergeCell ref="C154:K154"/>
    <mergeCell ref="C155:D155"/>
    <mergeCell ref="C156:K156"/>
    <mergeCell ref="C146:K146"/>
    <mergeCell ref="C147:D147"/>
    <mergeCell ref="C148:K148"/>
    <mergeCell ref="C149:D149"/>
    <mergeCell ref="C150:K150"/>
    <mergeCell ref="C141:D141"/>
    <mergeCell ref="C142:D142"/>
    <mergeCell ref="C143:K143"/>
    <mergeCell ref="C144:K144"/>
    <mergeCell ref="C145:D145"/>
    <mergeCell ref="C136:K136"/>
    <mergeCell ref="C137:D137"/>
    <mergeCell ref="C138:K138"/>
    <mergeCell ref="C139:D139"/>
    <mergeCell ref="C140:K140"/>
    <mergeCell ref="C129:K129"/>
    <mergeCell ref="C132:K132"/>
    <mergeCell ref="C133:D133"/>
    <mergeCell ref="C134:K134"/>
    <mergeCell ref="C135:D135"/>
    <mergeCell ref="C122:D122"/>
    <mergeCell ref="C124:D124"/>
    <mergeCell ref="C125:K125"/>
    <mergeCell ref="C127:D127"/>
    <mergeCell ref="C128:D128"/>
    <mergeCell ref="C110:K110"/>
    <mergeCell ref="C111:D111"/>
    <mergeCell ref="C112:D112"/>
    <mergeCell ref="C117:D117"/>
    <mergeCell ref="C121:D121"/>
    <mergeCell ref="C102:D102"/>
    <mergeCell ref="C103:D103"/>
    <mergeCell ref="C107:D107"/>
    <mergeCell ref="C108:D108"/>
    <mergeCell ref="C109:K109"/>
    <mergeCell ref="C94:D94"/>
    <mergeCell ref="C96:D96"/>
    <mergeCell ref="C97:D97"/>
    <mergeCell ref="C98:K98"/>
    <mergeCell ref="C100:D100"/>
    <mergeCell ref="C86:D86"/>
    <mergeCell ref="C88:D88"/>
    <mergeCell ref="C89:D89"/>
    <mergeCell ref="C90:D90"/>
    <mergeCell ref="C92:D92"/>
    <mergeCell ref="C79:D79"/>
    <mergeCell ref="C81:K81"/>
    <mergeCell ref="C82:D82"/>
    <mergeCell ref="C83:K83"/>
    <mergeCell ref="C85:D85"/>
    <mergeCell ref="C69:D69"/>
    <mergeCell ref="C72:K72"/>
    <mergeCell ref="C73:D73"/>
    <mergeCell ref="C74:K74"/>
    <mergeCell ref="C78:K78"/>
    <mergeCell ref="C60:D60"/>
    <mergeCell ref="C61:D61"/>
    <mergeCell ref="C64:K64"/>
    <mergeCell ref="C65:D65"/>
    <mergeCell ref="C68:K68"/>
    <mergeCell ref="C54:D54"/>
    <mergeCell ref="C56:D56"/>
    <mergeCell ref="C57:D57"/>
    <mergeCell ref="C58:D58"/>
    <mergeCell ref="C59:K59"/>
    <mergeCell ref="C43:D43"/>
    <mergeCell ref="C44:D44"/>
    <mergeCell ref="C47:K47"/>
    <mergeCell ref="C48:D48"/>
    <mergeCell ref="C53:K53"/>
    <mergeCell ref="C34:D34"/>
    <mergeCell ref="C35:D35"/>
    <mergeCell ref="C36:K36"/>
    <mergeCell ref="C39:K39"/>
    <mergeCell ref="C40:D40"/>
    <mergeCell ref="C24:D24"/>
    <mergeCell ref="C30:K30"/>
    <mergeCell ref="C31:K31"/>
    <mergeCell ref="C32:D32"/>
    <mergeCell ref="C33:K33"/>
    <mergeCell ref="C17:K17"/>
    <mergeCell ref="C18:K18"/>
    <mergeCell ref="C19:K19"/>
    <mergeCell ref="C20:D20"/>
    <mergeCell ref="C23:K23"/>
    <mergeCell ref="C11:D11"/>
    <mergeCell ref="H10:J10"/>
    <mergeCell ref="C12:D12"/>
    <mergeCell ref="C13:D13"/>
    <mergeCell ref="C14:D14"/>
    <mergeCell ref="I2:K3"/>
    <mergeCell ref="I4:K5"/>
    <mergeCell ref="I6:K7"/>
    <mergeCell ref="I8:K9"/>
    <mergeCell ref="C10:D10"/>
    <mergeCell ref="C8:D9"/>
    <mergeCell ref="G2:G3"/>
    <mergeCell ref="G4:G5"/>
    <mergeCell ref="G6:G7"/>
    <mergeCell ref="G8:G9"/>
    <mergeCell ref="A1:K1"/>
    <mergeCell ref="A2:B3"/>
    <mergeCell ref="A4:B5"/>
    <mergeCell ref="A6:B7"/>
    <mergeCell ref="A8:B9"/>
    <mergeCell ref="E2:F3"/>
    <mergeCell ref="E4:F5"/>
    <mergeCell ref="E6:F7"/>
    <mergeCell ref="E8:F9"/>
    <mergeCell ref="H2:H3"/>
    <mergeCell ref="H4:H5"/>
    <mergeCell ref="H6:H7"/>
    <mergeCell ref="H8:H9"/>
    <mergeCell ref="C2:D3"/>
    <mergeCell ref="C4:D5"/>
    <mergeCell ref="C6:D7"/>
  </mergeCells>
  <pageMargins left="0.393999993801117" right="0.393999993801117" top="0.59100002050399802" bottom="0.59100002050399802" header="0" footer="0"/>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workbookViewId="0">
      <selection activeCell="A37" sqref="A37:I37"/>
    </sheetView>
  </sheetViews>
  <sheetFormatPr defaultColWidth="12.109375" defaultRowHeight="15" customHeight="1" x14ac:dyDescent="0.3"/>
  <cols>
    <col min="1" max="1" width="9.109375" customWidth="1"/>
    <col min="2" max="2" width="12.88671875" customWidth="1"/>
    <col min="3" max="3" width="27.109375" customWidth="1"/>
    <col min="4" max="4" width="10" customWidth="1"/>
    <col min="5" max="5" width="14" customWidth="1"/>
    <col min="6" max="6" width="27.109375" customWidth="1"/>
    <col min="7" max="7" width="9.109375" customWidth="1"/>
    <col min="8" max="8" width="12.88671875" customWidth="1"/>
    <col min="9" max="9" width="27.109375" customWidth="1"/>
  </cols>
  <sheetData>
    <row r="1" spans="1:9" ht="54.75" customHeight="1" x14ac:dyDescent="0.3">
      <c r="A1" s="102" t="s">
        <v>2402</v>
      </c>
      <c r="B1" s="66"/>
      <c r="C1" s="66"/>
      <c r="D1" s="66"/>
      <c r="E1" s="66"/>
      <c r="F1" s="66"/>
      <c r="G1" s="66"/>
      <c r="H1" s="66"/>
      <c r="I1" s="66"/>
    </row>
    <row r="2" spans="1:9" ht="14.4" x14ac:dyDescent="0.3">
      <c r="A2" s="67" t="s">
        <v>1</v>
      </c>
      <c r="B2" s="68"/>
      <c r="C2" s="76" t="str">
        <f>'Stavební rozpočet'!C2</f>
        <v xml:space="preserve">Regenerace návsi Ketkovice - 1. ETAPA	</v>
      </c>
      <c r="D2" s="77"/>
      <c r="E2" s="74" t="s">
        <v>5</v>
      </c>
      <c r="F2" s="74" t="str">
        <f>'Stavební rozpočet'!I2</f>
        <v>Obec Ketkovice, Ketkovice 87, 664 91 Ivančice</v>
      </c>
      <c r="G2" s="68"/>
      <c r="H2" s="74" t="s">
        <v>2403</v>
      </c>
      <c r="I2" s="79" t="s">
        <v>2404</v>
      </c>
    </row>
    <row r="3" spans="1:9" ht="15" customHeight="1" x14ac:dyDescent="0.3">
      <c r="A3" s="69"/>
      <c r="B3" s="70"/>
      <c r="C3" s="78"/>
      <c r="D3" s="78"/>
      <c r="E3" s="70"/>
      <c r="F3" s="70"/>
      <c r="G3" s="70"/>
      <c r="H3" s="70"/>
      <c r="I3" s="80"/>
    </row>
    <row r="4" spans="1:9" ht="14.4" x14ac:dyDescent="0.3">
      <c r="A4" s="71" t="s">
        <v>7</v>
      </c>
      <c r="B4" s="70"/>
      <c r="C4" s="75" t="str">
        <f>'Stavební rozpočet'!C4</f>
        <v xml:space="preserve">veřejné prostranství	</v>
      </c>
      <c r="D4" s="70"/>
      <c r="E4" s="75" t="s">
        <v>11</v>
      </c>
      <c r="F4" s="75" t="str">
        <f>'Stavební rozpočet'!I4</f>
        <v>Atelier V8 s.r.o., Vez Zmolách 10, 675 73 Kralice</v>
      </c>
      <c r="G4" s="70"/>
      <c r="H4" s="75" t="s">
        <v>2403</v>
      </c>
      <c r="I4" s="80" t="s">
        <v>2405</v>
      </c>
    </row>
    <row r="5" spans="1:9" ht="15" customHeight="1" x14ac:dyDescent="0.3">
      <c r="A5" s="69"/>
      <c r="B5" s="70"/>
      <c r="C5" s="70"/>
      <c r="D5" s="70"/>
      <c r="E5" s="70"/>
      <c r="F5" s="70"/>
      <c r="G5" s="70"/>
      <c r="H5" s="70"/>
      <c r="I5" s="80"/>
    </row>
    <row r="6" spans="1:9" ht="14.4" x14ac:dyDescent="0.3">
      <c r="A6" s="71" t="s">
        <v>13</v>
      </c>
      <c r="B6" s="70"/>
      <c r="C6" s="75" t="str">
        <f>'Stavební rozpočet'!C6</f>
        <v>Ketkovice</v>
      </c>
      <c r="D6" s="70"/>
      <c r="E6" s="75" t="s">
        <v>16</v>
      </c>
      <c r="F6" s="75" t="str">
        <f>'Stavební rozpočet'!I6</f>
        <v> </v>
      </c>
      <c r="G6" s="70"/>
      <c r="H6" s="75" t="s">
        <v>2403</v>
      </c>
      <c r="I6" s="80" t="s">
        <v>51</v>
      </c>
    </row>
    <row r="7" spans="1:9" ht="15" customHeight="1" x14ac:dyDescent="0.3">
      <c r="A7" s="69"/>
      <c r="B7" s="70"/>
      <c r="C7" s="70"/>
      <c r="D7" s="70"/>
      <c r="E7" s="70"/>
      <c r="F7" s="70"/>
      <c r="G7" s="70"/>
      <c r="H7" s="70"/>
      <c r="I7" s="80"/>
    </row>
    <row r="8" spans="1:9" ht="14.4" x14ac:dyDescent="0.3">
      <c r="A8" s="71" t="s">
        <v>9</v>
      </c>
      <c r="B8" s="70"/>
      <c r="C8" s="75">
        <f>'Stavební rozpočet'!G4</f>
        <v>0</v>
      </c>
      <c r="D8" s="70"/>
      <c r="E8" s="75" t="s">
        <v>15</v>
      </c>
      <c r="F8" s="75" t="str">
        <f>'Stavební rozpočet'!G6</f>
        <v xml:space="preserve"> </v>
      </c>
      <c r="G8" s="70"/>
      <c r="H8" s="70" t="s">
        <v>2406</v>
      </c>
      <c r="I8" s="104">
        <v>501</v>
      </c>
    </row>
    <row r="9" spans="1:9" ht="14.4" x14ac:dyDescent="0.3">
      <c r="A9" s="69"/>
      <c r="B9" s="70"/>
      <c r="C9" s="70"/>
      <c r="D9" s="70"/>
      <c r="E9" s="70"/>
      <c r="F9" s="70"/>
      <c r="G9" s="70"/>
      <c r="H9" s="70"/>
      <c r="I9" s="80"/>
    </row>
    <row r="10" spans="1:9" ht="14.4" x14ac:dyDescent="0.3">
      <c r="A10" s="71" t="s">
        <v>18</v>
      </c>
      <c r="B10" s="70"/>
      <c r="C10" s="75" t="str">
        <f>'Stavební rozpočet'!C8</f>
        <v>823</v>
      </c>
      <c r="D10" s="70"/>
      <c r="E10" s="75" t="s">
        <v>21</v>
      </c>
      <c r="F10" s="75" t="str">
        <f>'Stavební rozpočet'!I8</f>
        <v> </v>
      </c>
      <c r="G10" s="70"/>
      <c r="H10" s="70" t="s">
        <v>2407</v>
      </c>
      <c r="I10" s="105" t="str">
        <f>'Stavební rozpočet'!G8</f>
        <v>06.03.2025</v>
      </c>
    </row>
    <row r="11" spans="1:9" ht="14.4" x14ac:dyDescent="0.3">
      <c r="A11" s="103"/>
      <c r="B11" s="100"/>
      <c r="C11" s="100"/>
      <c r="D11" s="100"/>
      <c r="E11" s="100"/>
      <c r="F11" s="100"/>
      <c r="G11" s="100"/>
      <c r="H11" s="100"/>
      <c r="I11" s="106"/>
    </row>
    <row r="12" spans="1:9" ht="22.8" x14ac:dyDescent="0.3">
      <c r="A12" s="107" t="s">
        <v>2408</v>
      </c>
      <c r="B12" s="107"/>
      <c r="C12" s="107"/>
      <c r="D12" s="107"/>
      <c r="E12" s="107"/>
      <c r="F12" s="107"/>
      <c r="G12" s="107"/>
      <c r="H12" s="107"/>
      <c r="I12" s="107"/>
    </row>
    <row r="13" spans="1:9" ht="26.25" customHeight="1" x14ac:dyDescent="0.3">
      <c r="A13" s="44" t="s">
        <v>2409</v>
      </c>
      <c r="B13" s="108" t="s">
        <v>2410</v>
      </c>
      <c r="C13" s="109"/>
      <c r="D13" s="45" t="s">
        <v>2411</v>
      </c>
      <c r="E13" s="108" t="s">
        <v>2412</v>
      </c>
      <c r="F13" s="109"/>
      <c r="G13" s="45" t="s">
        <v>2413</v>
      </c>
      <c r="H13" s="108" t="s">
        <v>2414</v>
      </c>
      <c r="I13" s="109"/>
    </row>
    <row r="14" spans="1:9" ht="15.6" x14ac:dyDescent="0.3">
      <c r="A14" s="46" t="s">
        <v>2415</v>
      </c>
      <c r="B14" s="47" t="s">
        <v>2416</v>
      </c>
      <c r="C14" s="48">
        <f>SUM('Stavební rozpočet'!AB12:AB1339)</f>
        <v>0</v>
      </c>
      <c r="D14" s="116" t="s">
        <v>2417</v>
      </c>
      <c r="E14" s="117"/>
      <c r="F14" s="48">
        <f>VORN!I15</f>
        <v>0</v>
      </c>
      <c r="G14" s="116" t="s">
        <v>2381</v>
      </c>
      <c r="H14" s="117"/>
      <c r="I14" s="49">
        <f>VORN!I21</f>
        <v>0</v>
      </c>
    </row>
    <row r="15" spans="1:9" ht="15.6" x14ac:dyDescent="0.3">
      <c r="A15" s="50" t="s">
        <v>51</v>
      </c>
      <c r="B15" s="47" t="s">
        <v>36</v>
      </c>
      <c r="C15" s="48">
        <f>SUM('Stavební rozpočet'!AC12:AC1339)</f>
        <v>0</v>
      </c>
      <c r="D15" s="116" t="s">
        <v>2418</v>
      </c>
      <c r="E15" s="117"/>
      <c r="F15" s="48">
        <f>VORN!I16</f>
        <v>0</v>
      </c>
      <c r="G15" s="116" t="s">
        <v>2419</v>
      </c>
      <c r="H15" s="117"/>
      <c r="I15" s="49">
        <f>VORN!I22</f>
        <v>0</v>
      </c>
    </row>
    <row r="16" spans="1:9" ht="15.6" x14ac:dyDescent="0.3">
      <c r="A16" s="46" t="s">
        <v>2420</v>
      </c>
      <c r="B16" s="47" t="s">
        <v>2416</v>
      </c>
      <c r="C16" s="48">
        <f>SUM('Stavební rozpočet'!AD12:AD1339)</f>
        <v>0</v>
      </c>
      <c r="D16" s="116" t="s">
        <v>2421</v>
      </c>
      <c r="E16" s="117"/>
      <c r="F16" s="48">
        <f>VORN!I17</f>
        <v>0</v>
      </c>
      <c r="G16" s="116" t="s">
        <v>2422</v>
      </c>
      <c r="H16" s="117"/>
      <c r="I16" s="49">
        <f>VORN!I23</f>
        <v>0</v>
      </c>
    </row>
    <row r="17" spans="1:9" ht="15.6" x14ac:dyDescent="0.3">
      <c r="A17" s="50" t="s">
        <v>51</v>
      </c>
      <c r="B17" s="47" t="s">
        <v>36</v>
      </c>
      <c r="C17" s="48">
        <f>SUM('Stavební rozpočet'!AE12:AE1339)</f>
        <v>0</v>
      </c>
      <c r="D17" s="116" t="s">
        <v>51</v>
      </c>
      <c r="E17" s="117"/>
      <c r="F17" s="49" t="s">
        <v>51</v>
      </c>
      <c r="G17" s="116" t="s">
        <v>2423</v>
      </c>
      <c r="H17" s="117"/>
      <c r="I17" s="49">
        <f>VORN!I24</f>
        <v>0</v>
      </c>
    </row>
    <row r="18" spans="1:9" ht="15.6" x14ac:dyDescent="0.3">
      <c r="A18" s="46" t="s">
        <v>2424</v>
      </c>
      <c r="B18" s="47" t="s">
        <v>2416</v>
      </c>
      <c r="C18" s="48">
        <f>SUM('Stavební rozpočet'!AF12:AF1339)</f>
        <v>0</v>
      </c>
      <c r="D18" s="116" t="s">
        <v>51</v>
      </c>
      <c r="E18" s="117"/>
      <c r="F18" s="49" t="s">
        <v>51</v>
      </c>
      <c r="G18" s="116" t="s">
        <v>2425</v>
      </c>
      <c r="H18" s="117"/>
      <c r="I18" s="49">
        <f>VORN!I25</f>
        <v>0</v>
      </c>
    </row>
    <row r="19" spans="1:9" ht="15.6" x14ac:dyDescent="0.3">
      <c r="A19" s="50" t="s">
        <v>51</v>
      </c>
      <c r="B19" s="47" t="s">
        <v>36</v>
      </c>
      <c r="C19" s="48">
        <f>SUM('Stavební rozpočet'!AG12:AG1339)</f>
        <v>0</v>
      </c>
      <c r="D19" s="116" t="s">
        <v>51</v>
      </c>
      <c r="E19" s="117"/>
      <c r="F19" s="49" t="s">
        <v>51</v>
      </c>
      <c r="G19" s="116" t="s">
        <v>2426</v>
      </c>
      <c r="H19" s="117"/>
      <c r="I19" s="49">
        <f>VORN!I26</f>
        <v>0</v>
      </c>
    </row>
    <row r="20" spans="1:9" ht="15.6" x14ac:dyDescent="0.3">
      <c r="A20" s="110" t="s">
        <v>1533</v>
      </c>
      <c r="B20" s="111"/>
      <c r="C20" s="48">
        <f>SUM('Stavební rozpočet'!AH12:AH1339)</f>
        <v>0</v>
      </c>
      <c r="D20" s="116" t="s">
        <v>51</v>
      </c>
      <c r="E20" s="117"/>
      <c r="F20" s="49" t="s">
        <v>51</v>
      </c>
      <c r="G20" s="116" t="s">
        <v>51</v>
      </c>
      <c r="H20" s="117"/>
      <c r="I20" s="49" t="s">
        <v>51</v>
      </c>
    </row>
    <row r="21" spans="1:9" ht="15.6" x14ac:dyDescent="0.3">
      <c r="A21" s="112" t="s">
        <v>2427</v>
      </c>
      <c r="B21" s="113"/>
      <c r="C21" s="51">
        <f>SUM('Stavební rozpočet'!Z12:Z1339)</f>
        <v>0</v>
      </c>
      <c r="D21" s="118" t="s">
        <v>51</v>
      </c>
      <c r="E21" s="119"/>
      <c r="F21" s="52" t="s">
        <v>51</v>
      </c>
      <c r="G21" s="118" t="s">
        <v>51</v>
      </c>
      <c r="H21" s="119"/>
      <c r="I21" s="52" t="s">
        <v>51</v>
      </c>
    </row>
    <row r="22" spans="1:9" ht="16.5" customHeight="1" x14ac:dyDescent="0.3">
      <c r="A22" s="114" t="s">
        <v>2428</v>
      </c>
      <c r="B22" s="115"/>
      <c r="C22" s="53">
        <f>ROUND(SUM(C14:C21),1)</f>
        <v>0</v>
      </c>
      <c r="D22" s="120" t="s">
        <v>2429</v>
      </c>
      <c r="E22" s="115"/>
      <c r="F22" s="53">
        <f>SUM(F14:F21)</f>
        <v>0</v>
      </c>
      <c r="G22" s="120" t="s">
        <v>2430</v>
      </c>
      <c r="H22" s="115"/>
      <c r="I22" s="53">
        <f>SUM(I14:I21)</f>
        <v>0</v>
      </c>
    </row>
    <row r="23" spans="1:9" ht="15.6" x14ac:dyDescent="0.3">
      <c r="D23" s="110" t="s">
        <v>2431</v>
      </c>
      <c r="E23" s="111"/>
      <c r="F23" s="54">
        <v>0</v>
      </c>
      <c r="G23" s="121" t="s">
        <v>2432</v>
      </c>
      <c r="H23" s="111"/>
      <c r="I23" s="48">
        <v>0</v>
      </c>
    </row>
    <row r="24" spans="1:9" ht="15.6" x14ac:dyDescent="0.3">
      <c r="G24" s="110" t="s">
        <v>2433</v>
      </c>
      <c r="H24" s="111"/>
      <c r="I24" s="51">
        <f>vorn_sum</f>
        <v>0</v>
      </c>
    </row>
    <row r="25" spans="1:9" ht="15.6" x14ac:dyDescent="0.3">
      <c r="G25" s="110" t="s">
        <v>2434</v>
      </c>
      <c r="H25" s="111"/>
      <c r="I25" s="53">
        <v>0</v>
      </c>
    </row>
    <row r="27" spans="1:9" ht="15.6" x14ac:dyDescent="0.3">
      <c r="A27" s="122" t="s">
        <v>2435</v>
      </c>
      <c r="B27" s="123"/>
      <c r="C27" s="55">
        <f>ROUND(SUM('Stavební rozpočet'!AJ12:AJ1339),1)</f>
        <v>0</v>
      </c>
    </row>
    <row r="28" spans="1:9" ht="15.6" x14ac:dyDescent="0.3">
      <c r="A28" s="124" t="s">
        <v>2436</v>
      </c>
      <c r="B28" s="125"/>
      <c r="C28" s="56">
        <f>ROUND(SUM('Stavební rozpočet'!AK12:AK1339),1)</f>
        <v>0</v>
      </c>
      <c r="D28" s="126" t="s">
        <v>2437</v>
      </c>
      <c r="E28" s="123"/>
      <c r="F28" s="55">
        <f>ROUND(C28*(12/100),2)</f>
        <v>0</v>
      </c>
      <c r="G28" s="126" t="s">
        <v>2438</v>
      </c>
      <c r="H28" s="123"/>
      <c r="I28" s="55">
        <f>ROUND(SUM(C27:C29),1)</f>
        <v>0</v>
      </c>
    </row>
    <row r="29" spans="1:9" ht="15.6" x14ac:dyDescent="0.3">
      <c r="A29" s="124" t="s">
        <v>2439</v>
      </c>
      <c r="B29" s="125"/>
      <c r="C29" s="56">
        <f>ROUND(SUM('Stavební rozpočet'!AL12:AL1339),1)</f>
        <v>0</v>
      </c>
      <c r="D29" s="127" t="s">
        <v>2440</v>
      </c>
      <c r="E29" s="125"/>
      <c r="F29" s="56">
        <f>ROUND(C29*(21/100),2)</f>
        <v>0</v>
      </c>
      <c r="G29" s="127" t="s">
        <v>2441</v>
      </c>
      <c r="H29" s="125"/>
      <c r="I29" s="56">
        <f>ROUND(SUM(F28:F29)+I28,1)</f>
        <v>0</v>
      </c>
    </row>
    <row r="31" spans="1:9" x14ac:dyDescent="0.3">
      <c r="A31" s="128" t="s">
        <v>2442</v>
      </c>
      <c r="B31" s="129"/>
      <c r="C31" s="130"/>
      <c r="D31" s="137" t="s">
        <v>2443</v>
      </c>
      <c r="E31" s="129"/>
      <c r="F31" s="130"/>
      <c r="G31" s="137" t="s">
        <v>2444</v>
      </c>
      <c r="H31" s="129"/>
      <c r="I31" s="130"/>
    </row>
    <row r="32" spans="1:9" x14ac:dyDescent="0.3">
      <c r="A32" s="131" t="s">
        <v>51</v>
      </c>
      <c r="B32" s="132"/>
      <c r="C32" s="133"/>
      <c r="D32" s="138" t="s">
        <v>51</v>
      </c>
      <c r="E32" s="132"/>
      <c r="F32" s="133"/>
      <c r="G32" s="138" t="s">
        <v>51</v>
      </c>
      <c r="H32" s="132"/>
      <c r="I32" s="133"/>
    </row>
    <row r="33" spans="1:9" x14ac:dyDescent="0.3">
      <c r="A33" s="131" t="s">
        <v>51</v>
      </c>
      <c r="B33" s="132"/>
      <c r="C33" s="133"/>
      <c r="D33" s="138" t="s">
        <v>51</v>
      </c>
      <c r="E33" s="132"/>
      <c r="F33" s="133"/>
      <c r="G33" s="138" t="s">
        <v>51</v>
      </c>
      <c r="H33" s="132"/>
      <c r="I33" s="133"/>
    </row>
    <row r="34" spans="1:9" x14ac:dyDescent="0.3">
      <c r="A34" s="131" t="s">
        <v>51</v>
      </c>
      <c r="B34" s="132"/>
      <c r="C34" s="133"/>
      <c r="D34" s="138" t="s">
        <v>51</v>
      </c>
      <c r="E34" s="132"/>
      <c r="F34" s="133"/>
      <c r="G34" s="138" t="s">
        <v>51</v>
      </c>
      <c r="H34" s="132"/>
      <c r="I34" s="133"/>
    </row>
    <row r="35" spans="1:9" x14ac:dyDescent="0.3">
      <c r="A35" s="134" t="s">
        <v>2445</v>
      </c>
      <c r="B35" s="135"/>
      <c r="C35" s="136"/>
      <c r="D35" s="139" t="s">
        <v>2445</v>
      </c>
      <c r="E35" s="135"/>
      <c r="F35" s="136"/>
      <c r="G35" s="139" t="s">
        <v>2445</v>
      </c>
      <c r="H35" s="135"/>
      <c r="I35" s="136"/>
    </row>
    <row r="36" spans="1:9" ht="14.4" x14ac:dyDescent="0.3">
      <c r="A36" s="57" t="s">
        <v>70</v>
      </c>
    </row>
    <row r="37" spans="1:9" ht="12.75" customHeight="1" x14ac:dyDescent="0.3">
      <c r="A37" s="75" t="s">
        <v>51</v>
      </c>
      <c r="B37" s="70"/>
      <c r="C37" s="70"/>
      <c r="D37" s="70"/>
      <c r="E37" s="70"/>
      <c r="F37" s="70"/>
      <c r="G37" s="70"/>
      <c r="H37" s="70"/>
      <c r="I37" s="70"/>
    </row>
  </sheetData>
  <mergeCells count="83">
    <mergeCell ref="A37:I37"/>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 ref="G24:H24"/>
    <mergeCell ref="G25:H25"/>
    <mergeCell ref="A27:B27"/>
    <mergeCell ref="A28:B28"/>
    <mergeCell ref="A29:B29"/>
    <mergeCell ref="D28:E28"/>
    <mergeCell ref="D29:E29"/>
    <mergeCell ref="G28:H28"/>
    <mergeCell ref="G29:H29"/>
    <mergeCell ref="D23:E23"/>
    <mergeCell ref="G14:H14"/>
    <mergeCell ref="G15:H15"/>
    <mergeCell ref="G16:H16"/>
    <mergeCell ref="G17:H17"/>
    <mergeCell ref="G18:H18"/>
    <mergeCell ref="G19:H19"/>
    <mergeCell ref="G20:H20"/>
    <mergeCell ref="G21:H21"/>
    <mergeCell ref="G22:H22"/>
    <mergeCell ref="G23:H23"/>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H2:H3"/>
    <mergeCell ref="H4:H5"/>
    <mergeCell ref="H6:H7"/>
    <mergeCell ref="H8:H9"/>
    <mergeCell ref="H10:H11"/>
    <mergeCell ref="A10:B11"/>
    <mergeCell ref="E2:E3"/>
    <mergeCell ref="E4:E5"/>
    <mergeCell ref="E6:E7"/>
    <mergeCell ref="E8:E9"/>
    <mergeCell ref="E10:E11"/>
    <mergeCell ref="C2:D3"/>
    <mergeCell ref="C4:D5"/>
    <mergeCell ref="C6:D7"/>
    <mergeCell ref="C8:D9"/>
    <mergeCell ref="C10:D11"/>
    <mergeCell ref="A1:I1"/>
    <mergeCell ref="A2:B3"/>
    <mergeCell ref="A4:B5"/>
    <mergeCell ref="A6:B7"/>
    <mergeCell ref="A8:B9"/>
    <mergeCell ref="F2:G3"/>
    <mergeCell ref="F4:G5"/>
    <mergeCell ref="F6:G7"/>
    <mergeCell ref="F8:G9"/>
    <mergeCell ref="I2:I3"/>
    <mergeCell ref="I4:I5"/>
    <mergeCell ref="I6:I7"/>
    <mergeCell ref="I8:I9"/>
  </mergeCells>
  <pageMargins left="0.393999993801117" right="0.393999993801117" top="0.59100002050399802" bottom="0.59100002050399802" header="0" footer="0"/>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5"/>
  <sheetViews>
    <sheetView workbookViewId="0">
      <selection activeCell="A45" sqref="A45:E45"/>
    </sheetView>
  </sheetViews>
  <sheetFormatPr defaultColWidth="12.109375" defaultRowHeight="15" customHeight="1" x14ac:dyDescent="0.3"/>
  <cols>
    <col min="1" max="1" width="9.109375" customWidth="1"/>
    <col min="2" max="2" width="12.88671875" customWidth="1"/>
    <col min="3" max="3" width="22.88671875" customWidth="1"/>
    <col min="4" max="4" width="10" customWidth="1"/>
    <col min="5" max="5" width="14" customWidth="1"/>
    <col min="6" max="6" width="22.88671875" customWidth="1"/>
    <col min="7" max="7" width="9.109375" customWidth="1"/>
    <col min="8" max="8" width="17.109375" customWidth="1"/>
    <col min="9" max="9" width="22.88671875" customWidth="1"/>
  </cols>
  <sheetData>
    <row r="1" spans="1:9" ht="54.75" customHeight="1" x14ac:dyDescent="0.3">
      <c r="A1" s="102" t="s">
        <v>2360</v>
      </c>
      <c r="B1" s="66"/>
      <c r="C1" s="66"/>
      <c r="D1" s="66"/>
      <c r="E1" s="66"/>
      <c r="F1" s="66"/>
      <c r="G1" s="66"/>
      <c r="H1" s="66"/>
      <c r="I1" s="66"/>
    </row>
    <row r="2" spans="1:9" ht="14.4" x14ac:dyDescent="0.3">
      <c r="A2" s="67" t="s">
        <v>1</v>
      </c>
      <c r="B2" s="68"/>
      <c r="C2" s="76" t="str">
        <f>'Stavební rozpočet'!C2</f>
        <v xml:space="preserve">Regenerace návsi Ketkovice - 1. ETAPA	</v>
      </c>
      <c r="D2" s="77"/>
      <c r="E2" s="74" t="s">
        <v>5</v>
      </c>
      <c r="F2" s="74" t="str">
        <f>'Stavební rozpočet'!I2</f>
        <v>Obec Ketkovice, Ketkovice 87, 664 91 Ivančice</v>
      </c>
      <c r="G2" s="68"/>
      <c r="H2" s="74" t="s">
        <v>2403</v>
      </c>
      <c r="I2" s="79" t="s">
        <v>2404</v>
      </c>
    </row>
    <row r="3" spans="1:9" ht="15" customHeight="1" x14ac:dyDescent="0.3">
      <c r="A3" s="69"/>
      <c r="B3" s="70"/>
      <c r="C3" s="78"/>
      <c r="D3" s="78"/>
      <c r="E3" s="70"/>
      <c r="F3" s="70"/>
      <c r="G3" s="70"/>
      <c r="H3" s="70"/>
      <c r="I3" s="80"/>
    </row>
    <row r="4" spans="1:9" ht="14.4" x14ac:dyDescent="0.3">
      <c r="A4" s="71" t="s">
        <v>7</v>
      </c>
      <c r="B4" s="70"/>
      <c r="C4" s="75" t="str">
        <f>'Stavební rozpočet'!C4</f>
        <v xml:space="preserve">veřejné prostranství	</v>
      </c>
      <c r="D4" s="70"/>
      <c r="E4" s="75" t="s">
        <v>11</v>
      </c>
      <c r="F4" s="75" t="str">
        <f>'Stavební rozpočet'!I4</f>
        <v>Atelier V8 s.r.o., Vez Zmolách 10, 675 73 Kralice</v>
      </c>
      <c r="G4" s="70"/>
      <c r="H4" s="75" t="s">
        <v>2403</v>
      </c>
      <c r="I4" s="80" t="s">
        <v>2405</v>
      </c>
    </row>
    <row r="5" spans="1:9" ht="15" customHeight="1" x14ac:dyDescent="0.3">
      <c r="A5" s="69"/>
      <c r="B5" s="70"/>
      <c r="C5" s="70"/>
      <c r="D5" s="70"/>
      <c r="E5" s="70"/>
      <c r="F5" s="70"/>
      <c r="G5" s="70"/>
      <c r="H5" s="70"/>
      <c r="I5" s="80"/>
    </row>
    <row r="6" spans="1:9" ht="14.4" x14ac:dyDescent="0.3">
      <c r="A6" s="71" t="s">
        <v>13</v>
      </c>
      <c r="B6" s="70"/>
      <c r="C6" s="75" t="str">
        <f>'Stavební rozpočet'!C6</f>
        <v>Ketkovice</v>
      </c>
      <c r="D6" s="70"/>
      <c r="E6" s="75" t="s">
        <v>16</v>
      </c>
      <c r="F6" s="75" t="str">
        <f>'Stavební rozpočet'!I6</f>
        <v> </v>
      </c>
      <c r="G6" s="70"/>
      <c r="H6" s="75" t="s">
        <v>2403</v>
      </c>
      <c r="I6" s="80" t="s">
        <v>51</v>
      </c>
    </row>
    <row r="7" spans="1:9" ht="15" customHeight="1" x14ac:dyDescent="0.3">
      <c r="A7" s="69"/>
      <c r="B7" s="70"/>
      <c r="C7" s="70"/>
      <c r="D7" s="70"/>
      <c r="E7" s="70"/>
      <c r="F7" s="70"/>
      <c r="G7" s="70"/>
      <c r="H7" s="70"/>
      <c r="I7" s="80"/>
    </row>
    <row r="8" spans="1:9" ht="14.4" x14ac:dyDescent="0.3">
      <c r="A8" s="71" t="s">
        <v>9</v>
      </c>
      <c r="B8" s="70"/>
      <c r="C8" s="75">
        <f>'Stavební rozpočet'!G4</f>
        <v>0</v>
      </c>
      <c r="D8" s="70"/>
      <c r="E8" s="75" t="s">
        <v>15</v>
      </c>
      <c r="F8" s="75" t="str">
        <f>'Stavební rozpočet'!G6</f>
        <v xml:space="preserve"> </v>
      </c>
      <c r="G8" s="70"/>
      <c r="H8" s="70" t="s">
        <v>2406</v>
      </c>
      <c r="I8" s="104">
        <v>501</v>
      </c>
    </row>
    <row r="9" spans="1:9" ht="14.4" x14ac:dyDescent="0.3">
      <c r="A9" s="69"/>
      <c r="B9" s="70"/>
      <c r="C9" s="70"/>
      <c r="D9" s="70"/>
      <c r="E9" s="70"/>
      <c r="F9" s="70"/>
      <c r="G9" s="70"/>
      <c r="H9" s="70"/>
      <c r="I9" s="80"/>
    </row>
    <row r="10" spans="1:9" ht="14.4" x14ac:dyDescent="0.3">
      <c r="A10" s="71" t="s">
        <v>18</v>
      </c>
      <c r="B10" s="70"/>
      <c r="C10" s="75" t="str">
        <f>'Stavební rozpočet'!C8</f>
        <v>823</v>
      </c>
      <c r="D10" s="70"/>
      <c r="E10" s="75" t="s">
        <v>21</v>
      </c>
      <c r="F10" s="75" t="str">
        <f>'Stavební rozpočet'!I8</f>
        <v> </v>
      </c>
      <c r="G10" s="70"/>
      <c r="H10" s="70" t="s">
        <v>2407</v>
      </c>
      <c r="I10" s="105" t="str">
        <f>'Stavební rozpočet'!G8</f>
        <v>06.03.2025</v>
      </c>
    </row>
    <row r="11" spans="1:9" ht="14.4" x14ac:dyDescent="0.3">
      <c r="A11" s="103"/>
      <c r="B11" s="100"/>
      <c r="C11" s="100"/>
      <c r="D11" s="100"/>
      <c r="E11" s="100"/>
      <c r="F11" s="100"/>
      <c r="G11" s="100"/>
      <c r="H11" s="100"/>
      <c r="I11" s="106"/>
    </row>
    <row r="13" spans="1:9" ht="15.6" x14ac:dyDescent="0.3">
      <c r="A13" s="140" t="s">
        <v>2446</v>
      </c>
      <c r="B13" s="140"/>
      <c r="C13" s="140"/>
      <c r="D13" s="140"/>
      <c r="E13" s="140"/>
    </row>
    <row r="14" spans="1:9" ht="14.4" x14ac:dyDescent="0.3">
      <c r="A14" s="141" t="s">
        <v>2447</v>
      </c>
      <c r="B14" s="142"/>
      <c r="C14" s="142"/>
      <c r="D14" s="142"/>
      <c r="E14" s="143"/>
      <c r="F14" s="58" t="s">
        <v>2448</v>
      </c>
      <c r="G14" s="58" t="s">
        <v>1311</v>
      </c>
      <c r="H14" s="58" t="s">
        <v>2449</v>
      </c>
      <c r="I14" s="58" t="s">
        <v>2448</v>
      </c>
    </row>
    <row r="15" spans="1:9" ht="14.4" x14ac:dyDescent="0.3">
      <c r="A15" s="144" t="s">
        <v>2417</v>
      </c>
      <c r="B15" s="145"/>
      <c r="C15" s="145"/>
      <c r="D15" s="145"/>
      <c r="E15" s="146"/>
      <c r="F15" s="59">
        <v>0</v>
      </c>
      <c r="G15" s="60" t="s">
        <v>51</v>
      </c>
      <c r="H15" s="60" t="s">
        <v>51</v>
      </c>
      <c r="I15" s="59">
        <f>F15</f>
        <v>0</v>
      </c>
    </row>
    <row r="16" spans="1:9" ht="14.4" x14ac:dyDescent="0.3">
      <c r="A16" s="144" t="s">
        <v>2418</v>
      </c>
      <c r="B16" s="145"/>
      <c r="C16" s="145"/>
      <c r="D16" s="145"/>
      <c r="E16" s="146"/>
      <c r="F16" s="59">
        <v>0</v>
      </c>
      <c r="G16" s="60" t="s">
        <v>51</v>
      </c>
      <c r="H16" s="60" t="s">
        <v>51</v>
      </c>
      <c r="I16" s="59">
        <f>F16</f>
        <v>0</v>
      </c>
    </row>
    <row r="17" spans="1:9" ht="14.4" x14ac:dyDescent="0.3">
      <c r="A17" s="147" t="s">
        <v>2421</v>
      </c>
      <c r="B17" s="148"/>
      <c r="C17" s="148"/>
      <c r="D17" s="148"/>
      <c r="E17" s="149"/>
      <c r="F17" s="61">
        <v>0</v>
      </c>
      <c r="G17" s="62" t="s">
        <v>51</v>
      </c>
      <c r="H17" s="62" t="s">
        <v>51</v>
      </c>
      <c r="I17" s="61">
        <f>F17</f>
        <v>0</v>
      </c>
    </row>
    <row r="18" spans="1:9" ht="14.4" x14ac:dyDescent="0.3">
      <c r="A18" s="150" t="s">
        <v>2450</v>
      </c>
      <c r="B18" s="151"/>
      <c r="C18" s="151"/>
      <c r="D18" s="151"/>
      <c r="E18" s="152"/>
      <c r="F18" s="63" t="s">
        <v>51</v>
      </c>
      <c r="G18" s="64" t="s">
        <v>51</v>
      </c>
      <c r="H18" s="64" t="s">
        <v>51</v>
      </c>
      <c r="I18" s="65">
        <f>SUM(I15:I17)</f>
        <v>0</v>
      </c>
    </row>
    <row r="20" spans="1:9" ht="14.4" x14ac:dyDescent="0.3">
      <c r="A20" s="141" t="s">
        <v>2414</v>
      </c>
      <c r="B20" s="142"/>
      <c r="C20" s="142"/>
      <c r="D20" s="142"/>
      <c r="E20" s="143"/>
      <c r="F20" s="58" t="s">
        <v>2448</v>
      </c>
      <c r="G20" s="58" t="s">
        <v>1311</v>
      </c>
      <c r="H20" s="58" t="s">
        <v>2449</v>
      </c>
      <c r="I20" s="58" t="s">
        <v>2448</v>
      </c>
    </row>
    <row r="21" spans="1:9" ht="14.4" x14ac:dyDescent="0.3">
      <c r="A21" s="144" t="s">
        <v>2381</v>
      </c>
      <c r="B21" s="145"/>
      <c r="C21" s="145"/>
      <c r="D21" s="145"/>
      <c r="E21" s="146"/>
      <c r="F21" s="59">
        <v>0</v>
      </c>
      <c r="G21" s="60" t="s">
        <v>51</v>
      </c>
      <c r="H21" s="60" t="s">
        <v>51</v>
      </c>
      <c r="I21" s="59">
        <f t="shared" ref="I21:I26" si="0">F21</f>
        <v>0</v>
      </c>
    </row>
    <row r="22" spans="1:9" ht="14.4" x14ac:dyDescent="0.3">
      <c r="A22" s="144" t="s">
        <v>2419</v>
      </c>
      <c r="B22" s="145"/>
      <c r="C22" s="145"/>
      <c r="D22" s="145"/>
      <c r="E22" s="146"/>
      <c r="F22" s="59">
        <v>0</v>
      </c>
      <c r="G22" s="60" t="s">
        <v>51</v>
      </c>
      <c r="H22" s="60" t="s">
        <v>51</v>
      </c>
      <c r="I22" s="59">
        <f t="shared" si="0"/>
        <v>0</v>
      </c>
    </row>
    <row r="23" spans="1:9" ht="14.4" x14ac:dyDescent="0.3">
      <c r="A23" s="144" t="s">
        <v>2422</v>
      </c>
      <c r="B23" s="145"/>
      <c r="C23" s="145"/>
      <c r="D23" s="145"/>
      <c r="E23" s="146"/>
      <c r="F23" s="59">
        <v>0</v>
      </c>
      <c r="G23" s="60" t="s">
        <v>51</v>
      </c>
      <c r="H23" s="60" t="s">
        <v>51</v>
      </c>
      <c r="I23" s="59">
        <f t="shared" si="0"/>
        <v>0</v>
      </c>
    </row>
    <row r="24" spans="1:9" ht="14.4" x14ac:dyDescent="0.3">
      <c r="A24" s="144" t="s">
        <v>2423</v>
      </c>
      <c r="B24" s="145"/>
      <c r="C24" s="145"/>
      <c r="D24" s="145"/>
      <c r="E24" s="146"/>
      <c r="F24" s="59">
        <v>0</v>
      </c>
      <c r="G24" s="60" t="s">
        <v>51</v>
      </c>
      <c r="H24" s="60" t="s">
        <v>51</v>
      </c>
      <c r="I24" s="59">
        <f t="shared" si="0"/>
        <v>0</v>
      </c>
    </row>
    <row r="25" spans="1:9" ht="14.4" x14ac:dyDescent="0.3">
      <c r="A25" s="144" t="s">
        <v>2425</v>
      </c>
      <c r="B25" s="145"/>
      <c r="C25" s="145"/>
      <c r="D25" s="145"/>
      <c r="E25" s="146"/>
      <c r="F25" s="59">
        <v>0</v>
      </c>
      <c r="G25" s="60" t="s">
        <v>51</v>
      </c>
      <c r="H25" s="60" t="s">
        <v>51</v>
      </c>
      <c r="I25" s="59">
        <f t="shared" si="0"/>
        <v>0</v>
      </c>
    </row>
    <row r="26" spans="1:9" ht="14.4" x14ac:dyDescent="0.3">
      <c r="A26" s="147" t="s">
        <v>2426</v>
      </c>
      <c r="B26" s="148"/>
      <c r="C26" s="148"/>
      <c r="D26" s="148"/>
      <c r="E26" s="149"/>
      <c r="F26" s="61">
        <v>0</v>
      </c>
      <c r="G26" s="62" t="s">
        <v>51</v>
      </c>
      <c r="H26" s="62" t="s">
        <v>51</v>
      </c>
      <c r="I26" s="61">
        <f t="shared" si="0"/>
        <v>0</v>
      </c>
    </row>
    <row r="27" spans="1:9" ht="14.4" x14ac:dyDescent="0.3">
      <c r="A27" s="150" t="s">
        <v>2451</v>
      </c>
      <c r="B27" s="151"/>
      <c r="C27" s="151"/>
      <c r="D27" s="151"/>
      <c r="E27" s="152"/>
      <c r="F27" s="63" t="s">
        <v>51</v>
      </c>
      <c r="G27" s="64" t="s">
        <v>51</v>
      </c>
      <c r="H27" s="64" t="s">
        <v>51</v>
      </c>
      <c r="I27" s="65">
        <f>SUM(I21:I26)</f>
        <v>0</v>
      </c>
    </row>
    <row r="29" spans="1:9" ht="15.6" x14ac:dyDescent="0.3">
      <c r="A29" s="153" t="s">
        <v>2452</v>
      </c>
      <c r="B29" s="154"/>
      <c r="C29" s="154"/>
      <c r="D29" s="154"/>
      <c r="E29" s="155"/>
      <c r="F29" s="156">
        <f>I18+I27</f>
        <v>0</v>
      </c>
      <c r="G29" s="157"/>
      <c r="H29" s="157"/>
      <c r="I29" s="158"/>
    </row>
    <row r="33" spans="1:9" ht="15.6" x14ac:dyDescent="0.3">
      <c r="A33" s="140" t="s">
        <v>2453</v>
      </c>
      <c r="B33" s="140"/>
      <c r="C33" s="140"/>
      <c r="D33" s="140"/>
      <c r="E33" s="140"/>
    </row>
    <row r="34" spans="1:9" ht="14.4" x14ac:dyDescent="0.3">
      <c r="A34" s="141" t="s">
        <v>2454</v>
      </c>
      <c r="B34" s="142"/>
      <c r="C34" s="142"/>
      <c r="D34" s="142"/>
      <c r="E34" s="143"/>
      <c r="F34" s="58" t="s">
        <v>2448</v>
      </c>
      <c r="G34" s="58" t="s">
        <v>1311</v>
      </c>
      <c r="H34" s="58" t="s">
        <v>2449</v>
      </c>
      <c r="I34" s="58" t="s">
        <v>2448</v>
      </c>
    </row>
    <row r="35" spans="1:9" ht="14.4" x14ac:dyDescent="0.3">
      <c r="A35" s="144" t="s">
        <v>2362</v>
      </c>
      <c r="B35" s="145"/>
      <c r="C35" s="145"/>
      <c r="D35" s="145"/>
      <c r="E35" s="146"/>
      <c r="F35" s="59">
        <f>SUM('Stavební rozpočet'!BM12:BM1339)</f>
        <v>0</v>
      </c>
      <c r="G35" s="60" t="s">
        <v>51</v>
      </c>
      <c r="H35" s="60" t="s">
        <v>51</v>
      </c>
      <c r="I35" s="59">
        <f t="shared" ref="I35:I44" si="1">F35</f>
        <v>0</v>
      </c>
    </row>
    <row r="36" spans="1:9" ht="14.4" x14ac:dyDescent="0.3">
      <c r="A36" s="144" t="s">
        <v>2455</v>
      </c>
      <c r="B36" s="145"/>
      <c r="C36" s="145"/>
      <c r="D36" s="145"/>
      <c r="E36" s="146"/>
      <c r="F36" s="59">
        <f>SUM('Stavební rozpočet'!BN12:BN1339)</f>
        <v>0</v>
      </c>
      <c r="G36" s="60" t="s">
        <v>51</v>
      </c>
      <c r="H36" s="60" t="s">
        <v>51</v>
      </c>
      <c r="I36" s="59">
        <f t="shared" si="1"/>
        <v>0</v>
      </c>
    </row>
    <row r="37" spans="1:9" ht="14.4" x14ac:dyDescent="0.3">
      <c r="A37" s="144" t="s">
        <v>2381</v>
      </c>
      <c r="B37" s="145"/>
      <c r="C37" s="145"/>
      <c r="D37" s="145"/>
      <c r="E37" s="146"/>
      <c r="F37" s="59">
        <f>SUM('Stavební rozpočet'!BO12:BO1339)</f>
        <v>0</v>
      </c>
      <c r="G37" s="60" t="s">
        <v>51</v>
      </c>
      <c r="H37" s="60" t="s">
        <v>51</v>
      </c>
      <c r="I37" s="59">
        <f t="shared" si="1"/>
        <v>0</v>
      </c>
    </row>
    <row r="38" spans="1:9" ht="14.4" x14ac:dyDescent="0.3">
      <c r="A38" s="144" t="s">
        <v>2387</v>
      </c>
      <c r="B38" s="145"/>
      <c r="C38" s="145"/>
      <c r="D38" s="145"/>
      <c r="E38" s="146"/>
      <c r="F38" s="59">
        <f>SUM('Stavební rozpočet'!BP12:BP1339)</f>
        <v>0</v>
      </c>
      <c r="G38" s="60" t="s">
        <v>51</v>
      </c>
      <c r="H38" s="60" t="s">
        <v>51</v>
      </c>
      <c r="I38" s="59">
        <f t="shared" si="1"/>
        <v>0</v>
      </c>
    </row>
    <row r="39" spans="1:9" ht="14.4" x14ac:dyDescent="0.3">
      <c r="A39" s="144" t="s">
        <v>2456</v>
      </c>
      <c r="B39" s="145"/>
      <c r="C39" s="145"/>
      <c r="D39" s="145"/>
      <c r="E39" s="146"/>
      <c r="F39" s="59">
        <f>SUM('Stavební rozpočet'!BQ12:BQ1339)</f>
        <v>0</v>
      </c>
      <c r="G39" s="60" t="s">
        <v>51</v>
      </c>
      <c r="H39" s="60" t="s">
        <v>51</v>
      </c>
      <c r="I39" s="59">
        <f t="shared" si="1"/>
        <v>0</v>
      </c>
    </row>
    <row r="40" spans="1:9" ht="14.4" x14ac:dyDescent="0.3">
      <c r="A40" s="144" t="s">
        <v>2422</v>
      </c>
      <c r="B40" s="145"/>
      <c r="C40" s="145"/>
      <c r="D40" s="145"/>
      <c r="E40" s="146"/>
      <c r="F40" s="59">
        <f>SUM('Stavební rozpočet'!BR12:BR1339)</f>
        <v>0</v>
      </c>
      <c r="G40" s="60" t="s">
        <v>51</v>
      </c>
      <c r="H40" s="60" t="s">
        <v>51</v>
      </c>
      <c r="I40" s="59">
        <f t="shared" si="1"/>
        <v>0</v>
      </c>
    </row>
    <row r="41" spans="1:9" ht="14.4" x14ac:dyDescent="0.3">
      <c r="A41" s="144" t="s">
        <v>2423</v>
      </c>
      <c r="B41" s="145"/>
      <c r="C41" s="145"/>
      <c r="D41" s="145"/>
      <c r="E41" s="146"/>
      <c r="F41" s="59">
        <f>SUM('Stavební rozpočet'!BS12:BS1339)</f>
        <v>0</v>
      </c>
      <c r="G41" s="60" t="s">
        <v>51</v>
      </c>
      <c r="H41" s="60" t="s">
        <v>51</v>
      </c>
      <c r="I41" s="59">
        <f t="shared" si="1"/>
        <v>0</v>
      </c>
    </row>
    <row r="42" spans="1:9" ht="14.4" x14ac:dyDescent="0.3">
      <c r="A42" s="144" t="s">
        <v>2457</v>
      </c>
      <c r="B42" s="145"/>
      <c r="C42" s="145"/>
      <c r="D42" s="145"/>
      <c r="E42" s="146"/>
      <c r="F42" s="59">
        <f>SUM('Stavební rozpočet'!BT12:BT1339)</f>
        <v>0</v>
      </c>
      <c r="G42" s="60" t="s">
        <v>51</v>
      </c>
      <c r="H42" s="60" t="s">
        <v>51</v>
      </c>
      <c r="I42" s="59">
        <f t="shared" si="1"/>
        <v>0</v>
      </c>
    </row>
    <row r="43" spans="1:9" ht="14.4" x14ac:dyDescent="0.3">
      <c r="A43" s="144" t="s">
        <v>2396</v>
      </c>
      <c r="B43" s="145"/>
      <c r="C43" s="145"/>
      <c r="D43" s="145"/>
      <c r="E43" s="146"/>
      <c r="F43" s="59">
        <f>SUM('Stavební rozpočet'!BU12:BU1339)</f>
        <v>0</v>
      </c>
      <c r="G43" s="60" t="s">
        <v>51</v>
      </c>
      <c r="H43" s="60" t="s">
        <v>51</v>
      </c>
      <c r="I43" s="59">
        <f t="shared" si="1"/>
        <v>0</v>
      </c>
    </row>
    <row r="44" spans="1:9" ht="14.4" x14ac:dyDescent="0.3">
      <c r="A44" s="147" t="s">
        <v>2458</v>
      </c>
      <c r="B44" s="148"/>
      <c r="C44" s="148"/>
      <c r="D44" s="148"/>
      <c r="E44" s="149"/>
      <c r="F44" s="61">
        <f>SUM('Stavební rozpočet'!BV12:BV1339)</f>
        <v>0</v>
      </c>
      <c r="G44" s="62" t="s">
        <v>51</v>
      </c>
      <c r="H44" s="62" t="s">
        <v>51</v>
      </c>
      <c r="I44" s="61">
        <f t="shared" si="1"/>
        <v>0</v>
      </c>
    </row>
    <row r="45" spans="1:9" ht="14.4" x14ac:dyDescent="0.3">
      <c r="A45" s="150" t="s">
        <v>2459</v>
      </c>
      <c r="B45" s="151"/>
      <c r="C45" s="151"/>
      <c r="D45" s="151"/>
      <c r="E45" s="152"/>
      <c r="F45" s="63" t="s">
        <v>51</v>
      </c>
      <c r="G45" s="64" t="s">
        <v>51</v>
      </c>
      <c r="H45" s="64" t="s">
        <v>51</v>
      </c>
      <c r="I45" s="65">
        <f>SUM(I35:I44)</f>
        <v>0</v>
      </c>
    </row>
  </sheetData>
  <mergeCells count="60">
    <mergeCell ref="A41:E41"/>
    <mergeCell ref="A42:E42"/>
    <mergeCell ref="A43:E43"/>
    <mergeCell ref="A44:E44"/>
    <mergeCell ref="A45:E45"/>
    <mergeCell ref="A36:E36"/>
    <mergeCell ref="A37:E37"/>
    <mergeCell ref="A38:E38"/>
    <mergeCell ref="A39:E39"/>
    <mergeCell ref="A40:E40"/>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C2:D3"/>
    <mergeCell ref="C4:D5"/>
    <mergeCell ref="C6:D7"/>
    <mergeCell ref="C8:D9"/>
    <mergeCell ref="C10:D11"/>
    <mergeCell ref="F2:G3"/>
    <mergeCell ref="F4:G5"/>
    <mergeCell ref="F6:G7"/>
    <mergeCell ref="F8:G9"/>
    <mergeCell ref="F10:G11"/>
    <mergeCell ref="A10:B11"/>
    <mergeCell ref="E2:E3"/>
    <mergeCell ref="E4:E5"/>
    <mergeCell ref="E6:E7"/>
    <mergeCell ref="E8:E9"/>
    <mergeCell ref="E10:E11"/>
    <mergeCell ref="A1:I1"/>
    <mergeCell ref="A2:B3"/>
    <mergeCell ref="A4:B5"/>
    <mergeCell ref="A6:B7"/>
    <mergeCell ref="A8:B9"/>
    <mergeCell ref="H2:H3"/>
    <mergeCell ref="H4:H5"/>
    <mergeCell ref="H6:H7"/>
    <mergeCell ref="H8:H9"/>
    <mergeCell ref="I2:I3"/>
    <mergeCell ref="I4:I5"/>
    <mergeCell ref="I6:I7"/>
    <mergeCell ref="I8:I9"/>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Stavební rozpočet</vt:lpstr>
      <vt:lpstr>Krycí list rozpočtu</vt:lpstr>
      <vt:lpstr>VORN</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Jitka Vágnerová</cp:lastModifiedBy>
  <cp:lastPrinted>2025-04-14T11:52:48Z</cp:lastPrinted>
  <dcterms:created xsi:type="dcterms:W3CDTF">2021-06-10T20:06:38Z</dcterms:created>
  <dcterms:modified xsi:type="dcterms:W3CDTF">2025-04-14T11:53:10Z</dcterms:modified>
</cp:coreProperties>
</file>