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EC0DD6F-5A47-4F3F-884E-44AACC1F2787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Komunikace" sheetId="12" r:id="rId4"/>
    <sheet name="Most - horní část" sheetId="13" r:id="rId5"/>
    <sheet name="Most - spodní část" sheetId="14" r:id="rId6"/>
  </sheets>
  <externalReferences>
    <externalReference r:id="rId7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Komunikace!$1:$7</definedName>
    <definedName name="_xlnm.Print_Titles" localSheetId="4">'Most - horní část'!$1:$7</definedName>
    <definedName name="_xlnm.Print_Titles" localSheetId="5">'Most - spodní část'!$1:$7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Komunikace!$A$1:$X$162</definedName>
    <definedName name="_xlnm.Print_Area" localSheetId="4">'Most - horní část'!$A$1:$X$55</definedName>
    <definedName name="_xlnm.Print_Area" localSheetId="5">'Most - spodní část'!$A$1:$X$75</definedName>
    <definedName name="_xlnm.Print_Area" localSheetId="1">Stavba!$A$1:$J$98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 localSheetId="5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 localSheetId="5">#REF!</definedName>
    <definedName name="SloupecCC">#REF!</definedName>
    <definedName name="SloupecCisloPol" localSheetId="4">#REF!</definedName>
    <definedName name="SloupecCisloPol" localSheetId="5">#REF!</definedName>
    <definedName name="SloupecCisloPol">#REF!</definedName>
    <definedName name="SloupecJC" localSheetId="4">#REF!</definedName>
    <definedName name="SloupecJC" localSheetId="5">#REF!</definedName>
    <definedName name="SloupecJC">#REF!</definedName>
    <definedName name="SloupecMJ" localSheetId="4">#REF!</definedName>
    <definedName name="SloupecMJ" localSheetId="5">#REF!</definedName>
    <definedName name="SloupecMJ">#REF!</definedName>
    <definedName name="SloupecMnozstvi" localSheetId="4">#REF!</definedName>
    <definedName name="SloupecMnozstvi" localSheetId="5">#REF!</definedName>
    <definedName name="SloupecMnozstvi">#REF!</definedName>
    <definedName name="SloupecNazPol" localSheetId="4">#REF!</definedName>
    <definedName name="SloupecNazPol" localSheetId="5">#REF!</definedName>
    <definedName name="SloupecNazPol">#REF!</definedName>
    <definedName name="SloupecPC" localSheetId="4">#REF!</definedName>
    <definedName name="SloupecPC" localSheetId="5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4" l="1"/>
  <c r="Q42" i="14" s="1"/>
  <c r="E93" i="13"/>
  <c r="Q93" i="13" s="1"/>
  <c r="A96" i="13"/>
  <c r="A93" i="13"/>
  <c r="E92" i="14"/>
  <c r="E87" i="14"/>
  <c r="A95" i="14"/>
  <c r="A92" i="14"/>
  <c r="E89" i="14"/>
  <c r="Q92" i="14" s="1"/>
  <c r="E80" i="14"/>
  <c r="E73" i="14"/>
  <c r="E61" i="14"/>
  <c r="E63" i="14" s="1"/>
  <c r="K63" i="14" s="1"/>
  <c r="E59" i="14"/>
  <c r="E67" i="14" s="1"/>
  <c r="E57" i="14"/>
  <c r="I57" i="14" s="1"/>
  <c r="E50" i="14"/>
  <c r="E52" i="14" s="1"/>
  <c r="K52" i="14" s="1"/>
  <c r="E46" i="14"/>
  <c r="K46" i="14" s="1"/>
  <c r="E48" i="14"/>
  <c r="Q48" i="14" s="1"/>
  <c r="E44" i="14"/>
  <c r="O44" i="14" s="1"/>
  <c r="E65" i="13"/>
  <c r="O65" i="13" s="1"/>
  <c r="E76" i="13"/>
  <c r="E106" i="13" s="1"/>
  <c r="E99" i="13" s="1"/>
  <c r="E104" i="13" s="1"/>
  <c r="Q104" i="13" s="1"/>
  <c r="E58" i="13"/>
  <c r="E79" i="13" s="1"/>
  <c r="E88" i="13" s="1"/>
  <c r="E90" i="13" s="1"/>
  <c r="E42" i="13"/>
  <c r="K42" i="13" s="1"/>
  <c r="E53" i="13"/>
  <c r="E51" i="13"/>
  <c r="G51" i="13" s="1"/>
  <c r="M51" i="13" s="1"/>
  <c r="E38" i="13"/>
  <c r="O38" i="13" s="1"/>
  <c r="Q40" i="13"/>
  <c r="O40" i="13"/>
  <c r="K40" i="13"/>
  <c r="I40" i="13"/>
  <c r="G40" i="13"/>
  <c r="M40" i="13" s="1"/>
  <c r="E44" i="13"/>
  <c r="K44" i="13" s="1"/>
  <c r="E70" i="14"/>
  <c r="Q70" i="14" s="1"/>
  <c r="E21" i="14"/>
  <c r="E23" i="14" s="1"/>
  <c r="Q23" i="14" s="1"/>
  <c r="E18" i="13"/>
  <c r="E21" i="13" s="1"/>
  <c r="G9" i="13"/>
  <c r="M9" i="13" s="1"/>
  <c r="I9" i="13"/>
  <c r="K9" i="13"/>
  <c r="O9" i="13"/>
  <c r="Q9" i="13"/>
  <c r="A12" i="13"/>
  <c r="G12" i="13"/>
  <c r="M12" i="13" s="1"/>
  <c r="I12" i="13"/>
  <c r="K12" i="13"/>
  <c r="O12" i="13"/>
  <c r="Q12" i="13"/>
  <c r="E19" i="14"/>
  <c r="Q19" i="14" s="1"/>
  <c r="E16" i="14"/>
  <c r="Q16" i="14" s="1"/>
  <c r="Q14" i="14"/>
  <c r="O14" i="14"/>
  <c r="K14" i="14"/>
  <c r="I14" i="14"/>
  <c r="G14" i="14"/>
  <c r="M14" i="14" s="1"/>
  <c r="K93" i="13" l="1"/>
  <c r="G93" i="13"/>
  <c r="M93" i="13" s="1"/>
  <c r="O93" i="13"/>
  <c r="I93" i="13"/>
  <c r="K92" i="14"/>
  <c r="G92" i="14"/>
  <c r="M92" i="14" s="1"/>
  <c r="O92" i="14"/>
  <c r="I92" i="14"/>
  <c r="K104" i="13"/>
  <c r="G104" i="13"/>
  <c r="M104" i="13" s="1"/>
  <c r="O104" i="13"/>
  <c r="I104" i="13"/>
  <c r="E67" i="13"/>
  <c r="I67" i="13" s="1"/>
  <c r="E69" i="13"/>
  <c r="O69" i="13" s="1"/>
  <c r="E77" i="14"/>
  <c r="E102" i="14" s="1"/>
  <c r="E95" i="14" s="1"/>
  <c r="I59" i="14"/>
  <c r="G59" i="14"/>
  <c r="M59" i="14" s="1"/>
  <c r="K59" i="14"/>
  <c r="K67" i="14"/>
  <c r="Q67" i="14"/>
  <c r="E65" i="14"/>
  <c r="G65" i="14" s="1"/>
  <c r="M65" i="14" s="1"/>
  <c r="I48" i="14"/>
  <c r="O59" i="14"/>
  <c r="K61" i="14"/>
  <c r="Q61" i="14"/>
  <c r="Q63" i="14"/>
  <c r="Q59" i="14"/>
  <c r="O57" i="14"/>
  <c r="K57" i="14"/>
  <c r="G57" i="14"/>
  <c r="M57" i="14" s="1"/>
  <c r="Q57" i="14"/>
  <c r="G61" i="14"/>
  <c r="O61" i="14"/>
  <c r="G63" i="14"/>
  <c r="M63" i="14" s="1"/>
  <c r="O63" i="14"/>
  <c r="G67" i="14"/>
  <c r="M67" i="14" s="1"/>
  <c r="O67" i="14"/>
  <c r="I61" i="14"/>
  <c r="I63" i="14"/>
  <c r="I67" i="14"/>
  <c r="K50" i="14"/>
  <c r="E54" i="14"/>
  <c r="Q54" i="14" s="1"/>
  <c r="I50" i="14"/>
  <c r="G52" i="14"/>
  <c r="M52" i="14" s="1"/>
  <c r="Q52" i="14"/>
  <c r="O52" i="14"/>
  <c r="I52" i="14"/>
  <c r="O50" i="14"/>
  <c r="G50" i="14"/>
  <c r="M50" i="14" s="1"/>
  <c r="Q50" i="14"/>
  <c r="Q46" i="14"/>
  <c r="G46" i="14"/>
  <c r="M46" i="14" s="1"/>
  <c r="O46" i="14"/>
  <c r="I46" i="14"/>
  <c r="K48" i="14"/>
  <c r="O48" i="14"/>
  <c r="G48" i="14"/>
  <c r="M48" i="14" s="1"/>
  <c r="K44" i="14"/>
  <c r="G44" i="14"/>
  <c r="M44" i="14" s="1"/>
  <c r="Q44" i="14"/>
  <c r="I44" i="14"/>
  <c r="K42" i="14"/>
  <c r="I42" i="14"/>
  <c r="O42" i="14"/>
  <c r="G42" i="14"/>
  <c r="M42" i="14" s="1"/>
  <c r="G67" i="13"/>
  <c r="M67" i="13" s="1"/>
  <c r="Q67" i="13"/>
  <c r="G69" i="13"/>
  <c r="M69" i="13" s="1"/>
  <c r="K65" i="13"/>
  <c r="G65" i="13"/>
  <c r="M65" i="13" s="1"/>
  <c r="Q65" i="13"/>
  <c r="I65" i="13"/>
  <c r="E84" i="13"/>
  <c r="G42" i="13"/>
  <c r="M42" i="13" s="1"/>
  <c r="O42" i="13"/>
  <c r="I42" i="13"/>
  <c r="Q42" i="13"/>
  <c r="O51" i="13"/>
  <c r="K51" i="13"/>
  <c r="I51" i="13"/>
  <c r="Q51" i="13"/>
  <c r="I38" i="13"/>
  <c r="Q38" i="13"/>
  <c r="K38" i="13"/>
  <c r="G38" i="13"/>
  <c r="M38" i="13" s="1"/>
  <c r="G44" i="13"/>
  <c r="M44" i="13" s="1"/>
  <c r="O44" i="13"/>
  <c r="I44" i="13"/>
  <c r="Q44" i="13"/>
  <c r="E35" i="14"/>
  <c r="K70" i="14"/>
  <c r="I70" i="14"/>
  <c r="O70" i="14"/>
  <c r="G70" i="14"/>
  <c r="M70" i="14" s="1"/>
  <c r="E25" i="14"/>
  <c r="Q25" i="14" s="1"/>
  <c r="Q21" i="14"/>
  <c r="E27" i="14"/>
  <c r="E32" i="14" s="1"/>
  <c r="G32" i="14" s="1"/>
  <c r="M32" i="14" s="1"/>
  <c r="E30" i="14"/>
  <c r="K23" i="14"/>
  <c r="G23" i="14"/>
  <c r="M23" i="14" s="1"/>
  <c r="O23" i="14"/>
  <c r="I23" i="14"/>
  <c r="K21" i="14"/>
  <c r="G21" i="14"/>
  <c r="M21" i="14" s="1"/>
  <c r="O21" i="14"/>
  <c r="I21" i="14"/>
  <c r="I19" i="14"/>
  <c r="G19" i="14"/>
  <c r="M19" i="14" s="1"/>
  <c r="K19" i="14"/>
  <c r="O19" i="14"/>
  <c r="K16" i="14"/>
  <c r="G16" i="14"/>
  <c r="M16" i="14" s="1"/>
  <c r="O16" i="14"/>
  <c r="I16" i="14"/>
  <c r="I69" i="13" l="1"/>
  <c r="O67" i="13"/>
  <c r="E98" i="14"/>
  <c r="E100" i="14"/>
  <c r="Q69" i="13"/>
  <c r="K67" i="13"/>
  <c r="K69" i="13"/>
  <c r="K25" i="14"/>
  <c r="E83" i="14"/>
  <c r="O65" i="14"/>
  <c r="O56" i="14" s="1"/>
  <c r="K65" i="14"/>
  <c r="K56" i="14" s="1"/>
  <c r="Q65" i="14"/>
  <c r="Q56" i="14" s="1"/>
  <c r="I65" i="14"/>
  <c r="I56" i="14" s="1"/>
  <c r="M61" i="14"/>
  <c r="M56" i="14" s="1"/>
  <c r="G56" i="14"/>
  <c r="I90" i="1" s="1"/>
  <c r="I54" i="14"/>
  <c r="O54" i="14"/>
  <c r="K54" i="14"/>
  <c r="G54" i="14"/>
  <c r="M54" i="14" s="1"/>
  <c r="O25" i="14"/>
  <c r="G25" i="14"/>
  <c r="M25" i="14" s="1"/>
  <c r="I25" i="14"/>
  <c r="K32" i="14"/>
  <c r="Q32" i="14"/>
  <c r="I32" i="14"/>
  <c r="O32" i="14"/>
  <c r="K100" i="14" l="1"/>
  <c r="Q100" i="14"/>
  <c r="I100" i="14"/>
  <c r="G100" i="14"/>
  <c r="M100" i="14" s="1"/>
  <c r="O100" i="14"/>
  <c r="Q71" i="13" l="1"/>
  <c r="O71" i="13"/>
  <c r="K71" i="13"/>
  <c r="I71" i="13"/>
  <c r="G71" i="13"/>
  <c r="M71" i="13" s="1"/>
  <c r="Q73" i="13"/>
  <c r="O73" i="13"/>
  <c r="K73" i="13"/>
  <c r="I73" i="13"/>
  <c r="G73" i="13"/>
  <c r="M73" i="13" s="1"/>
  <c r="Q117" i="13"/>
  <c r="O117" i="13"/>
  <c r="K117" i="13"/>
  <c r="I117" i="13"/>
  <c r="G117" i="13"/>
  <c r="M117" i="13" s="1"/>
  <c r="Q114" i="14"/>
  <c r="O114" i="14"/>
  <c r="K114" i="14"/>
  <c r="I114" i="14"/>
  <c r="G114" i="14"/>
  <c r="M114" i="14" s="1"/>
  <c r="Q124" i="14"/>
  <c r="O124" i="14"/>
  <c r="K124" i="14"/>
  <c r="I124" i="14"/>
  <c r="G124" i="14"/>
  <c r="M124" i="14" s="1"/>
  <c r="Q121" i="14"/>
  <c r="O121" i="14"/>
  <c r="K121" i="14"/>
  <c r="I121" i="14"/>
  <c r="G121" i="14"/>
  <c r="M121" i="14" s="1"/>
  <c r="Q117" i="14"/>
  <c r="O117" i="14"/>
  <c r="K117" i="14"/>
  <c r="I117" i="14"/>
  <c r="G117" i="14"/>
  <c r="M117" i="14" s="1"/>
  <c r="Q111" i="14"/>
  <c r="O111" i="14"/>
  <c r="K111" i="14"/>
  <c r="I111" i="14"/>
  <c r="G111" i="14"/>
  <c r="M111" i="14" s="1"/>
  <c r="Q109" i="14"/>
  <c r="O109" i="14"/>
  <c r="K109" i="14"/>
  <c r="I109" i="14"/>
  <c r="G109" i="14"/>
  <c r="M109" i="14" s="1"/>
  <c r="Q107" i="14"/>
  <c r="O107" i="14"/>
  <c r="K107" i="14"/>
  <c r="I107" i="14"/>
  <c r="G107" i="14"/>
  <c r="M107" i="14" s="1"/>
  <c r="Q104" i="14"/>
  <c r="O104" i="14"/>
  <c r="K104" i="14"/>
  <c r="I104" i="14"/>
  <c r="G104" i="14"/>
  <c r="M104" i="14" s="1"/>
  <c r="Q89" i="14"/>
  <c r="O83" i="14"/>
  <c r="O82" i="14" s="1"/>
  <c r="Q80" i="14"/>
  <c r="O80" i="14"/>
  <c r="K80" i="14"/>
  <c r="I80" i="14"/>
  <c r="G80" i="14"/>
  <c r="M80" i="14" s="1"/>
  <c r="O77" i="14"/>
  <c r="Q73" i="14"/>
  <c r="O73" i="14"/>
  <c r="K73" i="14"/>
  <c r="I73" i="14"/>
  <c r="G73" i="14"/>
  <c r="M73" i="14" s="1"/>
  <c r="V69" i="14"/>
  <c r="Q40" i="14"/>
  <c r="Q39" i="14" s="1"/>
  <c r="O40" i="14"/>
  <c r="O39" i="14" s="1"/>
  <c r="K40" i="14"/>
  <c r="K39" i="14" s="1"/>
  <c r="I40" i="14"/>
  <c r="I39" i="14" s="1"/>
  <c r="G40" i="14"/>
  <c r="G39" i="14" s="1"/>
  <c r="I89" i="1" s="1"/>
  <c r="Q12" i="14"/>
  <c r="O12" i="14"/>
  <c r="K12" i="14"/>
  <c r="I12" i="14"/>
  <c r="G12" i="14"/>
  <c r="M12" i="14" s="1"/>
  <c r="A12" i="14"/>
  <c r="V10" i="14"/>
  <c r="V8" i="14" s="1"/>
  <c r="O9" i="14"/>
  <c r="Q83" i="12"/>
  <c r="O83" i="12"/>
  <c r="K83" i="12"/>
  <c r="I83" i="12"/>
  <c r="G83" i="12"/>
  <c r="M83" i="12" s="1"/>
  <c r="Q80" i="12"/>
  <c r="O80" i="12"/>
  <c r="K80" i="12"/>
  <c r="I80" i="12"/>
  <c r="G80" i="12"/>
  <c r="M80" i="12" s="1"/>
  <c r="M79" i="12" s="1"/>
  <c r="Q79" i="12"/>
  <c r="O79" i="12"/>
  <c r="K79" i="12"/>
  <c r="I79" i="12"/>
  <c r="E108" i="12"/>
  <c r="E102" i="12"/>
  <c r="E95" i="12" s="1"/>
  <c r="K95" i="12" s="1"/>
  <c r="A15" i="13"/>
  <c r="A18" i="13" s="1"/>
  <c r="A21" i="13" s="1"/>
  <c r="G127" i="13"/>
  <c r="M127" i="13" s="1"/>
  <c r="E110" i="12"/>
  <c r="O110" i="12" s="1"/>
  <c r="Q112" i="12"/>
  <c r="O112" i="12"/>
  <c r="K112" i="12"/>
  <c r="I112" i="12"/>
  <c r="G112" i="12"/>
  <c r="M112" i="12" s="1"/>
  <c r="E49" i="12"/>
  <c r="E47" i="12"/>
  <c r="A12" i="12"/>
  <c r="A14" i="12" s="1"/>
  <c r="A16" i="12" s="1"/>
  <c r="A19" i="12" s="1"/>
  <c r="A22" i="12" s="1"/>
  <c r="A24" i="12" s="1"/>
  <c r="A26" i="12" s="1"/>
  <c r="A29" i="12" s="1"/>
  <c r="A32" i="12" s="1"/>
  <c r="A34" i="12" s="1"/>
  <c r="A37" i="12" s="1"/>
  <c r="A40" i="12" s="1"/>
  <c r="A42" i="12" s="1"/>
  <c r="E77" i="12"/>
  <c r="E60" i="12"/>
  <c r="E63" i="12"/>
  <c r="E65" i="12"/>
  <c r="G65" i="12" s="1"/>
  <c r="M65" i="12" s="1"/>
  <c r="E19" i="12"/>
  <c r="E9" i="12"/>
  <c r="E12" i="12" s="1"/>
  <c r="E133" i="12" s="1"/>
  <c r="E102" i="13"/>
  <c r="Q127" i="13"/>
  <c r="O127" i="13"/>
  <c r="K127" i="13"/>
  <c r="I127" i="13"/>
  <c r="Q124" i="13"/>
  <c r="O124" i="13"/>
  <c r="K124" i="13"/>
  <c r="I124" i="13"/>
  <c r="G124" i="13"/>
  <c r="M124" i="13" s="1"/>
  <c r="Q120" i="13"/>
  <c r="O120" i="13"/>
  <c r="K120" i="13"/>
  <c r="I120" i="13"/>
  <c r="G120" i="13"/>
  <c r="M120" i="13" s="1"/>
  <c r="Q115" i="13"/>
  <c r="O115" i="13"/>
  <c r="K115" i="13"/>
  <c r="I115" i="13"/>
  <c r="G115" i="13"/>
  <c r="M115" i="13" s="1"/>
  <c r="Q113" i="13"/>
  <c r="O113" i="13"/>
  <c r="K113" i="13"/>
  <c r="I113" i="13"/>
  <c r="G113" i="13"/>
  <c r="M113" i="13" s="1"/>
  <c r="Q111" i="13"/>
  <c r="O111" i="13"/>
  <c r="K111" i="13"/>
  <c r="I111" i="13"/>
  <c r="G111" i="13"/>
  <c r="M111" i="13" s="1"/>
  <c r="E23" i="13"/>
  <c r="O23" i="13" s="1"/>
  <c r="Q35" i="13"/>
  <c r="O35" i="13"/>
  <c r="K35" i="13"/>
  <c r="G35" i="13"/>
  <c r="M35" i="13" s="1"/>
  <c r="E81" i="13"/>
  <c r="A23" i="13" l="1"/>
  <c r="A26" i="13" s="1"/>
  <c r="A29" i="13" s="1"/>
  <c r="A14" i="14"/>
  <c r="A16" i="14" s="1"/>
  <c r="A19" i="14" s="1"/>
  <c r="A21" i="14" s="1"/>
  <c r="A23" i="14" s="1"/>
  <c r="A25" i="14" s="1"/>
  <c r="A27" i="14" s="1"/>
  <c r="M40" i="14"/>
  <c r="M39" i="14" s="1"/>
  <c r="Q120" i="14"/>
  <c r="O106" i="14"/>
  <c r="I83" i="14"/>
  <c r="I82" i="14" s="1"/>
  <c r="I120" i="14"/>
  <c r="K83" i="14"/>
  <c r="K82" i="14" s="1"/>
  <c r="M120" i="14"/>
  <c r="G69" i="14"/>
  <c r="I91" i="1" s="1"/>
  <c r="K106" i="14"/>
  <c r="K89" i="14"/>
  <c r="E37" i="14"/>
  <c r="O69" i="14"/>
  <c r="I77" i="14"/>
  <c r="Q83" i="14"/>
  <c r="Q82" i="14" s="1"/>
  <c r="Q106" i="14"/>
  <c r="K77" i="14"/>
  <c r="G83" i="14"/>
  <c r="Q87" i="14"/>
  <c r="Q86" i="14" s="1"/>
  <c r="I9" i="14"/>
  <c r="I69" i="14"/>
  <c r="K69" i="14"/>
  <c r="Q77" i="14"/>
  <c r="Q76" i="14" s="1"/>
  <c r="I102" i="14"/>
  <c r="I106" i="14"/>
  <c r="K120" i="14"/>
  <c r="G120" i="14"/>
  <c r="I97" i="1" s="1"/>
  <c r="O120" i="14"/>
  <c r="Q69" i="14"/>
  <c r="M106" i="14"/>
  <c r="K9" i="14"/>
  <c r="Q9" i="14"/>
  <c r="M69" i="14"/>
  <c r="O76" i="14"/>
  <c r="G89" i="14"/>
  <c r="M89" i="14" s="1"/>
  <c r="O89" i="14"/>
  <c r="G106" i="14"/>
  <c r="I96" i="1" s="1"/>
  <c r="G9" i="14"/>
  <c r="G77" i="14"/>
  <c r="I89" i="14"/>
  <c r="E29" i="13"/>
  <c r="O29" i="13" s="1"/>
  <c r="G79" i="12"/>
  <c r="I60" i="1"/>
  <c r="E97" i="12"/>
  <c r="I97" i="12" s="1"/>
  <c r="E135" i="12"/>
  <c r="G95" i="12"/>
  <c r="M95" i="12" s="1"/>
  <c r="O95" i="12"/>
  <c r="I95" i="12"/>
  <c r="Q95" i="12"/>
  <c r="A45" i="12"/>
  <c r="A47" i="12" s="1"/>
  <c r="A49" i="12" s="1"/>
  <c r="A51" i="12" s="1"/>
  <c r="A53" i="12" s="1"/>
  <c r="A55" i="12" s="1"/>
  <c r="A57" i="12" s="1"/>
  <c r="A60" i="12" s="1"/>
  <c r="A63" i="12" s="1"/>
  <c r="A65" i="12" s="1"/>
  <c r="A67" i="12" s="1"/>
  <c r="A69" i="12" s="1"/>
  <c r="A71" i="12" s="1"/>
  <c r="A74" i="12" s="1"/>
  <c r="A77" i="12" s="1"/>
  <c r="E51" i="12"/>
  <c r="E126" i="12"/>
  <c r="K110" i="12"/>
  <c r="I110" i="12"/>
  <c r="Q110" i="12"/>
  <c r="G110" i="12"/>
  <c r="M110" i="12" s="1"/>
  <c r="E22" i="12"/>
  <c r="Q65" i="12"/>
  <c r="E45" i="12"/>
  <c r="E53" i="12" s="1"/>
  <c r="E55" i="12" s="1"/>
  <c r="E130" i="12" s="1"/>
  <c r="O65" i="12"/>
  <c r="M123" i="13"/>
  <c r="K23" i="13"/>
  <c r="G123" i="13"/>
  <c r="I82" i="1" s="1"/>
  <c r="O18" i="13"/>
  <c r="Q23" i="13"/>
  <c r="E26" i="13"/>
  <c r="O26" i="13" s="1"/>
  <c r="G23" i="13"/>
  <c r="M23" i="13" s="1"/>
  <c r="I23" i="13"/>
  <c r="I18" i="13"/>
  <c r="Q18" i="13"/>
  <c r="G18" i="13"/>
  <c r="M18" i="13" s="1"/>
  <c r="K18" i="13"/>
  <c r="I35" i="13"/>
  <c r="A32" i="13" l="1"/>
  <c r="A35" i="13" s="1"/>
  <c r="A38" i="13" s="1"/>
  <c r="A40" i="13" s="1"/>
  <c r="A42" i="13" s="1"/>
  <c r="A44" i="13" s="1"/>
  <c r="I29" i="13"/>
  <c r="A30" i="14"/>
  <c r="A32" i="14" s="1"/>
  <c r="A35" i="14" s="1"/>
  <c r="G87" i="14"/>
  <c r="K76" i="14"/>
  <c r="O102" i="14"/>
  <c r="Q102" i="14"/>
  <c r="O27" i="14"/>
  <c r="G102" i="14"/>
  <c r="M102" i="14" s="1"/>
  <c r="K27" i="14"/>
  <c r="Q29" i="13"/>
  <c r="K29" i="13"/>
  <c r="G29" i="13"/>
  <c r="M29" i="13" s="1"/>
  <c r="I76" i="14"/>
  <c r="O87" i="14"/>
  <c r="O86" i="14" s="1"/>
  <c r="K30" i="14"/>
  <c r="I27" i="14"/>
  <c r="Q27" i="14"/>
  <c r="I87" i="14"/>
  <c r="I86" i="14" s="1"/>
  <c r="G27" i="14"/>
  <c r="M27" i="14" s="1"/>
  <c r="K87" i="14"/>
  <c r="K86" i="14" s="1"/>
  <c r="M83" i="14"/>
  <c r="M82" i="14" s="1"/>
  <c r="G82" i="14"/>
  <c r="I93" i="1" s="1"/>
  <c r="K102" i="14"/>
  <c r="M77" i="14"/>
  <c r="M76" i="14" s="1"/>
  <c r="G76" i="14"/>
  <c r="I92" i="1" s="1"/>
  <c r="K37" i="14"/>
  <c r="Q37" i="14"/>
  <c r="I37" i="14"/>
  <c r="O37" i="14"/>
  <c r="G37" i="14"/>
  <c r="M37" i="14" s="1"/>
  <c r="M9" i="14"/>
  <c r="A80" i="12"/>
  <c r="G97" i="12"/>
  <c r="M97" i="12" s="1"/>
  <c r="Q97" i="12"/>
  <c r="K97" i="12"/>
  <c r="O97" i="12"/>
  <c r="E128" i="12"/>
  <c r="K26" i="13"/>
  <c r="G21" i="13"/>
  <c r="M21" i="13" s="1"/>
  <c r="Q21" i="13"/>
  <c r="I21" i="13"/>
  <c r="Q26" i="13"/>
  <c r="K21" i="13"/>
  <c r="O21" i="13"/>
  <c r="G26" i="13"/>
  <c r="M26" i="13" s="1"/>
  <c r="I26" i="13"/>
  <c r="M87" i="14" l="1"/>
  <c r="M86" i="14" s="1"/>
  <c r="G86" i="14"/>
  <c r="I94" i="1" s="1"/>
  <c r="A37" i="14"/>
  <c r="A40" i="14" s="1"/>
  <c r="A47" i="13"/>
  <c r="I30" i="14"/>
  <c r="I8" i="14" s="1"/>
  <c r="K8" i="14"/>
  <c r="Q30" i="14"/>
  <c r="Q8" i="14" s="1"/>
  <c r="G35" i="14"/>
  <c r="M35" i="14" s="1"/>
  <c r="O30" i="14"/>
  <c r="O8" i="14" s="1"/>
  <c r="G30" i="14"/>
  <c r="M30" i="14" s="1"/>
  <c r="K95" i="14"/>
  <c r="G95" i="14"/>
  <c r="O95" i="14"/>
  <c r="I95" i="14"/>
  <c r="Q95" i="14"/>
  <c r="A87" i="12"/>
  <c r="A90" i="12" s="1"/>
  <c r="A93" i="12" s="1"/>
  <c r="A95" i="12" s="1"/>
  <c r="A97" i="12" s="1"/>
  <c r="A100" i="12" s="1"/>
  <c r="A102" i="12" s="1"/>
  <c r="A105" i="12" s="1"/>
  <c r="A108" i="12" s="1"/>
  <c r="A110" i="12" s="1"/>
  <c r="A112" i="12" s="1"/>
  <c r="A114" i="12" s="1"/>
  <c r="A116" i="12" s="1"/>
  <c r="A120" i="12" s="1"/>
  <c r="A123" i="12" s="1"/>
  <c r="A126" i="12" s="1"/>
  <c r="A128" i="12" s="1"/>
  <c r="A130" i="12" s="1"/>
  <c r="A133" i="12" s="1"/>
  <c r="A135" i="12" s="1"/>
  <c r="A137" i="12" s="1"/>
  <c r="A140" i="12" s="1"/>
  <c r="A142" i="12" s="1"/>
  <c r="A145" i="12" s="1"/>
  <c r="A147" i="12" s="1"/>
  <c r="A151" i="12" s="1"/>
  <c r="A154" i="12" s="1"/>
  <c r="A157" i="12" s="1"/>
  <c r="A83" i="12"/>
  <c r="E123" i="12"/>
  <c r="O9" i="12"/>
  <c r="I123" i="13"/>
  <c r="K123" i="13"/>
  <c r="Q108" i="13"/>
  <c r="O108" i="13"/>
  <c r="K108" i="13"/>
  <c r="I108" i="13"/>
  <c r="G108" i="13"/>
  <c r="M108" i="13" s="1"/>
  <c r="Q106" i="13"/>
  <c r="O106" i="13"/>
  <c r="K106" i="13"/>
  <c r="I106" i="13"/>
  <c r="G106" i="13"/>
  <c r="M106" i="13" s="1"/>
  <c r="Q96" i="13"/>
  <c r="Q95" i="13" s="1"/>
  <c r="O96" i="13"/>
  <c r="O95" i="13" s="1"/>
  <c r="K96" i="13"/>
  <c r="K95" i="13" s="1"/>
  <c r="I96" i="13"/>
  <c r="I95" i="13" s="1"/>
  <c r="G96" i="13"/>
  <c r="M96" i="13" s="1"/>
  <c r="M95" i="13" s="1"/>
  <c r="Q90" i="13"/>
  <c r="O90" i="13"/>
  <c r="K90" i="13"/>
  <c r="I90" i="13"/>
  <c r="G90" i="13"/>
  <c r="M90" i="13" s="1"/>
  <c r="Q88" i="13"/>
  <c r="O88" i="13"/>
  <c r="K88" i="13"/>
  <c r="I88" i="13"/>
  <c r="G88" i="13"/>
  <c r="M88" i="13" s="1"/>
  <c r="Q84" i="13"/>
  <c r="Q83" i="13" s="1"/>
  <c r="O84" i="13"/>
  <c r="O83" i="13" s="1"/>
  <c r="K84" i="13"/>
  <c r="K83" i="13" s="1"/>
  <c r="I84" i="13"/>
  <c r="I83" i="13" s="1"/>
  <c r="G84" i="13"/>
  <c r="M84" i="13" s="1"/>
  <c r="M83" i="13" s="1"/>
  <c r="Q81" i="13"/>
  <c r="O81" i="13"/>
  <c r="K81" i="13"/>
  <c r="I81" i="13"/>
  <c r="G81" i="13"/>
  <c r="M81" i="13" s="1"/>
  <c r="Q79" i="13"/>
  <c r="O79" i="13"/>
  <c r="K79" i="13"/>
  <c r="I79" i="13"/>
  <c r="G79" i="13"/>
  <c r="M79" i="13" s="1"/>
  <c r="Q76" i="13"/>
  <c r="O76" i="13"/>
  <c r="K76" i="13"/>
  <c r="I76" i="13"/>
  <c r="G76" i="13"/>
  <c r="M76" i="13" s="1"/>
  <c r="Q62" i="13"/>
  <c r="Q61" i="13" s="1"/>
  <c r="O62" i="13"/>
  <c r="O61" i="13" s="1"/>
  <c r="K62" i="13"/>
  <c r="K61" i="13" s="1"/>
  <c r="I62" i="13"/>
  <c r="I61" i="13" s="1"/>
  <c r="G62" i="13"/>
  <c r="M62" i="13" s="1"/>
  <c r="Q58" i="13"/>
  <c r="O58" i="13"/>
  <c r="K58" i="13"/>
  <c r="I58" i="13"/>
  <c r="G58" i="13"/>
  <c r="M58" i="13" s="1"/>
  <c r="Q56" i="13"/>
  <c r="O56" i="13"/>
  <c r="K56" i="13"/>
  <c r="I56" i="13"/>
  <c r="G56" i="13"/>
  <c r="M56" i="13" s="1"/>
  <c r="Q47" i="13"/>
  <c r="O47" i="13"/>
  <c r="K47" i="13"/>
  <c r="I47" i="13"/>
  <c r="G47" i="13"/>
  <c r="M47" i="13" s="1"/>
  <c r="Q32" i="13"/>
  <c r="O32" i="13"/>
  <c r="K32" i="13"/>
  <c r="I32" i="13"/>
  <c r="G32" i="13"/>
  <c r="M32" i="13" s="1"/>
  <c r="Q15" i="13"/>
  <c r="O15" i="13"/>
  <c r="K15" i="13"/>
  <c r="I15" i="13"/>
  <c r="G15" i="13"/>
  <c r="M15" i="13" s="1"/>
  <c r="M95" i="14" l="1"/>
  <c r="A42" i="14"/>
  <c r="A51" i="13"/>
  <c r="A53" i="13" s="1"/>
  <c r="A56" i="13" s="1"/>
  <c r="A58" i="13" s="1"/>
  <c r="Q87" i="13"/>
  <c r="G95" i="13"/>
  <c r="I79" i="1" s="1"/>
  <c r="I18" i="1" s="1"/>
  <c r="M8" i="14"/>
  <c r="G8" i="14"/>
  <c r="I88" i="1" s="1"/>
  <c r="Q98" i="14"/>
  <c r="Q94" i="14" s="1"/>
  <c r="I98" i="14"/>
  <c r="I94" i="14" s="1"/>
  <c r="K98" i="14"/>
  <c r="K94" i="14" s="1"/>
  <c r="O98" i="14"/>
  <c r="O94" i="14" s="1"/>
  <c r="G98" i="14"/>
  <c r="M98" i="14" s="1"/>
  <c r="M94" i="14" s="1"/>
  <c r="Q75" i="13"/>
  <c r="I75" i="13"/>
  <c r="O75" i="13"/>
  <c r="I87" i="13"/>
  <c r="O87" i="13"/>
  <c r="K87" i="13"/>
  <c r="Q99" i="13"/>
  <c r="Q102" i="13"/>
  <c r="K110" i="13"/>
  <c r="Q110" i="13"/>
  <c r="I110" i="13"/>
  <c r="O110" i="13"/>
  <c r="Q123" i="13"/>
  <c r="O123" i="13"/>
  <c r="O31" i="13"/>
  <c r="I31" i="13"/>
  <c r="G83" i="13"/>
  <c r="I77" i="1" s="1"/>
  <c r="G87" i="13"/>
  <c r="I78" i="1" s="1"/>
  <c r="I17" i="1" s="1"/>
  <c r="M31" i="13"/>
  <c r="K31" i="13"/>
  <c r="Q31" i="13"/>
  <c r="G110" i="13"/>
  <c r="I81" i="1" s="1"/>
  <c r="Q8" i="13"/>
  <c r="K99" i="13"/>
  <c r="G31" i="13"/>
  <c r="I73" i="1" s="1"/>
  <c r="G61" i="13"/>
  <c r="I75" i="1" s="1"/>
  <c r="G75" i="13"/>
  <c r="I76" i="1" s="1"/>
  <c r="G99" i="13"/>
  <c r="O99" i="13"/>
  <c r="K75" i="13"/>
  <c r="M75" i="13"/>
  <c r="I9" i="12"/>
  <c r="Q9" i="12"/>
  <c r="G9" i="12"/>
  <c r="K9" i="12"/>
  <c r="M87" i="13"/>
  <c r="M110" i="13"/>
  <c r="M61" i="13"/>
  <c r="I99" i="13"/>
  <c r="G94" i="14" l="1"/>
  <c r="G128" i="14"/>
  <c r="I95" i="1"/>
  <c r="I98" i="1" s="1"/>
  <c r="A44" i="14"/>
  <c r="A48" i="14" s="1"/>
  <c r="A50" i="14" s="1"/>
  <c r="A52" i="14" s="1"/>
  <c r="A54" i="14" s="1"/>
  <c r="A57" i="14" s="1"/>
  <c r="A59" i="14" s="1"/>
  <c r="A61" i="14" s="1"/>
  <c r="A63" i="14" s="1"/>
  <c r="A65" i="14" s="1"/>
  <c r="A67" i="14" s="1"/>
  <c r="A70" i="14" s="1"/>
  <c r="A73" i="14" s="1"/>
  <c r="A77" i="14" s="1"/>
  <c r="A80" i="14" s="1"/>
  <c r="A83" i="14" s="1"/>
  <c r="A87" i="14" s="1"/>
  <c r="A89" i="14" s="1"/>
  <c r="A46" i="14"/>
  <c r="A62" i="13"/>
  <c r="Q98" i="13"/>
  <c r="M99" i="13"/>
  <c r="I102" i="13"/>
  <c r="I98" i="13" s="1"/>
  <c r="K102" i="13"/>
  <c r="K98" i="13" s="1"/>
  <c r="O8" i="13"/>
  <c r="M8" i="13"/>
  <c r="O102" i="13"/>
  <c r="O98" i="13" s="1"/>
  <c r="G102" i="13"/>
  <c r="M102" i="13" s="1"/>
  <c r="K8" i="13"/>
  <c r="M9" i="12"/>
  <c r="G8" i="13"/>
  <c r="O53" i="13"/>
  <c r="K53" i="13"/>
  <c r="G53" i="13"/>
  <c r="M53" i="13" s="1"/>
  <c r="Q53" i="13"/>
  <c r="I53" i="13"/>
  <c r="I8" i="13"/>
  <c r="G98" i="13" l="1"/>
  <c r="I50" i="1"/>
  <c r="J93" i="1"/>
  <c r="J90" i="1"/>
  <c r="J89" i="1"/>
  <c r="J92" i="1"/>
  <c r="J95" i="1"/>
  <c r="J97" i="1"/>
  <c r="J96" i="1"/>
  <c r="J88" i="1"/>
  <c r="J94" i="1"/>
  <c r="J91" i="1"/>
  <c r="A65" i="13"/>
  <c r="A67" i="13" s="1"/>
  <c r="A69" i="13" s="1"/>
  <c r="A71" i="13" s="1"/>
  <c r="A73" i="13" s="1"/>
  <c r="A76" i="13" s="1"/>
  <c r="A79" i="13" s="1"/>
  <c r="A81" i="13" s="1"/>
  <c r="A84" i="13" s="1"/>
  <c r="A88" i="13" s="1"/>
  <c r="A90" i="13" s="1"/>
  <c r="A99" i="13" s="1"/>
  <c r="A102" i="13" s="1"/>
  <c r="A98" i="14"/>
  <c r="I72" i="1"/>
  <c r="M98" i="13"/>
  <c r="Q50" i="13"/>
  <c r="I50" i="13"/>
  <c r="O50" i="13"/>
  <c r="K50" i="13"/>
  <c r="M50" i="13"/>
  <c r="G50" i="13"/>
  <c r="I74" i="1" s="1"/>
  <c r="J98" i="1" l="1"/>
  <c r="A100" i="14"/>
  <c r="A102" i="14" s="1"/>
  <c r="A104" i="14" s="1"/>
  <c r="A107" i="14" s="1"/>
  <c r="A109" i="14" s="1"/>
  <c r="A111" i="14" s="1"/>
  <c r="A114" i="14" s="1"/>
  <c r="A117" i="14" s="1"/>
  <c r="A121" i="14" s="1"/>
  <c r="A124" i="14" s="1"/>
  <c r="A104" i="13"/>
  <c r="A106" i="13" s="1"/>
  <c r="A108" i="13" s="1"/>
  <c r="A111" i="13" s="1"/>
  <c r="A113" i="13" s="1"/>
  <c r="A115" i="13" s="1"/>
  <c r="I80" i="1"/>
  <c r="I83" i="1" s="1"/>
  <c r="I49" i="1" s="1"/>
  <c r="G131" i="13"/>
  <c r="O77" i="12"/>
  <c r="O74" i="12"/>
  <c r="O71" i="12"/>
  <c r="Q45" i="12"/>
  <c r="O45" i="12"/>
  <c r="K45" i="12"/>
  <c r="I45" i="12"/>
  <c r="G45" i="12"/>
  <c r="E37" i="12"/>
  <c r="E26" i="12"/>
  <c r="E29" i="12" s="1"/>
  <c r="A120" i="13" l="1"/>
  <c r="A124" i="13" s="1"/>
  <c r="A127" i="13" s="1"/>
  <c r="A117" i="13"/>
  <c r="J72" i="1"/>
  <c r="J80" i="1"/>
  <c r="J76" i="1"/>
  <c r="J81" i="1"/>
  <c r="J77" i="1"/>
  <c r="J73" i="1"/>
  <c r="J79" i="1"/>
  <c r="J75" i="1"/>
  <c r="J82" i="1"/>
  <c r="J78" i="1"/>
  <c r="J74" i="1"/>
  <c r="M45" i="12"/>
  <c r="G77" i="12"/>
  <c r="M77" i="12" s="1"/>
  <c r="Q77" i="12"/>
  <c r="I74" i="12"/>
  <c r="Q74" i="12"/>
  <c r="G74" i="12"/>
  <c r="M74" i="12" s="1"/>
  <c r="K74" i="12"/>
  <c r="I71" i="12"/>
  <c r="Q71" i="12"/>
  <c r="G71" i="12"/>
  <c r="M71" i="12" s="1"/>
  <c r="K71" i="12"/>
  <c r="E24" i="12"/>
  <c r="G123" i="12"/>
  <c r="M123" i="12" s="1"/>
  <c r="J83" i="1" l="1"/>
  <c r="Q53" i="12" l="1"/>
  <c r="Q55" i="12"/>
  <c r="Q120" i="12"/>
  <c r="O120" i="12"/>
  <c r="K120" i="12"/>
  <c r="I120" i="12"/>
  <c r="G120" i="12"/>
  <c r="Q87" i="12"/>
  <c r="O87" i="12"/>
  <c r="K87" i="12"/>
  <c r="I87" i="12"/>
  <c r="G87" i="12"/>
  <c r="Q100" i="12"/>
  <c r="O100" i="12"/>
  <c r="K100" i="12"/>
  <c r="I100" i="12"/>
  <c r="G100" i="12"/>
  <c r="M100" i="12" s="1"/>
  <c r="M120" i="12" l="1"/>
  <c r="M119" i="12" s="1"/>
  <c r="G119" i="12"/>
  <c r="M87" i="12"/>
  <c r="I51" i="12"/>
  <c r="K53" i="12"/>
  <c r="G53" i="12"/>
  <c r="M53" i="12" s="1"/>
  <c r="O53" i="12"/>
  <c r="G51" i="12"/>
  <c r="M51" i="12" s="1"/>
  <c r="O51" i="12"/>
  <c r="I53" i="12"/>
  <c r="G55" i="12"/>
  <c r="M55" i="12" s="1"/>
  <c r="K55" i="12"/>
  <c r="O55" i="12"/>
  <c r="I55" i="12"/>
  <c r="K51" i="12" l="1"/>
  <c r="Q51" i="12"/>
  <c r="Q135" i="12" l="1"/>
  <c r="O135" i="12"/>
  <c r="G135" i="12"/>
  <c r="M135" i="12" s="1"/>
  <c r="K135" i="12"/>
  <c r="I135" i="12"/>
  <c r="Q93" i="12"/>
  <c r="O93" i="12"/>
  <c r="K93" i="12"/>
  <c r="I93" i="12"/>
  <c r="G93" i="12"/>
  <c r="M93" i="12" s="1"/>
  <c r="AZ54" i="13" l="1"/>
  <c r="V53" i="13"/>
  <c r="V52" i="13" s="1"/>
  <c r="AZ32" i="13"/>
  <c r="V31" i="13"/>
  <c r="E137" i="12" l="1"/>
  <c r="V8" i="13" l="1"/>
  <c r="Q57" i="12" l="1"/>
  <c r="O57" i="12"/>
  <c r="K57" i="12"/>
  <c r="I57" i="12"/>
  <c r="G57" i="12"/>
  <c r="M57" i="12" l="1"/>
  <c r="O67" i="12"/>
  <c r="Q67" i="12" l="1"/>
  <c r="G67" i="12"/>
  <c r="M67" i="12" s="1"/>
  <c r="O108" i="12"/>
  <c r="I108" i="12" l="1"/>
  <c r="Q108" i="12"/>
  <c r="G108" i="12"/>
  <c r="M108" i="12" s="1"/>
  <c r="K108" i="12"/>
  <c r="Q40" i="12" l="1"/>
  <c r="G40" i="12" l="1"/>
  <c r="M40" i="12" s="1"/>
  <c r="O40" i="12"/>
  <c r="K40" i="12"/>
  <c r="I40" i="12"/>
  <c r="Q119" i="12" l="1"/>
  <c r="O119" i="12"/>
  <c r="K119" i="12"/>
  <c r="I119" i="12"/>
  <c r="Q90" i="12"/>
  <c r="O90" i="12"/>
  <c r="K90" i="12"/>
  <c r="I90" i="12"/>
  <c r="G90" i="12"/>
  <c r="Q37" i="12"/>
  <c r="O37" i="12"/>
  <c r="K37" i="12"/>
  <c r="I37" i="12"/>
  <c r="G37" i="12"/>
  <c r="M37" i="12" s="1"/>
  <c r="O49" i="12"/>
  <c r="O19" i="12"/>
  <c r="Q26" i="12"/>
  <c r="O26" i="12"/>
  <c r="K26" i="12"/>
  <c r="I26" i="12"/>
  <c r="G26" i="12"/>
  <c r="I62" i="1" l="1"/>
  <c r="M26" i="12"/>
  <c r="M90" i="12"/>
  <c r="K49" i="12"/>
  <c r="Q49" i="12"/>
  <c r="G49" i="12"/>
  <c r="M49" i="12" s="1"/>
  <c r="I49" i="12"/>
  <c r="O12" i="12"/>
  <c r="E32" i="12"/>
  <c r="K19" i="12"/>
  <c r="I19" i="12"/>
  <c r="Q19" i="12"/>
  <c r="G19" i="12"/>
  <c r="M19" i="12" s="1"/>
  <c r="Q12" i="12"/>
  <c r="Q128" i="12" l="1"/>
  <c r="I128" i="12"/>
  <c r="K128" i="12"/>
  <c r="G128" i="12"/>
  <c r="M128" i="12" s="1"/>
  <c r="O128" i="12"/>
  <c r="K12" i="12"/>
  <c r="G12" i="12"/>
  <c r="I12" i="12"/>
  <c r="M12" i="12" l="1"/>
  <c r="J27" i="1"/>
  <c r="Q105" i="12" l="1"/>
  <c r="O105" i="12"/>
  <c r="K105" i="12"/>
  <c r="I105" i="12"/>
  <c r="G105" i="12"/>
  <c r="M105" i="12" s="1"/>
  <c r="E42" i="12"/>
  <c r="Q16" i="12" l="1"/>
  <c r="O16" i="12"/>
  <c r="K16" i="12"/>
  <c r="I16" i="12"/>
  <c r="G16" i="12"/>
  <c r="M16" i="12" s="1"/>
  <c r="Q147" i="12" l="1"/>
  <c r="O147" i="12"/>
  <c r="K147" i="12"/>
  <c r="I147" i="12"/>
  <c r="G147" i="12"/>
  <c r="M147" i="12" s="1"/>
  <c r="Q145" i="12"/>
  <c r="O145" i="12"/>
  <c r="K145" i="12"/>
  <c r="I145" i="12"/>
  <c r="G145" i="12"/>
  <c r="M145" i="12" s="1"/>
  <c r="Q140" i="12"/>
  <c r="O140" i="12"/>
  <c r="K140" i="12"/>
  <c r="I140" i="12"/>
  <c r="G140" i="12"/>
  <c r="Q114" i="12"/>
  <c r="O114" i="12"/>
  <c r="K114" i="12"/>
  <c r="I114" i="12"/>
  <c r="G114" i="12"/>
  <c r="Q63" i="12"/>
  <c r="O63" i="12"/>
  <c r="G69" i="12"/>
  <c r="G63" i="12"/>
  <c r="M63" i="12" l="1"/>
  <c r="M69" i="12"/>
  <c r="M114" i="12"/>
  <c r="M140" i="12"/>
  <c r="G42" i="12"/>
  <c r="M42" i="12" s="1"/>
  <c r="Q69" i="12"/>
  <c r="O69" i="12"/>
  <c r="BA158" i="12"/>
  <c r="BA155" i="12"/>
  <c r="BA152" i="12"/>
  <c r="BA143" i="12"/>
  <c r="BA61" i="12"/>
  <c r="V12" i="12"/>
  <c r="G14" i="12"/>
  <c r="I14" i="12"/>
  <c r="K14" i="12"/>
  <c r="O14" i="12"/>
  <c r="Q14" i="12"/>
  <c r="V14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9" i="12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I34" i="12"/>
  <c r="K34" i="12"/>
  <c r="O34" i="12"/>
  <c r="Q34" i="12"/>
  <c r="V34" i="12"/>
  <c r="O42" i="12"/>
  <c r="G47" i="12"/>
  <c r="G44" i="12" s="1"/>
  <c r="I47" i="12"/>
  <c r="K47" i="12"/>
  <c r="O47" i="12"/>
  <c r="Q47" i="12"/>
  <c r="V47" i="12"/>
  <c r="G60" i="12"/>
  <c r="M60" i="12" s="1"/>
  <c r="I60" i="12"/>
  <c r="K60" i="12"/>
  <c r="O60" i="12"/>
  <c r="Q60" i="12"/>
  <c r="V60" i="12"/>
  <c r="G102" i="12"/>
  <c r="G86" i="12" s="1"/>
  <c r="I102" i="12"/>
  <c r="K102" i="12"/>
  <c r="O102" i="12"/>
  <c r="Q102" i="12"/>
  <c r="V102" i="12"/>
  <c r="G116" i="12"/>
  <c r="M116" i="12" s="1"/>
  <c r="I116" i="12"/>
  <c r="K116" i="12"/>
  <c r="O116" i="12"/>
  <c r="Q116" i="12"/>
  <c r="V116" i="12"/>
  <c r="G126" i="12"/>
  <c r="M126" i="12" s="1"/>
  <c r="I126" i="12"/>
  <c r="K126" i="12"/>
  <c r="O126" i="12"/>
  <c r="Q126" i="12"/>
  <c r="V126" i="12"/>
  <c r="G130" i="12"/>
  <c r="I130" i="12"/>
  <c r="K130" i="12"/>
  <c r="O130" i="12"/>
  <c r="Q130" i="12"/>
  <c r="V130" i="12"/>
  <c r="G133" i="12"/>
  <c r="M133" i="12" s="1"/>
  <c r="I133" i="12"/>
  <c r="K133" i="12"/>
  <c r="O133" i="12"/>
  <c r="Q133" i="12"/>
  <c r="V133" i="12"/>
  <c r="G137" i="12"/>
  <c r="M137" i="12" s="1"/>
  <c r="I137" i="12"/>
  <c r="K137" i="12"/>
  <c r="O137" i="12"/>
  <c r="Q137" i="12"/>
  <c r="V137" i="12"/>
  <c r="G142" i="12"/>
  <c r="G139" i="12" s="1"/>
  <c r="I142" i="12"/>
  <c r="I139" i="12" s="1"/>
  <c r="K142" i="12"/>
  <c r="K139" i="12" s="1"/>
  <c r="O142" i="12"/>
  <c r="O139" i="12" s="1"/>
  <c r="Q142" i="12"/>
  <c r="Q139" i="12" s="1"/>
  <c r="V142" i="12"/>
  <c r="V139" i="12" s="1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Q157" i="12"/>
  <c r="V157" i="12"/>
  <c r="AE161" i="12"/>
  <c r="F43" i="1" s="1"/>
  <c r="H44" i="1"/>
  <c r="G8" i="12" l="1"/>
  <c r="I61" i="1"/>
  <c r="I59" i="1"/>
  <c r="I65" i="1"/>
  <c r="I19" i="1" s="1"/>
  <c r="M130" i="12"/>
  <c r="M125" i="12" s="1"/>
  <c r="M34" i="12"/>
  <c r="M14" i="12"/>
  <c r="M29" i="12"/>
  <c r="M102" i="12"/>
  <c r="M86" i="12" s="1"/>
  <c r="V42" i="12"/>
  <c r="I42" i="12"/>
  <c r="I8" i="12" s="1"/>
  <c r="M47" i="12"/>
  <c r="M44" i="12" s="1"/>
  <c r="Q42" i="12"/>
  <c r="K42" i="12"/>
  <c r="O8" i="12"/>
  <c r="V86" i="12"/>
  <c r="O86" i="12"/>
  <c r="M150" i="12"/>
  <c r="O150" i="12"/>
  <c r="Q150" i="12"/>
  <c r="I150" i="12"/>
  <c r="Q132" i="12"/>
  <c r="I132" i="12"/>
  <c r="V132" i="12"/>
  <c r="O132" i="12"/>
  <c r="Q125" i="12"/>
  <c r="I125" i="12"/>
  <c r="V125" i="12"/>
  <c r="O125" i="12"/>
  <c r="K86" i="12"/>
  <c r="Q86" i="12"/>
  <c r="I86" i="12"/>
  <c r="Q44" i="12"/>
  <c r="I44" i="12"/>
  <c r="V150" i="12"/>
  <c r="K150" i="12"/>
  <c r="G150" i="12"/>
  <c r="K132" i="12"/>
  <c r="G132" i="12"/>
  <c r="I64" i="1" s="1"/>
  <c r="K125" i="12"/>
  <c r="G125" i="12"/>
  <c r="I63" i="1" s="1"/>
  <c r="V44" i="12"/>
  <c r="O44" i="12"/>
  <c r="K44" i="12"/>
  <c r="AF161" i="12"/>
  <c r="G43" i="1" s="1"/>
  <c r="I43" i="1" s="1"/>
  <c r="F40" i="1"/>
  <c r="F42" i="1"/>
  <c r="M142" i="12"/>
  <c r="M139" i="12" s="1"/>
  <c r="M132" i="12"/>
  <c r="J29" i="1"/>
  <c r="J26" i="1"/>
  <c r="G39" i="1"/>
  <c r="F39" i="1"/>
  <c r="J23" i="1"/>
  <c r="J24" i="1"/>
  <c r="J25" i="1"/>
  <c r="J28" i="1"/>
  <c r="E24" i="1"/>
  <c r="E26" i="1"/>
  <c r="G161" i="12" l="1"/>
  <c r="I58" i="1"/>
  <c r="I66" i="1"/>
  <c r="I20" i="1" s="1"/>
  <c r="M8" i="12"/>
  <c r="K8" i="12"/>
  <c r="V8" i="12"/>
  <c r="Q8" i="12"/>
  <c r="G40" i="1"/>
  <c r="G44" i="1" s="1"/>
  <c r="G42" i="1"/>
  <c r="I42" i="1" s="1"/>
  <c r="F44" i="1"/>
  <c r="G23" i="1" s="1"/>
  <c r="I67" i="1" l="1"/>
  <c r="J60" i="1" s="1"/>
  <c r="I40" i="1"/>
  <c r="I44" i="1" s="1"/>
  <c r="J43" i="1" s="1"/>
  <c r="J66" i="1" l="1"/>
  <c r="I48" i="1"/>
  <c r="I51" i="1" s="1"/>
  <c r="J61" i="1"/>
  <c r="J59" i="1"/>
  <c r="J63" i="1"/>
  <c r="J62" i="1"/>
  <c r="J58" i="1"/>
  <c r="J64" i="1"/>
  <c r="J65" i="1"/>
  <c r="J42" i="1"/>
  <c r="J40" i="1"/>
  <c r="J44" i="1" s="1"/>
  <c r="J50" i="1" l="1"/>
  <c r="I16" i="1"/>
  <c r="J67" i="1"/>
  <c r="I21" i="1" l="1"/>
  <c r="J49" i="1"/>
  <c r="J48" i="1"/>
  <c r="J51" i="1" l="1"/>
  <c r="G25" i="1"/>
  <c r="G27" i="1" s="1"/>
  <c r="G30" i="1" l="1"/>
  <c r="G29" i="1"/>
  <c r="A28" i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2663B4D0-AA01-40C3-86CA-5EB444FDDDC3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03D83DE-E26C-4747-B49E-9A45ABF7B42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<sst xmlns="http://schemas.openxmlformats.org/spreadsheetml/2006/main" count="1447" uniqueCount="460">
  <si>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</si>
  <si>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</si>
  <si>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</si>
  <si>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</si>
  <si>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</si>
  <si>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</si>
  <si>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</si>
  <si>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</si>
  <si>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</si>
  <si>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</si>
  <si>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</si>
  <si>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</si>
  <si>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</si>
  <si>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</si>
  <si>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</si>
  <si>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</si>
  <si>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</si>
  <si>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</si>
  <si>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</si>
  <si>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</si>
  <si>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</si>
  <si>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</si>
  <si>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</si>
  <si>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</si>
  <si>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</si>
  <si>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</si>
  <si>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</si>
  <si>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</si>
  <si>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</si>
  <si>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</si>
  <si>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</si>
  <si>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</si>
  <si>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</si>
  <si>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</si>
  <si>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</si>
  <si>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</si>
  <si>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</si>
  <si>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</si>
  <si>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</si>
  <si>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</si>
  <si>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</si>
  <si>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</si>
  <si>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</si>
  <si>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</si>
  <si>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</si>
  <si>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</si>
  <si>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</si>
  <si>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</si>
  <si>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</si>
  <si>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</si>
  <si>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</si>
  <si>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</si>
  <si>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</si>
  <si>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</si>
  <si>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</si>
  <si>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</si>
  <si>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</si>
  <si>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</si>
  <si>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</si>
  <si>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</si>
  <si>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</si>
  <si>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</si>
  <si>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</si>
  <si>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</si>
  <si>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</si>
  <si>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</si>
  <si>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</si>
  <si>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</si>
  <si>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</si>
  <si>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</si>
  <si>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</si>
  <si>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</si>
  <si>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</si>
  <si>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</si>
  <si>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</si>
  <si>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</si>
  <si>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</si>
  <si>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</si>
  <si>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</si>
  <si>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</si>
  <si>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</si>
  <si>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</si>
  <si>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</si>
  <si>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</si>
  <si>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</si>
  <si>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</si>
  <si>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</si>
  <si>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</si>
  <si>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</si>
  <si>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</si>
  <si>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</si>
  <si>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</si>
  <si>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</si>
  <si>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</si>
  <si>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</si>
  <si>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</si>
  <si>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</si>
  <si>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</si>
  <si>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</si>
  <si>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</si>
  <si>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</si>
  <si>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</si>
  <si>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</si>
  <si>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</si>
  <si>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</si>
  <si>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</si>
  <si>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</si>
  <si>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</si>
  <si>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</si>
  <si>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</si>
  <si>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</si>
  <si>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</si>
  <si>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</si>
  <si>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</si>
  <si>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</si>
  <si>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800-1</t>
  </si>
  <si>
    <t>m3</t>
  </si>
  <si>
    <t>122201109R00</t>
  </si>
  <si>
    <t>162701105RT3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</si>
  <si>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</si>
  <si>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</si>
  <si>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</si>
  <si>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</si>
  <si>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</si>
  <si>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</si>
  <si>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</si>
  <si>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</si>
  <si>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</si>
  <si>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</si>
  <si>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</si>
  <si>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</si>
  <si>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</si>
  <si>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</si>
  <si>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</si>
  <si>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</si>
  <si>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</si>
  <si>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</si>
  <si>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</si>
  <si>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</si>
  <si>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</si>
  <si>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</si>
  <si>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</si>
  <si>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</si>
  <si>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</si>
  <si>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</si>
  <si>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</si>
  <si>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</si>
  <si>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</si>
  <si>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</si>
  <si>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</si>
  <si>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</si>
  <si>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</si>
  <si>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</si>
  <si>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</si>
  <si>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</si>
  <si>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</si>
  <si>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</si>
  <si>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</si>
  <si>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</si>
  <si>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</si>
  <si>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</si>
  <si>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</si>
  <si>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</si>
  <si>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</si>
  <si>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</si>
  <si>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</si>
  <si>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</si>
  <si>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</si>
  <si>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</si>
  <si>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</si>
  <si>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</si>
  <si>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</si>
  <si>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</si>
  <si>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</si>
  <si>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</si>
  <si>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</si>
  <si>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</si>
  <si>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</si>
  <si>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</si>
  <si>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</si>
  <si>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</si>
  <si>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</si>
  <si>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</si>
  <si>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</si>
  <si>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</si>
  <si>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</si>
  <si>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</si>
  <si>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</si>
  <si>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</si>
  <si>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</si>
  <si>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</si>
  <si>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</si>
  <si>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181006190RT2</t>
  </si>
  <si>
    <t>564851112RT3</t>
  </si>
  <si>
    <t xml:space="preserve">dlažba betonová, zámková; přírodní šedá, tl. 60 mm </t>
  </si>
  <si>
    <t>59245255R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</si>
  <si>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</si>
  <si>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</si>
  <si>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</si>
  <si>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174101101R00</t>
  </si>
  <si>
    <t>4</t>
  </si>
  <si>
    <t>Vodorovné konstrukce</t>
  </si>
  <si>
    <t>Cena celkem bez DPH</t>
  </si>
  <si>
    <t xml:space="preserve">Osazení a montáž svislých dopravních značek sloupek, do betonového základu,  </t>
  </si>
  <si>
    <t>vč. základu, nové kotevní šrouby</t>
  </si>
  <si>
    <t>91400R01</t>
  </si>
  <si>
    <t>Odstranění podkladů nebo krytů z kameniva hrubého drceného, v ploše jednotlivě nad 50 m2</t>
  </si>
  <si>
    <t>113107539R00</t>
  </si>
  <si>
    <t>Značka dopravní, vč. sloupku 60mm, délky 2,5m + patice</t>
  </si>
  <si>
    <t>RTS 21/II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</si>
  <si>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</si>
  <si>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</si>
  <si>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</si>
  <si>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</si>
  <si>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</si>
  <si>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</si>
  <si>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59217002R</t>
  </si>
  <si>
    <t>573231130R00</t>
  </si>
  <si>
    <t>Postřik živičný spojovací bez posypu kamenivem z asfaltu silničního, v množství od 0,3 do 0,5 kg/m2</t>
  </si>
  <si>
    <t>s očištěním, přemístěním hmot na skládku na vzdálenost do 3 m nebo s naložením na dopravní prostředek,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</si>
  <si>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</si>
  <si>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</si>
  <si>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</si>
  <si>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</si>
  <si>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</si>
  <si>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>Odkopávky a  prokopávky nezapažené v hornině 3_x000D_ příplatek k cenám za lepivost horniny</t>
  </si>
  <si>
    <t>Odkopávky a  prokopávky nezapažené v hornině 3_x000D_ do 100 m3</t>
  </si>
  <si>
    <t>Obec Drahelčice</t>
  </si>
  <si>
    <t>Na Návsi 25</t>
  </si>
  <si>
    <t>252 19</t>
  </si>
  <si>
    <t>Drahelčice</t>
  </si>
  <si>
    <t>00233200</t>
  </si>
  <si>
    <t xml:space="preserve">Rozebrání komunikací pro pěší s jakýmkoliv ložem a výplní spár_x000D_ z dlažby betonové </t>
  </si>
  <si>
    <t>113108410R00</t>
  </si>
  <si>
    <r>
      <t>Odstranění podkladů nebo krytů živičných, v ploše nad 50 m2, tloušťka vrstvy do 10</t>
    </r>
    <r>
      <rPr>
        <sz val="8"/>
        <color theme="1"/>
        <rFont val="Arial CE"/>
        <charset val="238"/>
      </rPr>
      <t>0</t>
    </r>
    <r>
      <rPr>
        <sz val="8"/>
        <rFont val="Arial CE"/>
        <charset val="238"/>
      </rPr>
      <t xml:space="preserve"> mm</t>
    </r>
  </si>
  <si>
    <t>Podklad z mechanicky zpevněného kameniva tl. 15cm</t>
  </si>
  <si>
    <t>564952111R00</t>
  </si>
  <si>
    <t>564952115R00</t>
  </si>
  <si>
    <t>Podklad z mechanicky zpevněného kameniva tl. 19cm</t>
  </si>
  <si>
    <t>Podklad ze štěrkodrti s rozprostřením a zhutněním (frakce 0-32mm, 0/63mm), tloušťka po zhutnění 200mm</t>
  </si>
  <si>
    <t>577132177RT2</t>
  </si>
  <si>
    <t>915701751RT9</t>
  </si>
  <si>
    <t>Demontáž, očištění, uskladnění, osazení odpadkového koše vč. základová patky</t>
  </si>
  <si>
    <t>Kladení žulové dlažby z kostek, do drtě, tloušťka lože do 100 mm</t>
  </si>
  <si>
    <t>592111117R00</t>
  </si>
  <si>
    <t>592215041R00</t>
  </si>
  <si>
    <t>Kladení dlažby z dlaždic vegetačních do drtě, tloušťka dlažby 80 mm</t>
  </si>
  <si>
    <t xml:space="preserve">dlažba betonová, vegetační; přírodní šedá, tl. 80 mm </t>
  </si>
  <si>
    <t>59660755R</t>
  </si>
  <si>
    <t>obrubník chodníkový betonový; l = 1000,0 mm; š = 80 mm; h = 250,0 mm; barva přírodní</t>
  </si>
  <si>
    <t>122202202R00</t>
  </si>
  <si>
    <t>s přemístěním výkopku v příčných profilech na vzdálenost do 15 m nebo s naložením na dopravní prostředek.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</si>
  <si>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</si>
  <si>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</si>
  <si>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129200001R00</t>
  </si>
  <si>
    <t>Čištění koryt vodotečí hloubce koryta do 2,5 m, pří šířce původního dna do 5 m, v hornině 3</t>
  </si>
  <si>
    <t>s přehozením rozpojeného nánosu do 3 m nebo s naložením na dopravní prostředek,</t>
  </si>
  <si>
    <t>129203109R00</t>
  </si>
  <si>
    <t>Čištění koryt vodotečí příplatek k ceně za lepivost v hornině 3</t>
  </si>
  <si>
    <t>2</t>
  </si>
  <si>
    <t>Základy a zvláštní zakládání</t>
  </si>
  <si>
    <t>821-1</t>
  </si>
  <si>
    <t>801-2</t>
  </si>
  <si>
    <t>465513100R00</t>
  </si>
  <si>
    <t>832-1</t>
  </si>
  <si>
    <t>lomařsky upraveného pro dlažbu</t>
  </si>
  <si>
    <t>567122111R00</t>
  </si>
  <si>
    <t>bez dilatačních spár, s rozprostřením a zhutněním, ošetřením povrchu podkladu vodou</t>
  </si>
  <si>
    <t>457655511R00</t>
  </si>
  <si>
    <t>Zalití spár asfaltovou zálivkou, do 1 kg zálivky na 1 m spáry</t>
  </si>
  <si>
    <t>578132100R00</t>
  </si>
  <si>
    <t>963051111R00</t>
  </si>
  <si>
    <t>Bourání mostních nosných konstrukcí z dílců ze železobetonu</t>
  </si>
  <si>
    <t>715101811R00</t>
  </si>
  <si>
    <t>800-715</t>
  </si>
  <si>
    <t>966005211R00</t>
  </si>
  <si>
    <t xml:space="preserve">Přesun hmot pro mosty montované želbet. výška do 20 m,  </t>
  </si>
  <si>
    <t>z dílců železobetonových nebo předpjatých na novostavbách, včetně příplatku za zvětšený přesun přes vymezenou dopravní vzdálenost,</t>
  </si>
  <si>
    <t>711</t>
  </si>
  <si>
    <t>Izolace proti vodě</t>
  </si>
  <si>
    <t>800-711</t>
  </si>
  <si>
    <t>711141504R00</t>
  </si>
  <si>
    <t>Provedení očištění povrchu a natavení dvou vrstev asfaltového modifikovaného pásu včetně dodávky materiálů.</t>
  </si>
  <si>
    <t>M65</t>
  </si>
  <si>
    <t>Elektroinstalace a veřejné osvětlení</t>
  </si>
  <si>
    <t>650025541R00</t>
  </si>
  <si>
    <t>Včetně naložení na dopravní prostředek a složení na skládku, bez poplatku za skládku.</t>
  </si>
  <si>
    <t>Poplatek za skládku železobeton, skupina 17 09 04 z Katalogu odpadů</t>
  </si>
  <si>
    <t>Poplatek za skládku asfaltové pásy, skupina 17 03 02 z Katalogu odpadů</t>
  </si>
  <si>
    <t>Zalití spár asfaltovou zálivkou - za tepla</t>
  </si>
  <si>
    <t>956274471RT1</t>
  </si>
  <si>
    <t>8</t>
  </si>
  <si>
    <t>Trubní vedení</t>
  </si>
  <si>
    <t>895941860R4T</t>
  </si>
  <si>
    <t>Zřízení uliční vpusti kanalizační z betonových dílců typ UV-50</t>
  </si>
  <si>
    <t>vč. dodávky všech díclů, mříže s rámem a propojení do řádu, navrtávka hl. řádu, doprava a manipulace</t>
  </si>
  <si>
    <t>vč. dodávky všech kompozitních dílů, litinové mříže a propojení do řádu, navrtávka hl. řádu, doprava a manipulace, vč. lože a patek z betonu C16/20</t>
  </si>
  <si>
    <t>Zabezpečení staveniště, výkopů</t>
  </si>
  <si>
    <t>Odstranění zabezpečení staveniště</t>
  </si>
  <si>
    <t>005121001 R</t>
  </si>
  <si>
    <t>005121009R</t>
  </si>
  <si>
    <t>Komunikace a odvodnění</t>
  </si>
  <si>
    <t>Komunikace a odovodnění - Drahelčice</t>
  </si>
  <si>
    <t>Rekapitulace objektů SO 01 - Komunikace a odvodnění - I. etapa</t>
  </si>
  <si>
    <t>Oprava ulice Malá Strana v obci Drahelčice - I. etapa</t>
  </si>
  <si>
    <t>Komunikace a odovodnění - Drahelčice - I. etapa</t>
  </si>
  <si>
    <t xml:space="preserve">Komunikace </t>
  </si>
  <si>
    <t xml:space="preserve">Odstranění přitavených izolačních pásů v ploše přes 1 m2_x000D_, vč. likvidace
</t>
  </si>
  <si>
    <t>Rozebrání a odstranění zábradlí se sloupky osazenými do říms nebo krycích desek, vč. likvidace</t>
  </si>
  <si>
    <t>Dodávka a montáž, zábradlí ocelového trubkové, žárově zinkovaného, nátěr, vč. kotvení do římsy</t>
  </si>
  <si>
    <t>911131181R00</t>
  </si>
  <si>
    <t xml:space="preserve">Provedení izolace proti zemní vlhkosti pásy přitavením vodorovná nebo svislá, 2 vrstvy, s dodávkou izolačního pásu se skleněnou, polyesterovou nebo hliníkovou vložkou, pás s minerálním posypem </t>
  </si>
  <si>
    <t xml:space="preserve">Dočasné zajištění kabelového vedení, žlab / lávku </t>
  </si>
  <si>
    <t>Podklad z kameniva zpevněného cementem SC C8/10</t>
  </si>
  <si>
    <t>Zřízení mostovky z panelů z předpjatého betonu hladkých, vč. dodávky, ukládky a lože</t>
  </si>
  <si>
    <t>411135559R00</t>
  </si>
  <si>
    <t>411136074R00</t>
  </si>
  <si>
    <t>Vodorovné přemístění výkopku z horniny 1 až 4, na vzdálenost přes do 20 km</t>
  </si>
  <si>
    <t>Bourací práce</t>
  </si>
  <si>
    <t>Beton asfaltový s rozprostřením a zhutněním v pruhu šířky přes 3 m, ACO 8 -11 S, tloušťky 40 mm</t>
  </si>
  <si>
    <t>59245256R</t>
  </si>
  <si>
    <t>59248005R</t>
  </si>
  <si>
    <t>RTS 23/II</t>
  </si>
  <si>
    <t>obrubník silniční materiál beton; nájezdový l = 1000,0 mm; š = 150,0 mm; h = 150,0 mm; barva přírodní</t>
  </si>
  <si>
    <t>obrubník silniční materiál beton; přechodový l = 1000,0 mm; š = 150,0 mm; h = 150-250,0 mm; barva přírodní</t>
  </si>
  <si>
    <t xml:space="preserve">Rekapitulace dílů - komunikace </t>
  </si>
  <si>
    <t>23069</t>
  </si>
  <si>
    <t>Zásyp ze štěrkodrti s rozprostřením a zhutněním frakce 0-63 mm, tloušťka vrstvy před zhutněním 250 mm, vč. hutnění</t>
  </si>
  <si>
    <t>564871809RT2</t>
  </si>
  <si>
    <t xml:space="preserve">dlažba betonová, zámková; barevná, slepecká, tl. 60 mm </t>
  </si>
  <si>
    <t xml:space="preserve">dlažba betonová, zámková; přírodní šedá, tl. 80 mm </t>
  </si>
  <si>
    <t>59248006R</t>
  </si>
  <si>
    <t xml:space="preserve">dlažba betonová, zámková; barevná, slepecká, tl. 80 mm </t>
  </si>
  <si>
    <t>914706544R00</t>
  </si>
  <si>
    <t>Dodávka a montáž nopové fólie vč. přichycení</t>
  </si>
  <si>
    <t>915101407RT2</t>
  </si>
  <si>
    <t>Zásyp rýh kamenivem tříděným s urovnáním</t>
  </si>
  <si>
    <t>S dodáním kačírku praného 16/22, doprava, manipulace s urovnáním</t>
  </si>
  <si>
    <t>Specifikace viz. PD</t>
  </si>
  <si>
    <t>005132 R</t>
  </si>
  <si>
    <t>Statický posudek opěr a spodní části mostu</t>
  </si>
  <si>
    <t>Náklady na posouzení stávajících opěr a založení mostu z hlediska únosnosti a posouzení stávajícího stavu vč. potřebných zkoušek a sond.</t>
  </si>
  <si>
    <t>Náklady zhotovitele, související s prováděním zkoušek a revizí předepsaných technickými normami nebo objednatelem a které jsou pro provedení díla nezbytné - mostovka a svrchní části mostu</t>
  </si>
  <si>
    <t>911174011R00</t>
  </si>
  <si>
    <t>911174018R00</t>
  </si>
  <si>
    <t>RTS Indiv</t>
  </si>
  <si>
    <t xml:space="preserve">Dodávka a montáž letopočtu značícího rok rekonstrukce
</t>
  </si>
  <si>
    <t xml:space="preserve">Dodávka a montáž cedulí označujících číslo mostu vč. konzol kotvených k zábradlí
</t>
  </si>
  <si>
    <t>115001107R00</t>
  </si>
  <si>
    <t>Převedení vody potrubím DN do 1000 - zřízení a odstranění</t>
  </si>
  <si>
    <t>veškeré práce spojené s převedením vody pod mostem po dobu realizace</t>
  </si>
  <si>
    <t>RTS 24/I</t>
  </si>
  <si>
    <t>115101203R00</t>
  </si>
  <si>
    <t>Čerpání vody na dopravní výšku do 10 m průměrný přítok do 2000 l/min</t>
  </si>
  <si>
    <t>hod</t>
  </si>
  <si>
    <t>115101303R00</t>
  </si>
  <si>
    <t>Pohotovost čerpací soupravy pro dopravní výšku do 10 m přítok do 2000 l/min</t>
  </si>
  <si>
    <t>den</t>
  </si>
  <si>
    <t xml:space="preserve">Vykopávky pro koryta vodotečí v hornině 3, jednotlivě do 100 m3 </t>
  </si>
  <si>
    <t>Odkopávky a prokopávky pro silnice v hornině 3, jednotlivě do 100 m3</t>
  </si>
  <si>
    <t>124203105R00</t>
  </si>
  <si>
    <t>Poplatky za skládku - sedlina</t>
  </si>
  <si>
    <t>199000022R00</t>
  </si>
  <si>
    <t>Zaberanění ocelových štětovnic na dl do 8 m ve stísněných podmínkách z terénu</t>
  </si>
  <si>
    <t>153112132R00</t>
  </si>
  <si>
    <t>štětovnice ZTV IIIn, EN 10248-2 zn. S240GP (1.0021) dle EN 10248-1</t>
  </si>
  <si>
    <t>159202201R00</t>
  </si>
  <si>
    <t>Vytažení ocelových štětovnic dl do 12 m zaberaněných do hl 8 m z terénu ve stísněných podmínkách</t>
  </si>
  <si>
    <t>153113119R00</t>
  </si>
  <si>
    <t>Vodorovné přemístění výkopku z horniny 1 až 4, na vzdálenost do 20 km</t>
  </si>
  <si>
    <t>171201212R00</t>
  </si>
  <si>
    <t>Zásyp jam, rýh nebo šachet kolem objektů se zhutněním</t>
  </si>
  <si>
    <t>Zřízení těsnící vrstvy za opěrou z jílu</t>
  </si>
  <si>
    <t>vč. dodávky jílu</t>
  </si>
  <si>
    <t>458591112R00</t>
  </si>
  <si>
    <t>Kotvení monolitického betonu římsy do mostovky kotvou talířovou</t>
  </si>
  <si>
    <t>417171127R00</t>
  </si>
  <si>
    <t>vč. dodávky kotvy talířové do betonu</t>
  </si>
  <si>
    <t>Mostní římsa ze železobetonu C 30/37</t>
  </si>
  <si>
    <t>Bednění mostních říms všech tvarů - zřízení</t>
  </si>
  <si>
    <t>Bednění mostních říms všech tvarů - odstranění</t>
  </si>
  <si>
    <t>317353121R00</t>
  </si>
  <si>
    <t>317353221R00</t>
  </si>
  <si>
    <t>Výztuž mostních říms z betonářské oceli 10 505</t>
  </si>
  <si>
    <t>317361116R00</t>
  </si>
  <si>
    <t>Dlažba z lomového kamene dlažba z kamene lomařsky upraveného na cementovou maltu, s vyspárováním cementovou maltou, tloušťka 200 mm,  v rovině nebo ve svahu</t>
  </si>
  <si>
    <t>Litý asfalt, jemnězrnný, tloušťky 30 mm z modifikovaného asfaltu</t>
  </si>
  <si>
    <t>ochraná vrstva nad izolací proti vodě, vč.příplatku za množství do 50m2</t>
  </si>
  <si>
    <t>římsy, deska (panely)</t>
  </si>
  <si>
    <t>711111013R00</t>
  </si>
  <si>
    <t>Izolace proti zemní vlhkosti natěradly za studena na ploše vodorovné nátěrem penetračním, 1 x nátěr</t>
  </si>
  <si>
    <t>Ostatní konstrukce a práce</t>
  </si>
  <si>
    <t>9</t>
  </si>
  <si>
    <t>Montáž lešení řadového trubkového lehkého s podlahami zatížení do 200 kg/m2 š do 0,9 m v do 10 m</t>
  </si>
  <si>
    <t>941111111R00</t>
  </si>
  <si>
    <t>Příplatek k lešení řadovému trubkovému lehkému s podlahami š 0,9 m v 10 m za první a ZKD den použití</t>
  </si>
  <si>
    <t>941111211R00</t>
  </si>
  <si>
    <t>Demontáž lešení řadového trubkového lehkého s podlahami zatížení do 200 kg/m2 š do 0,9 m v do 10 m</t>
  </si>
  <si>
    <t>941111811R00</t>
  </si>
  <si>
    <t>Rekapitulace dílů - most - spodní část</t>
  </si>
  <si>
    <t>Rekapitulace dílů - most - horní část</t>
  </si>
  <si>
    <t>Obetonování vyústění skluzů nebo vyústění kanalizace - vývařiště</t>
  </si>
  <si>
    <t>212311112R00</t>
  </si>
  <si>
    <t>Obetonování drenážních trub mezerovitým betonem</t>
  </si>
  <si>
    <t>212341111R00</t>
  </si>
  <si>
    <t>Odvodnění mostní opěry - drenážní plastové potrubí HDPE DN 160</t>
  </si>
  <si>
    <t>212792312R00</t>
  </si>
  <si>
    <t>274311124R00</t>
  </si>
  <si>
    <t>274321117R00</t>
  </si>
  <si>
    <t>Základové pasy a prahy mostních konstrukcí ze ŽB C 25/30</t>
  </si>
  <si>
    <t>Základové pasy a prahy z betonu prostého C 12/15</t>
  </si>
  <si>
    <t>Bednění základových pásů - zřízení</t>
  </si>
  <si>
    <t>274354111R00</t>
  </si>
  <si>
    <t>Bednění základových pásů - odstranění</t>
  </si>
  <si>
    <t>274354211R00</t>
  </si>
  <si>
    <t>Výztuž základových pasů, prahů, věnců a ostruh z betonářské oceli 10 505</t>
  </si>
  <si>
    <t>274361116R00</t>
  </si>
  <si>
    <t>3</t>
  </si>
  <si>
    <t>Svislé a kompletní konstrukce</t>
  </si>
  <si>
    <t>Mostní opěry a úložné prahy ze ŽB C 30/37</t>
  </si>
  <si>
    <t>334323118R00</t>
  </si>
  <si>
    <t>Mostní křídla a závěrné zídky ze ŽB C 30/37</t>
  </si>
  <si>
    <t>334323218R00</t>
  </si>
  <si>
    <t>Bednění systémové mostních opěr a křídel pro ŽB - zřízení</t>
  </si>
  <si>
    <t>Bednění systémové mostních opěr a křídel pro ŽB - odstranění</t>
  </si>
  <si>
    <t>334352111R00</t>
  </si>
  <si>
    <t>334352211R00</t>
  </si>
  <si>
    <t>Výztuž dříků opěr z betonářské oceli 10 505</t>
  </si>
  <si>
    <t>Výztuž křídel, závěrných zdí z betonářské oceli 10 505</t>
  </si>
  <si>
    <t>334361216R00</t>
  </si>
  <si>
    <t>334361226R00</t>
  </si>
  <si>
    <t>Dodávka ŠD A ŠP ze zemníku s nakládkou na dopravní prostředek</t>
  </si>
  <si>
    <t>vč. dopravy (dle možností zhotovitele - pro zásyp za rubem opěr)</t>
  </si>
  <si>
    <t>opěry, křídla a základové pasy</t>
  </si>
  <si>
    <t>Svislé přemístění suti a vybouraných hmot na výšku do 3,5m</t>
  </si>
  <si>
    <t>997211111R00</t>
  </si>
  <si>
    <t>D99</t>
  </si>
  <si>
    <t>9972115111R00</t>
  </si>
  <si>
    <t>997211511R00</t>
  </si>
  <si>
    <t>998</t>
  </si>
  <si>
    <t>998212111R00</t>
  </si>
  <si>
    <t>999101108R00</t>
  </si>
  <si>
    <t>999102121R00</t>
  </si>
  <si>
    <t>Izolace proti zemní vlhkosti natěradly za studena na ploše svislé nátěrem penetračním, 1 x nátěr</t>
  </si>
  <si>
    <t>711112013R00</t>
  </si>
  <si>
    <t>při provádění stavby, zaměření skutečného provedení</t>
  </si>
  <si>
    <t>Dokumentace pro provádění stavby - RDS</t>
  </si>
  <si>
    <t xml:space="preserve">veškeré náklady potřebné pro zpracování RDS </t>
  </si>
  <si>
    <t>005135 R</t>
  </si>
  <si>
    <t>Svislé konstrukce</t>
  </si>
  <si>
    <t>Most - horní část (mostovka a římsy)</t>
  </si>
  <si>
    <t>Most - spodní část (opěry, křídla a základové pasy)</t>
  </si>
  <si>
    <t>Most - horní část  (mostovka a římsy)</t>
  </si>
  <si>
    <t>Most - spodní část  (opěry, křídla a základové pasy)</t>
  </si>
  <si>
    <t>711726121R00</t>
  </si>
  <si>
    <t>Geotextilie pro ochranu, separaci a filtraci netkaná měrná hmotnost  500 g/m2</t>
  </si>
  <si>
    <t>Beton asfaltový s rozprostřením a zhutněním v pruhu šířky přes 3 m, ACP 16+, tloušťky 80 mm</t>
  </si>
  <si>
    <t>577122121RT2</t>
  </si>
  <si>
    <t>s provedením lože z kameniva drceného, s vyplněním spár, s dvojitým hutněním a se smetením přebytečného materiálu na krajnici. S dodáním kostek žulových vel 8-10cm  a hmot pro lože i výplň spár.</t>
  </si>
  <si>
    <t>Zřízení odvodňovacího žlabu šířky 150mm, kompozitního vč. litinové mříže, třída zatížení min C250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</si>
</sst>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8" fillId="3" borderId="34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vertical="top"/>
    </xf>
    <xf numFmtId="0" fontId="8" fillId="3" borderId="35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 shrinkToFit="1"/>
    </xf>
    <xf numFmtId="164" fontId="18" fillId="0" borderId="43" xfId="0" applyNumberFormat="1" applyFont="1" applyBorder="1" applyAlignment="1">
      <alignment vertical="top" shrinkToFit="1"/>
    </xf>
    <xf numFmtId="4" fontId="18" fillId="4" borderId="43" xfId="0" applyNumberFormat="1" applyFont="1" applyFill="1" applyBorder="1" applyAlignment="1" applyProtection="1">
      <alignment vertical="top" shrinkToFit="1"/>
      <protection locked="0"/>
    </xf>
    <xf numFmtId="4" fontId="18" fillId="0" borderId="43" xfId="0" applyNumberFormat="1" applyFont="1" applyBorder="1" applyAlignment="1">
      <alignment vertical="top" shrinkToFit="1"/>
    </xf>
    <xf numFmtId="0" fontId="16" fillId="3" borderId="3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6" xfId="0" applyNumberFormat="1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164" fontId="18" fillId="0" borderId="0" xfId="0" applyNumberFormat="1" applyFont="1"/>
    <xf numFmtId="49" fontId="18" fillId="4" borderId="18" xfId="0" applyNumberFormat="1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>
      <alignment horizontal="left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5" xfId="0" applyNumberFormat="1" applyFont="1" applyBorder="1" applyAlignment="1">
      <alignment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37</v>
      </c>
    </row>
    <row r="2" spans="1:7" ht="57.75" customHeight="1" x14ac:dyDescent="0.2">
      <c r="A2" s="225" t="s">
        <v>38</v>
      </c>
      <c r="B2" s="225"/>
      <c r="C2" s="225"/>
      <c r="D2" s="225"/>
      <c r="E2" s="225"/>
      <c r="F2" s="225"/>
      <c r="G2" s="225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4"/>
  <sheetViews>
    <sheetView showGridLines="0" topLeftCell="B19" zoomScale="130" zoomScaleNormal="130" zoomScaleSheetLayoutView="75" workbookViewId="0">
      <selection activeCell="L50" sqref="L5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7" width="13" customWidth="1"/>
    <col min="8" max="8" width="11.5703125" customWidth="1"/>
    <col min="9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35</v>
      </c>
      <c r="B1" s="269" t="s">
        <v>40</v>
      </c>
      <c r="C1" s="270"/>
      <c r="D1" s="270"/>
      <c r="E1" s="270"/>
      <c r="F1" s="270"/>
      <c r="G1" s="270"/>
      <c r="H1" s="270"/>
      <c r="I1" s="270"/>
      <c r="J1" s="271"/>
    </row>
    <row r="2" spans="1:15" ht="36" customHeight="1" x14ac:dyDescent="0.2">
      <c r="A2" s="2"/>
      <c r="B2" s="74" t="s">
        <v>22</v>
      </c>
      <c r="C2" s="75"/>
      <c r="D2" s="76" t="s">
        <v>326</v>
      </c>
      <c r="E2" s="275" t="s">
        <v>304</v>
      </c>
      <c r="F2" s="276"/>
      <c r="G2" s="276"/>
      <c r="H2" s="276"/>
      <c r="I2" s="276"/>
      <c r="J2" s="277"/>
      <c r="O2" s="1"/>
    </row>
    <row r="3" spans="1:15" ht="27" customHeight="1" x14ac:dyDescent="0.2">
      <c r="A3" s="2"/>
      <c r="B3" s="77" t="s">
        <v>45</v>
      </c>
      <c r="C3" s="75"/>
      <c r="D3" s="78" t="s">
        <v>43</v>
      </c>
      <c r="E3" s="278" t="s">
        <v>301</v>
      </c>
      <c r="F3" s="279"/>
      <c r="G3" s="279"/>
      <c r="H3" s="279"/>
      <c r="I3" s="279"/>
      <c r="J3" s="280"/>
    </row>
    <row r="4" spans="1:15" ht="23.25" customHeight="1" x14ac:dyDescent="0.2">
      <c r="A4" s="73">
        <v>203</v>
      </c>
      <c r="B4" s="79" t="s">
        <v>46</v>
      </c>
      <c r="C4" s="80"/>
      <c r="D4" s="81" t="s">
        <v>326</v>
      </c>
      <c r="E4" s="260" t="s">
        <v>302</v>
      </c>
      <c r="F4" s="261"/>
      <c r="G4" s="261"/>
      <c r="H4" s="261"/>
      <c r="I4" s="261"/>
      <c r="J4" s="262"/>
    </row>
    <row r="5" spans="1:15" ht="24" customHeight="1" x14ac:dyDescent="0.2">
      <c r="A5" s="2"/>
      <c r="B5" s="31" t="s">
        <v>171</v>
      </c>
      <c r="D5" s="265" t="s">
        <v>227</v>
      </c>
      <c r="E5" s="265"/>
      <c r="F5" s="265"/>
      <c r="G5" s="265"/>
      <c r="H5" s="18" t="s">
        <v>39</v>
      </c>
      <c r="I5" s="191" t="s">
        <v>231</v>
      </c>
      <c r="J5" s="8"/>
    </row>
    <row r="6" spans="1:15" ht="15.75" customHeight="1" x14ac:dyDescent="0.2">
      <c r="A6" s="2"/>
      <c r="B6" s="28"/>
      <c r="C6" s="54"/>
      <c r="D6" s="266" t="s">
        <v>228</v>
      </c>
      <c r="E6" s="267"/>
      <c r="F6" s="267"/>
      <c r="G6" s="267"/>
      <c r="H6" s="18" t="s">
        <v>33</v>
      </c>
      <c r="I6" s="22"/>
      <c r="J6" s="8"/>
    </row>
    <row r="7" spans="1:15" ht="15.75" customHeight="1" x14ac:dyDescent="0.2">
      <c r="A7" s="2"/>
      <c r="B7" s="29"/>
      <c r="C7" s="55"/>
      <c r="D7" s="52" t="s">
        <v>229</v>
      </c>
      <c r="E7" s="268" t="s">
        <v>230</v>
      </c>
      <c r="F7" s="268"/>
      <c r="G7" s="26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82"/>
      <c r="E11" s="282"/>
      <c r="F11" s="282"/>
      <c r="G11" s="282"/>
      <c r="H11" s="18" t="s">
        <v>39</v>
      </c>
      <c r="I11" s="83"/>
      <c r="J11" s="8"/>
    </row>
    <row r="12" spans="1:15" ht="15.75" customHeight="1" x14ac:dyDescent="0.2">
      <c r="A12" s="2"/>
      <c r="B12" s="28"/>
      <c r="C12" s="54"/>
      <c r="D12" s="259"/>
      <c r="E12" s="259"/>
      <c r="F12" s="259"/>
      <c r="G12" s="259"/>
      <c r="H12" s="18" t="s">
        <v>33</v>
      </c>
      <c r="I12" s="83"/>
      <c r="J12" s="8"/>
    </row>
    <row r="13" spans="1:15" ht="15.75" customHeight="1" x14ac:dyDescent="0.2">
      <c r="A13" s="2"/>
      <c r="B13" s="29"/>
      <c r="C13" s="55"/>
      <c r="D13" s="82"/>
      <c r="E13" s="263"/>
      <c r="F13" s="264"/>
      <c r="G13" s="264"/>
      <c r="H13" s="19"/>
      <c r="I13" s="23"/>
      <c r="J13" s="34"/>
    </row>
    <row r="14" spans="1:15" ht="24" customHeight="1" x14ac:dyDescent="0.2">
      <c r="A14" s="2"/>
      <c r="B14" s="177" t="s">
        <v>21</v>
      </c>
      <c r="C14" s="265" t="s">
        <v>170</v>
      </c>
      <c r="D14" s="265"/>
      <c r="E14" s="57"/>
      <c r="F14" s="43"/>
      <c r="G14" s="43"/>
      <c r="H14" s="44"/>
      <c r="I14" s="43"/>
      <c r="J14" s="45"/>
    </row>
    <row r="15" spans="1:15" ht="32.25" customHeight="1" x14ac:dyDescent="0.2">
      <c r="A15" s="2"/>
      <c r="B15" s="35" t="s">
        <v>31</v>
      </c>
      <c r="C15" s="58"/>
      <c r="D15" s="53"/>
      <c r="E15" s="281"/>
      <c r="F15" s="281"/>
      <c r="G15" s="283"/>
      <c r="H15" s="283"/>
      <c r="I15" s="283" t="s">
        <v>28</v>
      </c>
      <c r="J15" s="284"/>
    </row>
    <row r="16" spans="1:15" ht="23.25" customHeight="1" x14ac:dyDescent="0.2">
      <c r="A16" s="134" t="s">
        <v>23</v>
      </c>
      <c r="B16" s="38" t="s">
        <v>23</v>
      </c>
      <c r="C16" s="59"/>
      <c r="D16" s="60"/>
      <c r="E16" s="248"/>
      <c r="F16" s="249"/>
      <c r="G16" s="248"/>
      <c r="H16" s="249"/>
      <c r="I16" s="248">
        <f>I51-I20-I19-I18-I17</f>
        <v>0</v>
      </c>
      <c r="J16" s="250"/>
    </row>
    <row r="17" spans="1:10" ht="23.25" customHeight="1" x14ac:dyDescent="0.2">
      <c r="A17" s="134" t="s">
        <v>24</v>
      </c>
      <c r="B17" s="38" t="s">
        <v>24</v>
      </c>
      <c r="C17" s="59"/>
      <c r="D17" s="60"/>
      <c r="E17" s="248"/>
      <c r="F17" s="249"/>
      <c r="G17" s="248"/>
      <c r="H17" s="249"/>
      <c r="I17" s="248">
        <f>I78+I94</f>
        <v>0</v>
      </c>
      <c r="J17" s="250"/>
    </row>
    <row r="18" spans="1:10" ht="23.25" customHeight="1" x14ac:dyDescent="0.2">
      <c r="A18" s="134" t="s">
        <v>25</v>
      </c>
      <c r="B18" s="38" t="s">
        <v>25</v>
      </c>
      <c r="C18" s="59"/>
      <c r="D18" s="60"/>
      <c r="E18" s="248"/>
      <c r="F18" s="249"/>
      <c r="G18" s="248"/>
      <c r="H18" s="249"/>
      <c r="I18" s="248">
        <f>I79</f>
        <v>0</v>
      </c>
      <c r="J18" s="250"/>
    </row>
    <row r="19" spans="1:10" ht="23.25" customHeight="1" x14ac:dyDescent="0.2">
      <c r="A19" s="134" t="s">
        <v>63</v>
      </c>
      <c r="B19" s="38" t="s">
        <v>26</v>
      </c>
      <c r="C19" s="59"/>
      <c r="D19" s="60"/>
      <c r="E19" s="248"/>
      <c r="F19" s="249"/>
      <c r="G19" s="248"/>
      <c r="H19" s="249"/>
      <c r="I19" s="248">
        <f>I65+I81+I96</f>
        <v>0</v>
      </c>
      <c r="J19" s="250"/>
    </row>
    <row r="20" spans="1:10" ht="23.25" customHeight="1" x14ac:dyDescent="0.2">
      <c r="A20" s="134" t="s">
        <v>64</v>
      </c>
      <c r="B20" s="38" t="s">
        <v>27</v>
      </c>
      <c r="C20" s="59"/>
      <c r="D20" s="60"/>
      <c r="E20" s="248"/>
      <c r="F20" s="249"/>
      <c r="G20" s="248"/>
      <c r="H20" s="249"/>
      <c r="I20" s="248">
        <f>I66+I82+I97</f>
        <v>0</v>
      </c>
      <c r="J20" s="250"/>
    </row>
    <row r="21" spans="1:10" ht="23.25" customHeight="1" x14ac:dyDescent="0.2">
      <c r="A21" s="2"/>
      <c r="B21" s="47" t="s">
        <v>172</v>
      </c>
      <c r="C21" s="61"/>
      <c r="D21" s="62"/>
      <c r="E21" s="251"/>
      <c r="F21" s="285"/>
      <c r="G21" s="251"/>
      <c r="H21" s="285"/>
      <c r="I21" s="251">
        <f>I51</f>
        <v>0</v>
      </c>
      <c r="J21" s="252"/>
    </row>
    <row r="22" spans="1:10" ht="33" customHeight="1" x14ac:dyDescent="0.2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59"/>
      <c r="D23" s="60"/>
      <c r="E23" s="64">
        <v>12</v>
      </c>
      <c r="F23" s="39" t="s">
        <v>0</v>
      </c>
      <c r="G23" s="246">
        <f>ZakladDPHSniVypocet</f>
        <v>0</v>
      </c>
      <c r="H23" s="247"/>
      <c r="I23" s="247"/>
      <c r="J23" s="40" t="str">
        <f t="shared" ref="J23:J29" si="0">Mena</f>
        <v>CZK</v>
      </c>
    </row>
    <row r="24" spans="1:10" ht="23.25" hidden="1" customHeight="1" x14ac:dyDescent="0.2">
      <c r="A24" s="2"/>
      <c r="B24" s="38" t="s">
        <v>13</v>
      </c>
      <c r="C24" s="59"/>
      <c r="D24" s="60"/>
      <c r="E24" s="64">
        <f>SazbaDPH1</f>
        <v>12</v>
      </c>
      <c r="F24" s="39" t="s">
        <v>0</v>
      </c>
      <c r="G24" s="244">
        <v>0</v>
      </c>
      <c r="H24" s="245"/>
      <c r="I24" s="24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59"/>
      <c r="D25" s="60"/>
      <c r="E25" s="64">
        <v>21</v>
      </c>
      <c r="F25" s="39" t="s">
        <v>0</v>
      </c>
      <c r="G25" s="246">
        <f>I21</f>
        <v>0</v>
      </c>
      <c r="H25" s="247"/>
      <c r="I25" s="24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72">
        <v>0</v>
      </c>
      <c r="H26" s="273"/>
      <c r="I26" s="273"/>
      <c r="J26" s="37" t="str">
        <f t="shared" si="0"/>
        <v>CZK</v>
      </c>
    </row>
    <row r="27" spans="1:10" ht="23.25" customHeight="1" x14ac:dyDescent="0.2">
      <c r="A27" s="2"/>
      <c r="B27" s="38" t="s">
        <v>173</v>
      </c>
      <c r="C27" s="59"/>
      <c r="D27" s="60"/>
      <c r="E27" s="64">
        <v>21</v>
      </c>
      <c r="F27" s="39" t="s">
        <v>0</v>
      </c>
      <c r="G27" s="246">
        <f>ZakladDPHZakl/100*21</f>
        <v>0</v>
      </c>
      <c r="H27" s="247"/>
      <c r="I27" s="247"/>
      <c r="J27" s="40" t="str">
        <f t="shared" si="0"/>
        <v>CZK</v>
      </c>
    </row>
    <row r="28" spans="1:10" ht="23.25" customHeight="1" thickBot="1" x14ac:dyDescent="0.25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74">
        <v>0</v>
      </c>
      <c r="H28" s="274"/>
      <c r="I28" s="274"/>
      <c r="J28" s="41" t="str">
        <f t="shared" si="0"/>
        <v>CZK</v>
      </c>
    </row>
    <row r="29" spans="1:10" ht="27.75" customHeight="1" thickBot="1" x14ac:dyDescent="0.25">
      <c r="A29" s="2">
        <f>(A28-INT(A28))*100</f>
        <v>0</v>
      </c>
      <c r="B29" s="114" t="s">
        <v>34</v>
      </c>
      <c r="C29" s="115"/>
      <c r="D29" s="115"/>
      <c r="E29" s="116"/>
      <c r="F29" s="117"/>
      <c r="G29" s="253">
        <f>ZakladDPHZakl*1.21</f>
        <v>0</v>
      </c>
      <c r="H29" s="254"/>
      <c r="I29" s="254"/>
      <c r="J29" s="118" t="str">
        <f t="shared" si="0"/>
        <v>CZK</v>
      </c>
    </row>
    <row r="30" spans="1:10" ht="27.75" hidden="1" customHeight="1" thickBot="1" x14ac:dyDescent="0.25">
      <c r="A30" s="2"/>
      <c r="B30" s="114" t="s">
        <v>34</v>
      </c>
      <c r="C30" s="119"/>
      <c r="D30" s="119"/>
      <c r="E30" s="119"/>
      <c r="F30" s="120"/>
      <c r="G30" s="253">
        <f>ZakladDPHSni+DPHSni+ZakladDPHZakl+DPHZakl+Zaokrouhleni</f>
        <v>0</v>
      </c>
      <c r="H30" s="253"/>
      <c r="I30" s="253"/>
      <c r="J30" s="121" t="s">
        <v>50</v>
      </c>
    </row>
    <row r="31" spans="1:10" ht="12.75" customHeight="1" x14ac:dyDescent="0.2">
      <c r="A31" s="2"/>
      <c r="B31" s="2"/>
      <c r="J31" s="9"/>
    </row>
    <row r="32" spans="1:10" ht="30" customHeight="1" x14ac:dyDescent="0.2">
      <c r="A32" s="2"/>
      <c r="B32" s="2"/>
      <c r="J32" s="9"/>
    </row>
    <row r="33" spans="1:11" ht="18.75" customHeight="1" x14ac:dyDescent="0.2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">
      <c r="A34" s="2"/>
      <c r="B34" s="2"/>
      <c r="J34" s="9"/>
    </row>
    <row r="35" spans="1:11" s="21" customFormat="1" ht="18.75" customHeight="1" x14ac:dyDescent="0.2">
      <c r="A35" s="20"/>
      <c r="B35" s="20"/>
      <c r="C35" s="71"/>
      <c r="D35" s="255"/>
      <c r="E35" s="256"/>
      <c r="G35" s="257"/>
      <c r="H35" s="258"/>
      <c r="I35" s="258"/>
      <c r="J35" s="25"/>
    </row>
    <row r="36" spans="1:11" ht="12.75" customHeight="1" x14ac:dyDescent="0.2">
      <c r="A36" s="2"/>
      <c r="B36" s="2"/>
      <c r="D36" s="243" t="s">
        <v>2</v>
      </c>
      <c r="E36" s="243"/>
      <c r="H36" s="10" t="s">
        <v>3</v>
      </c>
      <c r="J36" s="9"/>
    </row>
    <row r="37" spans="1:11" ht="13.5" customHeight="1" thickBot="1" x14ac:dyDescent="0.25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">
      <c r="A40" s="86">
        <v>1</v>
      </c>
      <c r="B40" s="97" t="s">
        <v>47</v>
      </c>
      <c r="C40" s="239"/>
      <c r="D40" s="239"/>
      <c r="E40" s="239"/>
      <c r="F40" s="98">
        <f>Komunikace!AE161</f>
        <v>0</v>
      </c>
      <c r="G40" s="99">
        <f>Komunikace!AF161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">
      <c r="A41" s="86">
        <v>2</v>
      </c>
      <c r="B41" s="103"/>
      <c r="C41" s="240" t="s">
        <v>48</v>
      </c>
      <c r="D41" s="240"/>
      <c r="E41" s="240"/>
      <c r="F41" s="104"/>
      <c r="G41" s="105"/>
      <c r="H41" s="105"/>
      <c r="I41" s="106"/>
      <c r="J41" s="107"/>
    </row>
    <row r="42" spans="1:11" ht="25.5" hidden="1" customHeight="1" x14ac:dyDescent="0.2">
      <c r="A42" s="86">
        <v>2</v>
      </c>
      <c r="B42" s="103" t="s">
        <v>43</v>
      </c>
      <c r="C42" s="240" t="s">
        <v>44</v>
      </c>
      <c r="D42" s="240"/>
      <c r="E42" s="240"/>
      <c r="F42" s="104">
        <f>Komunikace!AE161</f>
        <v>0</v>
      </c>
      <c r="G42" s="105">
        <f>Komunikace!AF161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">
      <c r="A43" s="86">
        <v>3</v>
      </c>
      <c r="B43" s="108" t="s">
        <v>41</v>
      </c>
      <c r="C43" s="239" t="s">
        <v>42</v>
      </c>
      <c r="D43" s="239"/>
      <c r="E43" s="239"/>
      <c r="F43" s="109">
        <f>Komunikace!AE161</f>
        <v>0</v>
      </c>
      <c r="G43" s="100">
        <f>Komunikace!AF161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">
      <c r="A44" s="86"/>
      <c r="B44" s="241" t="s">
        <v>49</v>
      </c>
      <c r="C44" s="242"/>
      <c r="D44" s="242"/>
      <c r="E44" s="242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75" x14ac:dyDescent="0.25">
      <c r="B46" s="122" t="s">
        <v>303</v>
      </c>
    </row>
    <row r="47" spans="1:11" ht="15.75" customHeight="1" x14ac:dyDescent="0.2">
      <c r="B47" s="233" t="s">
        <v>5</v>
      </c>
      <c r="C47" s="234"/>
      <c r="D47" s="234"/>
      <c r="E47" s="234"/>
      <c r="F47" s="234"/>
      <c r="G47" s="235"/>
      <c r="H47" s="194"/>
      <c r="I47" s="194" t="s">
        <v>28</v>
      </c>
      <c r="J47" s="194" t="s">
        <v>0</v>
      </c>
      <c r="K47" s="124"/>
    </row>
    <row r="48" spans="1:11" ht="18" customHeight="1" x14ac:dyDescent="0.2">
      <c r="B48" s="228" t="s">
        <v>55</v>
      </c>
      <c r="C48" s="229"/>
      <c r="D48" s="229"/>
      <c r="E48" s="229"/>
      <c r="F48" s="229"/>
      <c r="G48" s="230"/>
      <c r="H48" s="195"/>
      <c r="I48" s="197">
        <f>I67</f>
        <v>0</v>
      </c>
      <c r="J48" s="218" t="str">
        <f>IF(I51=0,"",I48/I51*100)</f>
        <v/>
      </c>
      <c r="K48" s="196"/>
    </row>
    <row r="49" spans="2:11" ht="17.25" customHeight="1" x14ac:dyDescent="0.2">
      <c r="B49" s="228" t="s">
        <v>452</v>
      </c>
      <c r="C49" s="229"/>
      <c r="D49" s="229"/>
      <c r="E49" s="229"/>
      <c r="F49" s="229"/>
      <c r="G49" s="230"/>
      <c r="H49" s="195"/>
      <c r="I49" s="197">
        <f>I83</f>
        <v>0</v>
      </c>
      <c r="J49" s="218" t="str">
        <f>IF(I51=0,"",I49/I51*100)</f>
        <v/>
      </c>
      <c r="K49" s="196"/>
    </row>
    <row r="50" spans="2:11" ht="17.25" customHeight="1" x14ac:dyDescent="0.2">
      <c r="B50" s="228" t="s">
        <v>453</v>
      </c>
      <c r="C50" s="229"/>
      <c r="D50" s="229"/>
      <c r="E50" s="229"/>
      <c r="F50" s="229"/>
      <c r="G50" s="230"/>
      <c r="H50" s="195"/>
      <c r="I50" s="197">
        <f>I98</f>
        <v>0</v>
      </c>
      <c r="J50" s="218" t="str">
        <f>IF(I51=0,"",I50/I51*100)</f>
        <v/>
      </c>
      <c r="K50" s="196"/>
    </row>
    <row r="51" spans="2:11" ht="14.25" customHeight="1" x14ac:dyDescent="0.2">
      <c r="B51" s="236" t="s">
        <v>202</v>
      </c>
      <c r="C51" s="237"/>
      <c r="D51" s="237"/>
      <c r="E51" s="237"/>
      <c r="F51" s="237"/>
      <c r="G51" s="238"/>
      <c r="H51" s="131"/>
      <c r="I51" s="198">
        <f>I48+I49+I50</f>
        <v>0</v>
      </c>
      <c r="J51" s="199" t="e">
        <f>J48+J49+J50</f>
        <v>#VALUE!</v>
      </c>
      <c r="K51" s="196"/>
    </row>
    <row r="53" spans="2:11" ht="9" customHeight="1" x14ac:dyDescent="0.2"/>
    <row r="55" spans="2:11" ht="15.75" x14ac:dyDescent="0.25">
      <c r="B55" s="122" t="s">
        <v>325</v>
      </c>
    </row>
    <row r="56" spans="2:11" ht="4.5" customHeight="1" x14ac:dyDescent="0.2"/>
    <row r="57" spans="2:11" ht="20.25" customHeight="1" x14ac:dyDescent="0.2">
      <c r="B57" s="126" t="s">
        <v>17</v>
      </c>
      <c r="C57" s="126" t="s">
        <v>5</v>
      </c>
      <c r="D57" s="127"/>
      <c r="E57" s="127"/>
      <c r="F57" s="128" t="s">
        <v>51</v>
      </c>
      <c r="G57" s="128"/>
      <c r="H57" s="128"/>
      <c r="I57" s="128" t="s">
        <v>28</v>
      </c>
      <c r="J57" s="128" t="s">
        <v>0</v>
      </c>
    </row>
    <row r="58" spans="2:11" ht="15" customHeight="1" x14ac:dyDescent="0.2">
      <c r="B58" s="129" t="s">
        <v>52</v>
      </c>
      <c r="C58" s="231" t="s">
        <v>53</v>
      </c>
      <c r="D58" s="232"/>
      <c r="E58" s="232"/>
      <c r="F58" s="133" t="s">
        <v>23</v>
      </c>
      <c r="G58" s="130"/>
      <c r="H58" s="130"/>
      <c r="I58" s="130">
        <f>Komunikace!G8</f>
        <v>0</v>
      </c>
      <c r="J58" s="132" t="str">
        <f>IF(I67=0,"",I58/I67*100)</f>
        <v/>
      </c>
    </row>
    <row r="59" spans="2:11" ht="15" customHeight="1" x14ac:dyDescent="0.2">
      <c r="B59" s="129" t="s">
        <v>54</v>
      </c>
      <c r="C59" s="231" t="s">
        <v>55</v>
      </c>
      <c r="D59" s="232"/>
      <c r="E59" s="232"/>
      <c r="F59" s="133" t="s">
        <v>23</v>
      </c>
      <c r="G59" s="130"/>
      <c r="H59" s="130"/>
      <c r="I59" s="130">
        <f>Komunikace!G44</f>
        <v>0</v>
      </c>
      <c r="J59" s="132" t="str">
        <f>IF(I67=0,"",I59/I67*100)</f>
        <v/>
      </c>
    </row>
    <row r="60" spans="2:11" ht="15" customHeight="1" x14ac:dyDescent="0.2">
      <c r="B60" s="129" t="s">
        <v>291</v>
      </c>
      <c r="C60" s="231" t="s">
        <v>292</v>
      </c>
      <c r="D60" s="232"/>
      <c r="E60" s="232"/>
      <c r="F60" s="133" t="s">
        <v>23</v>
      </c>
      <c r="G60" s="130"/>
      <c r="H60" s="130"/>
      <c r="I60" s="130">
        <f>Komunikace!G79</f>
        <v>0</v>
      </c>
      <c r="J60" s="132" t="str">
        <f>IF(I67=0,"",I60/I67*100)</f>
        <v/>
      </c>
    </row>
    <row r="61" spans="2:11" ht="15" customHeight="1" x14ac:dyDescent="0.2">
      <c r="B61" s="129" t="s">
        <v>56</v>
      </c>
      <c r="C61" s="231" t="s">
        <v>57</v>
      </c>
      <c r="D61" s="232"/>
      <c r="E61" s="232"/>
      <c r="F61" s="133" t="s">
        <v>23</v>
      </c>
      <c r="G61" s="130"/>
      <c r="H61" s="130"/>
      <c r="I61" s="130">
        <f>Komunikace!G86</f>
        <v>0</v>
      </c>
      <c r="J61" s="132" t="str">
        <f>IF(I67=0,"",I61/I67*100)</f>
        <v/>
      </c>
    </row>
    <row r="62" spans="2:11" ht="24.75" customHeight="1" x14ac:dyDescent="0.2">
      <c r="B62" s="129" t="s">
        <v>184</v>
      </c>
      <c r="C62" s="231" t="s">
        <v>185</v>
      </c>
      <c r="D62" s="232"/>
      <c r="E62" s="232"/>
      <c r="F62" s="133" t="s">
        <v>23</v>
      </c>
      <c r="G62" s="130"/>
      <c r="H62" s="130"/>
      <c r="I62" s="130">
        <f>Komunikace!G119</f>
        <v>0</v>
      </c>
      <c r="J62" s="132" t="str">
        <f>IF(I67=0,"",I62/I67*100)</f>
        <v/>
      </c>
    </row>
    <row r="63" spans="2:11" ht="15" customHeight="1" x14ac:dyDescent="0.2">
      <c r="B63" s="129" t="s">
        <v>58</v>
      </c>
      <c r="C63" s="231" t="s">
        <v>59</v>
      </c>
      <c r="D63" s="232"/>
      <c r="E63" s="232"/>
      <c r="F63" s="133" t="s">
        <v>23</v>
      </c>
      <c r="G63" s="130"/>
      <c r="H63" s="130"/>
      <c r="I63" s="130">
        <f>Komunikace!G125</f>
        <v>0</v>
      </c>
      <c r="J63" s="132" t="str">
        <f>IF(I67=0,"",I63/I67*100)</f>
        <v/>
      </c>
    </row>
    <row r="64" spans="2:11" ht="15" customHeight="1" x14ac:dyDescent="0.2">
      <c r="B64" s="129" t="s">
        <v>60</v>
      </c>
      <c r="C64" s="231" t="s">
        <v>61</v>
      </c>
      <c r="D64" s="232"/>
      <c r="E64" s="232"/>
      <c r="F64" s="133" t="s">
        <v>62</v>
      </c>
      <c r="G64" s="130"/>
      <c r="H64" s="130"/>
      <c r="I64" s="130">
        <f>Komunikace!G132</f>
        <v>0</v>
      </c>
      <c r="J64" s="132" t="str">
        <f>IF(I67=0,"",I64/I67*100)</f>
        <v/>
      </c>
    </row>
    <row r="65" spans="1:10" ht="15" customHeight="1" x14ac:dyDescent="0.2">
      <c r="B65" s="129" t="s">
        <v>63</v>
      </c>
      <c r="C65" s="231" t="s">
        <v>26</v>
      </c>
      <c r="D65" s="232"/>
      <c r="E65" s="232"/>
      <c r="F65" s="133" t="s">
        <v>63</v>
      </c>
      <c r="G65" s="130"/>
      <c r="H65" s="130"/>
      <c r="I65" s="130">
        <f>Komunikace!G139</f>
        <v>0</v>
      </c>
      <c r="J65" s="132" t="str">
        <f>IF(I67=0,"",I65/I67*100)</f>
        <v/>
      </c>
    </row>
    <row r="66" spans="1:10" ht="15" customHeight="1" x14ac:dyDescent="0.2">
      <c r="B66" s="129" t="s">
        <v>64</v>
      </c>
      <c r="C66" s="231" t="s">
        <v>27</v>
      </c>
      <c r="D66" s="232"/>
      <c r="E66" s="232"/>
      <c r="F66" s="133" t="s">
        <v>64</v>
      </c>
      <c r="G66" s="130"/>
      <c r="H66" s="130"/>
      <c r="I66" s="130">
        <f>Komunikace!G150</f>
        <v>0</v>
      </c>
      <c r="J66" s="132" t="str">
        <f>IF(I67=0,"",I66/I67*100)</f>
        <v/>
      </c>
    </row>
    <row r="67" spans="1:10" ht="15" customHeight="1" x14ac:dyDescent="0.2">
      <c r="B67" s="214" t="s">
        <v>1</v>
      </c>
      <c r="C67" s="215"/>
      <c r="D67" s="216"/>
      <c r="E67" s="216"/>
      <c r="F67" s="217"/>
      <c r="G67" s="198"/>
      <c r="H67" s="198"/>
      <c r="I67" s="198">
        <f>SUM(I58:I66)</f>
        <v>0</v>
      </c>
      <c r="J67" s="199">
        <f>SUM(J58:J66)</f>
        <v>0</v>
      </c>
    </row>
    <row r="69" spans="1:10" ht="15.75" x14ac:dyDescent="0.25">
      <c r="B69" s="122" t="s">
        <v>400</v>
      </c>
    </row>
    <row r="70" spans="1:10" ht="4.5" customHeight="1" x14ac:dyDescent="0.2"/>
    <row r="71" spans="1:10" ht="19.5" customHeight="1" x14ac:dyDescent="0.2">
      <c r="A71" s="124"/>
      <c r="B71" s="126" t="s">
        <v>17</v>
      </c>
      <c r="C71" s="126" t="s">
        <v>5</v>
      </c>
      <c r="D71" s="127"/>
      <c r="E71" s="127"/>
      <c r="F71" s="128" t="s">
        <v>51</v>
      </c>
      <c r="G71" s="128"/>
      <c r="H71" s="128"/>
      <c r="I71" s="128" t="s">
        <v>28</v>
      </c>
      <c r="J71" s="128" t="s">
        <v>0</v>
      </c>
    </row>
    <row r="72" spans="1:10" ht="15" customHeight="1" x14ac:dyDescent="0.2">
      <c r="A72" s="125"/>
      <c r="B72" s="207" t="s">
        <v>52</v>
      </c>
      <c r="C72" s="226" t="s">
        <v>53</v>
      </c>
      <c r="D72" s="227"/>
      <c r="E72" s="227"/>
      <c r="F72" s="208" t="s">
        <v>23</v>
      </c>
      <c r="G72" s="195"/>
      <c r="H72" s="195"/>
      <c r="I72" s="195">
        <f>'Most - horní část'!G8</f>
        <v>0</v>
      </c>
      <c r="J72" s="132" t="str">
        <f>IF(I83=0,"",I72/I83*100)</f>
        <v/>
      </c>
    </row>
    <row r="73" spans="1:10" ht="15" customHeight="1" x14ac:dyDescent="0.2">
      <c r="A73" s="125"/>
      <c r="B73" s="207" t="s">
        <v>200</v>
      </c>
      <c r="C73" s="226" t="s">
        <v>201</v>
      </c>
      <c r="D73" s="227"/>
      <c r="E73" s="227"/>
      <c r="F73" s="208" t="s">
        <v>23</v>
      </c>
      <c r="G73" s="195"/>
      <c r="H73" s="195"/>
      <c r="I73" s="195">
        <f>'Most - horní část'!G31</f>
        <v>0</v>
      </c>
      <c r="J73" s="132" t="str">
        <f>IF(I83=0,"",I73/I83*100)</f>
        <v/>
      </c>
    </row>
    <row r="74" spans="1:10" ht="15" customHeight="1" x14ac:dyDescent="0.2">
      <c r="A74" s="125"/>
      <c r="B74" s="207" t="s">
        <v>54</v>
      </c>
      <c r="C74" s="226" t="s">
        <v>55</v>
      </c>
      <c r="D74" s="227"/>
      <c r="E74" s="227"/>
      <c r="F74" s="208" t="s">
        <v>23</v>
      </c>
      <c r="G74" s="195"/>
      <c r="H74" s="195"/>
      <c r="I74" s="195">
        <f>'Most - horní část'!G50</f>
        <v>0</v>
      </c>
      <c r="J74" s="132" t="str">
        <f>IF(I83=0,"",I74/I83*100)</f>
        <v/>
      </c>
    </row>
    <row r="75" spans="1:10" ht="15" customHeight="1" x14ac:dyDescent="0.2">
      <c r="A75" s="125"/>
      <c r="B75" s="207" t="s">
        <v>392</v>
      </c>
      <c r="C75" s="226" t="s">
        <v>391</v>
      </c>
      <c r="D75" s="227"/>
      <c r="E75" s="227"/>
      <c r="F75" s="208" t="s">
        <v>23</v>
      </c>
      <c r="G75" s="195"/>
      <c r="H75" s="195"/>
      <c r="I75" s="195">
        <f>'Most - horní část'!G61</f>
        <v>0</v>
      </c>
      <c r="J75" s="132" t="str">
        <f>IF(I83=0,"",I75/I83*100)</f>
        <v/>
      </c>
    </row>
    <row r="76" spans="1:10" ht="15" customHeight="1" x14ac:dyDescent="0.2">
      <c r="A76" s="125"/>
      <c r="B76" s="207" t="s">
        <v>175</v>
      </c>
      <c r="C76" s="226" t="s">
        <v>318</v>
      </c>
      <c r="D76" s="227"/>
      <c r="E76" s="227"/>
      <c r="F76" s="208" t="s">
        <v>23</v>
      </c>
      <c r="G76" s="195"/>
      <c r="H76" s="195"/>
      <c r="I76" s="195">
        <f>'Most - horní část'!G75</f>
        <v>0</v>
      </c>
      <c r="J76" s="132" t="str">
        <f>IF(I83=0,"",I76/I83*100)</f>
        <v/>
      </c>
    </row>
    <row r="77" spans="1:10" ht="15" customHeight="1" x14ac:dyDescent="0.2">
      <c r="A77" s="125"/>
      <c r="B77" s="207" t="s">
        <v>439</v>
      </c>
      <c r="C77" s="226" t="s">
        <v>132</v>
      </c>
      <c r="D77" s="227"/>
      <c r="E77" s="227"/>
      <c r="F77" s="208" t="s">
        <v>23</v>
      </c>
      <c r="G77" s="195"/>
      <c r="H77" s="195"/>
      <c r="I77" s="195">
        <f>'Most - horní část'!G83</f>
        <v>0</v>
      </c>
      <c r="J77" s="132" t="str">
        <f>IF(I83=0,"",I77/I83*100)</f>
        <v/>
      </c>
    </row>
    <row r="78" spans="1:10" ht="15" customHeight="1" x14ac:dyDescent="0.2">
      <c r="A78" s="125"/>
      <c r="B78" s="207" t="s">
        <v>278</v>
      </c>
      <c r="C78" s="226" t="s">
        <v>279</v>
      </c>
      <c r="D78" s="227"/>
      <c r="E78" s="227"/>
      <c r="F78" s="208" t="s">
        <v>24</v>
      </c>
      <c r="G78" s="195"/>
      <c r="H78" s="195"/>
      <c r="I78" s="195">
        <f>'Most - horní část'!G87</f>
        <v>0</v>
      </c>
      <c r="J78" s="132" t="str">
        <f>IF(I83=0,"",I78/I83*100)</f>
        <v/>
      </c>
    </row>
    <row r="79" spans="1:10" ht="15" customHeight="1" x14ac:dyDescent="0.2">
      <c r="A79" s="125"/>
      <c r="B79" s="207" t="s">
        <v>283</v>
      </c>
      <c r="C79" s="226" t="s">
        <v>284</v>
      </c>
      <c r="D79" s="227"/>
      <c r="E79" s="227"/>
      <c r="F79" s="208" t="s">
        <v>25</v>
      </c>
      <c r="G79" s="195"/>
      <c r="H79" s="195"/>
      <c r="I79" s="195">
        <f>'Most - horní část'!G95</f>
        <v>0</v>
      </c>
      <c r="J79" s="132" t="str">
        <f>IF(I83=0,"",I79/I83*100)</f>
        <v/>
      </c>
    </row>
    <row r="80" spans="1:10" ht="15" customHeight="1" x14ac:dyDescent="0.2">
      <c r="A80" s="125"/>
      <c r="B80" s="207" t="s">
        <v>436</v>
      </c>
      <c r="C80" s="226" t="s">
        <v>61</v>
      </c>
      <c r="D80" s="227"/>
      <c r="E80" s="227"/>
      <c r="F80" s="208" t="s">
        <v>62</v>
      </c>
      <c r="G80" s="195"/>
      <c r="H80" s="195"/>
      <c r="I80" s="195">
        <f>'Most - horní část'!G98</f>
        <v>0</v>
      </c>
      <c r="J80" s="132" t="str">
        <f>IF(I83=0,"",I80/I83*100)</f>
        <v/>
      </c>
    </row>
    <row r="81" spans="1:10" ht="15" customHeight="1" x14ac:dyDescent="0.2">
      <c r="A81" s="125"/>
      <c r="B81" s="207" t="s">
        <v>63</v>
      </c>
      <c r="C81" s="226" t="s">
        <v>26</v>
      </c>
      <c r="D81" s="227"/>
      <c r="E81" s="227"/>
      <c r="F81" s="208" t="s">
        <v>63</v>
      </c>
      <c r="G81" s="195"/>
      <c r="H81" s="195"/>
      <c r="I81" s="195">
        <f>'Most - horní část'!G110</f>
        <v>0</v>
      </c>
      <c r="J81" s="132" t="str">
        <f>IF(I83=0,"",I81/I83*100)</f>
        <v/>
      </c>
    </row>
    <row r="82" spans="1:10" ht="15" customHeight="1" x14ac:dyDescent="0.2">
      <c r="A82" s="125"/>
      <c r="B82" s="207" t="s">
        <v>64</v>
      </c>
      <c r="C82" s="226" t="s">
        <v>27</v>
      </c>
      <c r="D82" s="227"/>
      <c r="E82" s="227"/>
      <c r="F82" s="208" t="s">
        <v>64</v>
      </c>
      <c r="G82" s="195"/>
      <c r="H82" s="195"/>
      <c r="I82" s="195">
        <f>'Most - horní část'!G123</f>
        <v>0</v>
      </c>
      <c r="J82" s="132" t="str">
        <f>IF(I83=0,"",I82/I83*100)</f>
        <v/>
      </c>
    </row>
    <row r="83" spans="1:10" ht="15" customHeight="1" x14ac:dyDescent="0.2">
      <c r="A83" s="125"/>
      <c r="B83" s="214" t="s">
        <v>1</v>
      </c>
      <c r="C83" s="215"/>
      <c r="D83" s="216"/>
      <c r="E83" s="216"/>
      <c r="F83" s="217"/>
      <c r="G83" s="198"/>
      <c r="H83" s="198"/>
      <c r="I83" s="198">
        <f>SUM(I71:I82)</f>
        <v>0</v>
      </c>
      <c r="J83" s="199">
        <f>SUM(J71:J82)</f>
        <v>0</v>
      </c>
    </row>
    <row r="84" spans="1:10" ht="15" customHeight="1" x14ac:dyDescent="0.2">
      <c r="A84" s="125"/>
    </row>
    <row r="85" spans="1:10" ht="15" customHeight="1" x14ac:dyDescent="0.25">
      <c r="A85" s="125"/>
      <c r="B85" s="122" t="s">
        <v>399</v>
      </c>
    </row>
    <row r="86" spans="1:10" ht="3.75" customHeight="1" x14ac:dyDescent="0.2">
      <c r="A86" s="125"/>
    </row>
    <row r="87" spans="1:10" ht="15" customHeight="1" x14ac:dyDescent="0.2">
      <c r="A87" s="125"/>
      <c r="B87" s="126" t="s">
        <v>17</v>
      </c>
      <c r="C87" s="126" t="s">
        <v>5</v>
      </c>
      <c r="D87" s="127"/>
      <c r="E87" s="127"/>
      <c r="F87" s="128" t="s">
        <v>51</v>
      </c>
      <c r="G87" s="128"/>
      <c r="H87" s="128"/>
      <c r="I87" s="128" t="s">
        <v>28</v>
      </c>
      <c r="J87" s="128" t="s">
        <v>0</v>
      </c>
    </row>
    <row r="88" spans="1:10" ht="15" customHeight="1" x14ac:dyDescent="0.2">
      <c r="A88" s="125"/>
      <c r="B88" s="207" t="s">
        <v>52</v>
      </c>
      <c r="C88" s="226" t="s">
        <v>53</v>
      </c>
      <c r="D88" s="227"/>
      <c r="E88" s="227"/>
      <c r="F88" s="208" t="s">
        <v>23</v>
      </c>
      <c r="G88" s="195"/>
      <c r="H88" s="195"/>
      <c r="I88" s="195">
        <f>'Most - spodní část'!G8</f>
        <v>0</v>
      </c>
      <c r="J88" s="132" t="str">
        <f>IF(I98=0,"",I88/I98*100)</f>
        <v/>
      </c>
    </row>
    <row r="89" spans="1:10" ht="15" customHeight="1" x14ac:dyDescent="0.2">
      <c r="A89" s="125"/>
      <c r="B89" s="207" t="s">
        <v>259</v>
      </c>
      <c r="C89" s="226" t="s">
        <v>260</v>
      </c>
      <c r="D89" s="227"/>
      <c r="E89" s="227"/>
      <c r="F89" s="208" t="s">
        <v>23</v>
      </c>
      <c r="G89" s="195"/>
      <c r="H89" s="195"/>
      <c r="I89" s="195">
        <f>'Most - spodní část'!G39</f>
        <v>0</v>
      </c>
      <c r="J89" s="132" t="str">
        <f>IF(I98=0,"",I89/I98*100)</f>
        <v/>
      </c>
    </row>
    <row r="90" spans="1:10" ht="15" customHeight="1" x14ac:dyDescent="0.2">
      <c r="A90" s="125"/>
      <c r="B90" s="207" t="s">
        <v>417</v>
      </c>
      <c r="C90" s="226" t="s">
        <v>449</v>
      </c>
      <c r="D90" s="227"/>
      <c r="E90" s="227"/>
      <c r="F90" s="208" t="s">
        <v>23</v>
      </c>
      <c r="G90" s="195"/>
      <c r="H90" s="195"/>
      <c r="I90" s="195">
        <f>'Most - spodní část'!G56</f>
        <v>0</v>
      </c>
      <c r="J90" s="132" t="str">
        <f>IF(I98=0,"",I90/I98*100)</f>
        <v/>
      </c>
    </row>
    <row r="91" spans="1:10" ht="15" customHeight="1" x14ac:dyDescent="0.2">
      <c r="A91" s="125"/>
      <c r="B91" s="207" t="s">
        <v>200</v>
      </c>
      <c r="C91" s="226" t="s">
        <v>201</v>
      </c>
      <c r="D91" s="227"/>
      <c r="E91" s="227"/>
      <c r="F91" s="208" t="s">
        <v>23</v>
      </c>
      <c r="G91" s="195"/>
      <c r="H91" s="195"/>
      <c r="I91" s="195">
        <f>'Most - spodní část'!G69</f>
        <v>0</v>
      </c>
      <c r="J91" s="132" t="str">
        <f>IF(I98=0,"",I91/I98*100)</f>
        <v/>
      </c>
    </row>
    <row r="92" spans="1:10" ht="15" customHeight="1" x14ac:dyDescent="0.2">
      <c r="A92" s="125"/>
      <c r="B92" s="207" t="s">
        <v>175</v>
      </c>
      <c r="C92" s="226" t="s">
        <v>318</v>
      </c>
      <c r="D92" s="227"/>
      <c r="E92" s="227"/>
      <c r="F92" s="208" t="s">
        <v>23</v>
      </c>
      <c r="G92" s="195"/>
      <c r="H92" s="195"/>
      <c r="I92" s="195">
        <f>'Most - spodní část'!G76</f>
        <v>0</v>
      </c>
      <c r="J92" s="132" t="str">
        <f>IF(I98=0,"",I92/I98*100)</f>
        <v/>
      </c>
    </row>
    <row r="93" spans="1:10" ht="15" customHeight="1" x14ac:dyDescent="0.2">
      <c r="A93" s="125"/>
      <c r="B93" s="207" t="s">
        <v>439</v>
      </c>
      <c r="C93" s="226" t="s">
        <v>132</v>
      </c>
      <c r="D93" s="227"/>
      <c r="E93" s="227"/>
      <c r="F93" s="208" t="s">
        <v>23</v>
      </c>
      <c r="G93" s="195"/>
      <c r="H93" s="195"/>
      <c r="I93" s="195">
        <f>'Most - spodní část'!G82</f>
        <v>0</v>
      </c>
      <c r="J93" s="132" t="str">
        <f>IF(I98=0,"",I93/I98*100)</f>
        <v/>
      </c>
    </row>
    <row r="94" spans="1:10" ht="15" customHeight="1" x14ac:dyDescent="0.2">
      <c r="A94" s="125"/>
      <c r="B94" s="207" t="s">
        <v>278</v>
      </c>
      <c r="C94" s="226" t="s">
        <v>279</v>
      </c>
      <c r="D94" s="227"/>
      <c r="E94" s="227"/>
      <c r="F94" s="208" t="s">
        <v>24</v>
      </c>
      <c r="G94" s="195"/>
      <c r="H94" s="195"/>
      <c r="I94" s="195">
        <f>'Most - spodní část'!G86</f>
        <v>0</v>
      </c>
      <c r="J94" s="132" t="str">
        <f>IF(I98=0,"",I94/I98*100)</f>
        <v/>
      </c>
    </row>
    <row r="95" spans="1:10" ht="15" customHeight="1" x14ac:dyDescent="0.2">
      <c r="A95" s="125"/>
      <c r="B95" s="207" t="s">
        <v>436</v>
      </c>
      <c r="C95" s="226" t="s">
        <v>61</v>
      </c>
      <c r="D95" s="227"/>
      <c r="E95" s="227"/>
      <c r="F95" s="208" t="s">
        <v>62</v>
      </c>
      <c r="G95" s="195"/>
      <c r="H95" s="195"/>
      <c r="I95" s="195">
        <f>'Most - spodní část'!G94</f>
        <v>0</v>
      </c>
      <c r="J95" s="132" t="str">
        <f>IF(I98=0,"",I95/I98*100)</f>
        <v/>
      </c>
    </row>
    <row r="96" spans="1:10" ht="15" customHeight="1" x14ac:dyDescent="0.2">
      <c r="A96" s="125"/>
      <c r="B96" s="207" t="s">
        <v>63</v>
      </c>
      <c r="C96" s="226" t="s">
        <v>26</v>
      </c>
      <c r="D96" s="227"/>
      <c r="E96" s="227"/>
      <c r="F96" s="208" t="s">
        <v>63</v>
      </c>
      <c r="G96" s="195"/>
      <c r="H96" s="195"/>
      <c r="I96" s="195">
        <f>'Most - spodní část'!G106</f>
        <v>0</v>
      </c>
      <c r="J96" s="132" t="str">
        <f>IF(I98=0,"",I96/I98*100)</f>
        <v/>
      </c>
    </row>
    <row r="97" spans="1:10" ht="15" customHeight="1" x14ac:dyDescent="0.2">
      <c r="A97" s="125"/>
      <c r="B97" s="207" t="s">
        <v>64</v>
      </c>
      <c r="C97" s="226" t="s">
        <v>27</v>
      </c>
      <c r="D97" s="227"/>
      <c r="E97" s="227"/>
      <c r="F97" s="208" t="s">
        <v>64</v>
      </c>
      <c r="G97" s="195"/>
      <c r="H97" s="195"/>
      <c r="I97" s="195">
        <f>'Most - spodní část'!G120</f>
        <v>0</v>
      </c>
      <c r="J97" s="132" t="str">
        <f>IF(I98=0,"",I97/I98*100)</f>
        <v/>
      </c>
    </row>
    <row r="98" spans="1:10" ht="15" customHeight="1" x14ac:dyDescent="0.2">
      <c r="A98" s="125"/>
      <c r="B98" s="214" t="s">
        <v>1</v>
      </c>
      <c r="C98" s="215"/>
      <c r="D98" s="216"/>
      <c r="E98" s="216"/>
      <c r="F98" s="217"/>
      <c r="G98" s="198"/>
      <c r="H98" s="198"/>
      <c r="I98" s="198">
        <f>SUM(I87:I97)</f>
        <v>0</v>
      </c>
      <c r="J98" s="199">
        <f>SUM(J87:J97)</f>
        <v>0</v>
      </c>
    </row>
    <row r="99" spans="1:10" x14ac:dyDescent="0.2">
      <c r="F99" s="84"/>
      <c r="G99" s="84"/>
      <c r="H99" s="84"/>
      <c r="I99" s="84"/>
      <c r="J99" s="85"/>
    </row>
    <row r="100" spans="1:10" x14ac:dyDescent="0.2">
      <c r="F100" s="84"/>
      <c r="G100" s="84"/>
      <c r="H100" s="84"/>
      <c r="I100" s="84"/>
      <c r="J100" s="85"/>
    </row>
    <row r="101" spans="1:10" x14ac:dyDescent="0.2">
      <c r="F101" s="84"/>
      <c r="G101" s="84"/>
      <c r="H101" s="84"/>
      <c r="I101" s="84"/>
      <c r="J101" s="85"/>
    </row>
    <row r="102" spans="1:10" x14ac:dyDescent="0.2">
      <c r="F102" s="84"/>
      <c r="G102" s="84"/>
      <c r="H102" s="84"/>
      <c r="I102" s="84"/>
      <c r="J102" s="85"/>
    </row>
    <row r="103" spans="1:10" x14ac:dyDescent="0.2">
      <c r="F103" s="84"/>
      <c r="G103" s="84"/>
      <c r="H103" s="84"/>
      <c r="I103" s="84"/>
      <c r="J103" s="85"/>
    </row>
    <row r="104" spans="1:10" x14ac:dyDescent="0.2">
      <c r="F104" s="84"/>
      <c r="G104" s="84"/>
      <c r="H104" s="84"/>
      <c r="I104" s="84"/>
      <c r="J104" s="85"/>
    </row>
  </sheetData>
  <sheetProtection algorithmName="SHA-512" hashValue="CTifbgRhj7fcAbl5IraCKOsEQ45TLiNSxeyncL5QF8Sy6EhLsLAQQkxUS1di85Vk74wYYn8jpSWP8OgC/kXIqw==" saltValue="TgsTT+57AH/SyO/nXCol+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C40:E40"/>
    <mergeCell ref="C41:E41"/>
    <mergeCell ref="C42:E42"/>
    <mergeCell ref="C43:E43"/>
    <mergeCell ref="B44:E44"/>
    <mergeCell ref="C82:E82"/>
    <mergeCell ref="C76:E76"/>
    <mergeCell ref="C80:E80"/>
    <mergeCell ref="C65:E65"/>
    <mergeCell ref="C66:E66"/>
    <mergeCell ref="C81:E81"/>
    <mergeCell ref="C72:E72"/>
    <mergeCell ref="C77:E77"/>
    <mergeCell ref="C78:E78"/>
    <mergeCell ref="C79:E79"/>
    <mergeCell ref="C73:E73"/>
    <mergeCell ref="C74:E74"/>
    <mergeCell ref="C75:E75"/>
    <mergeCell ref="B47:G47"/>
    <mergeCell ref="B48:G48"/>
    <mergeCell ref="B49:G49"/>
    <mergeCell ref="B51:G51"/>
    <mergeCell ref="C61:E61"/>
    <mergeCell ref="C60:E60"/>
    <mergeCell ref="C97:E97"/>
    <mergeCell ref="B50:G50"/>
    <mergeCell ref="C93:E93"/>
    <mergeCell ref="C94:E94"/>
    <mergeCell ref="C95:E95"/>
    <mergeCell ref="C96:E96"/>
    <mergeCell ref="C88:E88"/>
    <mergeCell ref="C89:E89"/>
    <mergeCell ref="C90:E90"/>
    <mergeCell ref="C91:E91"/>
    <mergeCell ref="C92:E92"/>
    <mergeCell ref="C62:E62"/>
    <mergeCell ref="C63:E63"/>
    <mergeCell ref="C64:E64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86" t="s">
        <v>6</v>
      </c>
      <c r="B1" s="286"/>
      <c r="C1" s="287"/>
      <c r="D1" s="286"/>
      <c r="E1" s="286"/>
      <c r="F1" s="286"/>
      <c r="G1" s="286"/>
    </row>
    <row r="2" spans="1:7" ht="24.95" customHeight="1" x14ac:dyDescent="0.2">
      <c r="A2" s="49" t="s">
        <v>7</v>
      </c>
      <c r="B2" s="48"/>
      <c r="C2" s="288"/>
      <c r="D2" s="288"/>
      <c r="E2" s="288"/>
      <c r="F2" s="288"/>
      <c r="G2" s="289"/>
    </row>
    <row r="3" spans="1:7" ht="24.95" customHeight="1" x14ac:dyDescent="0.2">
      <c r="A3" s="49" t="s">
        <v>8</v>
      </c>
      <c r="B3" s="48"/>
      <c r="C3" s="288"/>
      <c r="D3" s="288"/>
      <c r="E3" s="288"/>
      <c r="F3" s="288"/>
      <c r="G3" s="289"/>
    </row>
    <row r="4" spans="1:7" ht="24.95" customHeight="1" x14ac:dyDescent="0.2">
      <c r="A4" s="49" t="s">
        <v>9</v>
      </c>
      <c r="B4" s="48"/>
      <c r="C4" s="288"/>
      <c r="D4" s="288"/>
      <c r="E4" s="288"/>
      <c r="F4" s="288"/>
      <c r="G4" s="289"/>
    </row>
    <row r="5" spans="1:7" x14ac:dyDescent="0.2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1"/>
  <sheetViews>
    <sheetView tabSelected="1" workbookViewId="0">
      <pane ySplit="7" topLeftCell="A62" activePane="bottomLeft" state="frozen"/>
      <selection pane="bottomLeft" activeCell="C83" sqref="C83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0.140625" bestFit="1" customWidth="1"/>
    <col min="26" max="26" width="11.7109375" bestFit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G1" t="s">
        <v>66</v>
      </c>
    </row>
    <row r="2" spans="1:60" ht="24.95" customHeight="1" x14ac:dyDescent="0.2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G2" t="s">
        <v>67</v>
      </c>
    </row>
    <row r="3" spans="1:60" ht="24.95" customHeight="1" x14ac:dyDescent="0.2">
      <c r="A3" s="187" t="s">
        <v>8</v>
      </c>
      <c r="B3" s="193" t="s">
        <v>43</v>
      </c>
      <c r="C3" s="301" t="s">
        <v>306</v>
      </c>
      <c r="D3" s="302"/>
      <c r="E3" s="302"/>
      <c r="F3" s="302"/>
      <c r="G3" s="303"/>
      <c r="H3" s="188"/>
      <c r="L3" s="190"/>
      <c r="AC3" s="123" t="s">
        <v>67</v>
      </c>
      <c r="AG3" t="s">
        <v>68</v>
      </c>
    </row>
    <row r="4" spans="1:60" ht="24.95" customHeight="1" x14ac:dyDescent="0.2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G4" t="s">
        <v>69</v>
      </c>
    </row>
    <row r="5" spans="1:60" x14ac:dyDescent="0.2">
      <c r="D5" s="10"/>
    </row>
    <row r="6" spans="1:60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60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60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SUMIF(AG9:AG43,"&lt;&gt;NOR",G9:G43)</f>
        <v>0</v>
      </c>
      <c r="H8" s="155"/>
      <c r="I8" s="155">
        <f>SUM(I9:I43)</f>
        <v>635.04</v>
      </c>
      <c r="J8" s="155"/>
      <c r="K8" s="155">
        <f>SUM(K9:K43)</f>
        <v>795167.7699999999</v>
      </c>
      <c r="L8" s="155"/>
      <c r="M8" s="155">
        <f>SUM(M9:M43)</f>
        <v>0</v>
      </c>
      <c r="N8" s="155"/>
      <c r="O8" s="155">
        <f>SUM(O9:O43)</f>
        <v>0</v>
      </c>
      <c r="P8" s="155"/>
      <c r="Q8" s="155">
        <f>SUM(Q9:Q43)</f>
        <v>423.61</v>
      </c>
      <c r="R8" s="155"/>
      <c r="S8" s="155"/>
      <c r="T8" s="156"/>
      <c r="U8" s="150"/>
      <c r="V8" s="150">
        <f>SUM(V9:V43)</f>
        <v>611.62</v>
      </c>
      <c r="W8" s="150"/>
      <c r="X8" s="150"/>
      <c r="Z8" s="84"/>
      <c r="AG8" t="s">
        <v>92</v>
      </c>
    </row>
    <row r="9" spans="1:60" outlineLevel="1" x14ac:dyDescent="0.2">
      <c r="A9" s="157">
        <v>1</v>
      </c>
      <c r="B9" s="158" t="s">
        <v>191</v>
      </c>
      <c r="C9" s="168" t="s">
        <v>232</v>
      </c>
      <c r="D9" s="159" t="s">
        <v>98</v>
      </c>
      <c r="E9" s="160">
        <f>20*2+166*1.5+40*1.5</f>
        <v>349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61.8</v>
      </c>
      <c r="K9" s="162">
        <f>ROUND(E9*J9,2)</f>
        <v>21568.2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0.13800000000000001</v>
      </c>
      <c r="Q9" s="162">
        <f>ROUND(E9*P9,2)</f>
        <v>48.16</v>
      </c>
      <c r="R9" s="162" t="s">
        <v>109</v>
      </c>
      <c r="S9" s="162" t="s">
        <v>322</v>
      </c>
      <c r="T9" s="162" t="s">
        <v>322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">
      <c r="A10" s="147"/>
      <c r="B10" s="148"/>
      <c r="C10" s="290" t="s">
        <v>219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">
      <c r="A11" s="147"/>
      <c r="B11" s="148"/>
      <c r="C11" s="169"/>
      <c r="D11" s="164"/>
      <c r="E11" s="164"/>
      <c r="F11" s="164"/>
      <c r="G11" s="16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ht="22.9" customHeight="1" outlineLevel="1" x14ac:dyDescent="0.2">
      <c r="A12" s="157">
        <f>A9+1</f>
        <v>2</v>
      </c>
      <c r="B12" s="158" t="s">
        <v>207</v>
      </c>
      <c r="C12" s="168" t="s">
        <v>206</v>
      </c>
      <c r="D12" s="159" t="s">
        <v>116</v>
      </c>
      <c r="E12" s="160">
        <f>1250*0.2+E9*0.2</f>
        <v>319.8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351</v>
      </c>
      <c r="K12" s="162">
        <f>ROUND(E12*J12,2)</f>
        <v>112249.8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0.44</v>
      </c>
      <c r="Q12" s="162">
        <f>ROUND(E12*P12,2)</f>
        <v>140.71</v>
      </c>
      <c r="R12" s="162" t="s">
        <v>109</v>
      </c>
      <c r="S12" s="162" t="s">
        <v>322</v>
      </c>
      <c r="T12" s="162" t="s">
        <v>322</v>
      </c>
      <c r="U12" s="149">
        <v>3.3000000000000002E-2</v>
      </c>
      <c r="V12" s="149">
        <f>ROUND(E12*U12,2)</f>
        <v>10.55</v>
      </c>
      <c r="W12" s="149"/>
      <c r="X12" s="149" t="s">
        <v>110</v>
      </c>
      <c r="Y12" s="140"/>
      <c r="Z12" s="140"/>
      <c r="AA12" s="140"/>
      <c r="AB12" s="140"/>
      <c r="AC12" s="140"/>
      <c r="AD12" s="140"/>
      <c r="AE12" s="140"/>
      <c r="AF12" s="140"/>
      <c r="AG12" s="140" t="s">
        <v>111</v>
      </c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 x14ac:dyDescent="0.2">
      <c r="A13" s="147"/>
      <c r="B13" s="148"/>
      <c r="C13" s="295"/>
      <c r="D13" s="296"/>
      <c r="E13" s="296"/>
      <c r="F13" s="296"/>
      <c r="G13" s="296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 t="s">
        <v>93</v>
      </c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ht="22.5" outlineLevel="1" x14ac:dyDescent="0.2">
      <c r="A14" s="157">
        <f>A12+1</f>
        <v>3</v>
      </c>
      <c r="B14" s="158" t="s">
        <v>233</v>
      </c>
      <c r="C14" s="168" t="s">
        <v>234</v>
      </c>
      <c r="D14" s="159" t="s">
        <v>98</v>
      </c>
      <c r="E14" s="160">
        <v>1250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111</v>
      </c>
      <c r="K14" s="162">
        <f>ROUND(E14*J14,2)</f>
        <v>138750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0.11</v>
      </c>
      <c r="Q14" s="162">
        <f>ROUND(E14*P14,2)</f>
        <v>137.5</v>
      </c>
      <c r="R14" s="162" t="s">
        <v>109</v>
      </c>
      <c r="S14" s="162" t="s">
        <v>322</v>
      </c>
      <c r="T14" s="162" t="s">
        <v>322</v>
      </c>
      <c r="U14" s="149">
        <v>0.2</v>
      </c>
      <c r="V14" s="149">
        <f>ROUND(E14*U14,2)</f>
        <v>250</v>
      </c>
      <c r="W14" s="149"/>
      <c r="X14" s="149" t="s">
        <v>110</v>
      </c>
      <c r="Y14" s="140"/>
      <c r="Z14" s="140"/>
      <c r="AA14" s="140"/>
      <c r="AB14" s="140"/>
      <c r="AC14" s="140"/>
      <c r="AD14" s="140"/>
      <c r="AE14" s="140"/>
      <c r="AF14" s="140"/>
      <c r="AG14" s="140" t="s">
        <v>111</v>
      </c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 x14ac:dyDescent="0.2">
      <c r="A15" s="147"/>
      <c r="B15" s="148"/>
      <c r="C15" s="295"/>
      <c r="D15" s="296"/>
      <c r="E15" s="296"/>
      <c r="F15" s="296"/>
      <c r="G15" s="296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 t="s">
        <v>93</v>
      </c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">
      <c r="A16" s="157">
        <f>A14+1</f>
        <v>4</v>
      </c>
      <c r="B16" s="158" t="s">
        <v>113</v>
      </c>
      <c r="C16" s="168" t="s">
        <v>150</v>
      </c>
      <c r="D16" s="159" t="s">
        <v>114</v>
      </c>
      <c r="E16" s="160">
        <v>442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115</v>
      </c>
      <c r="K16" s="162">
        <f>ROUND(E16*J16,2)</f>
        <v>50830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0.22</v>
      </c>
      <c r="Q16" s="162">
        <f>ROUND(E16*P16,2)</f>
        <v>97.24</v>
      </c>
      <c r="R16" s="162" t="s">
        <v>109</v>
      </c>
      <c r="S16" s="162" t="s">
        <v>322</v>
      </c>
      <c r="T16" s="162" t="s">
        <v>322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ht="12.75" customHeight="1" outlineLevel="1" x14ac:dyDescent="0.2">
      <c r="A17" s="147"/>
      <c r="B17" s="148"/>
      <c r="C17" s="290" t="s">
        <v>198</v>
      </c>
      <c r="D17" s="291"/>
      <c r="E17" s="291"/>
      <c r="F17" s="291"/>
      <c r="G17" s="29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">
      <c r="A19" s="157">
        <f>A16+1</f>
        <v>5</v>
      </c>
      <c r="B19" s="158" t="s">
        <v>176</v>
      </c>
      <c r="C19" s="168" t="s">
        <v>177</v>
      </c>
      <c r="D19" s="159" t="s">
        <v>116</v>
      </c>
      <c r="E19" s="160">
        <f>E14/3*0.2</f>
        <v>83.333333333333343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617</v>
      </c>
      <c r="K19" s="162">
        <f>ROUND(E19*J19,2)</f>
        <v>51416.67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322</v>
      </c>
      <c r="T19" s="162" t="s">
        <v>322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14.25" customHeight="1" outlineLevel="1" x14ac:dyDescent="0.2">
      <c r="A20" s="147"/>
      <c r="B20" s="148"/>
      <c r="C20" s="290" t="s">
        <v>197</v>
      </c>
      <c r="D20" s="291"/>
      <c r="E20" s="291"/>
      <c r="F20" s="291"/>
      <c r="G20" s="291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">
      <c r="A21" s="147"/>
      <c r="B21" s="148"/>
      <c r="C21" s="169"/>
      <c r="D21" s="164"/>
      <c r="E21" s="164"/>
      <c r="F21" s="164"/>
      <c r="G21" s="164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">
      <c r="A22" s="157">
        <f>A19+1</f>
        <v>6</v>
      </c>
      <c r="B22" s="158" t="s">
        <v>151</v>
      </c>
      <c r="C22" s="168" t="s">
        <v>226</v>
      </c>
      <c r="D22" s="159" t="s">
        <v>116</v>
      </c>
      <c r="E22" s="160">
        <f>E14*0.2+E9*0.2-E19</f>
        <v>236.46666666666667</v>
      </c>
      <c r="F22" s="161"/>
      <c r="G22" s="162">
        <f>ROUND(E22*F22,2)</f>
        <v>0</v>
      </c>
      <c r="H22" s="161">
        <v>0</v>
      </c>
      <c r="I22" s="162">
        <f>ROUND(E22*H22,2)</f>
        <v>0</v>
      </c>
      <c r="J22" s="161">
        <v>191.5</v>
      </c>
      <c r="K22" s="162">
        <f>ROUND(E22*J22,2)</f>
        <v>45283.37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</v>
      </c>
      <c r="Q22" s="162">
        <f>ROUND(E22*P22,2)</f>
        <v>0</v>
      </c>
      <c r="R22" s="162" t="s">
        <v>115</v>
      </c>
      <c r="S22" s="162" t="s">
        <v>322</v>
      </c>
      <c r="T22" s="162" t="s">
        <v>322</v>
      </c>
      <c r="U22" s="149">
        <v>0.36799999999999999</v>
      </c>
      <c r="V22" s="149">
        <f>ROUND(E22*U22,2)</f>
        <v>87.02</v>
      </c>
      <c r="W22" s="149"/>
      <c r="X22" s="149" t="s">
        <v>110</v>
      </c>
      <c r="Y22" s="140"/>
      <c r="Z22" s="140"/>
      <c r="AA22" s="140"/>
      <c r="AB22" s="140"/>
      <c r="AC22" s="140"/>
      <c r="AD22" s="140"/>
      <c r="AE22" s="140"/>
      <c r="AF22" s="140"/>
      <c r="AG22" s="140" t="s">
        <v>111</v>
      </c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 x14ac:dyDescent="0.2">
      <c r="A23" s="147"/>
      <c r="B23" s="148"/>
      <c r="C23" s="292"/>
      <c r="D23" s="293"/>
      <c r="E23" s="293"/>
      <c r="F23" s="293"/>
      <c r="G23" s="293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 t="s">
        <v>93</v>
      </c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ht="22.5" outlineLevel="1" x14ac:dyDescent="0.2">
      <c r="A24" s="157">
        <f>A22+1</f>
        <v>7</v>
      </c>
      <c r="B24" s="158" t="s">
        <v>117</v>
      </c>
      <c r="C24" s="168" t="s">
        <v>225</v>
      </c>
      <c r="D24" s="159" t="s">
        <v>116</v>
      </c>
      <c r="E24" s="160">
        <f>E22*0.55</f>
        <v>130.05666666666667</v>
      </c>
      <c r="F24" s="161"/>
      <c r="G24" s="162">
        <f>ROUND(E24*F24,2)</f>
        <v>0</v>
      </c>
      <c r="H24" s="161">
        <v>0</v>
      </c>
      <c r="I24" s="162">
        <f>ROUND(E24*H24,2)</f>
        <v>0</v>
      </c>
      <c r="J24" s="161">
        <v>38.299999999999997</v>
      </c>
      <c r="K24" s="162">
        <f>ROUND(E24*J24,2)</f>
        <v>4981.17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 t="s">
        <v>115</v>
      </c>
      <c r="S24" s="162" t="s">
        <v>322</v>
      </c>
      <c r="T24" s="162" t="s">
        <v>322</v>
      </c>
      <c r="U24" s="149">
        <v>5.8000000000000003E-2</v>
      </c>
      <c r="V24" s="149">
        <f>ROUND(E24*U24,2)</f>
        <v>7.54</v>
      </c>
      <c r="W24" s="149"/>
      <c r="X24" s="149" t="s">
        <v>110</v>
      </c>
      <c r="Y24" s="140"/>
      <c r="Z24" s="140"/>
      <c r="AA24" s="140"/>
      <c r="AB24" s="140"/>
      <c r="AC24" s="140"/>
      <c r="AD24" s="140"/>
      <c r="AE24" s="140"/>
      <c r="AF24" s="140"/>
      <c r="AG24" s="140" t="s">
        <v>111</v>
      </c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">
      <c r="A25" s="147"/>
      <c r="B25" s="148"/>
      <c r="C25" s="292"/>
      <c r="D25" s="293"/>
      <c r="E25" s="293"/>
      <c r="F25" s="293"/>
      <c r="G25" s="293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 t="s">
        <v>93</v>
      </c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">
      <c r="A26" s="157">
        <f>A24+1</f>
        <v>8</v>
      </c>
      <c r="B26" s="158" t="s">
        <v>178</v>
      </c>
      <c r="C26" s="168" t="s">
        <v>179</v>
      </c>
      <c r="D26" s="159" t="s">
        <v>116</v>
      </c>
      <c r="E26" s="160">
        <f>36</f>
        <v>36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1273</v>
      </c>
      <c r="K26" s="162">
        <f>ROUND(E26*J26,2)</f>
        <v>45828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115</v>
      </c>
      <c r="S26" s="162" t="s">
        <v>322</v>
      </c>
      <c r="T26" s="162" t="s">
        <v>322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">
      <c r="A27" s="147"/>
      <c r="B27" s="148"/>
      <c r="C27" s="290" t="s">
        <v>180</v>
      </c>
      <c r="D27" s="291"/>
      <c r="E27" s="291"/>
      <c r="F27" s="291"/>
      <c r="G27" s="291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">
      <c r="A29" s="157">
        <f>A26+1</f>
        <v>9</v>
      </c>
      <c r="B29" s="158" t="s">
        <v>118</v>
      </c>
      <c r="C29" s="168" t="s">
        <v>317</v>
      </c>
      <c r="D29" s="159" t="s">
        <v>116</v>
      </c>
      <c r="E29" s="160">
        <f>E22+E26+E19</f>
        <v>355.80000000000007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259.5</v>
      </c>
      <c r="K29" s="162">
        <f>ROUND(E29*J29,2)</f>
        <v>92330.1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322</v>
      </c>
      <c r="T29" s="162" t="s">
        <v>322</v>
      </c>
      <c r="U29" s="149">
        <v>5.1999999999999998E-3</v>
      </c>
      <c r="V29" s="149">
        <f>ROUND(E29*U29,2)</f>
        <v>1.85</v>
      </c>
      <c r="W29" s="149"/>
      <c r="X29" s="149" t="s">
        <v>110</v>
      </c>
      <c r="Y29" s="140"/>
      <c r="Z29" s="140"/>
      <c r="AA29" s="140"/>
      <c r="AB29" s="140"/>
      <c r="AC29" s="140"/>
      <c r="AD29" s="140"/>
      <c r="AE29" s="140"/>
      <c r="AF29" s="140"/>
      <c r="AG29" s="140" t="s">
        <v>111</v>
      </c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">
      <c r="A30" s="147"/>
      <c r="B30" s="148"/>
      <c r="C30" s="290" t="s">
        <v>119</v>
      </c>
      <c r="D30" s="291"/>
      <c r="E30" s="291"/>
      <c r="F30" s="291"/>
      <c r="G30" s="291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 t="s">
        <v>112</v>
      </c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">
      <c r="A31" s="147"/>
      <c r="B31" s="148"/>
      <c r="C31" s="292"/>
      <c r="D31" s="293"/>
      <c r="E31" s="293"/>
      <c r="F31" s="293"/>
      <c r="G31" s="293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 t="s">
        <v>93</v>
      </c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">
      <c r="A32" s="157">
        <f>A29+1</f>
        <v>10</v>
      </c>
      <c r="B32" s="158" t="s">
        <v>120</v>
      </c>
      <c r="C32" s="168" t="s">
        <v>164</v>
      </c>
      <c r="D32" s="159" t="s">
        <v>116</v>
      </c>
      <c r="E32" s="160">
        <f>E29</f>
        <v>355.80000000000007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94287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322</v>
      </c>
      <c r="T32" s="162" t="s">
        <v>322</v>
      </c>
      <c r="U32" s="149">
        <v>0.65200000000000002</v>
      </c>
      <c r="V32" s="149">
        <f>ROUND(E32*U32,2)</f>
        <v>231.98</v>
      </c>
      <c r="W32" s="149"/>
      <c r="X32" s="149" t="s">
        <v>110</v>
      </c>
      <c r="Y32" s="140"/>
      <c r="Z32" s="140"/>
      <c r="AA32" s="140"/>
      <c r="AB32" s="140"/>
      <c r="AC32" s="140"/>
      <c r="AD32" s="140"/>
      <c r="AE32" s="140"/>
      <c r="AF32" s="140"/>
      <c r="AG32" s="140" t="s">
        <v>111</v>
      </c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">
      <c r="A33" s="147"/>
      <c r="B33" s="148"/>
      <c r="C33" s="295"/>
      <c r="D33" s="296"/>
      <c r="E33" s="296"/>
      <c r="F33" s="296"/>
      <c r="G33" s="296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 t="s">
        <v>93</v>
      </c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">
      <c r="A34" s="157">
        <f>A32+1</f>
        <v>11</v>
      </c>
      <c r="B34" s="158" t="s">
        <v>121</v>
      </c>
      <c r="C34" s="168" t="s">
        <v>160</v>
      </c>
      <c r="D34" s="159" t="s">
        <v>98</v>
      </c>
      <c r="E34" s="160">
        <v>378</v>
      </c>
      <c r="F34" s="161"/>
      <c r="G34" s="162">
        <f>ROUND(E34*F34,2)</f>
        <v>0</v>
      </c>
      <c r="H34" s="161">
        <v>1.68</v>
      </c>
      <c r="I34" s="162">
        <f>ROUND(E34*H34,2)</f>
        <v>635.04</v>
      </c>
      <c r="J34" s="161">
        <v>22.42</v>
      </c>
      <c r="K34" s="162">
        <f>ROUND(E34*J34,2)</f>
        <v>8474.76</v>
      </c>
      <c r="L34" s="162">
        <v>21</v>
      </c>
      <c r="M34" s="162">
        <f>G34*(1+L34/100)</f>
        <v>0</v>
      </c>
      <c r="N34" s="162">
        <v>0</v>
      </c>
      <c r="O34" s="162">
        <f>ROUND(E34*N34,2)</f>
        <v>0</v>
      </c>
      <c r="P34" s="162">
        <v>0</v>
      </c>
      <c r="Q34" s="162">
        <f>ROUND(E34*P34,2)</f>
        <v>0</v>
      </c>
      <c r="R34" s="162" t="s">
        <v>122</v>
      </c>
      <c r="S34" s="162" t="s">
        <v>322</v>
      </c>
      <c r="T34" s="162" t="s">
        <v>322</v>
      </c>
      <c r="U34" s="149">
        <v>0.06</v>
      </c>
      <c r="V34" s="149">
        <f>ROUND(E34*U34,2)</f>
        <v>22.68</v>
      </c>
      <c r="W34" s="149"/>
      <c r="X34" s="149" t="s">
        <v>110</v>
      </c>
      <c r="Y34" s="140"/>
      <c r="Z34" s="140"/>
      <c r="AA34" s="140"/>
      <c r="AB34" s="140"/>
      <c r="AC34" s="140"/>
      <c r="AD34" s="140"/>
      <c r="AE34" s="140"/>
      <c r="AF34" s="140"/>
      <c r="AG34" s="140" t="s">
        <v>111</v>
      </c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">
      <c r="A35" s="147"/>
      <c r="B35" s="148"/>
      <c r="C35" s="290" t="s">
        <v>123</v>
      </c>
      <c r="D35" s="291"/>
      <c r="E35" s="291"/>
      <c r="F35" s="291"/>
      <c r="G35" s="291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 t="s">
        <v>112</v>
      </c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">
      <c r="A36" s="147"/>
      <c r="B36" s="148"/>
      <c r="C36" s="292"/>
      <c r="D36" s="293"/>
      <c r="E36" s="293"/>
      <c r="F36" s="293"/>
      <c r="G36" s="293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 t="s">
        <v>93</v>
      </c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">
      <c r="A37" s="157">
        <f>A34+1</f>
        <v>12</v>
      </c>
      <c r="B37" s="158" t="s">
        <v>192</v>
      </c>
      <c r="C37" s="168" t="s">
        <v>182</v>
      </c>
      <c r="D37" s="159" t="s">
        <v>98</v>
      </c>
      <c r="E37" s="160">
        <f>E34</f>
        <v>378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17.399999999999999</v>
      </c>
      <c r="K37" s="162">
        <f>ROUND(E37*J37,2)</f>
        <v>6577.2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181</v>
      </c>
      <c r="S37" s="162" t="s">
        <v>322</v>
      </c>
      <c r="T37" s="162" t="s">
        <v>322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ht="13.15" customHeight="1" outlineLevel="1" x14ac:dyDescent="0.2">
      <c r="A38" s="147"/>
      <c r="B38" s="148"/>
      <c r="C38" s="290" t="s">
        <v>183</v>
      </c>
      <c r="D38" s="291"/>
      <c r="E38" s="291"/>
      <c r="F38" s="291"/>
      <c r="G38" s="291"/>
      <c r="H38" s="181"/>
      <c r="I38" s="149"/>
      <c r="J38" s="181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">
      <c r="A40" s="157">
        <f>A37+1</f>
        <v>13</v>
      </c>
      <c r="B40" s="158" t="s">
        <v>189</v>
      </c>
      <c r="C40" s="168" t="s">
        <v>190</v>
      </c>
      <c r="D40" s="159" t="s">
        <v>98</v>
      </c>
      <c r="E40" s="160">
        <v>1660</v>
      </c>
      <c r="F40" s="161"/>
      <c r="G40" s="162">
        <f>ROUND(E40*F40,2)</f>
        <v>0</v>
      </c>
      <c r="H40" s="161">
        <v>0</v>
      </c>
      <c r="I40" s="162">
        <f>ROUND(E40*H40,2)</f>
        <v>0</v>
      </c>
      <c r="J40" s="161">
        <v>13.3</v>
      </c>
      <c r="K40" s="162">
        <f>ROUND(E40*J40,2)</f>
        <v>22078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 t="s">
        <v>115</v>
      </c>
      <c r="S40" s="162" t="s">
        <v>322</v>
      </c>
      <c r="T40" s="162" t="s">
        <v>322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">
      <c r="A42" s="157">
        <f>A40+1</f>
        <v>14</v>
      </c>
      <c r="B42" s="158" t="s">
        <v>124</v>
      </c>
      <c r="C42" s="168" t="s">
        <v>125</v>
      </c>
      <c r="D42" s="159" t="s">
        <v>116</v>
      </c>
      <c r="E42" s="160">
        <f>E32</f>
        <v>355.80000000000007</v>
      </c>
      <c r="F42" s="161"/>
      <c r="G42" s="162">
        <f>ROUND(E42*F42,2)</f>
        <v>0</v>
      </c>
      <c r="H42" s="161">
        <v>0</v>
      </c>
      <c r="I42" s="162">
        <f>ROUND(E42*H42,2)</f>
        <v>0</v>
      </c>
      <c r="J42" s="161">
        <v>282.5</v>
      </c>
      <c r="K42" s="162">
        <f>ROUND(E42*J42,2)</f>
        <v>100513.5</v>
      </c>
      <c r="L42" s="162">
        <v>21</v>
      </c>
      <c r="M42" s="162">
        <f>G42*(1+L42/100)</f>
        <v>0</v>
      </c>
      <c r="N42" s="162">
        <v>0</v>
      </c>
      <c r="O42" s="162">
        <f>ROUND(E42*N42,2)</f>
        <v>0</v>
      </c>
      <c r="P42" s="162">
        <v>0</v>
      </c>
      <c r="Q42" s="162">
        <f>ROUND(E42*P42,2)</f>
        <v>0</v>
      </c>
      <c r="R42" s="162" t="s">
        <v>115</v>
      </c>
      <c r="S42" s="162" t="s">
        <v>322</v>
      </c>
      <c r="T42" s="162" t="s">
        <v>322</v>
      </c>
      <c r="U42" s="149">
        <v>0</v>
      </c>
      <c r="V42" s="149">
        <f>ROUND(E42*U42,2)</f>
        <v>0</v>
      </c>
      <c r="W42" s="149"/>
      <c r="X42" s="149" t="s">
        <v>110</v>
      </c>
      <c r="Y42" s="140"/>
      <c r="Z42" s="140"/>
      <c r="AA42" s="140"/>
      <c r="AB42" s="140"/>
      <c r="AC42" s="140"/>
      <c r="AD42" s="140"/>
      <c r="AE42" s="140"/>
      <c r="AF42" s="140"/>
      <c r="AG42" s="140" t="s">
        <v>111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">
      <c r="A43" s="147"/>
      <c r="B43" s="148"/>
      <c r="C43" s="295"/>
      <c r="D43" s="296"/>
      <c r="E43" s="296"/>
      <c r="F43" s="296"/>
      <c r="G43" s="296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 t="s">
        <v>93</v>
      </c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x14ac:dyDescent="0.2">
      <c r="A44" s="151" t="s">
        <v>91</v>
      </c>
      <c r="B44" s="152" t="s">
        <v>54</v>
      </c>
      <c r="C44" s="167" t="s">
        <v>55</v>
      </c>
      <c r="D44" s="153"/>
      <c r="E44" s="154"/>
      <c r="F44" s="155"/>
      <c r="G44" s="155">
        <f>SUMIF(AG45:AG78,"&lt;&gt;NOR",G45:G78)</f>
        <v>0</v>
      </c>
      <c r="H44" s="155"/>
      <c r="I44" s="155">
        <f>SUM(I47:I63)</f>
        <v>703840.79999999993</v>
      </c>
      <c r="J44" s="155"/>
      <c r="K44" s="155">
        <f>SUM(K47:K63)</f>
        <v>374900.4</v>
      </c>
      <c r="L44" s="155"/>
      <c r="M44" s="155">
        <f>SUM(M45:M78)</f>
        <v>0</v>
      </c>
      <c r="N44" s="155"/>
      <c r="O44" s="155">
        <f>SUM(O47:O63)</f>
        <v>793.96</v>
      </c>
      <c r="P44" s="155"/>
      <c r="Q44" s="155">
        <f>SUM(Q47:Q63)</f>
        <v>0</v>
      </c>
      <c r="R44" s="155"/>
      <c r="S44" s="155"/>
      <c r="T44" s="156"/>
      <c r="U44" s="150"/>
      <c r="V44" s="150">
        <f>SUM(V47:V63)</f>
        <v>71.22</v>
      </c>
      <c r="W44" s="150"/>
      <c r="X44" s="150"/>
      <c r="Y44" s="84"/>
      <c r="AG44" t="s">
        <v>92</v>
      </c>
    </row>
    <row r="45" spans="1:60" ht="22.5" x14ac:dyDescent="0.2">
      <c r="A45" s="157">
        <f>A42+1</f>
        <v>15</v>
      </c>
      <c r="B45" s="158" t="s">
        <v>193</v>
      </c>
      <c r="C45" s="168" t="s">
        <v>239</v>
      </c>
      <c r="D45" s="159" t="s">
        <v>98</v>
      </c>
      <c r="E45" s="160">
        <f>1250+E57+E60+E74</f>
        <v>1628</v>
      </c>
      <c r="F45" s="161"/>
      <c r="G45" s="162">
        <f>ROUND(E45*F45,2)</f>
        <v>0</v>
      </c>
      <c r="H45" s="161">
        <v>164.95</v>
      </c>
      <c r="I45" s="162">
        <f>ROUND(E45*H45,2)</f>
        <v>268538.59999999998</v>
      </c>
      <c r="J45" s="161">
        <v>26.05</v>
      </c>
      <c r="K45" s="162">
        <f>ROUND(E45*J45,2)</f>
        <v>42409.4</v>
      </c>
      <c r="L45" s="162">
        <v>21</v>
      </c>
      <c r="M45" s="162">
        <f>G45*(1+L45/100)</f>
        <v>0</v>
      </c>
      <c r="N45" s="162">
        <v>0.378</v>
      </c>
      <c r="O45" s="162">
        <f>ROUND(E45*N45,2)</f>
        <v>615.38</v>
      </c>
      <c r="P45" s="162">
        <v>0</v>
      </c>
      <c r="Q45" s="162">
        <f>ROUND(E45*P45,2)</f>
        <v>0</v>
      </c>
      <c r="R45" s="162" t="s">
        <v>109</v>
      </c>
      <c r="S45" s="162" t="s">
        <v>322</v>
      </c>
      <c r="T45" s="162" t="s">
        <v>322</v>
      </c>
      <c r="U45" s="150"/>
      <c r="V45" s="150"/>
      <c r="W45" s="150"/>
      <c r="X45" s="150"/>
      <c r="Y45" s="84"/>
    </row>
    <row r="46" spans="1:60" x14ac:dyDescent="0.2">
      <c r="A46" s="147"/>
      <c r="B46" s="148"/>
      <c r="C46" s="295"/>
      <c r="D46" s="296"/>
      <c r="E46" s="296"/>
      <c r="F46" s="296"/>
      <c r="G46" s="296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50"/>
      <c r="V46" s="150"/>
      <c r="W46" s="150"/>
      <c r="X46" s="150"/>
      <c r="Y46" s="84"/>
    </row>
    <row r="47" spans="1:60" outlineLevel="1" x14ac:dyDescent="0.2">
      <c r="A47" s="157">
        <f>A45+1</f>
        <v>16</v>
      </c>
      <c r="B47" s="158" t="s">
        <v>236</v>
      </c>
      <c r="C47" s="168" t="s">
        <v>235</v>
      </c>
      <c r="D47" s="159" t="s">
        <v>98</v>
      </c>
      <c r="E47" s="160">
        <f>1250</f>
        <v>1250</v>
      </c>
      <c r="F47" s="161"/>
      <c r="G47" s="162">
        <f>ROUND(E47*F47,2)</f>
        <v>0</v>
      </c>
      <c r="H47" s="161">
        <v>164.95</v>
      </c>
      <c r="I47" s="162">
        <f>ROUND(E47*H47,2)</f>
        <v>206187.5</v>
      </c>
      <c r="J47" s="161">
        <v>26.05</v>
      </c>
      <c r="K47" s="162">
        <f>ROUND(E47*J47,2)</f>
        <v>32562.5</v>
      </c>
      <c r="L47" s="162">
        <v>21</v>
      </c>
      <c r="M47" s="162">
        <f>G47*(1+L47/100)</f>
        <v>0</v>
      </c>
      <c r="N47" s="162">
        <v>0.378</v>
      </c>
      <c r="O47" s="162">
        <f>ROUND(E47*N47,2)</f>
        <v>472.5</v>
      </c>
      <c r="P47" s="162">
        <v>0</v>
      </c>
      <c r="Q47" s="162">
        <f>ROUND(E47*P47,2)</f>
        <v>0</v>
      </c>
      <c r="R47" s="162" t="s">
        <v>109</v>
      </c>
      <c r="S47" s="162" t="s">
        <v>322</v>
      </c>
      <c r="T47" s="162" t="s">
        <v>322</v>
      </c>
      <c r="U47" s="149">
        <v>2.5999999999999999E-2</v>
      </c>
      <c r="V47" s="149">
        <f>ROUND(E47*U47,2)</f>
        <v>32.5</v>
      </c>
      <c r="W47" s="149"/>
      <c r="X47" s="149" t="s">
        <v>110</v>
      </c>
      <c r="Y47" s="140"/>
      <c r="Z47" s="140"/>
      <c r="AA47" s="140"/>
      <c r="AB47" s="140"/>
      <c r="AC47" s="140"/>
      <c r="AD47" s="140"/>
      <c r="AE47" s="140"/>
      <c r="AF47" s="140"/>
      <c r="AG47" s="140" t="s">
        <v>111</v>
      </c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">
      <c r="A48" s="147"/>
      <c r="B48" s="148"/>
      <c r="C48" s="295"/>
      <c r="D48" s="296"/>
      <c r="E48" s="296"/>
      <c r="F48" s="296"/>
      <c r="G48" s="296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 t="s">
        <v>93</v>
      </c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">
      <c r="A49" s="157">
        <f>A47+1</f>
        <v>17</v>
      </c>
      <c r="B49" s="158" t="s">
        <v>237</v>
      </c>
      <c r="C49" s="168" t="s">
        <v>238</v>
      </c>
      <c r="D49" s="159" t="s">
        <v>98</v>
      </c>
      <c r="E49" s="160">
        <f>E74</f>
        <v>110</v>
      </c>
      <c r="F49" s="161"/>
      <c r="G49" s="162">
        <f>ROUND(E49*F49,2)</f>
        <v>0</v>
      </c>
      <c r="H49" s="161">
        <v>164.95</v>
      </c>
      <c r="I49" s="162">
        <f>ROUND(E49*H49,2)</f>
        <v>18144.5</v>
      </c>
      <c r="J49" s="161">
        <v>26.05</v>
      </c>
      <c r="K49" s="162">
        <f>ROUND(E49*J49,2)</f>
        <v>2865.5</v>
      </c>
      <c r="L49" s="162">
        <v>21</v>
      </c>
      <c r="M49" s="162">
        <f>G49*(1+L49/100)</f>
        <v>0</v>
      </c>
      <c r="N49" s="162">
        <v>0.378</v>
      </c>
      <c r="O49" s="162">
        <f>ROUND(E49*N49,2)</f>
        <v>41.58</v>
      </c>
      <c r="P49" s="162">
        <v>0</v>
      </c>
      <c r="Q49" s="162">
        <f>ROUND(E49*P49,2)</f>
        <v>0</v>
      </c>
      <c r="R49" s="162" t="s">
        <v>109</v>
      </c>
      <c r="S49" s="162" t="s">
        <v>322</v>
      </c>
      <c r="T49" s="162" t="s">
        <v>322</v>
      </c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 x14ac:dyDescent="0.2">
      <c r="A50" s="147"/>
      <c r="B50" s="148"/>
      <c r="C50" s="178"/>
      <c r="D50" s="179"/>
      <c r="E50" s="179"/>
      <c r="F50" s="179"/>
      <c r="G50" s="17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22.5" outlineLevel="1" x14ac:dyDescent="0.2">
      <c r="A51" s="157">
        <f>A49+1</f>
        <v>18</v>
      </c>
      <c r="B51" s="158" t="s">
        <v>217</v>
      </c>
      <c r="C51" s="168" t="s">
        <v>218</v>
      </c>
      <c r="D51" s="159" t="s">
        <v>98</v>
      </c>
      <c r="E51" s="160">
        <f>E47-E71</f>
        <v>1064</v>
      </c>
      <c r="F51" s="161"/>
      <c r="G51" s="162">
        <f>ROUND(E51*F51,2)</f>
        <v>0</v>
      </c>
      <c r="H51" s="161">
        <v>13.66</v>
      </c>
      <c r="I51" s="162">
        <f>ROUND(E51*H51,2)</f>
        <v>14534.24</v>
      </c>
      <c r="J51" s="161">
        <v>1.1399999999999999</v>
      </c>
      <c r="K51" s="162">
        <f>ROUND(E51*J51,2)</f>
        <v>1212.96</v>
      </c>
      <c r="L51" s="162">
        <v>21</v>
      </c>
      <c r="M51" s="162">
        <f>G51*(1+L51/100)</f>
        <v>0</v>
      </c>
      <c r="N51" s="162">
        <v>6.0999999999999997E-4</v>
      </c>
      <c r="O51" s="162">
        <f>ROUND(E51*N51,2)</f>
        <v>0.65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">
      <c r="A52" s="147"/>
      <c r="B52" s="148"/>
      <c r="C52" s="294"/>
      <c r="D52" s="294"/>
      <c r="E52" s="294"/>
      <c r="F52" s="294"/>
      <c r="G52" s="294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ht="22.5" outlineLevel="1" x14ac:dyDescent="0.2">
      <c r="A53" s="157">
        <f>A51+1</f>
        <v>19</v>
      </c>
      <c r="B53" s="158" t="s">
        <v>457</v>
      </c>
      <c r="C53" s="168" t="s">
        <v>456</v>
      </c>
      <c r="D53" s="159" t="s">
        <v>98</v>
      </c>
      <c r="E53" s="160">
        <f>E51</f>
        <v>1064</v>
      </c>
      <c r="F53" s="161"/>
      <c r="G53" s="162">
        <f>ROUND(E53*F53,2)</f>
        <v>0</v>
      </c>
      <c r="H53" s="161">
        <v>212.06</v>
      </c>
      <c r="I53" s="162">
        <f>ROUND(E53*H53,2)</f>
        <v>225631.84</v>
      </c>
      <c r="J53" s="161">
        <v>128.94</v>
      </c>
      <c r="K53" s="162">
        <f>ROUND(E53*J53,2)</f>
        <v>137192.16</v>
      </c>
      <c r="L53" s="162">
        <v>21</v>
      </c>
      <c r="M53" s="162">
        <f>G53*(1+L53/100)</f>
        <v>0</v>
      </c>
      <c r="N53" s="162">
        <v>0.10373</v>
      </c>
      <c r="O53" s="162">
        <f>ROUND(E53*N53,2)</f>
        <v>110.37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 t="s">
        <v>93</v>
      </c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ht="12.75" customHeight="1" outlineLevel="1" x14ac:dyDescent="0.2">
      <c r="A54" s="147"/>
      <c r="B54" s="148"/>
      <c r="C54" s="294"/>
      <c r="D54" s="294"/>
      <c r="E54" s="294"/>
      <c r="F54" s="294"/>
      <c r="G54" s="294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ht="22.9" customHeight="1" outlineLevel="1" x14ac:dyDescent="0.2">
      <c r="A55" s="157">
        <f>A53+1</f>
        <v>20</v>
      </c>
      <c r="B55" s="158" t="s">
        <v>240</v>
      </c>
      <c r="C55" s="168" t="s">
        <v>319</v>
      </c>
      <c r="D55" s="159" t="s">
        <v>98</v>
      </c>
      <c r="E55" s="160">
        <f>E53</f>
        <v>1064</v>
      </c>
      <c r="F55" s="161"/>
      <c r="G55" s="162">
        <f>ROUND(E55*F55,2)</f>
        <v>0</v>
      </c>
      <c r="H55" s="161">
        <v>212.06</v>
      </c>
      <c r="I55" s="162">
        <f>ROUND(E55*H55,2)</f>
        <v>225631.84</v>
      </c>
      <c r="J55" s="161">
        <v>128.94</v>
      </c>
      <c r="K55" s="162">
        <f>ROUND(E55*J55,2)</f>
        <v>137192.16</v>
      </c>
      <c r="L55" s="162">
        <v>21</v>
      </c>
      <c r="M55" s="162">
        <f>G55*(1+L55/100)</f>
        <v>0</v>
      </c>
      <c r="N55" s="162">
        <v>0.10373</v>
      </c>
      <c r="O55" s="162">
        <f>ROUND(E55*N55,2)</f>
        <v>110.37</v>
      </c>
      <c r="P55" s="162">
        <v>0</v>
      </c>
      <c r="Q55" s="162">
        <f>ROUND(E55*P55,2)</f>
        <v>0</v>
      </c>
      <c r="R55" s="162" t="s">
        <v>109</v>
      </c>
      <c r="S55" s="162" t="s">
        <v>322</v>
      </c>
      <c r="T55" s="162" t="s">
        <v>322</v>
      </c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ht="12.75" customHeight="1" outlineLevel="1" x14ac:dyDescent="0.2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12.75" customHeight="1" outlineLevel="1" x14ac:dyDescent="0.2">
      <c r="A57" s="157">
        <f>A55+1</f>
        <v>21</v>
      </c>
      <c r="B57" s="158" t="s">
        <v>168</v>
      </c>
      <c r="C57" s="168" t="s">
        <v>162</v>
      </c>
      <c r="D57" s="159" t="s">
        <v>98</v>
      </c>
      <c r="E57" s="160">
        <v>187</v>
      </c>
      <c r="F57" s="161"/>
      <c r="G57" s="162">
        <f>ROUND(E57*F57,2)</f>
        <v>0</v>
      </c>
      <c r="H57" s="161">
        <v>51.16</v>
      </c>
      <c r="I57" s="162">
        <f>ROUND(E57*H57,2)</f>
        <v>9566.92</v>
      </c>
      <c r="J57" s="161">
        <v>238.34</v>
      </c>
      <c r="K57" s="162">
        <f>ROUND(E57*J57,2)</f>
        <v>44569.58</v>
      </c>
      <c r="L57" s="162">
        <v>21</v>
      </c>
      <c r="M57" s="162">
        <f>G57*(1+L57/100)</f>
        <v>0</v>
      </c>
      <c r="N57" s="162">
        <v>9.2799999999999994E-2</v>
      </c>
      <c r="O57" s="162">
        <f>ROUND(E57*N57,2)</f>
        <v>17.350000000000001</v>
      </c>
      <c r="P57" s="162">
        <v>0</v>
      </c>
      <c r="Q57" s="162">
        <f>ROUND(E57*P57,2)</f>
        <v>0</v>
      </c>
      <c r="R57" s="162" t="s">
        <v>109</v>
      </c>
      <c r="S57" s="162" t="s">
        <v>322</v>
      </c>
      <c r="T57" s="162" t="s">
        <v>322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ht="12.75" customHeight="1" outlineLevel="1" x14ac:dyDescent="0.2">
      <c r="A58" s="147"/>
      <c r="B58" s="148"/>
      <c r="C58" s="290" t="s">
        <v>128</v>
      </c>
      <c r="D58" s="291"/>
      <c r="E58" s="291"/>
      <c r="F58" s="291"/>
      <c r="G58" s="291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ht="12.75" customHeight="1" outlineLevel="1" x14ac:dyDescent="0.2">
      <c r="A59" s="147"/>
      <c r="B59" s="148"/>
      <c r="C59" s="169"/>
      <c r="D59" s="164"/>
      <c r="E59" s="164"/>
      <c r="F59" s="164"/>
      <c r="G59" s="164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">
      <c r="A60" s="157">
        <f>A57+1</f>
        <v>22</v>
      </c>
      <c r="B60" s="158" t="s">
        <v>245</v>
      </c>
      <c r="C60" s="168" t="s">
        <v>163</v>
      </c>
      <c r="D60" s="159" t="s">
        <v>98</v>
      </c>
      <c r="E60" s="160">
        <f>56+25</f>
        <v>81</v>
      </c>
      <c r="F60" s="161"/>
      <c r="G60" s="162">
        <f>ROUND(E60*F60,2)</f>
        <v>0</v>
      </c>
      <c r="H60" s="161">
        <v>51.16</v>
      </c>
      <c r="I60" s="162">
        <f>ROUND(E60*H60,2)</f>
        <v>4143.96</v>
      </c>
      <c r="J60" s="161">
        <v>238.34</v>
      </c>
      <c r="K60" s="162">
        <f>ROUND(E60*J60,2)</f>
        <v>19305.54</v>
      </c>
      <c r="L60" s="162">
        <v>21</v>
      </c>
      <c r="M60" s="162">
        <f>G60*(1+L60/100)</f>
        <v>0</v>
      </c>
      <c r="N60" s="162">
        <v>9.2799999999999994E-2</v>
      </c>
      <c r="O60" s="162">
        <f>ROUND(E60*N60,2)</f>
        <v>7.52</v>
      </c>
      <c r="P60" s="162">
        <v>0</v>
      </c>
      <c r="Q60" s="162">
        <f>ROUND(E60*P60,2)</f>
        <v>0</v>
      </c>
      <c r="R60" s="162" t="s">
        <v>109</v>
      </c>
      <c r="S60" s="162" t="s">
        <v>322</v>
      </c>
      <c r="T60" s="162" t="s">
        <v>322</v>
      </c>
      <c r="U60" s="149">
        <v>0.47799999999999998</v>
      </c>
      <c r="V60" s="149">
        <f>ROUND(E60*U60,2)</f>
        <v>38.72</v>
      </c>
      <c r="W60" s="149"/>
      <c r="X60" s="149" t="s">
        <v>110</v>
      </c>
      <c r="Y60" s="140"/>
      <c r="Z60" s="140"/>
      <c r="AA60" s="140"/>
      <c r="AB60" s="140"/>
      <c r="AC60" s="140"/>
      <c r="AD60" s="140"/>
      <c r="AE60" s="140"/>
      <c r="AF60" s="140"/>
      <c r="AG60" s="140" t="s">
        <v>111</v>
      </c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2.5" outlineLevel="1" x14ac:dyDescent="0.2">
      <c r="A61" s="147"/>
      <c r="B61" s="148"/>
      <c r="C61" s="290" t="s">
        <v>128</v>
      </c>
      <c r="D61" s="291"/>
      <c r="E61" s="291"/>
      <c r="F61" s="291"/>
      <c r="G61" s="291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 t="s">
        <v>112</v>
      </c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65" t="str">
        <f>C61</f>
        <v>s provedením lože z kameniva drceného, s vyplněním spár, s dvojitým hutněním a se smetením přebytečného materiálu na krajnici. S dodáním hmot pro lože a výplň spár.</v>
      </c>
      <c r="BB61" s="140"/>
      <c r="BC61" s="140"/>
      <c r="BD61" s="140"/>
      <c r="BE61" s="140"/>
      <c r="BF61" s="140"/>
      <c r="BG61" s="140"/>
      <c r="BH61" s="140"/>
    </row>
    <row r="62" spans="1:60" outlineLevel="1" x14ac:dyDescent="0.2">
      <c r="A62" s="147"/>
      <c r="B62" s="148"/>
      <c r="C62" s="292"/>
      <c r="D62" s="293"/>
      <c r="E62" s="293"/>
      <c r="F62" s="293"/>
      <c r="G62" s="293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 t="s">
        <v>93</v>
      </c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outlineLevel="1" x14ac:dyDescent="0.2">
      <c r="A63" s="157">
        <f>A60+1</f>
        <v>23</v>
      </c>
      <c r="B63" s="158" t="s">
        <v>195</v>
      </c>
      <c r="C63" s="168" t="s">
        <v>194</v>
      </c>
      <c r="D63" s="159" t="s">
        <v>98</v>
      </c>
      <c r="E63" s="160">
        <f>199*0.96</f>
        <v>191.04</v>
      </c>
      <c r="F63" s="161"/>
      <c r="G63" s="162">
        <f>ROUND(E63*F63,2)</f>
        <v>0</v>
      </c>
      <c r="H63" s="149"/>
      <c r="I63" s="149"/>
      <c r="J63" s="149"/>
      <c r="K63" s="149"/>
      <c r="L63" s="162">
        <v>21</v>
      </c>
      <c r="M63" s="162">
        <f>G63*(1+L63/100)</f>
        <v>0</v>
      </c>
      <c r="N63" s="162">
        <v>0.17599999999999999</v>
      </c>
      <c r="O63" s="162">
        <f>ROUND(E63*N63,2)</f>
        <v>33.619999999999997</v>
      </c>
      <c r="P63" s="162">
        <v>0</v>
      </c>
      <c r="Q63" s="162">
        <f>ROUND(E63*P63,2)</f>
        <v>0</v>
      </c>
      <c r="R63" s="162" t="s">
        <v>94</v>
      </c>
      <c r="S63" s="162" t="s">
        <v>322</v>
      </c>
      <c r="T63" s="162" t="s">
        <v>101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 t="s">
        <v>93</v>
      </c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outlineLevel="1" x14ac:dyDescent="0.2">
      <c r="A64" s="147"/>
      <c r="B64" s="148"/>
      <c r="C64" s="295"/>
      <c r="D64" s="296"/>
      <c r="E64" s="296"/>
      <c r="F64" s="296"/>
      <c r="G64" s="296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outlineLevel="1" x14ac:dyDescent="0.2">
      <c r="A65" s="157">
        <f>A63+1</f>
        <v>24</v>
      </c>
      <c r="B65" s="158" t="s">
        <v>320</v>
      </c>
      <c r="C65" s="168" t="s">
        <v>329</v>
      </c>
      <c r="D65" s="159" t="s">
        <v>98</v>
      </c>
      <c r="E65" s="160">
        <f>15*0.96</f>
        <v>14.399999999999999</v>
      </c>
      <c r="F65" s="161"/>
      <c r="G65" s="162">
        <f>ROUND(E65*F65,2)</f>
        <v>0</v>
      </c>
      <c r="H65" s="149"/>
      <c r="I65" s="149"/>
      <c r="J65" s="149"/>
      <c r="K65" s="149"/>
      <c r="L65" s="162">
        <v>21</v>
      </c>
      <c r="M65" s="162">
        <f>G65*(1+L65/100)</f>
        <v>0</v>
      </c>
      <c r="N65" s="162">
        <v>0.17599999999999999</v>
      </c>
      <c r="O65" s="162">
        <f>ROUND(E65*N65,2)</f>
        <v>2.5299999999999998</v>
      </c>
      <c r="P65" s="162">
        <v>0</v>
      </c>
      <c r="Q65" s="162">
        <f>ROUND(E65*P65,2)</f>
        <v>0</v>
      </c>
      <c r="R65" s="162" t="s">
        <v>94</v>
      </c>
      <c r="S65" s="162" t="s">
        <v>322</v>
      </c>
      <c r="T65" s="162" t="s">
        <v>101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">
      <c r="A66" s="147"/>
      <c r="B66" s="148"/>
      <c r="C66" s="178"/>
      <c r="D66" s="179"/>
      <c r="E66" s="179"/>
      <c r="F66" s="179"/>
      <c r="G66" s="17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outlineLevel="1" x14ac:dyDescent="0.2">
      <c r="A67" s="157">
        <f>A65+1</f>
        <v>25</v>
      </c>
      <c r="B67" s="158" t="s">
        <v>321</v>
      </c>
      <c r="C67" s="168" t="s">
        <v>330</v>
      </c>
      <c r="D67" s="159" t="s">
        <v>98</v>
      </c>
      <c r="E67" s="160">
        <v>82.62</v>
      </c>
      <c r="F67" s="161"/>
      <c r="G67" s="162">
        <f>ROUND(E67*F67,2)</f>
        <v>0</v>
      </c>
      <c r="H67" s="149"/>
      <c r="I67" s="149"/>
      <c r="J67" s="149"/>
      <c r="K67" s="149"/>
      <c r="L67" s="162">
        <v>21</v>
      </c>
      <c r="M67" s="162">
        <f>G67*(1+L67/100)</f>
        <v>0</v>
      </c>
      <c r="N67" s="162">
        <v>0.17599999999999999</v>
      </c>
      <c r="O67" s="162">
        <f>ROUND(E67*N67,2)</f>
        <v>14.54</v>
      </c>
      <c r="P67" s="162">
        <v>0</v>
      </c>
      <c r="Q67" s="162">
        <f>ROUND(E67*P67,2)</f>
        <v>0</v>
      </c>
      <c r="R67" s="162" t="s">
        <v>94</v>
      </c>
      <c r="S67" s="162" t="s">
        <v>322</v>
      </c>
      <c r="T67" s="162" t="s">
        <v>101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outlineLevel="1" x14ac:dyDescent="0.2">
      <c r="A68" s="147"/>
      <c r="B68" s="148"/>
      <c r="C68" s="178"/>
      <c r="D68" s="179"/>
      <c r="E68" s="179"/>
      <c r="F68" s="179"/>
      <c r="G68" s="17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62"/>
      <c r="T68" s="162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">
      <c r="A69" s="157">
        <f>A67+1</f>
        <v>26</v>
      </c>
      <c r="B69" s="158" t="s">
        <v>331</v>
      </c>
      <c r="C69" s="168" t="s">
        <v>332</v>
      </c>
      <c r="D69" s="159" t="s">
        <v>98</v>
      </c>
      <c r="E69" s="160">
        <v>16.32</v>
      </c>
      <c r="F69" s="161"/>
      <c r="G69" s="162">
        <f>ROUND(E69*F69,2)</f>
        <v>0</v>
      </c>
      <c r="H69" s="149"/>
      <c r="I69" s="149"/>
      <c r="J69" s="149"/>
      <c r="K69" s="149"/>
      <c r="L69" s="162">
        <v>21</v>
      </c>
      <c r="M69" s="162">
        <f>G69*(1+L69/100)</f>
        <v>0</v>
      </c>
      <c r="N69" s="162">
        <v>0.188</v>
      </c>
      <c r="O69" s="162">
        <f>ROUND(E69*N69,2)</f>
        <v>3.07</v>
      </c>
      <c r="P69" s="162">
        <v>0</v>
      </c>
      <c r="Q69" s="162">
        <f>ROUND(E69*P69,2)</f>
        <v>0</v>
      </c>
      <c r="R69" s="162" t="s">
        <v>94</v>
      </c>
      <c r="S69" s="162" t="s">
        <v>322</v>
      </c>
      <c r="T69" s="162" t="s">
        <v>101</v>
      </c>
      <c r="U69" s="149"/>
      <c r="V69" s="149"/>
      <c r="W69" s="149"/>
      <c r="X69" s="149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">
      <c r="A71" s="157">
        <f>A69+1</f>
        <v>27</v>
      </c>
      <c r="B71" s="158" t="s">
        <v>244</v>
      </c>
      <c r="C71" s="168" t="s">
        <v>243</v>
      </c>
      <c r="D71" s="159" t="s">
        <v>98</v>
      </c>
      <c r="E71" s="160">
        <v>186</v>
      </c>
      <c r="F71" s="161"/>
      <c r="G71" s="162">
        <f>ROUND(E71*F71,2)</f>
        <v>0</v>
      </c>
      <c r="H71" s="161">
        <v>51.16</v>
      </c>
      <c r="I71" s="162">
        <f>ROUND(E71*H71,2)</f>
        <v>9515.76</v>
      </c>
      <c r="J71" s="161">
        <v>238.34</v>
      </c>
      <c r="K71" s="162">
        <f>ROUND(E71*J71,2)</f>
        <v>44331.24</v>
      </c>
      <c r="L71" s="162">
        <v>21</v>
      </c>
      <c r="M71" s="162">
        <f>G71*(1+L71/100)</f>
        <v>0</v>
      </c>
      <c r="N71" s="162">
        <v>9.2799999999999994E-2</v>
      </c>
      <c r="O71" s="162">
        <f>ROUND(E71*N71,2)</f>
        <v>17.260000000000002</v>
      </c>
      <c r="P71" s="162">
        <v>0</v>
      </c>
      <c r="Q71" s="162">
        <f>ROUND(E71*P71,2)</f>
        <v>0</v>
      </c>
      <c r="R71" s="162" t="s">
        <v>109</v>
      </c>
      <c r="S71" s="162" t="s">
        <v>322</v>
      </c>
      <c r="T71" s="162" t="s">
        <v>101</v>
      </c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ht="25.5" customHeight="1" outlineLevel="1" x14ac:dyDescent="0.2">
      <c r="A72" s="147"/>
      <c r="B72" s="148"/>
      <c r="C72" s="290" t="s">
        <v>458</v>
      </c>
      <c r="D72" s="291"/>
      <c r="E72" s="291"/>
      <c r="F72" s="291"/>
      <c r="G72" s="291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">
      <c r="A73" s="147"/>
      <c r="B73" s="148"/>
      <c r="C73" s="169"/>
      <c r="D73" s="164"/>
      <c r="E73" s="164"/>
      <c r="F73" s="164"/>
      <c r="G73" s="164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12.75" customHeight="1" outlineLevel="1" x14ac:dyDescent="0.2">
      <c r="A74" s="157">
        <f>A71+1</f>
        <v>28</v>
      </c>
      <c r="B74" s="158" t="s">
        <v>127</v>
      </c>
      <c r="C74" s="168" t="s">
        <v>246</v>
      </c>
      <c r="D74" s="159" t="s">
        <v>98</v>
      </c>
      <c r="E74" s="160">
        <v>110</v>
      </c>
      <c r="F74" s="161"/>
      <c r="G74" s="162">
        <f>ROUND(E74*F74,2)</f>
        <v>0</v>
      </c>
      <c r="H74" s="161">
        <v>51.16</v>
      </c>
      <c r="I74" s="162">
        <f>ROUND(E74*H74,2)</f>
        <v>5627.6</v>
      </c>
      <c r="J74" s="161">
        <v>238.34</v>
      </c>
      <c r="K74" s="162">
        <f>ROUND(E74*J74,2)</f>
        <v>26217.4</v>
      </c>
      <c r="L74" s="162">
        <v>21</v>
      </c>
      <c r="M74" s="162">
        <f>G74*(1+L74/100)</f>
        <v>0</v>
      </c>
      <c r="N74" s="162">
        <v>9.2799999999999994E-2</v>
      </c>
      <c r="O74" s="162">
        <f>ROUND(E74*N74,2)</f>
        <v>10.210000000000001</v>
      </c>
      <c r="P74" s="162">
        <v>0</v>
      </c>
      <c r="Q74" s="162">
        <f>ROUND(E74*P74,2)</f>
        <v>0</v>
      </c>
      <c r="R74" s="162" t="s">
        <v>109</v>
      </c>
      <c r="S74" s="162" t="s">
        <v>322</v>
      </c>
      <c r="T74" s="162" t="s">
        <v>322</v>
      </c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">
      <c r="A75" s="147"/>
      <c r="B75" s="148"/>
      <c r="C75" s="290" t="s">
        <v>128</v>
      </c>
      <c r="D75" s="291"/>
      <c r="E75" s="291"/>
      <c r="F75" s="291"/>
      <c r="G75" s="291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 x14ac:dyDescent="0.2">
      <c r="A76" s="147"/>
      <c r="B76" s="148"/>
      <c r="C76" s="292"/>
      <c r="D76" s="293"/>
      <c r="E76" s="293"/>
      <c r="F76" s="293"/>
      <c r="G76" s="293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">
      <c r="A77" s="157">
        <f>A74+1</f>
        <v>29</v>
      </c>
      <c r="B77" s="158" t="s">
        <v>248</v>
      </c>
      <c r="C77" s="168" t="s">
        <v>247</v>
      </c>
      <c r="D77" s="159" t="s">
        <v>98</v>
      </c>
      <c r="E77" s="160">
        <f>122*0.96</f>
        <v>117.11999999999999</v>
      </c>
      <c r="F77" s="161"/>
      <c r="G77" s="162">
        <f>ROUND(E77*F77,2)</f>
        <v>0</v>
      </c>
      <c r="H77" s="149"/>
      <c r="I77" s="149"/>
      <c r="J77" s="149"/>
      <c r="K77" s="149"/>
      <c r="L77" s="162">
        <v>21</v>
      </c>
      <c r="M77" s="162">
        <f>G77*(1+L77/100)</f>
        <v>0</v>
      </c>
      <c r="N77" s="162">
        <v>0.17599999999999999</v>
      </c>
      <c r="O77" s="162">
        <f>ROUND(E77*N77,2)</f>
        <v>20.61</v>
      </c>
      <c r="P77" s="162">
        <v>0</v>
      </c>
      <c r="Q77" s="162">
        <f>ROUND(E77*P77,2)</f>
        <v>0</v>
      </c>
      <c r="R77" s="162" t="s">
        <v>94</v>
      </c>
      <c r="S77" s="162" t="s">
        <v>322</v>
      </c>
      <c r="T77" s="162" t="s">
        <v>101</v>
      </c>
      <c r="U77" s="149"/>
      <c r="V77" s="149"/>
      <c r="W77" s="149"/>
      <c r="X77" s="14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outlineLevel="1" x14ac:dyDescent="0.2">
      <c r="A78" s="147"/>
      <c r="B78" s="148"/>
      <c r="C78" s="169"/>
      <c r="D78" s="164"/>
      <c r="E78" s="164"/>
      <c r="F78" s="164"/>
      <c r="G78" s="164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">
      <c r="A79" s="151" t="s">
        <v>91</v>
      </c>
      <c r="B79" s="152" t="s">
        <v>291</v>
      </c>
      <c r="C79" s="167" t="s">
        <v>292</v>
      </c>
      <c r="D79" s="153"/>
      <c r="E79" s="154"/>
      <c r="F79" s="155"/>
      <c r="G79" s="155">
        <f>G80+G83</f>
        <v>0</v>
      </c>
      <c r="H79" s="155"/>
      <c r="I79" s="155">
        <f>SUM(I91:I92)</f>
        <v>0</v>
      </c>
      <c r="J79" s="155"/>
      <c r="K79" s="155">
        <f>SUM(K91:K92)</f>
        <v>0</v>
      </c>
      <c r="L79" s="155"/>
      <c r="M79" s="155">
        <f>M80+M83</f>
        <v>0</v>
      </c>
      <c r="N79" s="155"/>
      <c r="O79" s="155">
        <f>SUM(O91:O92)</f>
        <v>0</v>
      </c>
      <c r="P79" s="155"/>
      <c r="Q79" s="155">
        <f>SUM(Q91:Q92)</f>
        <v>0</v>
      </c>
      <c r="R79" s="155"/>
      <c r="S79" s="155"/>
      <c r="T79" s="156"/>
      <c r="U79" s="149"/>
      <c r="V79" s="149"/>
      <c r="W79" s="149"/>
      <c r="X79" s="149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outlineLevel="1" x14ac:dyDescent="0.2">
      <c r="A80" s="157">
        <f>A77+1</f>
        <v>30</v>
      </c>
      <c r="B80" s="158" t="s">
        <v>293</v>
      </c>
      <c r="C80" s="209" t="s">
        <v>294</v>
      </c>
      <c r="D80" s="210" t="s">
        <v>95</v>
      </c>
      <c r="E80" s="211">
        <v>3</v>
      </c>
      <c r="F80" s="212"/>
      <c r="G80" s="213">
        <f>ROUND(E80*F80,2)</f>
        <v>0</v>
      </c>
      <c r="H80" s="161">
        <v>212.06</v>
      </c>
      <c r="I80" s="162">
        <f>ROUND(E80*H80,2)</f>
        <v>636.17999999999995</v>
      </c>
      <c r="J80" s="161">
        <v>128.94</v>
      </c>
      <c r="K80" s="162">
        <f>ROUND(E80*J80,2)</f>
        <v>386.82</v>
      </c>
      <c r="L80" s="162">
        <v>21</v>
      </c>
      <c r="M80" s="162">
        <f>G80*(1+L80/100)</f>
        <v>0</v>
      </c>
      <c r="N80" s="162">
        <v>0.10373</v>
      </c>
      <c r="O80" s="162">
        <f>ROUND(E80*N80,2)</f>
        <v>0.31</v>
      </c>
      <c r="P80" s="162">
        <v>0</v>
      </c>
      <c r="Q80" s="162">
        <f>ROUND(E80*P80,2)</f>
        <v>0</v>
      </c>
      <c r="R80" s="162" t="s">
        <v>109</v>
      </c>
      <c r="S80" s="162" t="s">
        <v>322</v>
      </c>
      <c r="T80" s="163" t="s">
        <v>101</v>
      </c>
      <c r="U80" s="149"/>
      <c r="V80" s="149"/>
      <c r="W80" s="149"/>
      <c r="X80" s="149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22.5" outlineLevel="1" x14ac:dyDescent="0.2">
      <c r="A81" s="147"/>
      <c r="B81" s="148"/>
      <c r="C81" s="182" t="s">
        <v>295</v>
      </c>
      <c r="D81" s="183"/>
      <c r="E81" s="184"/>
      <c r="F81" s="192"/>
      <c r="G81" s="185"/>
      <c r="H81" s="181"/>
      <c r="I81" s="149"/>
      <c r="J81" s="181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">
      <c r="A82" s="147"/>
      <c r="B82" s="148"/>
      <c r="C82" s="292"/>
      <c r="D82" s="293"/>
      <c r="E82" s="293"/>
      <c r="F82" s="293"/>
      <c r="G82" s="293"/>
      <c r="H82" s="181"/>
      <c r="I82" s="149"/>
      <c r="J82" s="181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ht="22.5" outlineLevel="1" x14ac:dyDescent="0.2">
      <c r="A83" s="157">
        <f>A80+1</f>
        <v>31</v>
      </c>
      <c r="B83" s="158" t="s">
        <v>293</v>
      </c>
      <c r="C83" s="209" t="s">
        <v>459</v>
      </c>
      <c r="D83" s="210" t="s">
        <v>114</v>
      </c>
      <c r="E83" s="211">
        <v>5.5</v>
      </c>
      <c r="F83" s="212"/>
      <c r="G83" s="213">
        <f>ROUND(E83*F83,2)</f>
        <v>0</v>
      </c>
      <c r="H83" s="161">
        <v>212.06</v>
      </c>
      <c r="I83" s="162">
        <f>ROUND(E83*H83,2)</f>
        <v>1166.33</v>
      </c>
      <c r="J83" s="161">
        <v>128.94</v>
      </c>
      <c r="K83" s="162">
        <f>ROUND(E83*J83,2)</f>
        <v>709.17</v>
      </c>
      <c r="L83" s="162">
        <v>21</v>
      </c>
      <c r="M83" s="162">
        <f>G83*(1+L83/100)</f>
        <v>0</v>
      </c>
      <c r="N83" s="162">
        <v>0.10373</v>
      </c>
      <c r="O83" s="162">
        <f>ROUND(E83*N83,2)</f>
        <v>0.56999999999999995</v>
      </c>
      <c r="P83" s="162">
        <v>0</v>
      </c>
      <c r="Q83" s="162">
        <f>ROUND(E83*P83,2)</f>
        <v>0</v>
      </c>
      <c r="R83" s="162" t="s">
        <v>109</v>
      </c>
      <c r="S83" s="162" t="s">
        <v>322</v>
      </c>
      <c r="T83" s="163" t="s">
        <v>101</v>
      </c>
      <c r="U83" s="149"/>
      <c r="V83" s="149"/>
      <c r="W83" s="149"/>
      <c r="X83" s="14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22.5" outlineLevel="1" x14ac:dyDescent="0.2">
      <c r="A84" s="147"/>
      <c r="B84" s="148"/>
      <c r="C84" s="182" t="s">
        <v>296</v>
      </c>
      <c r="D84" s="183"/>
      <c r="E84" s="184"/>
      <c r="F84" s="192"/>
      <c r="G84" s="185"/>
      <c r="H84" s="181"/>
      <c r="I84" s="149"/>
      <c r="J84" s="181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">
      <c r="A85" s="147"/>
      <c r="B85" s="148"/>
      <c r="C85" s="169"/>
      <c r="D85" s="164"/>
      <c r="E85" s="164"/>
      <c r="F85" s="164"/>
      <c r="G85" s="164"/>
      <c r="H85" s="181"/>
      <c r="I85" s="149"/>
      <c r="J85" s="181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x14ac:dyDescent="0.2">
      <c r="A86" s="151" t="s">
        <v>91</v>
      </c>
      <c r="B86" s="152" t="s">
        <v>56</v>
      </c>
      <c r="C86" s="167" t="s">
        <v>57</v>
      </c>
      <c r="D86" s="153"/>
      <c r="E86" s="154"/>
      <c r="F86" s="155"/>
      <c r="G86" s="155">
        <f>SUMIF(AG87:AG118,"&lt;&gt;NOR",G87:G118)</f>
        <v>0</v>
      </c>
      <c r="H86" s="155"/>
      <c r="I86" s="155">
        <f>SUM(I102:I118)</f>
        <v>364989.53</v>
      </c>
      <c r="J86" s="155"/>
      <c r="K86" s="155">
        <f>SUM(K102:K118)</f>
        <v>98712.87</v>
      </c>
      <c r="L86" s="155"/>
      <c r="M86" s="155">
        <f>SUM(M87:M118)</f>
        <v>0</v>
      </c>
      <c r="N86" s="155"/>
      <c r="O86" s="155">
        <f>SUM(O102:O118)</f>
        <v>262.72000000000003</v>
      </c>
      <c r="P86" s="155"/>
      <c r="Q86" s="155">
        <f>SUM(Q102:Q118)</f>
        <v>0</v>
      </c>
      <c r="R86" s="155"/>
      <c r="S86" s="155"/>
      <c r="T86" s="156"/>
      <c r="U86" s="150"/>
      <c r="V86" s="150">
        <f>SUM(V102:V118)</f>
        <v>86.039999999999992</v>
      </c>
      <c r="W86" s="150"/>
      <c r="X86" s="150"/>
      <c r="AG86" t="s">
        <v>92</v>
      </c>
    </row>
    <row r="87" spans="1:60" x14ac:dyDescent="0.2">
      <c r="A87" s="157">
        <f>A80+1</f>
        <v>31</v>
      </c>
      <c r="B87" s="158" t="s">
        <v>210</v>
      </c>
      <c r="C87" s="168" t="s">
        <v>211</v>
      </c>
      <c r="D87" s="159" t="s">
        <v>95</v>
      </c>
      <c r="E87" s="160">
        <v>4</v>
      </c>
      <c r="F87" s="161"/>
      <c r="G87" s="162">
        <f>ROUND(E87*F87,2)</f>
        <v>0</v>
      </c>
      <c r="H87" s="161">
        <v>339.99</v>
      </c>
      <c r="I87" s="162">
        <f>ROUND(E87*H87,2)</f>
        <v>1359.96</v>
      </c>
      <c r="J87" s="161">
        <v>352.01</v>
      </c>
      <c r="K87" s="162">
        <f>ROUND(E87*J87,2)</f>
        <v>1408.04</v>
      </c>
      <c r="L87" s="162">
        <v>21</v>
      </c>
      <c r="M87" s="162">
        <f>G87*(1+L87/100)</f>
        <v>0</v>
      </c>
      <c r="N87" s="162">
        <v>0.25080000000000002</v>
      </c>
      <c r="O87" s="162">
        <f>ROUND(E87*N87,2)</f>
        <v>1</v>
      </c>
      <c r="P87" s="162">
        <v>0</v>
      </c>
      <c r="Q87" s="162">
        <f>ROUND(E87*P87,2)</f>
        <v>0</v>
      </c>
      <c r="R87" s="162" t="s">
        <v>109</v>
      </c>
      <c r="S87" s="162" t="s">
        <v>322</v>
      </c>
      <c r="T87" s="162" t="s">
        <v>322</v>
      </c>
      <c r="U87" s="150"/>
      <c r="V87" s="150"/>
      <c r="W87" s="150"/>
      <c r="X87" s="150"/>
    </row>
    <row r="88" spans="1:60" x14ac:dyDescent="0.2">
      <c r="A88" s="147"/>
      <c r="B88" s="148"/>
      <c r="C88" s="182" t="s">
        <v>212</v>
      </c>
      <c r="D88" s="183"/>
      <c r="E88" s="184"/>
      <c r="F88" s="192"/>
      <c r="G88" s="185"/>
      <c r="H88" s="181"/>
      <c r="I88" s="149"/>
      <c r="J88" s="181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50"/>
      <c r="V88" s="150"/>
      <c r="W88" s="150"/>
      <c r="X88" s="150"/>
    </row>
    <row r="89" spans="1:60" x14ac:dyDescent="0.2">
      <c r="A89" s="147"/>
      <c r="B89" s="148"/>
      <c r="C89" s="292"/>
      <c r="D89" s="293"/>
      <c r="E89" s="293"/>
      <c r="F89" s="293"/>
      <c r="G89" s="293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50"/>
      <c r="V89" s="150"/>
      <c r="W89" s="150"/>
      <c r="X89" s="150"/>
    </row>
    <row r="90" spans="1:60" x14ac:dyDescent="0.2">
      <c r="A90" s="157">
        <f>A87+1</f>
        <v>32</v>
      </c>
      <c r="B90" s="158" t="s">
        <v>196</v>
      </c>
      <c r="C90" s="168" t="s">
        <v>203</v>
      </c>
      <c r="D90" s="159" t="s">
        <v>95</v>
      </c>
      <c r="E90" s="160">
        <v>6</v>
      </c>
      <c r="F90" s="161"/>
      <c r="G90" s="162">
        <f>ROUND(E90*F90,2)</f>
        <v>0</v>
      </c>
      <c r="H90" s="161">
        <v>339.99</v>
      </c>
      <c r="I90" s="162">
        <f>ROUND(E90*H90,2)</f>
        <v>2039.94</v>
      </c>
      <c r="J90" s="161">
        <v>352.01</v>
      </c>
      <c r="K90" s="162">
        <f>ROUND(E90*J90,2)</f>
        <v>2112.06</v>
      </c>
      <c r="L90" s="162">
        <v>21</v>
      </c>
      <c r="M90" s="162">
        <f>G90*(1+L90/100)</f>
        <v>0</v>
      </c>
      <c r="N90" s="162">
        <v>0.25080000000000002</v>
      </c>
      <c r="O90" s="162">
        <f>ROUND(E90*N90,2)</f>
        <v>1.5</v>
      </c>
      <c r="P90" s="162">
        <v>0</v>
      </c>
      <c r="Q90" s="162">
        <f>ROUND(E90*P90,2)</f>
        <v>0</v>
      </c>
      <c r="R90" s="162" t="s">
        <v>109</v>
      </c>
      <c r="S90" s="162" t="s">
        <v>322</v>
      </c>
      <c r="T90" s="162" t="s">
        <v>322</v>
      </c>
      <c r="U90" s="150"/>
      <c r="V90" s="150"/>
      <c r="W90" s="150"/>
      <c r="X90" s="150"/>
    </row>
    <row r="91" spans="1:60" x14ac:dyDescent="0.2">
      <c r="A91" s="147"/>
      <c r="B91" s="148"/>
      <c r="C91" s="182" t="s">
        <v>204</v>
      </c>
      <c r="D91" s="183"/>
      <c r="E91" s="184"/>
      <c r="F91" s="192"/>
      <c r="G91" s="185"/>
      <c r="H91" s="181"/>
      <c r="I91" s="149"/>
      <c r="J91" s="181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50"/>
      <c r="V91" s="150"/>
      <c r="W91" s="150"/>
      <c r="X91" s="150"/>
    </row>
    <row r="92" spans="1:60" x14ac:dyDescent="0.2">
      <c r="A92" s="147"/>
      <c r="B92" s="148"/>
      <c r="C92" s="292"/>
      <c r="D92" s="293"/>
      <c r="E92" s="293"/>
      <c r="F92" s="293"/>
      <c r="G92" s="293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50"/>
      <c r="V92" s="150"/>
      <c r="W92" s="150"/>
      <c r="X92" s="150"/>
    </row>
    <row r="93" spans="1:60" x14ac:dyDescent="0.2">
      <c r="A93" s="157">
        <f>A90+1</f>
        <v>33</v>
      </c>
      <c r="B93" s="158" t="s">
        <v>205</v>
      </c>
      <c r="C93" s="168" t="s">
        <v>208</v>
      </c>
      <c r="D93" s="159" t="s">
        <v>95</v>
      </c>
      <c r="E93" s="160">
        <v>6</v>
      </c>
      <c r="F93" s="161"/>
      <c r="G93" s="162">
        <f>ROUND(E93*F93,2)</f>
        <v>0</v>
      </c>
      <c r="H93" s="200">
        <v>339.99</v>
      </c>
      <c r="I93" s="162">
        <f>ROUND(E93*H93,2)</f>
        <v>2039.94</v>
      </c>
      <c r="J93" s="200">
        <v>352.01</v>
      </c>
      <c r="K93" s="162">
        <f>ROUND(E93*J93,2)</f>
        <v>2112.06</v>
      </c>
      <c r="L93" s="162">
        <v>21</v>
      </c>
      <c r="M93" s="162">
        <f>G93*(1+L93/100)</f>
        <v>0</v>
      </c>
      <c r="N93" s="162">
        <v>0.25080000000000002</v>
      </c>
      <c r="O93" s="162">
        <f>ROUND(E93*N93,2)</f>
        <v>1.5</v>
      </c>
      <c r="P93" s="162">
        <v>0</v>
      </c>
      <c r="Q93" s="162">
        <f>ROUND(E93*P93,2)</f>
        <v>0</v>
      </c>
      <c r="R93" s="162" t="s">
        <v>109</v>
      </c>
      <c r="S93" s="162" t="s">
        <v>322</v>
      </c>
      <c r="T93" s="162" t="s">
        <v>101</v>
      </c>
      <c r="U93" s="150"/>
      <c r="V93" s="150"/>
      <c r="W93" s="150"/>
      <c r="X93" s="150"/>
    </row>
    <row r="94" spans="1:60" x14ac:dyDescent="0.2">
      <c r="A94" s="147"/>
      <c r="B94" s="148"/>
      <c r="C94" s="169"/>
      <c r="D94" s="164"/>
      <c r="E94" s="164"/>
      <c r="F94" s="164"/>
      <c r="G94" s="164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50"/>
      <c r="V94" s="150"/>
      <c r="W94" s="150"/>
      <c r="X94" s="150"/>
    </row>
    <row r="95" spans="1:60" x14ac:dyDescent="0.2">
      <c r="A95" s="157">
        <f>A93+1</f>
        <v>34</v>
      </c>
      <c r="B95" s="158" t="s">
        <v>333</v>
      </c>
      <c r="C95" s="168" t="s">
        <v>334</v>
      </c>
      <c r="D95" s="159" t="s">
        <v>98</v>
      </c>
      <c r="E95" s="160">
        <f>E102*0.5</f>
        <v>157</v>
      </c>
      <c r="F95" s="161"/>
      <c r="G95" s="162">
        <f>ROUND(E95*F95,2)</f>
        <v>0</v>
      </c>
      <c r="H95" s="200">
        <v>339.99</v>
      </c>
      <c r="I95" s="162">
        <f>ROUND(E95*H95,2)</f>
        <v>53378.43</v>
      </c>
      <c r="J95" s="200">
        <v>352.01</v>
      </c>
      <c r="K95" s="162">
        <f>ROUND(E95*J95,2)</f>
        <v>55265.57</v>
      </c>
      <c r="L95" s="162">
        <v>21</v>
      </c>
      <c r="M95" s="162">
        <f>G95*(1+L95/100)</f>
        <v>0</v>
      </c>
      <c r="N95" s="162">
        <v>0.25080000000000002</v>
      </c>
      <c r="O95" s="162">
        <f>ROUND(E95*N95,2)</f>
        <v>39.380000000000003</v>
      </c>
      <c r="P95" s="162">
        <v>0</v>
      </c>
      <c r="Q95" s="162">
        <f>ROUND(E95*P95,2)</f>
        <v>0</v>
      </c>
      <c r="R95" s="162" t="s">
        <v>109</v>
      </c>
      <c r="S95" s="162" t="s">
        <v>322</v>
      </c>
      <c r="T95" s="162" t="s">
        <v>101</v>
      </c>
      <c r="U95" s="150"/>
      <c r="V95" s="150"/>
      <c r="W95" s="150"/>
      <c r="X95" s="150"/>
    </row>
    <row r="96" spans="1:60" x14ac:dyDescent="0.2">
      <c r="A96" s="147"/>
      <c r="B96" s="148"/>
      <c r="C96" s="169"/>
      <c r="D96" s="164"/>
      <c r="E96" s="164"/>
      <c r="F96" s="164"/>
      <c r="G96" s="164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50"/>
      <c r="V96" s="150"/>
      <c r="W96" s="150"/>
      <c r="X96" s="150"/>
    </row>
    <row r="97" spans="1:60" x14ac:dyDescent="0.2">
      <c r="A97" s="157">
        <f>A95+1</f>
        <v>35</v>
      </c>
      <c r="B97" s="158" t="s">
        <v>335</v>
      </c>
      <c r="C97" s="168" t="s">
        <v>336</v>
      </c>
      <c r="D97" s="159" t="s">
        <v>116</v>
      </c>
      <c r="E97" s="160">
        <f>E102*0.2*0.3</f>
        <v>18.84</v>
      </c>
      <c r="F97" s="161"/>
      <c r="G97" s="162">
        <f>ROUND(E97*F97,2)</f>
        <v>0</v>
      </c>
      <c r="H97" s="200">
        <v>339.99</v>
      </c>
      <c r="I97" s="162">
        <f>ROUND(E97*H97,2)</f>
        <v>6405.41</v>
      </c>
      <c r="J97" s="200">
        <v>352.01</v>
      </c>
      <c r="K97" s="162">
        <f>ROUND(E97*J97,2)</f>
        <v>6631.87</v>
      </c>
      <c r="L97" s="162">
        <v>21</v>
      </c>
      <c r="M97" s="162">
        <f>G97*(1+L97/100)</f>
        <v>0</v>
      </c>
      <c r="N97" s="162">
        <v>0.25080000000000002</v>
      </c>
      <c r="O97" s="162">
        <f>ROUND(E97*N97,2)</f>
        <v>4.7300000000000004</v>
      </c>
      <c r="P97" s="162">
        <v>0</v>
      </c>
      <c r="Q97" s="162">
        <f>ROUND(E97*P97,2)</f>
        <v>0</v>
      </c>
      <c r="R97" s="162" t="s">
        <v>109</v>
      </c>
      <c r="S97" s="162" t="s">
        <v>322</v>
      </c>
      <c r="T97" s="162" t="s">
        <v>101</v>
      </c>
      <c r="U97" s="150"/>
      <c r="V97" s="150"/>
      <c r="W97" s="150"/>
      <c r="X97" s="150"/>
    </row>
    <row r="98" spans="1:60" x14ac:dyDescent="0.2">
      <c r="A98" s="147"/>
      <c r="B98" s="148"/>
      <c r="C98" s="219" t="s">
        <v>337</v>
      </c>
      <c r="D98" s="220"/>
      <c r="E98" s="221"/>
      <c r="F98" s="181"/>
      <c r="G98" s="149"/>
      <c r="H98" s="222"/>
      <c r="I98" s="149"/>
      <c r="J98" s="222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50"/>
      <c r="W98" s="150"/>
      <c r="X98" s="150"/>
    </row>
    <row r="99" spans="1:60" x14ac:dyDescent="0.2">
      <c r="A99" s="147"/>
      <c r="B99" s="148"/>
      <c r="C99" s="169"/>
      <c r="D99" s="164"/>
      <c r="E99" s="164"/>
      <c r="F99" s="164"/>
      <c r="G99" s="164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50"/>
      <c r="V99" s="150"/>
      <c r="W99" s="150"/>
      <c r="X99" s="150"/>
    </row>
    <row r="100" spans="1:60" x14ac:dyDescent="0.2">
      <c r="A100" s="157">
        <f>A97+1</f>
        <v>36</v>
      </c>
      <c r="B100" s="158" t="s">
        <v>241</v>
      </c>
      <c r="C100" s="168" t="s">
        <v>242</v>
      </c>
      <c r="D100" s="159" t="s">
        <v>95</v>
      </c>
      <c r="E100" s="160">
        <v>1</v>
      </c>
      <c r="F100" s="161"/>
      <c r="G100" s="162">
        <f>ROUND(E100*F100,2)</f>
        <v>0</v>
      </c>
      <c r="H100" s="161">
        <v>339.99</v>
      </c>
      <c r="I100" s="162">
        <f>ROUND(E100*H100,2)</f>
        <v>339.99</v>
      </c>
      <c r="J100" s="161">
        <v>352.01</v>
      </c>
      <c r="K100" s="162">
        <f>ROUND(E100*J100,2)</f>
        <v>352.01</v>
      </c>
      <c r="L100" s="162">
        <v>21</v>
      </c>
      <c r="M100" s="162">
        <f>G100*(1+L100/100)</f>
        <v>0</v>
      </c>
      <c r="N100" s="162">
        <v>0.25080000000000002</v>
      </c>
      <c r="O100" s="162">
        <f>ROUND(E100*N100,2)</f>
        <v>0.25</v>
      </c>
      <c r="P100" s="162">
        <v>0</v>
      </c>
      <c r="Q100" s="162">
        <f>ROUND(E100*P100,2)</f>
        <v>0</v>
      </c>
      <c r="R100" s="162" t="s">
        <v>109</v>
      </c>
      <c r="S100" s="162" t="s">
        <v>322</v>
      </c>
      <c r="T100" s="162" t="s">
        <v>101</v>
      </c>
      <c r="U100" s="150"/>
      <c r="V100" s="150"/>
      <c r="W100" s="150"/>
      <c r="X100" s="150"/>
    </row>
    <row r="101" spans="1:60" x14ac:dyDescent="0.2">
      <c r="A101" s="147"/>
      <c r="B101" s="148"/>
      <c r="C101" s="169"/>
      <c r="D101" s="164"/>
      <c r="E101" s="164"/>
      <c r="F101" s="164"/>
      <c r="G101" s="164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50"/>
      <c r="V101" s="150"/>
      <c r="W101" s="150"/>
      <c r="X101" s="150"/>
    </row>
    <row r="102" spans="1:60" ht="22.5" outlineLevel="1" x14ac:dyDescent="0.2">
      <c r="A102" s="157">
        <f>A100+1</f>
        <v>37</v>
      </c>
      <c r="B102" s="158" t="s">
        <v>167</v>
      </c>
      <c r="C102" s="168" t="s">
        <v>169</v>
      </c>
      <c r="D102" s="159" t="s">
        <v>114</v>
      </c>
      <c r="E102" s="160">
        <f>74+80+160</f>
        <v>314</v>
      </c>
      <c r="F102" s="161"/>
      <c r="G102" s="162">
        <f>ROUND(E102*F102,2)</f>
        <v>0</v>
      </c>
      <c r="H102" s="161">
        <v>320.33</v>
      </c>
      <c r="I102" s="162">
        <f>ROUND(E102*H102,2)</f>
        <v>100583.62</v>
      </c>
      <c r="J102" s="161">
        <v>128.16999999999999</v>
      </c>
      <c r="K102" s="162">
        <f>ROUND(E102*J102,2)</f>
        <v>40245.379999999997</v>
      </c>
      <c r="L102" s="162">
        <v>21</v>
      </c>
      <c r="M102" s="162">
        <f>G102*(1+L102/100)</f>
        <v>0</v>
      </c>
      <c r="N102" s="162">
        <v>0.26980999999999999</v>
      </c>
      <c r="O102" s="162">
        <f>ROUND(E102*N102,2)</f>
        <v>84.72</v>
      </c>
      <c r="P102" s="162">
        <v>0</v>
      </c>
      <c r="Q102" s="162">
        <f>ROUND(E102*P102,2)</f>
        <v>0</v>
      </c>
      <c r="R102" s="162" t="s">
        <v>109</v>
      </c>
      <c r="S102" s="162" t="s">
        <v>322</v>
      </c>
      <c r="T102" s="162" t="s">
        <v>322</v>
      </c>
      <c r="U102" s="149">
        <v>0.27200000000000002</v>
      </c>
      <c r="V102" s="149">
        <f>ROUND(E102*U102,2)</f>
        <v>85.41</v>
      </c>
      <c r="W102" s="149"/>
      <c r="X102" s="149" t="s">
        <v>110</v>
      </c>
      <c r="Y102" s="140"/>
      <c r="Z102" s="140"/>
      <c r="AA102" s="140"/>
      <c r="AB102" s="140"/>
      <c r="AC102" s="140"/>
      <c r="AD102" s="140"/>
      <c r="AE102" s="140"/>
      <c r="AF102" s="140"/>
      <c r="AG102" s="140" t="s">
        <v>111</v>
      </c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outlineLevel="1" x14ac:dyDescent="0.2">
      <c r="A103" s="147"/>
      <c r="B103" s="148"/>
      <c r="C103" s="290" t="s">
        <v>165</v>
      </c>
      <c r="D103" s="291"/>
      <c r="E103" s="291"/>
      <c r="F103" s="291"/>
      <c r="G103" s="291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0"/>
      <c r="Z103" s="140"/>
      <c r="AA103" s="140"/>
      <c r="AB103" s="140"/>
      <c r="AC103" s="140"/>
      <c r="AD103" s="140"/>
      <c r="AE103" s="140"/>
      <c r="AF103" s="140"/>
      <c r="AG103" s="140" t="s">
        <v>112</v>
      </c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outlineLevel="1" x14ac:dyDescent="0.2">
      <c r="A104" s="147"/>
      <c r="B104" s="148"/>
      <c r="C104" s="292"/>
      <c r="D104" s="293"/>
      <c r="E104" s="293"/>
      <c r="F104" s="293"/>
      <c r="G104" s="293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ht="22.5" outlineLevel="1" x14ac:dyDescent="0.2">
      <c r="A105" s="157">
        <f>A102+1</f>
        <v>38</v>
      </c>
      <c r="B105" s="158" t="s">
        <v>152</v>
      </c>
      <c r="C105" s="168" t="s">
        <v>166</v>
      </c>
      <c r="D105" s="159" t="s">
        <v>114</v>
      </c>
      <c r="E105" s="160">
        <v>452</v>
      </c>
      <c r="F105" s="161"/>
      <c r="G105" s="162">
        <f>ROUND(E105*F105,2)</f>
        <v>0</v>
      </c>
      <c r="H105" s="161">
        <v>320.33</v>
      </c>
      <c r="I105" s="162">
        <f>ROUND(E105*H105,2)</f>
        <v>144789.16</v>
      </c>
      <c r="J105" s="161">
        <v>128.16999999999999</v>
      </c>
      <c r="K105" s="162">
        <f>ROUND(E105*J105,2)</f>
        <v>57932.84</v>
      </c>
      <c r="L105" s="162">
        <v>21</v>
      </c>
      <c r="M105" s="162">
        <f>G105*(1+L105/100)</f>
        <v>0</v>
      </c>
      <c r="N105" s="162">
        <v>0.26980999999999999</v>
      </c>
      <c r="O105" s="162">
        <f>ROUND(E105*N105,2)</f>
        <v>121.95</v>
      </c>
      <c r="P105" s="162">
        <v>0</v>
      </c>
      <c r="Q105" s="162">
        <f>ROUND(E105*P105,2)</f>
        <v>0</v>
      </c>
      <c r="R105" s="162" t="s">
        <v>109</v>
      </c>
      <c r="S105" s="162" t="s">
        <v>322</v>
      </c>
      <c r="T105" s="162" t="s">
        <v>322</v>
      </c>
      <c r="U105" s="149"/>
      <c r="V105" s="149"/>
      <c r="W105" s="149"/>
      <c r="X105" s="149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outlineLevel="1" x14ac:dyDescent="0.2">
      <c r="A106" s="147"/>
      <c r="B106" s="148"/>
      <c r="C106" s="290" t="s">
        <v>165</v>
      </c>
      <c r="D106" s="291"/>
      <c r="E106" s="291"/>
      <c r="F106" s="291"/>
      <c r="G106" s="291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</row>
    <row r="107" spans="1:60" outlineLevel="1" x14ac:dyDescent="0.2">
      <c r="A107" s="147"/>
      <c r="B107" s="148"/>
      <c r="C107" s="292"/>
      <c r="D107" s="293"/>
      <c r="E107" s="293"/>
      <c r="F107" s="293"/>
      <c r="G107" s="293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outlineLevel="1" x14ac:dyDescent="0.2">
      <c r="A108" s="157">
        <f>A105+1</f>
        <v>39</v>
      </c>
      <c r="B108" s="158" t="s">
        <v>216</v>
      </c>
      <c r="C108" s="168" t="s">
        <v>249</v>
      </c>
      <c r="D108" s="159" t="s">
        <v>95</v>
      </c>
      <c r="E108" s="160">
        <f>83+85+160</f>
        <v>328</v>
      </c>
      <c r="F108" s="161"/>
      <c r="G108" s="162">
        <f>ROUND(E108*F108,2)</f>
        <v>0</v>
      </c>
      <c r="H108" s="161">
        <v>143</v>
      </c>
      <c r="I108" s="162">
        <f>ROUND(E108*H108,2)</f>
        <v>46904</v>
      </c>
      <c r="J108" s="161">
        <v>0</v>
      </c>
      <c r="K108" s="162">
        <f>ROUND(E108*J108,2)</f>
        <v>0</v>
      </c>
      <c r="L108" s="162">
        <v>21</v>
      </c>
      <c r="M108" s="162">
        <f>G108*(1+L108/100)</f>
        <v>0</v>
      </c>
      <c r="N108" s="162">
        <v>5.4170000000000003E-2</v>
      </c>
      <c r="O108" s="162">
        <f>ROUND(E108*N108,2)</f>
        <v>17.77</v>
      </c>
      <c r="P108" s="162">
        <v>0</v>
      </c>
      <c r="Q108" s="162">
        <f>ROUND(E108*P108,2)</f>
        <v>0</v>
      </c>
      <c r="R108" s="162" t="s">
        <v>94</v>
      </c>
      <c r="S108" s="162" t="s">
        <v>322</v>
      </c>
      <c r="T108" s="162" t="s">
        <v>101</v>
      </c>
      <c r="U108" s="149"/>
      <c r="V108" s="149"/>
      <c r="W108" s="149"/>
      <c r="X108" s="149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">
      <c r="A109" s="147"/>
      <c r="B109" s="148"/>
      <c r="C109" s="178"/>
      <c r="D109" s="179"/>
      <c r="E109" s="179"/>
      <c r="F109" s="179"/>
      <c r="G109" s="17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ht="22.5" outlineLevel="1" x14ac:dyDescent="0.2">
      <c r="A110" s="157">
        <f>A108+1</f>
        <v>40</v>
      </c>
      <c r="B110" s="158" t="s">
        <v>96</v>
      </c>
      <c r="C110" s="168" t="s">
        <v>97</v>
      </c>
      <c r="D110" s="159" t="s">
        <v>95</v>
      </c>
      <c r="E110" s="160">
        <f>(E105-E112-E114)*1.05-0.1</f>
        <v>317</v>
      </c>
      <c r="F110" s="161"/>
      <c r="G110" s="162">
        <f>ROUND(E110*F110,2)</f>
        <v>0</v>
      </c>
      <c r="H110" s="161">
        <v>154</v>
      </c>
      <c r="I110" s="162">
        <f>ROUND(E110*H110,2)</f>
        <v>48818</v>
      </c>
      <c r="J110" s="161">
        <v>0</v>
      </c>
      <c r="K110" s="162">
        <f>ROUND(E110*J110,2)</f>
        <v>0</v>
      </c>
      <c r="L110" s="162">
        <v>21</v>
      </c>
      <c r="M110" s="162">
        <f>G110*(1+L110/100)</f>
        <v>0</v>
      </c>
      <c r="N110" s="162">
        <v>8.1970000000000001E-2</v>
      </c>
      <c r="O110" s="162">
        <f>ROUND(E110*N110,2)</f>
        <v>25.98</v>
      </c>
      <c r="P110" s="162">
        <v>0</v>
      </c>
      <c r="Q110" s="162">
        <f>ROUND(E110*P110,2)</f>
        <v>0</v>
      </c>
      <c r="R110" s="162" t="s">
        <v>94</v>
      </c>
      <c r="S110" s="162" t="s">
        <v>322</v>
      </c>
      <c r="T110" s="162" t="s">
        <v>101</v>
      </c>
      <c r="U110" s="149"/>
      <c r="V110" s="149"/>
      <c r="W110" s="149"/>
      <c r="X110" s="14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outlineLevel="1" x14ac:dyDescent="0.2">
      <c r="A111" s="147"/>
      <c r="B111" s="148"/>
      <c r="C111" s="178"/>
      <c r="D111" s="179"/>
      <c r="E111" s="179"/>
      <c r="F111" s="179"/>
      <c r="G111" s="17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ht="24" customHeight="1" outlineLevel="1" x14ac:dyDescent="0.2">
      <c r="A112" s="157">
        <f>A110+1</f>
        <v>41</v>
      </c>
      <c r="B112" s="158" t="s">
        <v>96</v>
      </c>
      <c r="C112" s="168" t="s">
        <v>323</v>
      </c>
      <c r="D112" s="159" t="s">
        <v>95</v>
      </c>
      <c r="E112" s="160">
        <v>130</v>
      </c>
      <c r="F112" s="161"/>
      <c r="G112" s="162">
        <f>ROUND(E112*F112,2)</f>
        <v>0</v>
      </c>
      <c r="H112" s="161">
        <v>154</v>
      </c>
      <c r="I112" s="162">
        <f>ROUND(E112*H112,2)</f>
        <v>20020</v>
      </c>
      <c r="J112" s="161">
        <v>0</v>
      </c>
      <c r="K112" s="162">
        <f>ROUND(E112*J112,2)</f>
        <v>0</v>
      </c>
      <c r="L112" s="162">
        <v>21</v>
      </c>
      <c r="M112" s="162">
        <f>G112*(1+L112/100)</f>
        <v>0</v>
      </c>
      <c r="N112" s="162">
        <v>8.1970000000000001E-2</v>
      </c>
      <c r="O112" s="162">
        <f>ROUND(E112*N112,2)</f>
        <v>10.66</v>
      </c>
      <c r="P112" s="162">
        <v>0</v>
      </c>
      <c r="Q112" s="162">
        <f>ROUND(E112*P112,2)</f>
        <v>0</v>
      </c>
      <c r="R112" s="162" t="s">
        <v>94</v>
      </c>
      <c r="S112" s="162" t="s">
        <v>322</v>
      </c>
      <c r="T112" s="162" t="s">
        <v>101</v>
      </c>
      <c r="U112" s="149"/>
      <c r="V112" s="149"/>
      <c r="W112" s="149"/>
      <c r="X112" s="149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">
      <c r="A113" s="147"/>
      <c r="B113" s="148"/>
      <c r="C113" s="178"/>
      <c r="D113" s="179"/>
      <c r="E113" s="179"/>
      <c r="F113" s="179"/>
      <c r="G113" s="17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ht="24.75" customHeight="1" outlineLevel="1" x14ac:dyDescent="0.2">
      <c r="A114" s="157">
        <f>A112+1</f>
        <v>42</v>
      </c>
      <c r="B114" s="158" t="s">
        <v>96</v>
      </c>
      <c r="C114" s="168" t="s">
        <v>324</v>
      </c>
      <c r="D114" s="159" t="s">
        <v>95</v>
      </c>
      <c r="E114" s="160">
        <v>20</v>
      </c>
      <c r="F114" s="161"/>
      <c r="G114" s="162">
        <f>ROUND(E114*F114,2)</f>
        <v>0</v>
      </c>
      <c r="H114" s="161">
        <v>154</v>
      </c>
      <c r="I114" s="162">
        <f>ROUND(E114*H114,2)</f>
        <v>3080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8.1970000000000001E-2</v>
      </c>
      <c r="O114" s="162">
        <f>ROUND(E114*N114,2)</f>
        <v>1.64</v>
      </c>
      <c r="P114" s="162">
        <v>0</v>
      </c>
      <c r="Q114" s="162">
        <f>ROUND(E114*P114,2)</f>
        <v>0</v>
      </c>
      <c r="R114" s="162" t="s">
        <v>94</v>
      </c>
      <c r="S114" s="162" t="s">
        <v>322</v>
      </c>
      <c r="T114" s="162" t="s">
        <v>101</v>
      </c>
      <c r="U114" s="149"/>
      <c r="V114" s="149"/>
      <c r="W114" s="149"/>
      <c r="X114" s="14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outlineLevel="1" x14ac:dyDescent="0.2">
      <c r="A115" s="147"/>
      <c r="B115" s="148"/>
      <c r="C115" s="295"/>
      <c r="D115" s="296"/>
      <c r="E115" s="296"/>
      <c r="F115" s="296"/>
      <c r="G115" s="296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 x14ac:dyDescent="0.2">
      <c r="A116" s="157">
        <f>A114+1</f>
        <v>43</v>
      </c>
      <c r="B116" s="158" t="s">
        <v>129</v>
      </c>
      <c r="C116" s="168" t="s">
        <v>130</v>
      </c>
      <c r="D116" s="159" t="s">
        <v>114</v>
      </c>
      <c r="E116" s="160">
        <v>17</v>
      </c>
      <c r="F116" s="161"/>
      <c r="G116" s="162">
        <f>ROUND(E116*F116,2)</f>
        <v>0</v>
      </c>
      <c r="H116" s="161">
        <v>46.75</v>
      </c>
      <c r="I116" s="162">
        <f>ROUND(E116*H116,2)</f>
        <v>794.75</v>
      </c>
      <c r="J116" s="161">
        <v>31.45</v>
      </c>
      <c r="K116" s="162">
        <f>ROUND(E116*J116,2)</f>
        <v>534.65</v>
      </c>
      <c r="L116" s="162">
        <v>21</v>
      </c>
      <c r="M116" s="162">
        <f>G116*(1+L116/100)</f>
        <v>0</v>
      </c>
      <c r="N116" s="162">
        <v>0</v>
      </c>
      <c r="O116" s="162">
        <f>ROUND(E116*N116,2)</f>
        <v>0</v>
      </c>
      <c r="P116" s="162">
        <v>0</v>
      </c>
      <c r="Q116" s="162">
        <f>ROUND(E116*P116,2)</f>
        <v>0</v>
      </c>
      <c r="R116" s="162" t="s">
        <v>109</v>
      </c>
      <c r="S116" s="162" t="s">
        <v>322</v>
      </c>
      <c r="T116" s="162" t="s">
        <v>322</v>
      </c>
      <c r="U116" s="149">
        <v>3.6999999999999998E-2</v>
      </c>
      <c r="V116" s="149">
        <f>ROUND(E116*U116,2)</f>
        <v>0.63</v>
      </c>
      <c r="W116" s="149"/>
      <c r="X116" s="149" t="s">
        <v>110</v>
      </c>
      <c r="Y116" s="140"/>
      <c r="Z116" s="140"/>
      <c r="AA116" s="140"/>
      <c r="AB116" s="140"/>
      <c r="AC116" s="140"/>
      <c r="AD116" s="140"/>
      <c r="AE116" s="140"/>
      <c r="AF116" s="140"/>
      <c r="AG116" s="140" t="s">
        <v>111</v>
      </c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">
      <c r="A117" s="147"/>
      <c r="B117" s="148"/>
      <c r="C117" s="290" t="s">
        <v>131</v>
      </c>
      <c r="D117" s="291"/>
      <c r="E117" s="291"/>
      <c r="F117" s="291"/>
      <c r="G117" s="291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0"/>
      <c r="Z117" s="140"/>
      <c r="AA117" s="140"/>
      <c r="AB117" s="140"/>
      <c r="AC117" s="140"/>
      <c r="AD117" s="140"/>
      <c r="AE117" s="140"/>
      <c r="AF117" s="140"/>
      <c r="AG117" s="140" t="s">
        <v>112</v>
      </c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outlineLevel="1" x14ac:dyDescent="0.2">
      <c r="A118" s="147"/>
      <c r="B118" s="148"/>
      <c r="C118" s="292"/>
      <c r="D118" s="293"/>
      <c r="E118" s="293"/>
      <c r="F118" s="293"/>
      <c r="G118" s="293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0"/>
      <c r="Z118" s="140"/>
      <c r="AA118" s="140"/>
      <c r="AB118" s="140"/>
      <c r="AC118" s="140"/>
      <c r="AD118" s="140"/>
      <c r="AE118" s="140"/>
      <c r="AF118" s="140"/>
      <c r="AG118" s="140" t="s">
        <v>93</v>
      </c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 x14ac:dyDescent="0.2">
      <c r="A119" s="151" t="s">
        <v>91</v>
      </c>
      <c r="B119" s="152" t="s">
        <v>184</v>
      </c>
      <c r="C119" s="167" t="s">
        <v>185</v>
      </c>
      <c r="D119" s="153"/>
      <c r="E119" s="154"/>
      <c r="F119" s="155"/>
      <c r="G119" s="155">
        <f>G120+G123</f>
        <v>0</v>
      </c>
      <c r="H119" s="155"/>
      <c r="I119" s="155">
        <f>SUM(I120:I122)</f>
        <v>12288.57</v>
      </c>
      <c r="J119" s="155"/>
      <c r="K119" s="155">
        <f>SUM(K120:K122)</f>
        <v>14129.43</v>
      </c>
      <c r="L119" s="155"/>
      <c r="M119" s="155">
        <f>M120+M123</f>
        <v>0</v>
      </c>
      <c r="N119" s="155"/>
      <c r="O119" s="155">
        <f>SUM(O120:O122)</f>
        <v>6.63</v>
      </c>
      <c r="P119" s="155"/>
      <c r="Q119" s="155">
        <f>SUM(Q120:Q122)</f>
        <v>0</v>
      </c>
      <c r="R119" s="155"/>
      <c r="S119" s="155"/>
      <c r="T119" s="156"/>
      <c r="U119" s="149"/>
      <c r="V119" s="149"/>
      <c r="W119" s="149"/>
      <c r="X119" s="149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outlineLevel="1" x14ac:dyDescent="0.2">
      <c r="A120" s="157">
        <f>A116+1</f>
        <v>44</v>
      </c>
      <c r="B120" s="158" t="s">
        <v>213</v>
      </c>
      <c r="C120" s="168" t="s">
        <v>214</v>
      </c>
      <c r="D120" s="159" t="s">
        <v>95</v>
      </c>
      <c r="E120" s="160">
        <v>21</v>
      </c>
      <c r="F120" s="161"/>
      <c r="G120" s="162">
        <f>ROUND(E120*F120,2)</f>
        <v>0</v>
      </c>
      <c r="H120" s="161">
        <v>585.16999999999996</v>
      </c>
      <c r="I120" s="162">
        <f>ROUND(E120*H120,2)</f>
        <v>12288.57</v>
      </c>
      <c r="J120" s="161">
        <v>672.83</v>
      </c>
      <c r="K120" s="162">
        <f>ROUND(E120*J120,2)</f>
        <v>14129.43</v>
      </c>
      <c r="L120" s="162">
        <v>21</v>
      </c>
      <c r="M120" s="162">
        <f>G120*(1+L120/100)</f>
        <v>0</v>
      </c>
      <c r="N120" s="162">
        <v>0.31590000000000001</v>
      </c>
      <c r="O120" s="162">
        <f>ROUND(E120*N120,2)</f>
        <v>6.63</v>
      </c>
      <c r="P120" s="162">
        <v>0</v>
      </c>
      <c r="Q120" s="162">
        <f>ROUND(E120*P120,2)</f>
        <v>0</v>
      </c>
      <c r="R120" s="162" t="s">
        <v>109</v>
      </c>
      <c r="S120" s="162" t="s">
        <v>322</v>
      </c>
      <c r="T120" s="162" t="s">
        <v>322</v>
      </c>
      <c r="U120" s="149"/>
      <c r="V120" s="149"/>
      <c r="W120" s="149"/>
      <c r="X120" s="149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ht="12.75" customHeight="1" outlineLevel="1" x14ac:dyDescent="0.2">
      <c r="A121" s="147"/>
      <c r="B121" s="148"/>
      <c r="C121" s="290" t="s">
        <v>215</v>
      </c>
      <c r="D121" s="291"/>
      <c r="E121" s="291"/>
      <c r="F121" s="291"/>
      <c r="G121" s="291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">
      <c r="A122" s="147"/>
      <c r="B122" s="148"/>
      <c r="C122" s="292"/>
      <c r="D122" s="293"/>
      <c r="E122" s="293"/>
      <c r="F122" s="293"/>
      <c r="G122" s="293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">
      <c r="A123" s="157">
        <f>A120+1</f>
        <v>45</v>
      </c>
      <c r="B123" s="158" t="s">
        <v>290</v>
      </c>
      <c r="C123" s="168" t="s">
        <v>289</v>
      </c>
      <c r="D123" s="159" t="s">
        <v>114</v>
      </c>
      <c r="E123" s="160">
        <f>E116</f>
        <v>17</v>
      </c>
      <c r="F123" s="161"/>
      <c r="G123" s="162">
        <f>E123*F123</f>
        <v>0</v>
      </c>
      <c r="H123" s="161">
        <v>5.52</v>
      </c>
      <c r="I123" s="162">
        <v>5.52</v>
      </c>
      <c r="J123" s="161">
        <v>183.48</v>
      </c>
      <c r="K123" s="162">
        <v>183.48</v>
      </c>
      <c r="L123" s="162">
        <v>21</v>
      </c>
      <c r="M123" s="162">
        <f>G123*1.21</f>
        <v>0</v>
      </c>
      <c r="N123" s="162">
        <v>4.6800000000000001E-3</v>
      </c>
      <c r="O123" s="162">
        <v>0</v>
      </c>
      <c r="P123" s="162">
        <v>0</v>
      </c>
      <c r="Q123" s="162">
        <v>0</v>
      </c>
      <c r="R123" s="162" t="s">
        <v>186</v>
      </c>
      <c r="S123" s="162" t="s">
        <v>322</v>
      </c>
      <c r="T123" s="162" t="s">
        <v>101</v>
      </c>
      <c r="U123" s="149"/>
      <c r="V123" s="149"/>
      <c r="W123" s="149"/>
      <c r="X123" s="149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">
      <c r="A124" s="147"/>
      <c r="B124" s="148"/>
      <c r="C124" s="178"/>
      <c r="D124" s="179"/>
      <c r="E124" s="179"/>
      <c r="F124" s="179"/>
      <c r="G124" s="17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x14ac:dyDescent="0.2">
      <c r="A125" s="151" t="s">
        <v>91</v>
      </c>
      <c r="B125" s="152" t="s">
        <v>58</v>
      </c>
      <c r="C125" s="167" t="s">
        <v>59</v>
      </c>
      <c r="D125" s="153"/>
      <c r="E125" s="154"/>
      <c r="F125" s="155"/>
      <c r="G125" s="155">
        <f>SUMIF(AG126:AG131,"&lt;&gt;NOR",G126:G131)</f>
        <v>0</v>
      </c>
      <c r="H125" s="155"/>
      <c r="I125" s="155">
        <f>SUM(I126:I131)</f>
        <v>0</v>
      </c>
      <c r="J125" s="155"/>
      <c r="K125" s="155">
        <f>SUM(K126:K131)</f>
        <v>115711.8</v>
      </c>
      <c r="L125" s="155"/>
      <c r="M125" s="155">
        <f>SUM(M126:M131)</f>
        <v>0</v>
      </c>
      <c r="N125" s="155"/>
      <c r="O125" s="155">
        <f>SUM(O126:O131)</f>
        <v>0</v>
      </c>
      <c r="P125" s="155"/>
      <c r="Q125" s="155">
        <f>SUM(Q126:Q131)</f>
        <v>0</v>
      </c>
      <c r="R125" s="155"/>
      <c r="S125" s="155"/>
      <c r="T125" s="156"/>
      <c r="U125" s="150"/>
      <c r="V125" s="150">
        <f>SUM(V126:V131)</f>
        <v>40.03</v>
      </c>
      <c r="W125" s="150"/>
      <c r="X125" s="150"/>
      <c r="AG125" t="s">
        <v>92</v>
      </c>
    </row>
    <row r="126" spans="1:60" outlineLevel="1" x14ac:dyDescent="0.2">
      <c r="A126" s="157">
        <f>A123+1</f>
        <v>46</v>
      </c>
      <c r="B126" s="158" t="s">
        <v>153</v>
      </c>
      <c r="C126" s="168" t="s">
        <v>134</v>
      </c>
      <c r="D126" s="159" t="s">
        <v>126</v>
      </c>
      <c r="E126" s="160">
        <f>(E74*0.08+E71*0.1*2.2+E60*0.08*2+E57*0.06*2)*1.05</f>
        <v>89.376000000000005</v>
      </c>
      <c r="F126" s="161"/>
      <c r="G126" s="162">
        <f>ROUND(E126*F126,2)</f>
        <v>0</v>
      </c>
      <c r="H126" s="161">
        <v>0</v>
      </c>
      <c r="I126" s="162">
        <f>ROUND(E126*H126,2)</f>
        <v>0</v>
      </c>
      <c r="J126" s="161">
        <v>225.5</v>
      </c>
      <c r="K126" s="162">
        <f>ROUND(E126*J126,2)</f>
        <v>20154.29</v>
      </c>
      <c r="L126" s="162">
        <v>21</v>
      </c>
      <c r="M126" s="162">
        <f>G126*(1+L126/100)</f>
        <v>0</v>
      </c>
      <c r="N126" s="162">
        <v>0</v>
      </c>
      <c r="O126" s="162">
        <f>ROUND(E126*N126,2)</f>
        <v>0</v>
      </c>
      <c r="P126" s="162">
        <v>0</v>
      </c>
      <c r="Q126" s="162">
        <f>ROUND(E126*P126,2)</f>
        <v>0</v>
      </c>
      <c r="R126" s="162" t="s">
        <v>109</v>
      </c>
      <c r="S126" s="162" t="s">
        <v>322</v>
      </c>
      <c r="T126" s="162" t="s">
        <v>322</v>
      </c>
      <c r="U126" s="149">
        <v>0.39</v>
      </c>
      <c r="V126" s="149">
        <f>ROUND(E126*U126,2)</f>
        <v>34.86</v>
      </c>
      <c r="W126" s="149"/>
      <c r="X126" s="149" t="s">
        <v>132</v>
      </c>
      <c r="Y126" s="140"/>
      <c r="Z126" s="140"/>
      <c r="AA126" s="140"/>
      <c r="AB126" s="140"/>
      <c r="AC126" s="140"/>
      <c r="AD126" s="140"/>
      <c r="AE126" s="140"/>
      <c r="AF126" s="140"/>
      <c r="AG126" s="140" t="s">
        <v>133</v>
      </c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outlineLevel="1" x14ac:dyDescent="0.2">
      <c r="A127" s="147"/>
      <c r="B127" s="148"/>
      <c r="C127" s="292"/>
      <c r="D127" s="293"/>
      <c r="E127" s="293"/>
      <c r="F127" s="293"/>
      <c r="G127" s="293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0"/>
      <c r="Z127" s="140"/>
      <c r="AA127" s="140"/>
      <c r="AB127" s="140"/>
      <c r="AC127" s="140"/>
      <c r="AD127" s="140"/>
      <c r="AE127" s="140"/>
      <c r="AF127" s="140"/>
      <c r="AG127" s="140" t="s">
        <v>93</v>
      </c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outlineLevel="1" x14ac:dyDescent="0.2">
      <c r="A128" s="157">
        <f>A126+1</f>
        <v>47</v>
      </c>
      <c r="B128" s="158" t="s">
        <v>187</v>
      </c>
      <c r="C128" s="168" t="s">
        <v>188</v>
      </c>
      <c r="D128" s="159" t="s">
        <v>126</v>
      </c>
      <c r="E128" s="160">
        <f>E49*0.18*2+E47*0.15*2+E45*0.2*2</f>
        <v>1065.8000000000002</v>
      </c>
      <c r="F128" s="161"/>
      <c r="G128" s="162">
        <f>ROUND(E128*F128,2)</f>
        <v>0</v>
      </c>
      <c r="H128" s="161">
        <v>0</v>
      </c>
      <c r="I128" s="162">
        <f>ROUND(E128*H128,2)</f>
        <v>0</v>
      </c>
      <c r="J128" s="161">
        <v>71.2</v>
      </c>
      <c r="K128" s="162">
        <f>ROUND(E128*J128,2)</f>
        <v>75884.960000000006</v>
      </c>
      <c r="L128" s="162">
        <v>21</v>
      </c>
      <c r="M128" s="162">
        <f>G128*(1+L128/100)</f>
        <v>0</v>
      </c>
      <c r="N128" s="162">
        <v>0</v>
      </c>
      <c r="O128" s="162">
        <f>ROUND(E128*N128,2)</f>
        <v>0</v>
      </c>
      <c r="P128" s="162">
        <v>0</v>
      </c>
      <c r="Q128" s="162">
        <f>ROUND(E128*P128,2)</f>
        <v>0</v>
      </c>
      <c r="R128" s="162" t="s">
        <v>109</v>
      </c>
      <c r="S128" s="162" t="s">
        <v>322</v>
      </c>
      <c r="T128" s="162" t="s">
        <v>322</v>
      </c>
      <c r="U128" s="149"/>
      <c r="V128" s="149"/>
      <c r="W128" s="149"/>
      <c r="X128" s="149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">
      <c r="A129" s="147"/>
      <c r="B129" s="148"/>
      <c r="C129" s="292"/>
      <c r="D129" s="293"/>
      <c r="E129" s="293"/>
      <c r="F129" s="293"/>
      <c r="G129" s="293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">
      <c r="A130" s="157">
        <f>A128+1</f>
        <v>48</v>
      </c>
      <c r="B130" s="158" t="s">
        <v>154</v>
      </c>
      <c r="C130" s="168" t="s">
        <v>220</v>
      </c>
      <c r="D130" s="159" t="s">
        <v>126</v>
      </c>
      <c r="E130" s="160">
        <f>E55*0.12*2.53</f>
        <v>323.03039999999993</v>
      </c>
      <c r="F130" s="161"/>
      <c r="G130" s="162">
        <f>ROUND(E130*F130,2)</f>
        <v>0</v>
      </c>
      <c r="H130" s="161">
        <v>0</v>
      </c>
      <c r="I130" s="162">
        <f>ROUND(E130*H130,2)</f>
        <v>0</v>
      </c>
      <c r="J130" s="161">
        <v>60.9</v>
      </c>
      <c r="K130" s="162">
        <f>ROUND(E130*J130,2)</f>
        <v>19672.55</v>
      </c>
      <c r="L130" s="162">
        <v>21</v>
      </c>
      <c r="M130" s="162">
        <f>G130*(1+L130/100)</f>
        <v>0</v>
      </c>
      <c r="N130" s="162">
        <v>0</v>
      </c>
      <c r="O130" s="162">
        <f>ROUND(E130*N130,2)</f>
        <v>0</v>
      </c>
      <c r="P130" s="162">
        <v>0</v>
      </c>
      <c r="Q130" s="162">
        <f>ROUND(E130*P130,2)</f>
        <v>0</v>
      </c>
      <c r="R130" s="162" t="s">
        <v>109</v>
      </c>
      <c r="S130" s="162" t="s">
        <v>322</v>
      </c>
      <c r="T130" s="162" t="s">
        <v>322</v>
      </c>
      <c r="U130" s="149">
        <v>1.6E-2</v>
      </c>
      <c r="V130" s="149">
        <f>ROUND(E130*U130,2)</f>
        <v>5.17</v>
      </c>
      <c r="W130" s="149"/>
      <c r="X130" s="149" t="s">
        <v>132</v>
      </c>
      <c r="Y130" s="140"/>
      <c r="Z130" s="140"/>
      <c r="AA130" s="140"/>
      <c r="AB130" s="140"/>
      <c r="AC130" s="140"/>
      <c r="AD130" s="140"/>
      <c r="AE130" s="140"/>
      <c r="AF130" s="140"/>
      <c r="AG130" s="140" t="s">
        <v>133</v>
      </c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outlineLevel="1" x14ac:dyDescent="0.2">
      <c r="A131" s="147"/>
      <c r="B131" s="148"/>
      <c r="C131" s="292"/>
      <c r="D131" s="293"/>
      <c r="E131" s="293"/>
      <c r="F131" s="293"/>
      <c r="G131" s="293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0"/>
      <c r="Z131" s="140"/>
      <c r="AA131" s="140"/>
      <c r="AB131" s="140"/>
      <c r="AC131" s="140"/>
      <c r="AD131" s="140"/>
      <c r="AE131" s="140"/>
      <c r="AF131" s="140"/>
      <c r="AG131" s="140" t="s">
        <v>93</v>
      </c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x14ac:dyDescent="0.2">
      <c r="A132" s="151" t="s">
        <v>91</v>
      </c>
      <c r="B132" s="152" t="s">
        <v>60</v>
      </c>
      <c r="C132" s="167" t="s">
        <v>61</v>
      </c>
      <c r="D132" s="153"/>
      <c r="E132" s="154"/>
      <c r="F132" s="155"/>
      <c r="G132" s="155">
        <f>SUMIF(AG133:AG138,"&lt;&gt;NOR",G133:G138)</f>
        <v>0</v>
      </c>
      <c r="H132" s="155"/>
      <c r="I132" s="155">
        <f>SUM(I133:I138)</f>
        <v>0</v>
      </c>
      <c r="J132" s="155"/>
      <c r="K132" s="155">
        <f>SUM(K133:K138)</f>
        <v>953034.25</v>
      </c>
      <c r="L132" s="155"/>
      <c r="M132" s="155">
        <f>SUM(M133:M138)</f>
        <v>0</v>
      </c>
      <c r="N132" s="155"/>
      <c r="O132" s="155">
        <f>SUM(O133:O138)</f>
        <v>0</v>
      </c>
      <c r="P132" s="155"/>
      <c r="Q132" s="155">
        <f>SUM(Q133:Q138)</f>
        <v>0</v>
      </c>
      <c r="R132" s="155"/>
      <c r="S132" s="155"/>
      <c r="T132" s="156"/>
      <c r="U132" s="150"/>
      <c r="V132" s="150">
        <f>SUM(V133:V138)</f>
        <v>249.29</v>
      </c>
      <c r="W132" s="150"/>
      <c r="X132" s="150"/>
      <c r="Z132" s="84"/>
      <c r="AG132" t="s">
        <v>92</v>
      </c>
    </row>
    <row r="133" spans="1:60" outlineLevel="1" x14ac:dyDescent="0.2">
      <c r="A133" s="157">
        <f>A130+1</f>
        <v>49</v>
      </c>
      <c r="B133" s="158" t="s">
        <v>221</v>
      </c>
      <c r="C133" s="168" t="s">
        <v>222</v>
      </c>
      <c r="D133" s="159" t="s">
        <v>126</v>
      </c>
      <c r="E133" s="160">
        <f>E12*2+E14*0.05*2.2+E16*0.3*0.3*2</f>
        <v>856.66</v>
      </c>
      <c r="F133" s="161"/>
      <c r="G133" s="162">
        <f>ROUND(E133*F133,2)</f>
        <v>0</v>
      </c>
      <c r="H133" s="161">
        <v>0</v>
      </c>
      <c r="I133" s="162">
        <f>ROUND(E133*H133,2)</f>
        <v>0</v>
      </c>
      <c r="J133" s="161">
        <v>406.5</v>
      </c>
      <c r="K133" s="162">
        <f>ROUND(E133*J133,2)</f>
        <v>348232.29</v>
      </c>
      <c r="L133" s="162">
        <v>21</v>
      </c>
      <c r="M133" s="162">
        <f>G133*(1+L133/100)</f>
        <v>0</v>
      </c>
      <c r="N133" s="162">
        <v>0</v>
      </c>
      <c r="O133" s="162">
        <f>ROUND(E133*N133,2)</f>
        <v>0</v>
      </c>
      <c r="P133" s="162">
        <v>0</v>
      </c>
      <c r="Q133" s="162">
        <f>ROUND(E133*P133,2)</f>
        <v>0</v>
      </c>
      <c r="R133" s="162"/>
      <c r="S133" s="162" t="s">
        <v>322</v>
      </c>
      <c r="T133" s="162" t="s">
        <v>322</v>
      </c>
      <c r="U133" s="149">
        <v>0.29099999999999998</v>
      </c>
      <c r="V133" s="149">
        <f>ROUND(E133*U133,2)</f>
        <v>249.29</v>
      </c>
      <c r="W133" s="149"/>
      <c r="X133" s="149" t="s">
        <v>135</v>
      </c>
      <c r="Y133" s="176"/>
      <c r="Z133" s="140"/>
      <c r="AA133" s="140"/>
      <c r="AB133" s="140"/>
      <c r="AC133" s="140"/>
      <c r="AD133" s="140"/>
      <c r="AE133" s="140"/>
      <c r="AF133" s="140"/>
      <c r="AG133" s="140" t="s">
        <v>136</v>
      </c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">
      <c r="A134" s="147"/>
      <c r="B134" s="148"/>
      <c r="C134" s="295"/>
      <c r="D134" s="296"/>
      <c r="E134" s="296"/>
      <c r="F134" s="296"/>
      <c r="G134" s="296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0"/>
      <c r="Z134" s="140"/>
      <c r="AA134" s="140"/>
      <c r="AB134" s="140"/>
      <c r="AC134" s="140"/>
      <c r="AD134" s="140"/>
      <c r="AE134" s="140"/>
      <c r="AF134" s="140"/>
      <c r="AG134" s="140" t="s">
        <v>93</v>
      </c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">
      <c r="A135" s="157">
        <f>A133+1</f>
        <v>50</v>
      </c>
      <c r="B135" s="158" t="s">
        <v>223</v>
      </c>
      <c r="C135" s="168" t="s">
        <v>224</v>
      </c>
      <c r="D135" s="159" t="s">
        <v>126</v>
      </c>
      <c r="E135" s="160">
        <f>E133*14</f>
        <v>11993.24</v>
      </c>
      <c r="F135" s="161"/>
      <c r="G135" s="162">
        <f>ROUND(E135*F135,2)</f>
        <v>0</v>
      </c>
      <c r="H135" s="161">
        <v>0</v>
      </c>
      <c r="I135" s="162">
        <f>ROUND(E135*H135,2)</f>
        <v>0</v>
      </c>
      <c r="J135" s="161">
        <v>29</v>
      </c>
      <c r="K135" s="162">
        <f>ROUND(E135*J135,2)</f>
        <v>347803.96</v>
      </c>
      <c r="L135" s="162">
        <v>21</v>
      </c>
      <c r="M135" s="162">
        <f>G135*(1+L135/100)</f>
        <v>0</v>
      </c>
      <c r="N135" s="162">
        <v>0</v>
      </c>
      <c r="O135" s="162">
        <f>ROUND(E135*N135,2)</f>
        <v>0</v>
      </c>
      <c r="P135" s="162">
        <v>0</v>
      </c>
      <c r="Q135" s="201">
        <f>ROUND(E135*P135,2)</f>
        <v>0</v>
      </c>
      <c r="R135" s="162" t="s">
        <v>109</v>
      </c>
      <c r="S135" s="162" t="s">
        <v>322</v>
      </c>
      <c r="T135" s="162" t="s">
        <v>322</v>
      </c>
      <c r="U135" s="149"/>
      <c r="V135" s="149"/>
      <c r="W135" s="149"/>
      <c r="X135" s="149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 x14ac:dyDescent="0.2">
      <c r="A136" s="147"/>
      <c r="B136" s="148"/>
      <c r="C136" s="294"/>
      <c r="D136" s="294"/>
      <c r="E136" s="294"/>
      <c r="F136" s="294"/>
      <c r="G136" s="294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">
      <c r="A137" s="157">
        <f>A135+1</f>
        <v>51</v>
      </c>
      <c r="B137" s="158" t="s">
        <v>156</v>
      </c>
      <c r="C137" s="168" t="s">
        <v>155</v>
      </c>
      <c r="D137" s="159" t="s">
        <v>126</v>
      </c>
      <c r="E137" s="160">
        <f>E133</f>
        <v>856.66</v>
      </c>
      <c r="F137" s="161"/>
      <c r="G137" s="162">
        <f>ROUND(E137*F137,2)</f>
        <v>0</v>
      </c>
      <c r="H137" s="161">
        <v>0</v>
      </c>
      <c r="I137" s="162">
        <f>ROUND(E137*H137,2)</f>
        <v>0</v>
      </c>
      <c r="J137" s="161">
        <v>300</v>
      </c>
      <c r="K137" s="162">
        <f>ROUND(E137*J137,2)</f>
        <v>256998</v>
      </c>
      <c r="L137" s="162">
        <v>21</v>
      </c>
      <c r="M137" s="162">
        <f>G137*(1+L137/100)</f>
        <v>0</v>
      </c>
      <c r="N137" s="162">
        <v>0</v>
      </c>
      <c r="O137" s="162">
        <f>ROUND(E137*N137,2)</f>
        <v>0</v>
      </c>
      <c r="P137" s="162">
        <v>0</v>
      </c>
      <c r="Q137" s="162">
        <f>ROUND(E137*P137,2)</f>
        <v>0</v>
      </c>
      <c r="R137" s="162" t="s">
        <v>137</v>
      </c>
      <c r="S137" s="162" t="s">
        <v>322</v>
      </c>
      <c r="T137" s="162" t="s">
        <v>322</v>
      </c>
      <c r="U137" s="149">
        <v>0</v>
      </c>
      <c r="V137" s="149">
        <f>ROUND(E137*U137,2)</f>
        <v>0</v>
      </c>
      <c r="W137" s="149"/>
      <c r="X137" s="149" t="s">
        <v>135</v>
      </c>
      <c r="Y137" s="140"/>
      <c r="Z137" s="140"/>
      <c r="AA137" s="140"/>
      <c r="AB137" s="140"/>
      <c r="AC137" s="140"/>
      <c r="AD137" s="140"/>
      <c r="AE137" s="140"/>
      <c r="AF137" s="140"/>
      <c r="AG137" s="140" t="s">
        <v>136</v>
      </c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outlineLevel="1" x14ac:dyDescent="0.2">
      <c r="A138" s="147"/>
      <c r="B138" s="148"/>
      <c r="C138" s="295"/>
      <c r="D138" s="296"/>
      <c r="E138" s="296"/>
      <c r="F138" s="296"/>
      <c r="G138" s="296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0"/>
      <c r="Z138" s="140"/>
      <c r="AA138" s="140"/>
      <c r="AB138" s="140"/>
      <c r="AC138" s="140"/>
      <c r="AD138" s="140"/>
      <c r="AE138" s="140"/>
      <c r="AF138" s="140"/>
      <c r="AG138" s="140" t="s">
        <v>93</v>
      </c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x14ac:dyDescent="0.2">
      <c r="A139" s="151" t="s">
        <v>91</v>
      </c>
      <c r="B139" s="152" t="s">
        <v>63</v>
      </c>
      <c r="C139" s="167" t="s">
        <v>26</v>
      </c>
      <c r="D139" s="153"/>
      <c r="E139" s="154"/>
      <c r="F139" s="155"/>
      <c r="G139" s="155">
        <f>G140+G142+G145+G147</f>
        <v>0</v>
      </c>
      <c r="H139" s="155"/>
      <c r="I139" s="155">
        <f>SUM(I142:I144)</f>
        <v>0</v>
      </c>
      <c r="J139" s="155"/>
      <c r="K139" s="155">
        <f>SUM(K142:K144)</f>
        <v>0</v>
      </c>
      <c r="L139" s="155"/>
      <c r="M139" s="155">
        <f>M140+M142+M145+M147</f>
        <v>0</v>
      </c>
      <c r="N139" s="155"/>
      <c r="O139" s="155">
        <f>SUM(O142:O144)</f>
        <v>0</v>
      </c>
      <c r="P139" s="155"/>
      <c r="Q139" s="155">
        <f>SUM(Q142:Q144)</f>
        <v>0</v>
      </c>
      <c r="R139" s="155"/>
      <c r="S139" s="155"/>
      <c r="T139" s="156"/>
      <c r="U139" s="150"/>
      <c r="V139" s="150">
        <f>SUM(V142:V144)</f>
        <v>0</v>
      </c>
      <c r="W139" s="150"/>
      <c r="X139" s="150"/>
      <c r="Z139" s="84"/>
      <c r="AG139" t="s">
        <v>92</v>
      </c>
    </row>
    <row r="140" spans="1:60" x14ac:dyDescent="0.2">
      <c r="A140" s="157">
        <f>A137+1</f>
        <v>52</v>
      </c>
      <c r="B140" s="158" t="s">
        <v>161</v>
      </c>
      <c r="C140" s="168" t="s">
        <v>104</v>
      </c>
      <c r="D140" s="159" t="s">
        <v>100</v>
      </c>
      <c r="E140" s="160">
        <v>1</v>
      </c>
      <c r="F140" s="161"/>
      <c r="G140" s="162">
        <f>ROUND(E140*F140,2)</f>
        <v>0</v>
      </c>
      <c r="H140" s="161">
        <v>0</v>
      </c>
      <c r="I140" s="162">
        <f>ROUND(E140*H140,2)</f>
        <v>0</v>
      </c>
      <c r="J140" s="161">
        <v>0</v>
      </c>
      <c r="K140" s="162">
        <f>ROUND(E140*J140,2)</f>
        <v>0</v>
      </c>
      <c r="L140" s="162">
        <v>21</v>
      </c>
      <c r="M140" s="162">
        <f>G140*(1+L140/100)</f>
        <v>0</v>
      </c>
      <c r="N140" s="162">
        <v>0</v>
      </c>
      <c r="O140" s="162">
        <f>ROUND(E140*N140,2)</f>
        <v>0</v>
      </c>
      <c r="P140" s="162">
        <v>0</v>
      </c>
      <c r="Q140" s="162">
        <f>ROUND(E140*P140,2)</f>
        <v>0</v>
      </c>
      <c r="R140" s="162"/>
      <c r="S140" s="162" t="s">
        <v>322</v>
      </c>
      <c r="T140" s="163" t="s">
        <v>101</v>
      </c>
      <c r="U140" s="150"/>
      <c r="V140" s="150"/>
      <c r="W140" s="150"/>
      <c r="X140" s="150"/>
    </row>
    <row r="141" spans="1:60" x14ac:dyDescent="0.2">
      <c r="A141" s="173"/>
      <c r="B141" s="174"/>
      <c r="C141" s="295"/>
      <c r="D141" s="296"/>
      <c r="E141" s="296"/>
      <c r="F141" s="296"/>
      <c r="G141" s="296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50"/>
      <c r="V141" s="150"/>
      <c r="W141" s="150"/>
      <c r="X141" s="150"/>
    </row>
    <row r="142" spans="1:60" outlineLevel="1" x14ac:dyDescent="0.2">
      <c r="A142" s="157">
        <f>A140+1</f>
        <v>53</v>
      </c>
      <c r="B142" s="158" t="s">
        <v>138</v>
      </c>
      <c r="C142" s="168" t="s">
        <v>139</v>
      </c>
      <c r="D142" s="159" t="s">
        <v>100</v>
      </c>
      <c r="E142" s="160">
        <v>1</v>
      </c>
      <c r="F142" s="161"/>
      <c r="G142" s="162">
        <f>ROUND(E142*F142,2)</f>
        <v>0</v>
      </c>
      <c r="H142" s="161">
        <v>0</v>
      </c>
      <c r="I142" s="162">
        <f>ROUND(E142*H142,2)</f>
        <v>0</v>
      </c>
      <c r="J142" s="161">
        <v>0</v>
      </c>
      <c r="K142" s="162">
        <f>ROUND(E142*J142,2)</f>
        <v>0</v>
      </c>
      <c r="L142" s="162">
        <v>21</v>
      </c>
      <c r="M142" s="162">
        <f>G142*(1+L142/100)</f>
        <v>0</v>
      </c>
      <c r="N142" s="162">
        <v>0</v>
      </c>
      <c r="O142" s="162">
        <f>ROUND(E142*N142,2)</f>
        <v>0</v>
      </c>
      <c r="P142" s="162">
        <v>0</v>
      </c>
      <c r="Q142" s="162">
        <f>ROUND(E142*P142,2)</f>
        <v>0</v>
      </c>
      <c r="R142" s="162"/>
      <c r="S142" s="162" t="s">
        <v>322</v>
      </c>
      <c r="T142" s="163" t="s">
        <v>101</v>
      </c>
      <c r="U142" s="149">
        <v>0</v>
      </c>
      <c r="V142" s="149">
        <f>ROUND(E142*U142,2)</f>
        <v>0</v>
      </c>
      <c r="W142" s="149"/>
      <c r="X142" s="149" t="s">
        <v>102</v>
      </c>
      <c r="Y142" s="140"/>
      <c r="Z142" s="140"/>
      <c r="AA142" s="140"/>
      <c r="AB142" s="140"/>
      <c r="AC142" s="140"/>
      <c r="AD142" s="140"/>
      <c r="AE142" s="140"/>
      <c r="AF142" s="140"/>
      <c r="AG142" s="140" t="s">
        <v>103</v>
      </c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22.5" outlineLevel="1" x14ac:dyDescent="0.2">
      <c r="A143" s="147"/>
      <c r="B143" s="148"/>
      <c r="C143" s="297" t="s">
        <v>140</v>
      </c>
      <c r="D143" s="298"/>
      <c r="E143" s="298"/>
      <c r="F143" s="298"/>
      <c r="G143" s="298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0"/>
      <c r="Z143" s="140"/>
      <c r="AA143" s="140"/>
      <c r="AB143" s="140"/>
      <c r="AC143" s="140"/>
      <c r="AD143" s="140"/>
      <c r="AE143" s="140"/>
      <c r="AF143" s="140"/>
      <c r="AG143" s="140" t="s">
        <v>105</v>
      </c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65" t="str">
        <f>C143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">
      <c r="A144" s="147"/>
      <c r="B144" s="148"/>
      <c r="C144" s="292"/>
      <c r="D144" s="293"/>
      <c r="E144" s="293"/>
      <c r="F144" s="293"/>
      <c r="G144" s="293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0"/>
      <c r="Z144" s="140"/>
      <c r="AA144" s="140"/>
      <c r="AB144" s="140"/>
      <c r="AC144" s="140"/>
      <c r="AD144" s="140"/>
      <c r="AE144" s="140"/>
      <c r="AF144" s="140"/>
      <c r="AG144" s="140" t="s">
        <v>93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 x14ac:dyDescent="0.2">
      <c r="A145" s="157">
        <f>A142+1</f>
        <v>54</v>
      </c>
      <c r="B145" s="158" t="s">
        <v>157</v>
      </c>
      <c r="C145" s="168" t="s">
        <v>99</v>
      </c>
      <c r="D145" s="159" t="s">
        <v>100</v>
      </c>
      <c r="E145" s="160">
        <v>1</v>
      </c>
      <c r="F145" s="161"/>
      <c r="G145" s="162">
        <f>ROUND(E145*F145,2)</f>
        <v>0</v>
      </c>
      <c r="H145" s="161">
        <v>0</v>
      </c>
      <c r="I145" s="162">
        <f>ROUND(E145*H145,2)</f>
        <v>0</v>
      </c>
      <c r="J145" s="161">
        <v>0</v>
      </c>
      <c r="K145" s="162">
        <f>ROUND(E145*J145,2)</f>
        <v>0</v>
      </c>
      <c r="L145" s="162">
        <v>21</v>
      </c>
      <c r="M145" s="162">
        <f>G145*(1+L145/100)</f>
        <v>0</v>
      </c>
      <c r="N145" s="162">
        <v>0</v>
      </c>
      <c r="O145" s="162">
        <f>ROUND(E145*N145,2)</f>
        <v>0</v>
      </c>
      <c r="P145" s="162">
        <v>0</v>
      </c>
      <c r="Q145" s="162">
        <f>ROUND(E145*P145,2)</f>
        <v>0</v>
      </c>
      <c r="R145" s="162"/>
      <c r="S145" s="162" t="s">
        <v>322</v>
      </c>
      <c r="T145" s="163" t="s">
        <v>101</v>
      </c>
      <c r="U145" s="149"/>
      <c r="V145" s="149"/>
      <c r="W145" s="149"/>
      <c r="X145" s="149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 x14ac:dyDescent="0.2">
      <c r="A146" s="147"/>
      <c r="B146" s="148"/>
      <c r="C146" s="295"/>
      <c r="D146" s="296"/>
      <c r="E146" s="296"/>
      <c r="F146" s="296"/>
      <c r="G146" s="296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outlineLevel="1" x14ac:dyDescent="0.2">
      <c r="A147" s="157">
        <f>A145+1</f>
        <v>55</v>
      </c>
      <c r="B147" s="158" t="s">
        <v>106</v>
      </c>
      <c r="C147" s="168" t="s">
        <v>107</v>
      </c>
      <c r="D147" s="159" t="s">
        <v>100</v>
      </c>
      <c r="E147" s="160">
        <v>1</v>
      </c>
      <c r="F147" s="161"/>
      <c r="G147" s="162">
        <f>ROUND(E147*F147,2)</f>
        <v>0</v>
      </c>
      <c r="H147" s="161">
        <v>0</v>
      </c>
      <c r="I147" s="162">
        <f>ROUND(E147*H147,2)</f>
        <v>0</v>
      </c>
      <c r="J147" s="161">
        <v>0</v>
      </c>
      <c r="K147" s="162">
        <f>ROUND(E147*J147,2)</f>
        <v>0</v>
      </c>
      <c r="L147" s="162">
        <v>21</v>
      </c>
      <c r="M147" s="162">
        <f>G147*(1+L147/100)</f>
        <v>0</v>
      </c>
      <c r="N147" s="162">
        <v>0</v>
      </c>
      <c r="O147" s="162">
        <f>ROUND(E147*N147,2)</f>
        <v>0</v>
      </c>
      <c r="P147" s="162">
        <v>0</v>
      </c>
      <c r="Q147" s="162">
        <f>ROUND(E147*P147,2)</f>
        <v>0</v>
      </c>
      <c r="R147" s="162"/>
      <c r="S147" s="162" t="s">
        <v>322</v>
      </c>
      <c r="T147" s="163" t="s">
        <v>101</v>
      </c>
      <c r="U147" s="149"/>
      <c r="V147" s="149"/>
      <c r="W147" s="149"/>
      <c r="X147" s="149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ht="22.5" customHeight="1" outlineLevel="1" x14ac:dyDescent="0.2">
      <c r="A148" s="147"/>
      <c r="B148" s="148"/>
      <c r="C148" s="297" t="s">
        <v>108</v>
      </c>
      <c r="D148" s="298"/>
      <c r="E148" s="298"/>
      <c r="F148" s="298"/>
      <c r="G148" s="298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outlineLevel="1" x14ac:dyDescent="0.2">
      <c r="A149" s="147"/>
      <c r="B149" s="148"/>
      <c r="C149" s="169"/>
      <c r="D149" s="164"/>
      <c r="E149" s="164"/>
      <c r="F149" s="164"/>
      <c r="G149" s="164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x14ac:dyDescent="0.2">
      <c r="A150" s="151" t="s">
        <v>91</v>
      </c>
      <c r="B150" s="152" t="s">
        <v>64</v>
      </c>
      <c r="C150" s="167" t="s">
        <v>27</v>
      </c>
      <c r="D150" s="153"/>
      <c r="E150" s="154"/>
      <c r="F150" s="155"/>
      <c r="G150" s="155">
        <f>SUMIF(AG151:AG159,"&lt;&gt;NOR",G151:G159)</f>
        <v>0</v>
      </c>
      <c r="H150" s="155"/>
      <c r="I150" s="155">
        <f>SUM(I151:I159)</f>
        <v>0</v>
      </c>
      <c r="J150" s="155"/>
      <c r="K150" s="155">
        <f>SUM(K151:K159)</f>
        <v>0</v>
      </c>
      <c r="L150" s="155"/>
      <c r="M150" s="155">
        <f>SUM(M151:M159)</f>
        <v>0</v>
      </c>
      <c r="N150" s="155"/>
      <c r="O150" s="155">
        <f>SUM(O151:O159)</f>
        <v>0</v>
      </c>
      <c r="P150" s="155"/>
      <c r="Q150" s="155">
        <f>SUM(Q151:Q159)</f>
        <v>0</v>
      </c>
      <c r="R150" s="155"/>
      <c r="S150" s="155"/>
      <c r="T150" s="156"/>
      <c r="U150" s="150"/>
      <c r="V150" s="150">
        <f>SUM(V151:V159)</f>
        <v>0</v>
      </c>
      <c r="W150" s="150"/>
      <c r="X150" s="150"/>
      <c r="AG150" t="s">
        <v>92</v>
      </c>
    </row>
    <row r="151" spans="1:60" outlineLevel="1" x14ac:dyDescent="0.2">
      <c r="A151" s="157">
        <f>A147+1</f>
        <v>56</v>
      </c>
      <c r="B151" s="158" t="s">
        <v>141</v>
      </c>
      <c r="C151" s="168" t="s">
        <v>142</v>
      </c>
      <c r="D151" s="159" t="s">
        <v>100</v>
      </c>
      <c r="E151" s="160">
        <v>1</v>
      </c>
      <c r="F151" s="161"/>
      <c r="G151" s="162">
        <f>ROUND(E151*F151,2)</f>
        <v>0</v>
      </c>
      <c r="H151" s="161">
        <v>0</v>
      </c>
      <c r="I151" s="162">
        <f>ROUND(E151*H151,2)</f>
        <v>0</v>
      </c>
      <c r="J151" s="161">
        <v>0</v>
      </c>
      <c r="K151" s="162">
        <f>ROUND(E151*J151,2)</f>
        <v>0</v>
      </c>
      <c r="L151" s="162">
        <v>21</v>
      </c>
      <c r="M151" s="162">
        <f>G151*(1+L151/100)</f>
        <v>0</v>
      </c>
      <c r="N151" s="162">
        <v>0</v>
      </c>
      <c r="O151" s="162">
        <f>ROUND(E151*N151,2)</f>
        <v>0</v>
      </c>
      <c r="P151" s="162">
        <v>0</v>
      </c>
      <c r="Q151" s="162">
        <f>ROUND(E151*P151,2)</f>
        <v>0</v>
      </c>
      <c r="R151" s="162"/>
      <c r="S151" s="162" t="s">
        <v>322</v>
      </c>
      <c r="T151" s="163" t="s">
        <v>101</v>
      </c>
      <c r="U151" s="149">
        <v>0</v>
      </c>
      <c r="V151" s="149">
        <f>ROUND(E151*U151,2)</f>
        <v>0</v>
      </c>
      <c r="W151" s="149"/>
      <c r="X151" s="149" t="s">
        <v>102</v>
      </c>
      <c r="Y151" s="176"/>
      <c r="Z151" s="140"/>
      <c r="AA151" s="140"/>
      <c r="AB151" s="140"/>
      <c r="AC151" s="140"/>
      <c r="AD151" s="140"/>
      <c r="AE151" s="140"/>
      <c r="AF151" s="140"/>
      <c r="AG151" s="140" t="s">
        <v>103</v>
      </c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33.75" customHeight="1" outlineLevel="1" x14ac:dyDescent="0.2">
      <c r="A152" s="147"/>
      <c r="B152" s="148"/>
      <c r="C152" s="297" t="s">
        <v>158</v>
      </c>
      <c r="D152" s="298"/>
      <c r="E152" s="298"/>
      <c r="F152" s="298"/>
      <c r="G152" s="298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0"/>
      <c r="Z152" s="140"/>
      <c r="AA152" s="140"/>
      <c r="AB152" s="140"/>
      <c r="AC152" s="140"/>
      <c r="AD152" s="140"/>
      <c r="AE152" s="140"/>
      <c r="AF152" s="140"/>
      <c r="AG152" s="140" t="s">
        <v>105</v>
      </c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65" t="str">
        <f>C152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">
      <c r="A153" s="147"/>
      <c r="B153" s="148"/>
      <c r="C153" s="292"/>
      <c r="D153" s="293"/>
      <c r="E153" s="293"/>
      <c r="F153" s="293"/>
      <c r="G153" s="293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0"/>
      <c r="Z153" s="140"/>
      <c r="AA153" s="140"/>
      <c r="AB153" s="140"/>
      <c r="AC153" s="140"/>
      <c r="AD153" s="140"/>
      <c r="AE153" s="140"/>
      <c r="AF153" s="140"/>
      <c r="AG153" s="140" t="s">
        <v>93</v>
      </c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outlineLevel="1" x14ac:dyDescent="0.2">
      <c r="A154" s="157">
        <f>A151+1</f>
        <v>57</v>
      </c>
      <c r="B154" s="158" t="s">
        <v>143</v>
      </c>
      <c r="C154" s="168" t="s">
        <v>144</v>
      </c>
      <c r="D154" s="159" t="s">
        <v>100</v>
      </c>
      <c r="E154" s="160">
        <v>1</v>
      </c>
      <c r="F154" s="161"/>
      <c r="G154" s="162">
        <f>ROUND(E154*F154,2)</f>
        <v>0</v>
      </c>
      <c r="H154" s="161">
        <v>0</v>
      </c>
      <c r="I154" s="162">
        <f>ROUND(E154*H154,2)</f>
        <v>0</v>
      </c>
      <c r="J154" s="161">
        <v>0</v>
      </c>
      <c r="K154" s="162">
        <f>ROUND(E154*J154,2)</f>
        <v>0</v>
      </c>
      <c r="L154" s="162">
        <v>21</v>
      </c>
      <c r="M154" s="162">
        <f>G154*(1+L154/100)</f>
        <v>0</v>
      </c>
      <c r="N154" s="162">
        <v>0</v>
      </c>
      <c r="O154" s="162">
        <f>ROUND(E154*N154,2)</f>
        <v>0</v>
      </c>
      <c r="P154" s="162">
        <v>0</v>
      </c>
      <c r="Q154" s="162">
        <f>ROUND(E154*P154,2)</f>
        <v>0</v>
      </c>
      <c r="R154" s="162"/>
      <c r="S154" s="162" t="s">
        <v>209</v>
      </c>
      <c r="T154" s="163" t="s">
        <v>101</v>
      </c>
      <c r="U154" s="149">
        <v>0</v>
      </c>
      <c r="V154" s="149">
        <f>ROUND(E154*U154,2)</f>
        <v>0</v>
      </c>
      <c r="W154" s="149"/>
      <c r="X154" s="149" t="s">
        <v>102</v>
      </c>
      <c r="Y154" s="140"/>
      <c r="Z154" s="140"/>
      <c r="AA154" s="140"/>
      <c r="AB154" s="140"/>
      <c r="AC154" s="140"/>
      <c r="AD154" s="140"/>
      <c r="AE154" s="140"/>
      <c r="AF154" s="140"/>
      <c r="AG154" s="140" t="s">
        <v>103</v>
      </c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">
      <c r="A155" s="147"/>
      <c r="B155" s="148"/>
      <c r="C155" s="297" t="s">
        <v>145</v>
      </c>
      <c r="D155" s="298"/>
      <c r="E155" s="298"/>
      <c r="F155" s="298"/>
      <c r="G155" s="298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0"/>
      <c r="Z155" s="140"/>
      <c r="AA155" s="140"/>
      <c r="AB155" s="140"/>
      <c r="AC155" s="140"/>
      <c r="AD155" s="140"/>
      <c r="AE155" s="140"/>
      <c r="AF155" s="140"/>
      <c r="AG155" s="140" t="s">
        <v>105</v>
      </c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65" t="str">
        <f>C155</f>
        <v>Náklady na vyhotovení dokumentace skutečného provedení stavby a její předání objednateli v požadované formě a požadovaném počtu.</v>
      </c>
      <c r="BB155" s="140"/>
      <c r="BC155" s="140"/>
      <c r="BD155" s="140"/>
      <c r="BE155" s="140"/>
      <c r="BF155" s="140"/>
      <c r="BG155" s="140"/>
      <c r="BH155" s="140"/>
    </row>
    <row r="156" spans="1:60" outlineLevel="1" x14ac:dyDescent="0.2">
      <c r="A156" s="147"/>
      <c r="B156" s="148"/>
      <c r="C156" s="292"/>
      <c r="D156" s="293"/>
      <c r="E156" s="293"/>
      <c r="F156" s="293"/>
      <c r="G156" s="293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0"/>
      <c r="Z156" s="140"/>
      <c r="AA156" s="140"/>
      <c r="AB156" s="140"/>
      <c r="AC156" s="140"/>
      <c r="AD156" s="140"/>
      <c r="AE156" s="140"/>
      <c r="AF156" s="140"/>
      <c r="AG156" s="140" t="s">
        <v>93</v>
      </c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outlineLevel="1" x14ac:dyDescent="0.2">
      <c r="A157" s="157">
        <f>A154+1</f>
        <v>58</v>
      </c>
      <c r="B157" s="158" t="s">
        <v>146</v>
      </c>
      <c r="C157" s="168" t="s">
        <v>147</v>
      </c>
      <c r="D157" s="159" t="s">
        <v>100</v>
      </c>
      <c r="E157" s="160">
        <v>1</v>
      </c>
      <c r="F157" s="161"/>
      <c r="G157" s="162">
        <f>ROUND(E157*F157,2)</f>
        <v>0</v>
      </c>
      <c r="H157" s="161">
        <v>0</v>
      </c>
      <c r="I157" s="162">
        <f>ROUND(E157*H157,2)</f>
        <v>0</v>
      </c>
      <c r="J157" s="161">
        <v>0</v>
      </c>
      <c r="K157" s="162">
        <f>ROUND(E157*J157,2)</f>
        <v>0</v>
      </c>
      <c r="L157" s="162">
        <v>21</v>
      </c>
      <c r="M157" s="162">
        <f>G157*(1+L157/100)</f>
        <v>0</v>
      </c>
      <c r="N157" s="162">
        <v>0</v>
      </c>
      <c r="O157" s="162">
        <f>ROUND(E157*N157,2)</f>
        <v>0</v>
      </c>
      <c r="P157" s="162">
        <v>0</v>
      </c>
      <c r="Q157" s="162">
        <f>ROUND(E157*P157,2)</f>
        <v>0</v>
      </c>
      <c r="R157" s="162"/>
      <c r="S157" s="162" t="s">
        <v>209</v>
      </c>
      <c r="T157" s="163" t="s">
        <v>101</v>
      </c>
      <c r="U157" s="149">
        <v>0</v>
      </c>
      <c r="V157" s="149">
        <f>ROUND(E157*U157,2)</f>
        <v>0</v>
      </c>
      <c r="W157" s="149"/>
      <c r="X157" s="149" t="s">
        <v>102</v>
      </c>
      <c r="Y157" s="140"/>
      <c r="Z157" s="140"/>
      <c r="AA157" s="140"/>
      <c r="AB157" s="140"/>
      <c r="AC157" s="140"/>
      <c r="AD157" s="140"/>
      <c r="AE157" s="140"/>
      <c r="AF157" s="140"/>
      <c r="AG157" s="140" t="s">
        <v>103</v>
      </c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13.9" customHeight="1" outlineLevel="1" x14ac:dyDescent="0.2">
      <c r="A158" s="147"/>
      <c r="B158" s="148"/>
      <c r="C158" s="297" t="s">
        <v>159</v>
      </c>
      <c r="D158" s="298"/>
      <c r="E158" s="298"/>
      <c r="F158" s="298"/>
      <c r="G158" s="298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0"/>
      <c r="Z158" s="140"/>
      <c r="AA158" s="140"/>
      <c r="AB158" s="140"/>
      <c r="AC158" s="140"/>
      <c r="AD158" s="140"/>
      <c r="AE158" s="140"/>
      <c r="AF158" s="140"/>
      <c r="AG158" s="140" t="s">
        <v>105</v>
      </c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65" t="str">
        <f>C158</f>
        <v>Náklady spojené s povinnou publicitou. Zahrnuje zejména náklady na propagační a informační billboardy, tabule, internetovou propagaci, tiskoviny apod.</v>
      </c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">
      <c r="A159" s="147"/>
      <c r="B159" s="148"/>
      <c r="C159" s="292"/>
      <c r="D159" s="293"/>
      <c r="E159" s="293"/>
      <c r="F159" s="293"/>
      <c r="G159" s="293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0"/>
      <c r="Z159" s="140"/>
      <c r="AA159" s="140"/>
      <c r="AB159" s="140"/>
      <c r="AC159" s="140"/>
      <c r="AD159" s="140"/>
      <c r="AE159" s="140"/>
      <c r="AF159" s="140"/>
      <c r="AG159" s="140" t="s">
        <v>93</v>
      </c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x14ac:dyDescent="0.2">
      <c r="A160" s="3"/>
      <c r="B160" s="4"/>
      <c r="C160" s="170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AE160">
        <v>15</v>
      </c>
      <c r="AF160">
        <v>21</v>
      </c>
      <c r="AG160" t="s">
        <v>78</v>
      </c>
    </row>
    <row r="161" spans="1:33" x14ac:dyDescent="0.2">
      <c r="A161" s="143"/>
      <c r="B161" s="144" t="s">
        <v>28</v>
      </c>
      <c r="C161" s="171"/>
      <c r="D161" s="145"/>
      <c r="E161" s="146"/>
      <c r="F161" s="146"/>
      <c r="G161" s="166">
        <f>G150+G139+G132+G125+G119+G86+G44+G8+G79</f>
        <v>0</v>
      </c>
      <c r="H161" s="3"/>
      <c r="I161" s="3"/>
      <c r="J161" s="3"/>
      <c r="K161" s="3"/>
      <c r="L161" s="14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AE161">
        <f>SUMIF(L7:L159,AE160,G7:G159)</f>
        <v>0</v>
      </c>
      <c r="AF161">
        <f>SUMIF(L7:L159,AF160,G7:G159)</f>
        <v>0</v>
      </c>
      <c r="AG161" t="s">
        <v>148</v>
      </c>
    </row>
    <row r="162" spans="1:33" x14ac:dyDescent="0.2">
      <c r="C162" s="172"/>
      <c r="D162" s="10"/>
      <c r="AG162" t="s">
        <v>149</v>
      </c>
    </row>
    <row r="163" spans="1:33" x14ac:dyDescent="0.2">
      <c r="D163" s="10"/>
    </row>
    <row r="164" spans="1:33" x14ac:dyDescent="0.2">
      <c r="D164" s="10"/>
    </row>
    <row r="165" spans="1:33" x14ac:dyDescent="0.2">
      <c r="D165" s="10"/>
    </row>
    <row r="166" spans="1:33" x14ac:dyDescent="0.2">
      <c r="D166" s="10"/>
    </row>
    <row r="167" spans="1:33" x14ac:dyDescent="0.2">
      <c r="D167" s="10"/>
    </row>
    <row r="168" spans="1:33" x14ac:dyDescent="0.2">
      <c r="D168" s="10"/>
    </row>
    <row r="169" spans="1:33" x14ac:dyDescent="0.2">
      <c r="D169" s="10"/>
    </row>
    <row r="170" spans="1:33" x14ac:dyDescent="0.2">
      <c r="D170" s="10"/>
    </row>
    <row r="171" spans="1:33" x14ac:dyDescent="0.2">
      <c r="D171" s="10"/>
    </row>
    <row r="172" spans="1:33" x14ac:dyDescent="0.2">
      <c r="D172" s="10"/>
    </row>
    <row r="173" spans="1:33" x14ac:dyDescent="0.2">
      <c r="D173" s="10"/>
    </row>
    <row r="174" spans="1:33" x14ac:dyDescent="0.2">
      <c r="D174" s="10"/>
    </row>
    <row r="175" spans="1:33" x14ac:dyDescent="0.2">
      <c r="D175" s="10"/>
    </row>
    <row r="176" spans="1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</sheetData>
  <mergeCells count="59">
    <mergeCell ref="C27:G27"/>
    <mergeCell ref="C48:G48"/>
    <mergeCell ref="C33:G33"/>
    <mergeCell ref="A1:G1"/>
    <mergeCell ref="C3:G3"/>
    <mergeCell ref="C25:G25"/>
    <mergeCell ref="C13:G13"/>
    <mergeCell ref="C15:G15"/>
    <mergeCell ref="C17:G17"/>
    <mergeCell ref="C2:H2"/>
    <mergeCell ref="C4:H4"/>
    <mergeCell ref="C20:G20"/>
    <mergeCell ref="C23:G23"/>
    <mergeCell ref="C10:G10"/>
    <mergeCell ref="C35:G35"/>
    <mergeCell ref="C36:G36"/>
    <mergeCell ref="C158:G158"/>
    <mergeCell ref="C159:G159"/>
    <mergeCell ref="C134:G134"/>
    <mergeCell ref="C138:G138"/>
    <mergeCell ref="C143:G143"/>
    <mergeCell ref="C144:G144"/>
    <mergeCell ref="C141:G141"/>
    <mergeCell ref="C146:G146"/>
    <mergeCell ref="C148:G148"/>
    <mergeCell ref="C152:G152"/>
    <mergeCell ref="C156:G156"/>
    <mergeCell ref="C136:G136"/>
    <mergeCell ref="C153:G153"/>
    <mergeCell ref="C155:G155"/>
    <mergeCell ref="C107:G107"/>
    <mergeCell ref="C129:G129"/>
    <mergeCell ref="C30:G30"/>
    <mergeCell ref="C31:G31"/>
    <mergeCell ref="C43:G43"/>
    <mergeCell ref="C64:G64"/>
    <mergeCell ref="C52:G52"/>
    <mergeCell ref="C61:G61"/>
    <mergeCell ref="C62:G62"/>
    <mergeCell ref="C103:G103"/>
    <mergeCell ref="C106:G106"/>
    <mergeCell ref="C92:G92"/>
    <mergeCell ref="C104:G104"/>
    <mergeCell ref="C58:G58"/>
    <mergeCell ref="C115:G115"/>
    <mergeCell ref="C72:G72"/>
    <mergeCell ref="C131:G131"/>
    <mergeCell ref="C127:G127"/>
    <mergeCell ref="C117:G117"/>
    <mergeCell ref="C118:G118"/>
    <mergeCell ref="C122:G122"/>
    <mergeCell ref="C121:G121"/>
    <mergeCell ref="C38:G38"/>
    <mergeCell ref="C89:G89"/>
    <mergeCell ref="C54:G54"/>
    <mergeCell ref="C46:G46"/>
    <mergeCell ref="C75:G75"/>
    <mergeCell ref="C82:G82"/>
    <mergeCell ref="C76:G76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G4867"/>
  <sheetViews>
    <sheetView zoomScaleNormal="100" workbookViewId="0">
      <pane ySplit="7" topLeftCell="A65" activePane="bottomLeft" state="frozen"/>
      <selection pane="bottomLeft" activeCell="F127" sqref="F127"/>
    </sheetView>
  </sheetViews>
  <sheetFormatPr defaultColWidth="8.85546875"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19" max="19" width="9.140625"/>
    <col min="20" max="20" width="8.42578125" customWidth="1"/>
    <col min="21" max="24" width="0" hidden="1" customWidth="1"/>
    <col min="25" max="25" width="11.7109375" bestFit="1" customWidth="1"/>
    <col min="26" max="27" width="9.140625"/>
    <col min="28" max="28" width="0" hidden="1" customWidth="1"/>
    <col min="29" max="29" width="9.140625"/>
    <col min="30" max="40" width="0" hidden="1" customWidth="1"/>
    <col min="41" max="51" width="9.140625"/>
    <col min="52" max="52" width="98.7109375" customWidth="1"/>
  </cols>
  <sheetData>
    <row r="1" spans="1:59" ht="15.75" customHeight="1" x14ac:dyDescent="0.25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F1" t="s">
        <v>66</v>
      </c>
    </row>
    <row r="2" spans="1:59" ht="24.95" customHeight="1" x14ac:dyDescent="0.2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F2" t="s">
        <v>67</v>
      </c>
    </row>
    <row r="3" spans="1:59" ht="24.95" customHeight="1" x14ac:dyDescent="0.2">
      <c r="A3" s="187" t="s">
        <v>8</v>
      </c>
      <c r="B3" s="193" t="s">
        <v>43</v>
      </c>
      <c r="C3" s="301" t="s">
        <v>450</v>
      </c>
      <c r="D3" s="302"/>
      <c r="E3" s="302"/>
      <c r="F3" s="302"/>
      <c r="G3" s="303"/>
      <c r="H3" s="188"/>
      <c r="L3" s="190"/>
      <c r="AB3" s="123" t="s">
        <v>67</v>
      </c>
      <c r="AF3" t="s">
        <v>68</v>
      </c>
    </row>
    <row r="4" spans="1:59" ht="24.95" customHeight="1" x14ac:dyDescent="0.2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F4" t="s">
        <v>69</v>
      </c>
    </row>
    <row r="5" spans="1:59" x14ac:dyDescent="0.2">
      <c r="D5" s="10"/>
    </row>
    <row r="6" spans="1:59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SUMIF(AF9:AF30,"&lt;&gt;NOR",G9:G30)</f>
        <v>0</v>
      </c>
      <c r="H8" s="155"/>
      <c r="I8" s="155">
        <f>SUM(I9:I30)</f>
        <v>75.599999999999994</v>
      </c>
      <c r="J8" s="155"/>
      <c r="K8" s="155">
        <f>SUM(K9:K30)</f>
        <v>38262.820000000007</v>
      </c>
      <c r="L8" s="155"/>
      <c r="M8" s="155">
        <f>SUM(M9:M30)</f>
        <v>0</v>
      </c>
      <c r="N8" s="155"/>
      <c r="O8" s="155">
        <f>SUM(O9:O30)</f>
        <v>0</v>
      </c>
      <c r="P8" s="155"/>
      <c r="Q8" s="155">
        <f>SUM(Q9:Q30)</f>
        <v>0</v>
      </c>
      <c r="R8" s="155"/>
      <c r="S8" s="155"/>
      <c r="T8" s="156"/>
      <c r="U8" s="150"/>
      <c r="V8" s="150" t="e">
        <f>SUM(#REF!)</f>
        <v>#REF!</v>
      </c>
      <c r="W8" s="150"/>
      <c r="X8" s="150"/>
      <c r="Y8" s="84"/>
      <c r="AF8" t="s">
        <v>92</v>
      </c>
    </row>
    <row r="9" spans="1:59" outlineLevel="1" x14ac:dyDescent="0.2">
      <c r="A9" s="157">
        <v>1</v>
      </c>
      <c r="B9" s="158" t="s">
        <v>360</v>
      </c>
      <c r="C9" s="168" t="s">
        <v>252</v>
      </c>
      <c r="D9" s="159" t="s">
        <v>116</v>
      </c>
      <c r="E9" s="160">
        <v>5.98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240</v>
      </c>
      <c r="K9" s="162">
        <f>ROUND(E9*J9,2)</f>
        <v>1435.2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322</v>
      </c>
      <c r="T9" s="162" t="s">
        <v>322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">
      <c r="A10" s="147"/>
      <c r="B10" s="148"/>
      <c r="C10" s="290" t="s">
        <v>253</v>
      </c>
      <c r="D10" s="290"/>
      <c r="E10" s="290"/>
      <c r="F10" s="290"/>
      <c r="G10" s="290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">
      <c r="A11" s="147"/>
      <c r="B11" s="148"/>
      <c r="C11" s="307"/>
      <c r="D11" s="307"/>
      <c r="E11" s="307"/>
      <c r="F11" s="307"/>
      <c r="G11" s="307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ht="22.5" outlineLevel="1" x14ac:dyDescent="0.2">
      <c r="A12" s="157">
        <f>A9+1</f>
        <v>2</v>
      </c>
      <c r="B12" s="158" t="s">
        <v>254</v>
      </c>
      <c r="C12" s="168" t="s">
        <v>255</v>
      </c>
      <c r="D12" s="159" t="s">
        <v>116</v>
      </c>
      <c r="E12" s="160">
        <v>17.95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758</v>
      </c>
      <c r="K12" s="162">
        <f>ROUND(E12*J12,2)</f>
        <v>13606.1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322</v>
      </c>
      <c r="T12" s="162" t="s">
        <v>322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">
      <c r="A13" s="147"/>
      <c r="B13" s="148"/>
      <c r="C13" s="290" t="s">
        <v>256</v>
      </c>
      <c r="D13" s="290"/>
      <c r="E13" s="290"/>
      <c r="F13" s="290"/>
      <c r="G13" s="290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">
      <c r="A14" s="147"/>
      <c r="B14" s="148"/>
      <c r="C14" s="307"/>
      <c r="D14" s="307"/>
      <c r="E14" s="307"/>
      <c r="F14" s="307"/>
      <c r="G14" s="307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">
      <c r="A15" s="157">
        <f>A12+1</f>
        <v>3</v>
      </c>
      <c r="B15" s="158" t="s">
        <v>257</v>
      </c>
      <c r="C15" s="168" t="s">
        <v>258</v>
      </c>
      <c r="D15" s="159" t="s">
        <v>116</v>
      </c>
      <c r="E15" s="160">
        <v>17.95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118</v>
      </c>
      <c r="K15" s="162">
        <f>ROUND(E15*J15,2)</f>
        <v>2118.1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 t="s">
        <v>115</v>
      </c>
      <c r="S15" s="162" t="s">
        <v>322</v>
      </c>
      <c r="T15" s="162" t="s">
        <v>322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">
      <c r="A16" s="147"/>
      <c r="B16" s="148"/>
      <c r="C16" s="290" t="s">
        <v>256</v>
      </c>
      <c r="D16" s="291"/>
      <c r="E16" s="291"/>
      <c r="F16" s="291"/>
      <c r="G16" s="291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223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">
      <c r="A17" s="147"/>
      <c r="B17" s="148"/>
      <c r="C17" s="292"/>
      <c r="D17" s="293"/>
      <c r="E17" s="293"/>
      <c r="F17" s="293"/>
      <c r="G17" s="29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">
      <c r="A18" s="157">
        <f>A15+1</f>
        <v>4</v>
      </c>
      <c r="B18" s="158" t="s">
        <v>118</v>
      </c>
      <c r="C18" s="168" t="s">
        <v>317</v>
      </c>
      <c r="D18" s="159" t="s">
        <v>116</v>
      </c>
      <c r="E18" s="160">
        <f>E9+E12</f>
        <v>23.93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259.5</v>
      </c>
      <c r="K18" s="162">
        <f>ROUND(E18*J18,2)</f>
        <v>6209.84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</v>
      </c>
      <c r="Q18" s="162">
        <f>ROUND(E18*P18,2)</f>
        <v>0</v>
      </c>
      <c r="R18" s="162" t="s">
        <v>115</v>
      </c>
      <c r="S18" s="162" t="s">
        <v>322</v>
      </c>
      <c r="T18" s="162" t="s">
        <v>322</v>
      </c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ht="12.75" customHeight="1" outlineLevel="1" x14ac:dyDescent="0.2">
      <c r="A19" s="147"/>
      <c r="B19" s="148"/>
      <c r="C19" s="290" t="s">
        <v>119</v>
      </c>
      <c r="D19" s="291"/>
      <c r="E19" s="291"/>
      <c r="F19" s="291"/>
      <c r="G19" s="291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">
      <c r="A20" s="147"/>
      <c r="B20" s="148"/>
      <c r="C20" s="292"/>
      <c r="D20" s="293"/>
      <c r="E20" s="293"/>
      <c r="F20" s="293"/>
      <c r="G20" s="293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">
      <c r="A21" s="157">
        <f>A18+1</f>
        <v>5</v>
      </c>
      <c r="B21" s="158" t="s">
        <v>120</v>
      </c>
      <c r="C21" s="168" t="s">
        <v>164</v>
      </c>
      <c r="D21" s="159" t="s">
        <v>116</v>
      </c>
      <c r="E21" s="160">
        <f>E18</f>
        <v>23.93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265</v>
      </c>
      <c r="K21" s="162">
        <f>ROUND(E21*J21,2)</f>
        <v>6341.45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322</v>
      </c>
      <c r="T21" s="162" t="s">
        <v>322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ht="12.75" customHeight="1" outlineLevel="1" x14ac:dyDescent="0.2">
      <c r="A22" s="147"/>
      <c r="B22" s="148"/>
      <c r="C22" s="295"/>
      <c r="D22" s="296"/>
      <c r="E22" s="296"/>
      <c r="F22" s="296"/>
      <c r="G22" s="296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">
      <c r="A23" s="157">
        <f>A21+1</f>
        <v>6</v>
      </c>
      <c r="B23" s="158" t="s">
        <v>121</v>
      </c>
      <c r="C23" s="168" t="s">
        <v>160</v>
      </c>
      <c r="D23" s="159" t="s">
        <v>98</v>
      </c>
      <c r="E23" s="160">
        <f>3*3*5</f>
        <v>45</v>
      </c>
      <c r="F23" s="161"/>
      <c r="G23" s="162">
        <f>ROUND(E23*F23,2)</f>
        <v>0</v>
      </c>
      <c r="H23" s="161">
        <v>1.68</v>
      </c>
      <c r="I23" s="162">
        <f>ROUND(E23*H23,2)</f>
        <v>75.599999999999994</v>
      </c>
      <c r="J23" s="161">
        <v>22.42</v>
      </c>
      <c r="K23" s="162">
        <f>ROUND(E23*J23,2)</f>
        <v>1008.9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122</v>
      </c>
      <c r="S23" s="162" t="s">
        <v>322</v>
      </c>
      <c r="T23" s="162" t="s">
        <v>322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ht="12.75" customHeight="1" outlineLevel="1" x14ac:dyDescent="0.2">
      <c r="A24" s="147"/>
      <c r="B24" s="148"/>
      <c r="C24" s="290" t="s">
        <v>123</v>
      </c>
      <c r="D24" s="291"/>
      <c r="E24" s="291"/>
      <c r="F24" s="291"/>
      <c r="G24" s="291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outlineLevel="1" x14ac:dyDescent="0.2">
      <c r="A25" s="147"/>
      <c r="B25" s="148"/>
      <c r="C25" s="292"/>
      <c r="D25" s="293"/>
      <c r="E25" s="293"/>
      <c r="F25" s="293"/>
      <c r="G25" s="293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ht="13.5" customHeight="1" outlineLevel="1" x14ac:dyDescent="0.2">
      <c r="A26" s="157">
        <f>A23+1</f>
        <v>7</v>
      </c>
      <c r="B26" s="158" t="s">
        <v>192</v>
      </c>
      <c r="C26" s="168" t="s">
        <v>182</v>
      </c>
      <c r="D26" s="159" t="s">
        <v>98</v>
      </c>
      <c r="E26" s="160">
        <f>E23</f>
        <v>45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17.399999999999999</v>
      </c>
      <c r="K26" s="162">
        <f>ROUND(E26*J26,2)</f>
        <v>783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181</v>
      </c>
      <c r="S26" s="162" t="s">
        <v>322</v>
      </c>
      <c r="T26" s="162" t="s">
        <v>322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ht="12.75" customHeight="1" outlineLevel="1" x14ac:dyDescent="0.2">
      <c r="A27" s="147"/>
      <c r="B27" s="148"/>
      <c r="C27" s="290" t="s">
        <v>183</v>
      </c>
      <c r="D27" s="291"/>
      <c r="E27" s="291"/>
      <c r="F27" s="291"/>
      <c r="G27" s="291"/>
      <c r="H27" s="181"/>
      <c r="I27" s="149"/>
      <c r="J27" s="181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outlineLevel="1" x14ac:dyDescent="0.2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">
      <c r="A29" s="157">
        <f>A26+1</f>
        <v>8</v>
      </c>
      <c r="B29" s="158" t="s">
        <v>362</v>
      </c>
      <c r="C29" s="168" t="s">
        <v>361</v>
      </c>
      <c r="D29" s="159" t="s">
        <v>116</v>
      </c>
      <c r="E29" s="160">
        <f>E18</f>
        <v>23.93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282.5</v>
      </c>
      <c r="K29" s="162">
        <f>ROUND(E29*J29,2)</f>
        <v>6760.23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322</v>
      </c>
      <c r="T29" s="162" t="s">
        <v>322</v>
      </c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">
      <c r="A30" s="147"/>
      <c r="B30" s="148"/>
      <c r="C30" s="295"/>
      <c r="D30" s="296"/>
      <c r="E30" s="296"/>
      <c r="F30" s="296"/>
      <c r="G30" s="296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x14ac:dyDescent="0.2">
      <c r="A31" s="151" t="s">
        <v>91</v>
      </c>
      <c r="B31" s="152" t="s">
        <v>200</v>
      </c>
      <c r="C31" s="167" t="s">
        <v>201</v>
      </c>
      <c r="D31" s="153"/>
      <c r="E31" s="154"/>
      <c r="F31" s="155"/>
      <c r="G31" s="155">
        <f>SUMIF(AF32:AF49,"&lt;&gt;NOR",G32:G49)</f>
        <v>0</v>
      </c>
      <c r="H31" s="155"/>
      <c r="I31" s="155">
        <f>SUM(I32:I49)</f>
        <v>40255.86</v>
      </c>
      <c r="J31" s="155"/>
      <c r="K31" s="155">
        <f>SUM(K32:K49)</f>
        <v>102319.48</v>
      </c>
      <c r="L31" s="155"/>
      <c r="M31" s="155">
        <f>SUM(M32:M49)</f>
        <v>0</v>
      </c>
      <c r="N31" s="155"/>
      <c r="O31" s="155">
        <f>SUM(O32:O49)</f>
        <v>32.36</v>
      </c>
      <c r="P31" s="155"/>
      <c r="Q31" s="155">
        <f>SUM(Q32:Q49)</f>
        <v>0</v>
      </c>
      <c r="R31" s="155"/>
      <c r="S31" s="155"/>
      <c r="T31" s="156"/>
      <c r="U31" s="150"/>
      <c r="V31" s="150">
        <f>SUM(V32:V34)</f>
        <v>0</v>
      </c>
      <c r="W31" s="150"/>
      <c r="X31" s="150"/>
      <c r="Y31" s="84"/>
      <c r="AF31" t="s">
        <v>92</v>
      </c>
    </row>
    <row r="32" spans="1:59" outlineLevel="1" x14ac:dyDescent="0.2">
      <c r="A32" s="157">
        <f>A29+1</f>
        <v>9</v>
      </c>
      <c r="B32" s="158" t="s">
        <v>315</v>
      </c>
      <c r="C32" s="168" t="s">
        <v>314</v>
      </c>
      <c r="D32" s="159" t="s">
        <v>95</v>
      </c>
      <c r="E32" s="160">
        <v>8</v>
      </c>
      <c r="F32" s="161"/>
      <c r="G32" s="162">
        <f>ROUND(E32*F32,2)</f>
        <v>0</v>
      </c>
      <c r="H32" s="161">
        <v>375.32</v>
      </c>
      <c r="I32" s="162">
        <f>ROUND(E32*H32,2)</f>
        <v>3002.56</v>
      </c>
      <c r="J32" s="161">
        <v>1367.68</v>
      </c>
      <c r="K32" s="162">
        <f>ROUND(E32*J32,2)</f>
        <v>10941.44</v>
      </c>
      <c r="L32" s="162">
        <v>21</v>
      </c>
      <c r="M32" s="162">
        <f>G32*(1+L32/100)</f>
        <v>0</v>
      </c>
      <c r="N32" s="162">
        <v>0.26595000000000002</v>
      </c>
      <c r="O32" s="162">
        <f>ROUND(E32*N32,2)</f>
        <v>2.13</v>
      </c>
      <c r="P32" s="162">
        <v>0</v>
      </c>
      <c r="Q32" s="162">
        <f>ROUND(E32*P32,2)</f>
        <v>0</v>
      </c>
      <c r="R32" s="162" t="s">
        <v>262</v>
      </c>
      <c r="S32" s="163" t="s">
        <v>101</v>
      </c>
      <c r="T32" s="163" t="s">
        <v>101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 t="s">
        <v>105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65" t="str">
        <f>C32</f>
        <v>Zřízení mostovky z panelů z předpjatého betonu hladkých, vč. dodávky, ukládky a lože</v>
      </c>
      <c r="BA32" s="140"/>
      <c r="BB32" s="140"/>
      <c r="BC32" s="140"/>
      <c r="BD32" s="140"/>
      <c r="BE32" s="140"/>
      <c r="BF32" s="140"/>
      <c r="BG32" s="140"/>
    </row>
    <row r="33" spans="1:59" outlineLevel="1" x14ac:dyDescent="0.2">
      <c r="A33" s="147"/>
      <c r="B33" s="148"/>
      <c r="C33" s="219" t="s">
        <v>338</v>
      </c>
      <c r="D33" s="220"/>
      <c r="E33" s="221"/>
      <c r="F33" s="222"/>
      <c r="G33" s="149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65"/>
      <c r="BA33" s="140"/>
      <c r="BB33" s="140"/>
      <c r="BC33" s="140"/>
      <c r="BD33" s="140"/>
      <c r="BE33" s="140"/>
      <c r="BF33" s="140"/>
      <c r="BG33" s="140"/>
    </row>
    <row r="34" spans="1:59" outlineLevel="1" x14ac:dyDescent="0.2">
      <c r="A34" s="147"/>
      <c r="B34" s="148"/>
      <c r="C34" s="292"/>
      <c r="D34" s="293"/>
      <c r="E34" s="293"/>
      <c r="F34" s="293"/>
      <c r="G34" s="293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 t="s">
        <v>93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">
      <c r="A35" s="157">
        <f>A32+1</f>
        <v>10</v>
      </c>
      <c r="B35" s="158" t="s">
        <v>316</v>
      </c>
      <c r="C35" s="168" t="s">
        <v>378</v>
      </c>
      <c r="D35" s="159" t="s">
        <v>116</v>
      </c>
      <c r="E35" s="160">
        <v>3.6</v>
      </c>
      <c r="F35" s="161"/>
      <c r="G35" s="162">
        <f>ROUND(E35*F35,2)</f>
        <v>0</v>
      </c>
      <c r="H35" s="161">
        <v>375.32</v>
      </c>
      <c r="I35" s="162">
        <f>ROUND(E35*H35,2)</f>
        <v>1351.15</v>
      </c>
      <c r="J35" s="161">
        <v>1367.68</v>
      </c>
      <c r="K35" s="162">
        <f>ROUND(E35*J35,2)</f>
        <v>4923.6499999999996</v>
      </c>
      <c r="L35" s="162">
        <v>21</v>
      </c>
      <c r="M35" s="162">
        <f>G35*(1+L35/100)</f>
        <v>0</v>
      </c>
      <c r="N35" s="162">
        <v>0.26595000000000002</v>
      </c>
      <c r="O35" s="162">
        <f>ROUND(E35*N35,2)</f>
        <v>0.96</v>
      </c>
      <c r="P35" s="162">
        <v>0</v>
      </c>
      <c r="Q35" s="162">
        <f>ROUND(E35*P35,2)</f>
        <v>0</v>
      </c>
      <c r="R35" s="162" t="s">
        <v>262</v>
      </c>
      <c r="S35" s="162" t="s">
        <v>322</v>
      </c>
      <c r="T35" s="162" t="s">
        <v>322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">
      <c r="A36" s="147"/>
      <c r="B36" s="148"/>
      <c r="C36" s="219" t="s">
        <v>338</v>
      </c>
      <c r="D36" s="220"/>
      <c r="E36" s="221"/>
      <c r="F36" s="222"/>
      <c r="G36" s="149"/>
      <c r="H36" s="181"/>
      <c r="I36" s="149"/>
      <c r="J36" s="181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">
      <c r="A37" s="147"/>
      <c r="B37" s="148"/>
      <c r="C37" s="169"/>
      <c r="D37" s="164"/>
      <c r="E37" s="164"/>
      <c r="F37" s="164"/>
      <c r="G37" s="164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">
      <c r="A38" s="157">
        <f>A35+1</f>
        <v>11</v>
      </c>
      <c r="B38" s="158" t="s">
        <v>381</v>
      </c>
      <c r="C38" s="168" t="s">
        <v>379</v>
      </c>
      <c r="D38" s="159" t="s">
        <v>98</v>
      </c>
      <c r="E38" s="160">
        <f>(7.82+0.85)*2*0.5*2</f>
        <v>17.34</v>
      </c>
      <c r="F38" s="161"/>
      <c r="G38" s="162">
        <f>ROUND(E38*F38,2)</f>
        <v>0</v>
      </c>
      <c r="H38" s="161">
        <v>375.32</v>
      </c>
      <c r="I38" s="162">
        <f>ROUND(E38*H38,2)</f>
        <v>6508.05</v>
      </c>
      <c r="J38" s="161">
        <v>1367.68</v>
      </c>
      <c r="K38" s="162">
        <f>ROUND(E38*J38,2)</f>
        <v>23715.57</v>
      </c>
      <c r="L38" s="162">
        <v>21</v>
      </c>
      <c r="M38" s="162">
        <f>G38*(1+L38/100)</f>
        <v>0</v>
      </c>
      <c r="N38" s="162">
        <v>0.26595000000000002</v>
      </c>
      <c r="O38" s="162">
        <f>ROUND(E38*N38,2)</f>
        <v>4.6100000000000003</v>
      </c>
      <c r="P38" s="162">
        <v>0</v>
      </c>
      <c r="Q38" s="162">
        <f>ROUND(E38*P38,2)</f>
        <v>0</v>
      </c>
      <c r="R38" s="162" t="s">
        <v>262</v>
      </c>
      <c r="S38" s="162" t="s">
        <v>322</v>
      </c>
      <c r="T38" s="162" t="s">
        <v>322</v>
      </c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">
      <c r="A40" s="157">
        <f>A38+1</f>
        <v>12</v>
      </c>
      <c r="B40" s="158" t="s">
        <v>382</v>
      </c>
      <c r="C40" s="168" t="s">
        <v>380</v>
      </c>
      <c r="D40" s="159" t="s">
        <v>98</v>
      </c>
      <c r="E40" s="160">
        <v>3.6</v>
      </c>
      <c r="F40" s="161"/>
      <c r="G40" s="162">
        <f>ROUND(E40*F40,2)</f>
        <v>0</v>
      </c>
      <c r="H40" s="161">
        <v>375.32</v>
      </c>
      <c r="I40" s="162">
        <f>ROUND(E40*H40,2)</f>
        <v>1351.15</v>
      </c>
      <c r="J40" s="161">
        <v>1367.68</v>
      </c>
      <c r="K40" s="162">
        <f>ROUND(E40*J40,2)</f>
        <v>4923.6499999999996</v>
      </c>
      <c r="L40" s="162">
        <v>21</v>
      </c>
      <c r="M40" s="162">
        <f>G40*(1+L40/100)</f>
        <v>0</v>
      </c>
      <c r="N40" s="162">
        <v>0.26595000000000002</v>
      </c>
      <c r="O40" s="162">
        <f>ROUND(E40*N40,2)</f>
        <v>0.96</v>
      </c>
      <c r="P40" s="162">
        <v>0</v>
      </c>
      <c r="Q40" s="162">
        <f>ROUND(E40*P40,2)</f>
        <v>0</v>
      </c>
      <c r="R40" s="162" t="s">
        <v>262</v>
      </c>
      <c r="S40" s="162" t="s">
        <v>322</v>
      </c>
      <c r="T40" s="162" t="s">
        <v>322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">
      <c r="A42" s="157">
        <f>A40+1</f>
        <v>13</v>
      </c>
      <c r="B42" s="158" t="s">
        <v>384</v>
      </c>
      <c r="C42" s="168" t="s">
        <v>383</v>
      </c>
      <c r="D42" s="159" t="s">
        <v>126</v>
      </c>
      <c r="E42" s="160">
        <f>E35*0.146</f>
        <v>0.52559999999999996</v>
      </c>
      <c r="F42" s="161"/>
      <c r="G42" s="162">
        <f>ROUND(E42*F42,2)</f>
        <v>0</v>
      </c>
      <c r="H42" s="161">
        <v>375.32</v>
      </c>
      <c r="I42" s="162">
        <f>ROUND(E42*H42,2)</f>
        <v>197.27</v>
      </c>
      <c r="J42" s="161">
        <v>1367.68</v>
      </c>
      <c r="K42" s="162">
        <f>ROUND(E42*J42,2)</f>
        <v>718.85</v>
      </c>
      <c r="L42" s="162">
        <v>21</v>
      </c>
      <c r="M42" s="162">
        <f>G42*(1+L42/100)</f>
        <v>0</v>
      </c>
      <c r="N42" s="162">
        <v>0.26595000000000002</v>
      </c>
      <c r="O42" s="162">
        <f>ROUND(E42*N42,2)</f>
        <v>0.14000000000000001</v>
      </c>
      <c r="P42" s="162">
        <v>0</v>
      </c>
      <c r="Q42" s="162">
        <f>ROUND(E42*P42,2)</f>
        <v>0</v>
      </c>
      <c r="R42" s="162" t="s">
        <v>262</v>
      </c>
      <c r="S42" s="162" t="s">
        <v>322</v>
      </c>
      <c r="T42" s="162" t="s">
        <v>322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">
      <c r="A43" s="147"/>
      <c r="B43" s="148"/>
      <c r="C43" s="169"/>
      <c r="D43" s="164"/>
      <c r="E43" s="164"/>
      <c r="F43" s="164"/>
      <c r="G43" s="164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">
      <c r="A44" s="157">
        <f>A42+1</f>
        <v>14</v>
      </c>
      <c r="B44" s="158" t="s">
        <v>376</v>
      </c>
      <c r="C44" s="168" t="s">
        <v>375</v>
      </c>
      <c r="D44" s="159" t="s">
        <v>95</v>
      </c>
      <c r="E44" s="160">
        <f>(2*8+1)*2</f>
        <v>34</v>
      </c>
      <c r="F44" s="161"/>
      <c r="G44" s="162">
        <f>ROUND(E44*F44,2)</f>
        <v>0</v>
      </c>
      <c r="H44" s="161">
        <v>375.32</v>
      </c>
      <c r="I44" s="162">
        <f>ROUND(E44*H44,2)</f>
        <v>12760.88</v>
      </c>
      <c r="J44" s="161">
        <v>1367.68</v>
      </c>
      <c r="K44" s="162">
        <f>ROUND(E44*J44,2)</f>
        <v>46501.120000000003</v>
      </c>
      <c r="L44" s="162">
        <v>21</v>
      </c>
      <c r="M44" s="162">
        <f>G44*(1+L44/100)</f>
        <v>0</v>
      </c>
      <c r="N44" s="162">
        <v>0.26595000000000002</v>
      </c>
      <c r="O44" s="162">
        <f>ROUND(E44*N44,2)</f>
        <v>9.0399999999999991</v>
      </c>
      <c r="P44" s="162">
        <v>0</v>
      </c>
      <c r="Q44" s="162">
        <f>ROUND(E44*P44,2)</f>
        <v>0</v>
      </c>
      <c r="R44" s="162" t="s">
        <v>262</v>
      </c>
      <c r="S44" s="162" t="s">
        <v>322</v>
      </c>
      <c r="T44" s="163" t="s">
        <v>101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">
      <c r="A45" s="147"/>
      <c r="B45" s="148"/>
      <c r="C45" s="219" t="s">
        <v>377</v>
      </c>
      <c r="D45" s="220"/>
      <c r="E45" s="221"/>
      <c r="F45" s="222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">
      <c r="A46" s="147"/>
      <c r="B46" s="148"/>
      <c r="C46" s="169"/>
      <c r="D46" s="164"/>
      <c r="E46" s="164"/>
      <c r="F46" s="164"/>
      <c r="G46" s="164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ht="22.5" outlineLevel="1" x14ac:dyDescent="0.2">
      <c r="A47" s="157">
        <f>A44+1</f>
        <v>15</v>
      </c>
      <c r="B47" s="158" t="s">
        <v>263</v>
      </c>
      <c r="C47" s="168" t="s">
        <v>385</v>
      </c>
      <c r="D47" s="159" t="s">
        <v>98</v>
      </c>
      <c r="E47" s="160">
        <v>20</v>
      </c>
      <c r="F47" s="161"/>
      <c r="G47" s="162">
        <f>ROUND(E47*F47,2)</f>
        <v>0</v>
      </c>
      <c r="H47" s="161">
        <v>754.24</v>
      </c>
      <c r="I47" s="162">
        <f>ROUND(E47*H47,2)</f>
        <v>15084.8</v>
      </c>
      <c r="J47" s="161">
        <v>529.76</v>
      </c>
      <c r="K47" s="162">
        <f>ROUND(E47*J47,2)</f>
        <v>10595.2</v>
      </c>
      <c r="L47" s="162">
        <v>21</v>
      </c>
      <c r="M47" s="162">
        <f>G47*(1+L47/100)</f>
        <v>0</v>
      </c>
      <c r="N47" s="162">
        <v>0.72618000000000005</v>
      </c>
      <c r="O47" s="162">
        <f>ROUND(E47*N47,2)</f>
        <v>14.52</v>
      </c>
      <c r="P47" s="162">
        <v>0</v>
      </c>
      <c r="Q47" s="162">
        <f>ROUND(E47*P47,2)</f>
        <v>0</v>
      </c>
      <c r="R47" s="162" t="s">
        <v>264</v>
      </c>
      <c r="S47" s="162" t="s">
        <v>322</v>
      </c>
      <c r="T47" s="162" t="s">
        <v>322</v>
      </c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">
      <c r="A48" s="147"/>
      <c r="B48" s="148"/>
      <c r="C48" s="290" t="s">
        <v>265</v>
      </c>
      <c r="D48" s="291"/>
      <c r="E48" s="291"/>
      <c r="F48" s="291"/>
      <c r="G48" s="291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">
      <c r="A49" s="147"/>
      <c r="B49" s="148"/>
      <c r="C49" s="292"/>
      <c r="D49" s="293"/>
      <c r="E49" s="293"/>
      <c r="F49" s="293"/>
      <c r="G49" s="293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ht="15" customHeight="1" outlineLevel="1" x14ac:dyDescent="0.2">
      <c r="A50" s="151" t="s">
        <v>91</v>
      </c>
      <c r="B50" s="152" t="s">
        <v>54</v>
      </c>
      <c r="C50" s="167" t="s">
        <v>55</v>
      </c>
      <c r="D50" s="153"/>
      <c r="E50" s="154"/>
      <c r="F50" s="155"/>
      <c r="G50" s="155">
        <f>SUMIF(AF51:AF60,"&lt;&gt;NOR",G51:G60)</f>
        <v>0</v>
      </c>
      <c r="H50" s="155"/>
      <c r="I50" s="155">
        <f>SUM(I51:I60)</f>
        <v>11044.39</v>
      </c>
      <c r="J50" s="155"/>
      <c r="K50" s="155">
        <f>SUM(K51:K60)</f>
        <v>7621.41</v>
      </c>
      <c r="L50" s="155"/>
      <c r="M50" s="155">
        <f>SUM(M51:M60)</f>
        <v>0</v>
      </c>
      <c r="N50" s="155"/>
      <c r="O50" s="155">
        <f>SUM(O51:O60)</f>
        <v>10.17</v>
      </c>
      <c r="P50" s="155"/>
      <c r="Q50" s="155">
        <f>SUM(Q51:Q60)</f>
        <v>0</v>
      </c>
      <c r="R50" s="155"/>
      <c r="S50" s="155"/>
      <c r="T50" s="156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ht="22.5" outlineLevel="1" x14ac:dyDescent="0.2">
      <c r="A51" s="157">
        <f>A47+1</f>
        <v>16</v>
      </c>
      <c r="B51" s="158" t="s">
        <v>328</v>
      </c>
      <c r="C51" s="168" t="s">
        <v>327</v>
      </c>
      <c r="D51" s="159" t="s">
        <v>116</v>
      </c>
      <c r="E51" s="160">
        <f>6.6*2.5*0.3*2</f>
        <v>9.9</v>
      </c>
      <c r="F51" s="161"/>
      <c r="G51" s="162">
        <f>ROUND(E51*F51,2)</f>
        <v>0</v>
      </c>
      <c r="H51" s="161">
        <v>241.18</v>
      </c>
      <c r="I51" s="162">
        <f>ROUND(E51*H51,2)</f>
        <v>2387.6799999999998</v>
      </c>
      <c r="J51" s="161">
        <v>31.82</v>
      </c>
      <c r="K51" s="162">
        <f>ROUND(E51*J51,2)</f>
        <v>315.02</v>
      </c>
      <c r="L51" s="162">
        <v>21</v>
      </c>
      <c r="M51" s="162">
        <f>G51*(1+L51/100)</f>
        <v>0</v>
      </c>
      <c r="N51" s="162">
        <v>0.55125000000000002</v>
      </c>
      <c r="O51" s="162">
        <f>ROUND(E51*N51,2)</f>
        <v>5.46</v>
      </c>
      <c r="P51" s="162">
        <v>0</v>
      </c>
      <c r="Q51" s="162">
        <f>ROUND(E51*P51,2)</f>
        <v>0</v>
      </c>
      <c r="R51" s="162" t="s">
        <v>109</v>
      </c>
      <c r="S51" s="162" t="s">
        <v>322</v>
      </c>
      <c r="T51" s="162" t="s">
        <v>322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x14ac:dyDescent="0.2">
      <c r="A52" s="147"/>
      <c r="B52" s="148"/>
      <c r="C52" s="294"/>
      <c r="D52" s="294"/>
      <c r="E52" s="294"/>
      <c r="F52" s="294"/>
      <c r="G52" s="294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50"/>
      <c r="V52" s="150">
        <f>SUM(V53:V55)</f>
        <v>0</v>
      </c>
      <c r="W52" s="150"/>
      <c r="X52" s="150"/>
      <c r="AF52" t="s">
        <v>92</v>
      </c>
    </row>
    <row r="53" spans="1:59" outlineLevel="1" x14ac:dyDescent="0.2">
      <c r="A53" s="157">
        <f>A51+1</f>
        <v>17</v>
      </c>
      <c r="B53" s="158" t="s">
        <v>266</v>
      </c>
      <c r="C53" s="168" t="s">
        <v>313</v>
      </c>
      <c r="D53" s="159" t="s">
        <v>116</v>
      </c>
      <c r="E53" s="160">
        <f>6.6*2.5*0.2*2</f>
        <v>6.6000000000000005</v>
      </c>
      <c r="F53" s="161"/>
      <c r="G53" s="162">
        <f>ROUND(E53*F53,2)</f>
        <v>0</v>
      </c>
      <c r="H53" s="161">
        <v>242.51</v>
      </c>
      <c r="I53" s="162">
        <f>ROUND(E53*H53,2)</f>
        <v>1600.57</v>
      </c>
      <c r="J53" s="161">
        <v>34.49</v>
      </c>
      <c r="K53" s="162">
        <f>ROUND(E53*J53,2)</f>
        <v>227.63</v>
      </c>
      <c r="L53" s="162">
        <v>21</v>
      </c>
      <c r="M53" s="162">
        <f>G53*(1+L53/100)</f>
        <v>0</v>
      </c>
      <c r="N53" s="162">
        <v>0.30651</v>
      </c>
      <c r="O53" s="162">
        <f>ROUND(E53*N53,2)</f>
        <v>2.02</v>
      </c>
      <c r="P53" s="162">
        <v>0</v>
      </c>
      <c r="Q53" s="162">
        <f>ROUND(E53*P53,2)</f>
        <v>0</v>
      </c>
      <c r="R53" s="162" t="s">
        <v>109</v>
      </c>
      <c r="S53" s="162" t="s">
        <v>322</v>
      </c>
      <c r="T53" s="162" t="s">
        <v>322</v>
      </c>
      <c r="U53" s="149">
        <v>0</v>
      </c>
      <c r="V53" s="149">
        <f>ROUND(E53*U53,2)</f>
        <v>0</v>
      </c>
      <c r="W53" s="149"/>
      <c r="X53" s="149" t="s">
        <v>102</v>
      </c>
      <c r="Y53" s="140"/>
      <c r="Z53" s="140"/>
      <c r="AA53" s="140"/>
      <c r="AB53" s="140"/>
      <c r="AC53" s="140"/>
      <c r="AD53" s="140"/>
      <c r="AE53" s="140"/>
      <c r="AF53" s="140" t="s">
        <v>103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ht="12.75" customHeight="1" outlineLevel="1" x14ac:dyDescent="0.2">
      <c r="A54" s="147"/>
      <c r="B54" s="148"/>
      <c r="C54" s="290" t="s">
        <v>267</v>
      </c>
      <c r="D54" s="291"/>
      <c r="E54" s="291"/>
      <c r="F54" s="291"/>
      <c r="G54" s="291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 t="s">
        <v>105</v>
      </c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65" t="str">
        <f>C54</f>
        <v>bez dilatačních spár, s rozprostřením a zhutněním, ošetřením povrchu podkladu vodou</v>
      </c>
      <c r="BA54" s="140"/>
      <c r="BB54" s="140"/>
      <c r="BC54" s="140"/>
      <c r="BD54" s="140"/>
      <c r="BE54" s="140"/>
      <c r="BF54" s="140"/>
      <c r="BG54" s="140"/>
    </row>
    <row r="55" spans="1:59" outlineLevel="1" x14ac:dyDescent="0.2">
      <c r="A55" s="147"/>
      <c r="B55" s="148"/>
      <c r="C55" s="292"/>
      <c r="D55" s="293"/>
      <c r="E55" s="293"/>
      <c r="F55" s="293"/>
      <c r="G55" s="293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 t="s">
        <v>93</v>
      </c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x14ac:dyDescent="0.2">
      <c r="A56" s="157">
        <f>A53+1</f>
        <v>18</v>
      </c>
      <c r="B56" s="158" t="s">
        <v>268</v>
      </c>
      <c r="C56" s="168" t="s">
        <v>269</v>
      </c>
      <c r="D56" s="159" t="s">
        <v>114</v>
      </c>
      <c r="E56" s="160">
        <v>13</v>
      </c>
      <c r="F56" s="161"/>
      <c r="G56" s="162">
        <f>ROUND(E56*F56,2)</f>
        <v>0</v>
      </c>
      <c r="H56" s="161">
        <v>9.66</v>
      </c>
      <c r="I56" s="162">
        <f>ROUND(E56*H56,2)</f>
        <v>125.58</v>
      </c>
      <c r="J56" s="161">
        <v>13.64</v>
      </c>
      <c r="K56" s="162">
        <f>ROUND(E56*J56,2)</f>
        <v>177.32</v>
      </c>
      <c r="L56" s="162">
        <v>21</v>
      </c>
      <c r="M56" s="162">
        <f>G56*(1+L56/100)</f>
        <v>0</v>
      </c>
      <c r="N56" s="162">
        <v>5.0000000000000001E-4</v>
      </c>
      <c r="O56" s="162">
        <f>ROUND(E56*N56,2)</f>
        <v>0.01</v>
      </c>
      <c r="P56" s="162">
        <v>0</v>
      </c>
      <c r="Q56" s="162">
        <f>ROUND(E56*P56,2)</f>
        <v>0</v>
      </c>
      <c r="R56" s="162" t="s">
        <v>264</v>
      </c>
      <c r="S56" s="162" t="s">
        <v>322</v>
      </c>
      <c r="T56" s="162" t="s">
        <v>322</v>
      </c>
    </row>
    <row r="57" spans="1:59" x14ac:dyDescent="0.2">
      <c r="A57" s="147"/>
      <c r="B57" s="148"/>
      <c r="C57" s="178"/>
      <c r="D57" s="179"/>
      <c r="E57" s="179"/>
      <c r="F57" s="179"/>
      <c r="G57" s="17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</row>
    <row r="58" spans="1:59" x14ac:dyDescent="0.2">
      <c r="A58" s="157">
        <f>A56+1</f>
        <v>19</v>
      </c>
      <c r="B58" s="158" t="s">
        <v>270</v>
      </c>
      <c r="C58" s="168" t="s">
        <v>386</v>
      </c>
      <c r="D58" s="159" t="s">
        <v>98</v>
      </c>
      <c r="E58" s="160">
        <f>5.6*6.5</f>
        <v>36.4</v>
      </c>
      <c r="F58" s="161"/>
      <c r="G58" s="162">
        <f>ROUND(E58*F58,2)</f>
        <v>0</v>
      </c>
      <c r="H58" s="161">
        <v>190.4</v>
      </c>
      <c r="I58" s="162">
        <f>ROUND(E58*H58,2)</f>
        <v>6930.56</v>
      </c>
      <c r="J58" s="161">
        <v>189.6</v>
      </c>
      <c r="K58" s="162">
        <f>ROUND(E58*J58,2)</f>
        <v>6901.44</v>
      </c>
      <c r="L58" s="162">
        <v>21</v>
      </c>
      <c r="M58" s="162">
        <f>G58*(1+L58/100)</f>
        <v>0</v>
      </c>
      <c r="N58" s="162">
        <v>7.349E-2</v>
      </c>
      <c r="O58" s="162">
        <f>ROUND(E58*N58,2)</f>
        <v>2.68</v>
      </c>
      <c r="P58" s="162">
        <v>0</v>
      </c>
      <c r="Q58" s="162">
        <f>ROUND(E58*P58,2)</f>
        <v>0</v>
      </c>
      <c r="R58" s="162" t="s">
        <v>109</v>
      </c>
      <c r="S58" s="162" t="s">
        <v>322</v>
      </c>
      <c r="T58" s="162" t="s">
        <v>322</v>
      </c>
    </row>
    <row r="59" spans="1:59" ht="12.75" customHeight="1" x14ac:dyDescent="0.2">
      <c r="A59" s="147"/>
      <c r="B59" s="148"/>
      <c r="C59" s="290" t="s">
        <v>387</v>
      </c>
      <c r="D59" s="291"/>
      <c r="E59" s="291"/>
      <c r="F59" s="291"/>
      <c r="G59" s="291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59" x14ac:dyDescent="0.2">
      <c r="A60" s="147"/>
      <c r="B60" s="148"/>
      <c r="C60" s="292"/>
      <c r="D60" s="293"/>
      <c r="E60" s="293"/>
      <c r="F60" s="293"/>
      <c r="G60" s="293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</row>
    <row r="61" spans="1:59" x14ac:dyDescent="0.2">
      <c r="A61" s="151" t="s">
        <v>91</v>
      </c>
      <c r="B61" s="152" t="s">
        <v>392</v>
      </c>
      <c r="C61" s="167" t="s">
        <v>391</v>
      </c>
      <c r="D61" s="153"/>
      <c r="E61" s="154"/>
      <c r="F61" s="155"/>
      <c r="G61" s="155">
        <f>SUMIF(AF62:AF74,"&lt;&gt;NOR",G62:G74)</f>
        <v>0</v>
      </c>
      <c r="H61" s="155"/>
      <c r="I61" s="155">
        <f>SUM(I62:I74)</f>
        <v>49977.39</v>
      </c>
      <c r="J61" s="155"/>
      <c r="K61" s="155">
        <f>SUM(K62:K74)</f>
        <v>653906.6100000001</v>
      </c>
      <c r="L61" s="155"/>
      <c r="M61" s="155">
        <f>SUM(M62:M74)</f>
        <v>0</v>
      </c>
      <c r="N61" s="155"/>
      <c r="O61" s="155">
        <f>SUM(O62:O74)</f>
        <v>3.54</v>
      </c>
      <c r="P61" s="155"/>
      <c r="Q61" s="155">
        <f>SUM(Q62:Q74)</f>
        <v>3.85</v>
      </c>
      <c r="R61" s="155"/>
      <c r="S61" s="155"/>
      <c r="T61" s="156"/>
    </row>
    <row r="62" spans="1:59" ht="22.5" x14ac:dyDescent="0.2">
      <c r="A62" s="157">
        <f>A58+1</f>
        <v>20</v>
      </c>
      <c r="B62" s="158" t="s">
        <v>310</v>
      </c>
      <c r="C62" s="168" t="s">
        <v>309</v>
      </c>
      <c r="D62" s="159" t="s">
        <v>114</v>
      </c>
      <c r="E62" s="160">
        <v>15.6</v>
      </c>
      <c r="F62" s="161"/>
      <c r="G62" s="162">
        <f>ROUND(E62*F62,2)</f>
        <v>0</v>
      </c>
      <c r="H62" s="161">
        <v>462.5</v>
      </c>
      <c r="I62" s="162">
        <f>ROUND(E62*H62,2)</f>
        <v>7215</v>
      </c>
      <c r="J62" s="161">
        <v>0</v>
      </c>
      <c r="K62" s="162">
        <f>ROUND(E62*J62,2)</f>
        <v>0</v>
      </c>
      <c r="L62" s="162">
        <v>21</v>
      </c>
      <c r="M62" s="162">
        <f>G62*(1+L62/100)</f>
        <v>0</v>
      </c>
      <c r="N62" s="162">
        <v>1.2E-2</v>
      </c>
      <c r="O62" s="162">
        <f>ROUND(E62*N62,2)</f>
        <v>0.19</v>
      </c>
      <c r="P62" s="162">
        <v>0</v>
      </c>
      <c r="Q62" s="162">
        <f>ROUND(E62*P62,2)</f>
        <v>0</v>
      </c>
      <c r="R62" s="162" t="s">
        <v>94</v>
      </c>
      <c r="S62" s="162" t="s">
        <v>322</v>
      </c>
      <c r="T62" s="163" t="s">
        <v>101</v>
      </c>
    </row>
    <row r="63" spans="1:59" x14ac:dyDescent="0.2">
      <c r="A63" s="147"/>
      <c r="B63" s="148"/>
      <c r="C63" s="219" t="s">
        <v>338</v>
      </c>
      <c r="D63" s="220"/>
      <c r="E63" s="221"/>
      <c r="F63" s="222"/>
      <c r="G63" s="149"/>
      <c r="H63" s="181"/>
      <c r="I63" s="149"/>
      <c r="J63" s="181"/>
      <c r="K63" s="149"/>
      <c r="L63" s="149"/>
      <c r="M63" s="149"/>
      <c r="N63" s="149"/>
      <c r="O63" s="149"/>
      <c r="P63" s="149"/>
      <c r="Q63" s="149"/>
      <c r="R63" s="149"/>
      <c r="S63" s="149"/>
      <c r="T63" s="149"/>
    </row>
    <row r="64" spans="1:59" x14ac:dyDescent="0.2">
      <c r="A64" s="147"/>
      <c r="B64" s="148"/>
      <c r="C64" s="292"/>
      <c r="D64" s="293"/>
      <c r="E64" s="293"/>
      <c r="F64" s="293"/>
      <c r="G64" s="293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</row>
    <row r="65" spans="1:20" ht="22.5" x14ac:dyDescent="0.2">
      <c r="A65" s="157">
        <f>A62+1</f>
        <v>21</v>
      </c>
      <c r="B65" s="158" t="s">
        <v>394</v>
      </c>
      <c r="C65" s="168" t="s">
        <v>393</v>
      </c>
      <c r="D65" s="159" t="s">
        <v>98</v>
      </c>
      <c r="E65" s="160">
        <f>10*2*2</f>
        <v>40</v>
      </c>
      <c r="F65" s="161"/>
      <c r="G65" s="162">
        <f>ROUND(E65*F65,2)</f>
        <v>0</v>
      </c>
      <c r="H65" s="161">
        <v>33.33</v>
      </c>
      <c r="I65" s="162">
        <f>ROUND(E65*H65,2)</f>
        <v>1333.2</v>
      </c>
      <c r="J65" s="161">
        <v>509.67</v>
      </c>
      <c r="K65" s="162">
        <f>ROUND(E65*J65,2)</f>
        <v>20386.8</v>
      </c>
      <c r="L65" s="162">
        <v>21</v>
      </c>
      <c r="M65" s="162">
        <f>G65*(1+L65/100)</f>
        <v>0</v>
      </c>
      <c r="N65" s="162">
        <v>2.6199999999999999E-3</v>
      </c>
      <c r="O65" s="162">
        <f>ROUND(E65*N65,2)</f>
        <v>0.1</v>
      </c>
      <c r="P65" s="162">
        <v>3.0000000000000001E-3</v>
      </c>
      <c r="Q65" s="162">
        <f>ROUND(E65*P65,2)</f>
        <v>0.12</v>
      </c>
      <c r="R65" s="162" t="s">
        <v>274</v>
      </c>
      <c r="S65" s="162" t="s">
        <v>322</v>
      </c>
      <c r="T65" s="162" t="s">
        <v>345</v>
      </c>
    </row>
    <row r="66" spans="1:20" x14ac:dyDescent="0.2">
      <c r="A66" s="147"/>
      <c r="B66" s="148"/>
      <c r="C66" s="169"/>
      <c r="D66" s="164"/>
      <c r="E66" s="164"/>
      <c r="F66" s="164"/>
      <c r="G66" s="164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1:20" ht="22.5" x14ac:dyDescent="0.2">
      <c r="A67" s="157">
        <f>A65+1</f>
        <v>22</v>
      </c>
      <c r="B67" s="158" t="s">
        <v>396</v>
      </c>
      <c r="C67" s="168" t="s">
        <v>395</v>
      </c>
      <c r="D67" s="159" t="s">
        <v>98</v>
      </c>
      <c r="E67" s="160">
        <f>E65*30</f>
        <v>1200</v>
      </c>
      <c r="F67" s="161"/>
      <c r="G67" s="162">
        <f>ROUND(E67*F67,2)</f>
        <v>0</v>
      </c>
      <c r="H67" s="161">
        <v>33.33</v>
      </c>
      <c r="I67" s="162">
        <f>ROUND(E67*H67,2)</f>
        <v>39996</v>
      </c>
      <c r="J67" s="161">
        <v>509.67</v>
      </c>
      <c r="K67" s="162">
        <f>ROUND(E67*J67,2)</f>
        <v>611604</v>
      </c>
      <c r="L67" s="162">
        <v>21</v>
      </c>
      <c r="M67" s="162">
        <f>G67*(1+L67/100)</f>
        <v>0</v>
      </c>
      <c r="N67" s="162">
        <v>2.6199999999999999E-3</v>
      </c>
      <c r="O67" s="162">
        <f>ROUND(E67*N67,2)</f>
        <v>3.14</v>
      </c>
      <c r="P67" s="162">
        <v>3.0000000000000001E-3</v>
      </c>
      <c r="Q67" s="162">
        <f>ROUND(E67*P67,2)</f>
        <v>3.6</v>
      </c>
      <c r="R67" s="162" t="s">
        <v>274</v>
      </c>
      <c r="S67" s="162" t="s">
        <v>322</v>
      </c>
      <c r="T67" s="162" t="s">
        <v>345</v>
      </c>
    </row>
    <row r="68" spans="1:20" x14ac:dyDescent="0.2">
      <c r="A68" s="147"/>
      <c r="B68" s="148"/>
      <c r="C68" s="169"/>
      <c r="D68" s="164"/>
      <c r="E68" s="164"/>
      <c r="F68" s="164"/>
      <c r="G68" s="164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1:20" ht="22.5" x14ac:dyDescent="0.2">
      <c r="A69" s="157">
        <f>A67+1</f>
        <v>23</v>
      </c>
      <c r="B69" s="158" t="s">
        <v>398</v>
      </c>
      <c r="C69" s="168" t="s">
        <v>397</v>
      </c>
      <c r="D69" s="159" t="s">
        <v>98</v>
      </c>
      <c r="E69" s="160">
        <f>E65</f>
        <v>40</v>
      </c>
      <c r="F69" s="161"/>
      <c r="G69" s="162">
        <f>ROUND(E69*F69,2)</f>
        <v>0</v>
      </c>
      <c r="H69" s="161">
        <v>33.33</v>
      </c>
      <c r="I69" s="162">
        <f>ROUND(E69*H69,2)</f>
        <v>1333.2</v>
      </c>
      <c r="J69" s="161">
        <v>509.67</v>
      </c>
      <c r="K69" s="162">
        <f>ROUND(E69*J69,2)</f>
        <v>20386.8</v>
      </c>
      <c r="L69" s="162">
        <v>21</v>
      </c>
      <c r="M69" s="162">
        <f>G69*(1+L69/100)</f>
        <v>0</v>
      </c>
      <c r="N69" s="162">
        <v>2.6199999999999999E-3</v>
      </c>
      <c r="O69" s="162">
        <f>ROUND(E69*N69,2)</f>
        <v>0.1</v>
      </c>
      <c r="P69" s="162">
        <v>3.0000000000000001E-3</v>
      </c>
      <c r="Q69" s="162">
        <f>ROUND(E69*P69,2)</f>
        <v>0.12</v>
      </c>
      <c r="R69" s="162" t="s">
        <v>274</v>
      </c>
      <c r="S69" s="162" t="s">
        <v>322</v>
      </c>
      <c r="T69" s="162" t="s">
        <v>345</v>
      </c>
    </row>
    <row r="70" spans="1:20" x14ac:dyDescent="0.2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1:20" ht="12.75" customHeight="1" x14ac:dyDescent="0.2">
      <c r="A71" s="157">
        <f>A69+1</f>
        <v>24</v>
      </c>
      <c r="B71" s="158" t="s">
        <v>343</v>
      </c>
      <c r="C71" s="168" t="s">
        <v>347</v>
      </c>
      <c r="D71" s="159" t="s">
        <v>95</v>
      </c>
      <c r="E71" s="160">
        <v>2</v>
      </c>
      <c r="F71" s="161"/>
      <c r="G71" s="162">
        <f>ROUND(E71*F71,2)</f>
        <v>0</v>
      </c>
      <c r="H71" s="161">
        <v>33.33</v>
      </c>
      <c r="I71" s="162">
        <f>ROUND(E71*H71,2)</f>
        <v>66.66</v>
      </c>
      <c r="J71" s="161">
        <v>509.67</v>
      </c>
      <c r="K71" s="162">
        <f>ROUND(E71*J71,2)</f>
        <v>1019.34</v>
      </c>
      <c r="L71" s="162">
        <v>21</v>
      </c>
      <c r="M71" s="162">
        <f>G71*(1+L71/100)</f>
        <v>0</v>
      </c>
      <c r="N71" s="162">
        <v>2.6199999999999999E-3</v>
      </c>
      <c r="O71" s="162">
        <f>ROUND(E71*N71,2)</f>
        <v>0.01</v>
      </c>
      <c r="P71" s="162">
        <v>3.0000000000000001E-3</v>
      </c>
      <c r="Q71" s="162">
        <f>ROUND(E71*P71,2)</f>
        <v>0.01</v>
      </c>
      <c r="R71" s="162" t="s">
        <v>274</v>
      </c>
      <c r="S71" s="162" t="s">
        <v>322</v>
      </c>
      <c r="T71" s="162" t="s">
        <v>345</v>
      </c>
    </row>
    <row r="72" spans="1:20" x14ac:dyDescent="0.2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</row>
    <row r="73" spans="1:20" ht="12.75" customHeight="1" x14ac:dyDescent="0.2">
      <c r="A73" s="157">
        <f>A71+1</f>
        <v>25</v>
      </c>
      <c r="B73" s="158" t="s">
        <v>344</v>
      </c>
      <c r="C73" s="168" t="s">
        <v>346</v>
      </c>
      <c r="D73" s="159" t="s">
        <v>95</v>
      </c>
      <c r="E73" s="160">
        <v>1</v>
      </c>
      <c r="F73" s="161"/>
      <c r="G73" s="162">
        <f>ROUND(E73*F73,2)</f>
        <v>0</v>
      </c>
      <c r="H73" s="161">
        <v>33.33</v>
      </c>
      <c r="I73" s="162">
        <f>ROUND(E73*H73,2)</f>
        <v>33.33</v>
      </c>
      <c r="J73" s="161">
        <v>509.67</v>
      </c>
      <c r="K73" s="162">
        <f>ROUND(E73*J73,2)</f>
        <v>509.67</v>
      </c>
      <c r="L73" s="162">
        <v>21</v>
      </c>
      <c r="M73" s="162">
        <f>G73*(1+L73/100)</f>
        <v>0</v>
      </c>
      <c r="N73" s="162">
        <v>2.6199999999999999E-3</v>
      </c>
      <c r="O73" s="162">
        <f>ROUND(E73*N73,2)</f>
        <v>0</v>
      </c>
      <c r="P73" s="162">
        <v>3.0000000000000001E-3</v>
      </c>
      <c r="Q73" s="162">
        <f>ROUND(E73*P73,2)</f>
        <v>0</v>
      </c>
      <c r="R73" s="162" t="s">
        <v>274</v>
      </c>
      <c r="S73" s="162" t="s">
        <v>322</v>
      </c>
      <c r="T73" s="162" t="s">
        <v>322</v>
      </c>
    </row>
    <row r="74" spans="1:20" x14ac:dyDescent="0.2">
      <c r="A74" s="147"/>
      <c r="B74" s="148"/>
      <c r="C74" s="292"/>
      <c r="D74" s="293"/>
      <c r="E74" s="293"/>
      <c r="F74" s="293"/>
      <c r="G74" s="293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x14ac:dyDescent="0.2">
      <c r="A75" s="151" t="s">
        <v>91</v>
      </c>
      <c r="B75" s="152" t="s">
        <v>175</v>
      </c>
      <c r="C75" s="167" t="s">
        <v>174</v>
      </c>
      <c r="D75" s="153"/>
      <c r="E75" s="154"/>
      <c r="F75" s="155"/>
      <c r="G75" s="155">
        <f>SUMIF(AF76:AF82,"&lt;&gt;NOR",G76:G82)</f>
        <v>0</v>
      </c>
      <c r="H75" s="155"/>
      <c r="I75" s="155">
        <f>SUM(I76:I82)</f>
        <v>10985.5</v>
      </c>
      <c r="J75" s="155"/>
      <c r="K75" s="155">
        <f>SUM(K76:K82)</f>
        <v>198854.5</v>
      </c>
      <c r="L75" s="155"/>
      <c r="M75" s="155">
        <f>SUM(M76:M82)</f>
        <v>0</v>
      </c>
      <c r="N75" s="155"/>
      <c r="O75" s="155">
        <f>SUM(O76:O82)</f>
        <v>2.4700000000000002</v>
      </c>
      <c r="P75" s="155"/>
      <c r="Q75" s="155">
        <f>SUM(Q76:Q82)</f>
        <v>47.16</v>
      </c>
      <c r="R75" s="155"/>
      <c r="S75" s="155"/>
      <c r="T75" s="156"/>
    </row>
    <row r="76" spans="1:20" x14ac:dyDescent="0.2">
      <c r="A76" s="157">
        <f>A73+1</f>
        <v>26</v>
      </c>
      <c r="B76" s="158" t="s">
        <v>271</v>
      </c>
      <c r="C76" s="168" t="s">
        <v>272</v>
      </c>
      <c r="D76" s="159" t="s">
        <v>116</v>
      </c>
      <c r="E76" s="160">
        <f>8*4.8*0.4+8*0.85*0.3*2</f>
        <v>19.439999999999998</v>
      </c>
      <c r="F76" s="161"/>
      <c r="G76" s="162">
        <f>ROUND(E76*F76,2)</f>
        <v>0</v>
      </c>
      <c r="H76" s="161">
        <v>502.69</v>
      </c>
      <c r="I76" s="162">
        <f>ROUND(E76*H76,2)</f>
        <v>9772.2900000000009</v>
      </c>
      <c r="J76" s="161">
        <v>8987.31</v>
      </c>
      <c r="K76" s="162">
        <f>ROUND(E76*J76,2)</f>
        <v>174713.31</v>
      </c>
      <c r="L76" s="162">
        <v>21</v>
      </c>
      <c r="M76" s="162">
        <f>G76*(1+L76/100)</f>
        <v>0</v>
      </c>
      <c r="N76" s="162">
        <v>0.12173</v>
      </c>
      <c r="O76" s="162">
        <f>ROUND(E76*N76,2)</f>
        <v>2.37</v>
      </c>
      <c r="P76" s="162">
        <v>2.4</v>
      </c>
      <c r="Q76" s="162">
        <f>ROUND(E76*P76,2)</f>
        <v>46.66</v>
      </c>
      <c r="R76" s="162" t="s">
        <v>261</v>
      </c>
      <c r="S76" s="162" t="s">
        <v>322</v>
      </c>
      <c r="T76" s="162" t="s">
        <v>322</v>
      </c>
    </row>
    <row r="77" spans="1:20" x14ac:dyDescent="0.2">
      <c r="A77" s="147"/>
      <c r="B77" s="148"/>
      <c r="C77" s="182" t="s">
        <v>388</v>
      </c>
      <c r="D77" s="183"/>
      <c r="E77" s="184"/>
      <c r="F77" s="192"/>
      <c r="G77" s="185"/>
      <c r="H77" s="181"/>
      <c r="I77" s="149"/>
      <c r="J77" s="181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x14ac:dyDescent="0.2">
      <c r="A78" s="147"/>
      <c r="B78" s="148"/>
      <c r="C78" s="292"/>
      <c r="D78" s="293"/>
      <c r="E78" s="293"/>
      <c r="F78" s="293"/>
      <c r="G78" s="293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20" ht="15.75" customHeight="1" x14ac:dyDescent="0.2">
      <c r="A79" s="157">
        <f>A76+1</f>
        <v>27</v>
      </c>
      <c r="B79" s="158" t="s">
        <v>273</v>
      </c>
      <c r="C79" s="168" t="s">
        <v>307</v>
      </c>
      <c r="D79" s="159" t="s">
        <v>98</v>
      </c>
      <c r="E79" s="160">
        <f>E58</f>
        <v>36.4</v>
      </c>
      <c r="F79" s="161"/>
      <c r="G79" s="162">
        <f>ROUND(E79*F79,2)</f>
        <v>0</v>
      </c>
      <c r="H79" s="161">
        <v>33.33</v>
      </c>
      <c r="I79" s="162">
        <f>ROUND(E79*H79,2)</f>
        <v>1213.21</v>
      </c>
      <c r="J79" s="161">
        <v>509.67</v>
      </c>
      <c r="K79" s="162">
        <f>ROUND(E79*J79,2)</f>
        <v>18551.990000000002</v>
      </c>
      <c r="L79" s="162">
        <v>21</v>
      </c>
      <c r="M79" s="162">
        <f>G79*(1+L79/100)</f>
        <v>0</v>
      </c>
      <c r="N79" s="162">
        <v>2.6199999999999999E-3</v>
      </c>
      <c r="O79" s="162">
        <f>ROUND(E79*N79,2)</f>
        <v>0.1</v>
      </c>
      <c r="P79" s="162">
        <v>3.0000000000000001E-3</v>
      </c>
      <c r="Q79" s="162">
        <f>ROUND(E79*P79,2)</f>
        <v>0.11</v>
      </c>
      <c r="R79" s="162" t="s">
        <v>274</v>
      </c>
      <c r="S79" s="162" t="s">
        <v>322</v>
      </c>
      <c r="T79" s="162" t="s">
        <v>322</v>
      </c>
    </row>
    <row r="80" spans="1:20" x14ac:dyDescent="0.2">
      <c r="A80" s="147"/>
      <c r="B80" s="148"/>
      <c r="C80" s="178"/>
      <c r="D80" s="179"/>
      <c r="E80" s="179"/>
      <c r="F80" s="179"/>
      <c r="G80" s="17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1:20" ht="22.5" x14ac:dyDescent="0.2">
      <c r="A81" s="157">
        <f>A79+1</f>
        <v>28</v>
      </c>
      <c r="B81" s="158" t="s">
        <v>275</v>
      </c>
      <c r="C81" s="168" t="s">
        <v>308</v>
      </c>
      <c r="D81" s="159" t="s">
        <v>114</v>
      </c>
      <c r="E81" s="160">
        <f>2*7.85</f>
        <v>15.7</v>
      </c>
      <c r="F81" s="161"/>
      <c r="G81" s="162">
        <f>ROUND(E81*F81,2)</f>
        <v>0</v>
      </c>
      <c r="H81" s="161">
        <v>0</v>
      </c>
      <c r="I81" s="162">
        <f>ROUND(E81*H81,2)</f>
        <v>0</v>
      </c>
      <c r="J81" s="161">
        <v>356</v>
      </c>
      <c r="K81" s="162">
        <f>ROUND(E81*J81,2)</f>
        <v>5589.2</v>
      </c>
      <c r="L81" s="162">
        <v>21</v>
      </c>
      <c r="M81" s="162">
        <f>G81*(1+L81/100)</f>
        <v>0</v>
      </c>
      <c r="N81" s="162">
        <v>0</v>
      </c>
      <c r="O81" s="162">
        <f>ROUND(E81*N81,2)</f>
        <v>0</v>
      </c>
      <c r="P81" s="162">
        <v>2.5000000000000001E-2</v>
      </c>
      <c r="Q81" s="162">
        <f>ROUND(E81*P81,2)</f>
        <v>0.39</v>
      </c>
      <c r="R81" s="162" t="s">
        <v>109</v>
      </c>
      <c r="S81" s="162" t="s">
        <v>322</v>
      </c>
      <c r="T81" s="162" t="s">
        <v>322</v>
      </c>
    </row>
    <row r="82" spans="1:20" x14ac:dyDescent="0.2">
      <c r="A82" s="147"/>
      <c r="B82" s="148"/>
      <c r="C82" s="292"/>
      <c r="D82" s="293"/>
      <c r="E82" s="293"/>
      <c r="F82" s="293"/>
      <c r="G82" s="293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</row>
    <row r="83" spans="1:20" x14ac:dyDescent="0.2">
      <c r="A83" s="151" t="s">
        <v>91</v>
      </c>
      <c r="B83" s="152" t="s">
        <v>439</v>
      </c>
      <c r="C83" s="167" t="s">
        <v>132</v>
      </c>
      <c r="D83" s="153"/>
      <c r="E83" s="154"/>
      <c r="F83" s="155"/>
      <c r="G83" s="155">
        <f>SUMIF(AF84:AF86,"&lt;&gt;NOR",G84:G86)</f>
        <v>0</v>
      </c>
      <c r="H83" s="155"/>
      <c r="I83" s="155">
        <f>SUM(I84:I86)</f>
        <v>0</v>
      </c>
      <c r="J83" s="155"/>
      <c r="K83" s="155">
        <f>SUM(K84:K86)</f>
        <v>10727.07</v>
      </c>
      <c r="L83" s="155"/>
      <c r="M83" s="155">
        <f>SUM(M84:M86)</f>
        <v>0</v>
      </c>
      <c r="N83" s="155"/>
      <c r="O83" s="155">
        <f>SUM(O84:O86)</f>
        <v>0</v>
      </c>
      <c r="P83" s="155"/>
      <c r="Q83" s="155">
        <f>SUM(Q84:Q86)</f>
        <v>0</v>
      </c>
      <c r="R83" s="155"/>
      <c r="S83" s="155"/>
      <c r="T83" s="156"/>
    </row>
    <row r="84" spans="1:20" x14ac:dyDescent="0.2">
      <c r="A84" s="157">
        <f>A81+1</f>
        <v>29</v>
      </c>
      <c r="B84" s="158" t="s">
        <v>440</v>
      </c>
      <c r="C84" s="168" t="s">
        <v>276</v>
      </c>
      <c r="D84" s="159" t="s">
        <v>126</v>
      </c>
      <c r="E84" s="160">
        <f>36.4*0.4*1.8+E35*2.28+E42</f>
        <v>34.941600000000001</v>
      </c>
      <c r="F84" s="161"/>
      <c r="G84" s="162">
        <f>ROUND(E84*F84,2)</f>
        <v>0</v>
      </c>
      <c r="H84" s="161">
        <v>0</v>
      </c>
      <c r="I84" s="162">
        <f>ROUND(E84*H84,2)</f>
        <v>0</v>
      </c>
      <c r="J84" s="161">
        <v>307</v>
      </c>
      <c r="K84" s="162">
        <f>ROUND(E84*J84,2)</f>
        <v>10727.07</v>
      </c>
      <c r="L84" s="162">
        <v>21</v>
      </c>
      <c r="M84" s="162">
        <f>G84*(1+L84/100)</f>
        <v>0</v>
      </c>
      <c r="N84" s="162">
        <v>0</v>
      </c>
      <c r="O84" s="162">
        <f>ROUND(E84*N84,2)</f>
        <v>0</v>
      </c>
      <c r="P84" s="162">
        <v>0</v>
      </c>
      <c r="Q84" s="162">
        <f>ROUND(E84*P84,2)</f>
        <v>0</v>
      </c>
      <c r="R84" s="162" t="s">
        <v>261</v>
      </c>
      <c r="S84" s="162" t="s">
        <v>322</v>
      </c>
      <c r="T84" s="162" t="s">
        <v>322</v>
      </c>
    </row>
    <row r="85" spans="1:20" ht="12.75" customHeight="1" x14ac:dyDescent="0.2">
      <c r="A85" s="147"/>
      <c r="B85" s="148"/>
      <c r="C85" s="290" t="s">
        <v>277</v>
      </c>
      <c r="D85" s="291"/>
      <c r="E85" s="291"/>
      <c r="F85" s="291"/>
      <c r="G85" s="291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">
      <c r="A86" s="147"/>
      <c r="B86" s="148"/>
      <c r="C86" s="292"/>
      <c r="D86" s="293"/>
      <c r="E86" s="293"/>
      <c r="F86" s="293"/>
      <c r="G86" s="293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1:20" x14ac:dyDescent="0.2">
      <c r="A87" s="151" t="s">
        <v>91</v>
      </c>
      <c r="B87" s="152" t="s">
        <v>278</v>
      </c>
      <c r="C87" s="167" t="s">
        <v>279</v>
      </c>
      <c r="D87" s="153"/>
      <c r="E87" s="154"/>
      <c r="F87" s="155"/>
      <c r="G87" s="155">
        <f>SUMIF(AF88:AF94,"&lt;&gt;NOR",G88:G94)</f>
        <v>0</v>
      </c>
      <c r="H87" s="155"/>
      <c r="I87" s="155">
        <f>SUM(I88:I94)</f>
        <v>13348.97</v>
      </c>
      <c r="J87" s="155"/>
      <c r="K87" s="155">
        <f>SUM(K88:K94)</f>
        <v>19170.79</v>
      </c>
      <c r="L87" s="155"/>
      <c r="M87" s="155">
        <f>SUM(M88:M94)</f>
        <v>0</v>
      </c>
      <c r="N87" s="155"/>
      <c r="O87" s="155">
        <f>SUM(O88:O94)</f>
        <v>0.41</v>
      </c>
      <c r="P87" s="155"/>
      <c r="Q87" s="155">
        <f>SUM(Q88:Q94)</f>
        <v>0</v>
      </c>
      <c r="R87" s="155"/>
      <c r="S87" s="155"/>
      <c r="T87" s="156"/>
    </row>
    <row r="88" spans="1:20" ht="22.5" x14ac:dyDescent="0.2">
      <c r="A88" s="157">
        <f>A84+1</f>
        <v>30</v>
      </c>
      <c r="B88" s="158" t="s">
        <v>389</v>
      </c>
      <c r="C88" s="168" t="s">
        <v>390</v>
      </c>
      <c r="D88" s="159" t="s">
        <v>98</v>
      </c>
      <c r="E88" s="160">
        <f>E79</f>
        <v>36.4</v>
      </c>
      <c r="F88" s="161"/>
      <c r="G88" s="162">
        <f>ROUND(E88*F88,2)</f>
        <v>0</v>
      </c>
      <c r="H88" s="161">
        <v>0</v>
      </c>
      <c r="I88" s="162">
        <f>ROUND(E88*H88,2)</f>
        <v>0</v>
      </c>
      <c r="J88" s="161">
        <v>12.4</v>
      </c>
      <c r="K88" s="162">
        <f>ROUND(E88*J88,2)</f>
        <v>451.36</v>
      </c>
      <c r="L88" s="162">
        <v>21</v>
      </c>
      <c r="M88" s="162">
        <f>G88*(1+L88/100)</f>
        <v>0</v>
      </c>
      <c r="N88" s="162">
        <v>0</v>
      </c>
      <c r="O88" s="162">
        <f>ROUND(E88*N88,2)</f>
        <v>0</v>
      </c>
      <c r="P88" s="162">
        <v>0</v>
      </c>
      <c r="Q88" s="162">
        <f>ROUND(E88*P88,2)</f>
        <v>0</v>
      </c>
      <c r="R88" s="162" t="s">
        <v>280</v>
      </c>
      <c r="S88" s="162" t="s">
        <v>322</v>
      </c>
      <c r="T88" s="162" t="s">
        <v>322</v>
      </c>
    </row>
    <row r="89" spans="1:20" x14ac:dyDescent="0.2">
      <c r="A89" s="147"/>
      <c r="B89" s="148"/>
      <c r="C89" s="295"/>
      <c r="D89" s="296"/>
      <c r="E89" s="296"/>
      <c r="F89" s="296"/>
      <c r="G89" s="296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1:20" ht="33.75" x14ac:dyDescent="0.2">
      <c r="A90" s="157">
        <f>A88+1</f>
        <v>31</v>
      </c>
      <c r="B90" s="158" t="s">
        <v>281</v>
      </c>
      <c r="C90" s="168" t="s">
        <v>311</v>
      </c>
      <c r="D90" s="159" t="s">
        <v>98</v>
      </c>
      <c r="E90" s="160">
        <f>E88</f>
        <v>36.4</v>
      </c>
      <c r="F90" s="161"/>
      <c r="G90" s="162">
        <f>ROUND(E90*F90,2)</f>
        <v>0</v>
      </c>
      <c r="H90" s="161">
        <v>366.73</v>
      </c>
      <c r="I90" s="162">
        <f>ROUND(E90*H90,2)</f>
        <v>13348.97</v>
      </c>
      <c r="J90" s="161">
        <v>207.27</v>
      </c>
      <c r="K90" s="162">
        <f>ROUND(E90*J90,2)</f>
        <v>7544.63</v>
      </c>
      <c r="L90" s="162">
        <v>21</v>
      </c>
      <c r="M90" s="162">
        <f>G90*(1+L90/100)</f>
        <v>0</v>
      </c>
      <c r="N90" s="162">
        <v>1.1169999999999999E-2</v>
      </c>
      <c r="O90" s="162">
        <f>ROUND(E90*N90,2)</f>
        <v>0.41</v>
      </c>
      <c r="P90" s="162">
        <v>0</v>
      </c>
      <c r="Q90" s="162">
        <f>ROUND(E90*P90,2)</f>
        <v>0</v>
      </c>
      <c r="R90" s="162" t="s">
        <v>280</v>
      </c>
      <c r="S90" s="162" t="s">
        <v>322</v>
      </c>
      <c r="T90" s="162" t="s">
        <v>322</v>
      </c>
    </row>
    <row r="91" spans="1:20" ht="12.75" customHeight="1" x14ac:dyDescent="0.2">
      <c r="A91" s="147"/>
      <c r="B91" s="148"/>
      <c r="C91" s="297" t="s">
        <v>282</v>
      </c>
      <c r="D91" s="298"/>
      <c r="E91" s="298"/>
      <c r="F91" s="298"/>
      <c r="G91" s="298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ht="12.75" customHeight="1" x14ac:dyDescent="0.2">
      <c r="A92" s="147"/>
      <c r="B92" s="148"/>
      <c r="C92" s="292"/>
      <c r="D92" s="293"/>
      <c r="E92" s="293"/>
      <c r="F92" s="293"/>
      <c r="G92" s="293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</row>
    <row r="93" spans="1:20" ht="12.75" customHeight="1" x14ac:dyDescent="0.2">
      <c r="A93" s="157">
        <f>A90+1</f>
        <v>32</v>
      </c>
      <c r="B93" s="158" t="s">
        <v>454</v>
      </c>
      <c r="C93" s="168" t="s">
        <v>455</v>
      </c>
      <c r="D93" s="159" t="s">
        <v>98</v>
      </c>
      <c r="E93" s="160">
        <f>E88</f>
        <v>36.4</v>
      </c>
      <c r="F93" s="161"/>
      <c r="G93" s="162">
        <f>ROUND(E93*F93,2)</f>
        <v>0</v>
      </c>
      <c r="H93" s="161">
        <v>0</v>
      </c>
      <c r="I93" s="162">
        <f>ROUND(E93*H93,2)</f>
        <v>0</v>
      </c>
      <c r="J93" s="161">
        <v>307</v>
      </c>
      <c r="K93" s="162">
        <f>ROUND(E93*J93,2)</f>
        <v>11174.8</v>
      </c>
      <c r="L93" s="162">
        <v>21</v>
      </c>
      <c r="M93" s="162">
        <f>G93*(1+L93/100)</f>
        <v>0</v>
      </c>
      <c r="N93" s="162">
        <v>0</v>
      </c>
      <c r="O93" s="162">
        <f>ROUND(E93*N93,2)</f>
        <v>0</v>
      </c>
      <c r="P93" s="162">
        <v>0</v>
      </c>
      <c r="Q93" s="162">
        <f>ROUND(E93*P93,2)</f>
        <v>0</v>
      </c>
      <c r="R93" s="162" t="s">
        <v>261</v>
      </c>
      <c r="S93" s="162" t="s">
        <v>351</v>
      </c>
      <c r="T93" s="162" t="s">
        <v>351</v>
      </c>
    </row>
    <row r="94" spans="1:20" x14ac:dyDescent="0.2">
      <c r="A94" s="147"/>
      <c r="B94" s="148"/>
      <c r="C94" s="292"/>
      <c r="D94" s="293"/>
      <c r="E94" s="293"/>
      <c r="F94" s="293"/>
      <c r="G94" s="293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</row>
    <row r="95" spans="1:20" x14ac:dyDescent="0.2">
      <c r="A95" s="151" t="s">
        <v>91</v>
      </c>
      <c r="B95" s="152" t="s">
        <v>283</v>
      </c>
      <c r="C95" s="167" t="s">
        <v>284</v>
      </c>
      <c r="D95" s="153"/>
      <c r="E95" s="154"/>
      <c r="F95" s="155"/>
      <c r="G95" s="155">
        <f>SUMIF(AF96:AF97,"&lt;&gt;NOR",G96:G97)</f>
        <v>0</v>
      </c>
      <c r="H95" s="155"/>
      <c r="I95" s="155">
        <f>SUM(I96:I97)</f>
        <v>0</v>
      </c>
      <c r="J95" s="155"/>
      <c r="K95" s="155">
        <f>SUM(K96:K97)</f>
        <v>804</v>
      </c>
      <c r="L95" s="155"/>
      <c r="M95" s="155">
        <f>SUM(M96:M97)</f>
        <v>0</v>
      </c>
      <c r="N95" s="155"/>
      <c r="O95" s="155">
        <f>SUM(O96:O97)</f>
        <v>0</v>
      </c>
      <c r="P95" s="155"/>
      <c r="Q95" s="155">
        <f>SUM(Q96:Q97)</f>
        <v>0</v>
      </c>
      <c r="R95" s="155"/>
      <c r="S95" s="155"/>
      <c r="T95" s="156"/>
    </row>
    <row r="96" spans="1:20" x14ac:dyDescent="0.2">
      <c r="A96" s="157">
        <f>A93+1</f>
        <v>33</v>
      </c>
      <c r="B96" s="158" t="s">
        <v>285</v>
      </c>
      <c r="C96" s="168" t="s">
        <v>312</v>
      </c>
      <c r="D96" s="159" t="s">
        <v>114</v>
      </c>
      <c r="E96" s="160">
        <v>12</v>
      </c>
      <c r="F96" s="161"/>
      <c r="G96" s="162">
        <f>ROUND(E96*F96,2)</f>
        <v>0</v>
      </c>
      <c r="H96" s="161">
        <v>0</v>
      </c>
      <c r="I96" s="162">
        <f>ROUND(E96*H96,2)</f>
        <v>0</v>
      </c>
      <c r="J96" s="161">
        <v>67</v>
      </c>
      <c r="K96" s="162">
        <f>ROUND(E96*J96,2)</f>
        <v>804</v>
      </c>
      <c r="L96" s="162">
        <v>21</v>
      </c>
      <c r="M96" s="162">
        <f>G96*(1+L96/100)</f>
        <v>0</v>
      </c>
      <c r="N96" s="162">
        <v>0</v>
      </c>
      <c r="O96" s="162">
        <f>ROUND(E96*N96,2)</f>
        <v>0</v>
      </c>
      <c r="P96" s="162">
        <v>0</v>
      </c>
      <c r="Q96" s="162">
        <f>ROUND(E96*P96,2)</f>
        <v>0</v>
      </c>
      <c r="R96" s="162"/>
      <c r="S96" s="162" t="s">
        <v>322</v>
      </c>
      <c r="T96" s="162" t="s">
        <v>322</v>
      </c>
    </row>
    <row r="97" spans="1:20" x14ac:dyDescent="0.2">
      <c r="A97" s="147"/>
      <c r="B97" s="148"/>
      <c r="C97" s="295"/>
      <c r="D97" s="296"/>
      <c r="E97" s="296"/>
      <c r="F97" s="296"/>
      <c r="G97" s="296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">
      <c r="A98" s="151" t="s">
        <v>91</v>
      </c>
      <c r="B98" s="152" t="s">
        <v>436</v>
      </c>
      <c r="C98" s="167" t="s">
        <v>61</v>
      </c>
      <c r="D98" s="153"/>
      <c r="E98" s="154"/>
      <c r="F98" s="155"/>
      <c r="G98" s="155">
        <f>G99+G102+G106+G108+G104</f>
        <v>0</v>
      </c>
      <c r="H98" s="155"/>
      <c r="I98" s="155">
        <f>SUM(I99:I109)</f>
        <v>0</v>
      </c>
      <c r="J98" s="155"/>
      <c r="K98" s="155">
        <f>SUM(K99:K109)</f>
        <v>79697.090000000011</v>
      </c>
      <c r="L98" s="155"/>
      <c r="M98" s="155">
        <f>SUM(M99:M109)</f>
        <v>0</v>
      </c>
      <c r="N98" s="155"/>
      <c r="O98" s="155">
        <f>SUM(O99:O109)</f>
        <v>0</v>
      </c>
      <c r="P98" s="155"/>
      <c r="Q98" s="155">
        <f>SUM(Q99:Q109)</f>
        <v>0</v>
      </c>
      <c r="R98" s="155"/>
      <c r="S98" s="155"/>
      <c r="T98" s="156"/>
    </row>
    <row r="99" spans="1:20" x14ac:dyDescent="0.2">
      <c r="A99" s="157">
        <f>A96+1</f>
        <v>34</v>
      </c>
      <c r="B99" s="158" t="s">
        <v>437</v>
      </c>
      <c r="C99" s="168" t="s">
        <v>222</v>
      </c>
      <c r="D99" s="159" t="s">
        <v>126</v>
      </c>
      <c r="E99" s="160">
        <f>E106+E108</f>
        <v>44.503199999999993</v>
      </c>
      <c r="F99" s="161"/>
      <c r="G99" s="162">
        <f>ROUND(E99*F99,2)</f>
        <v>0</v>
      </c>
      <c r="H99" s="161">
        <v>0</v>
      </c>
      <c r="I99" s="162">
        <f>ROUND(E99*H99,2)</f>
        <v>0</v>
      </c>
      <c r="J99" s="161">
        <v>227</v>
      </c>
      <c r="K99" s="162">
        <f>ROUND(E99*J99,2)</f>
        <v>10102.23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 t="s">
        <v>137</v>
      </c>
      <c r="S99" s="162" t="s">
        <v>322</v>
      </c>
      <c r="T99" s="162" t="s">
        <v>322</v>
      </c>
    </row>
    <row r="100" spans="1:20" x14ac:dyDescent="0.2">
      <c r="A100" s="147"/>
      <c r="B100" s="148"/>
      <c r="C100" s="297" t="s">
        <v>286</v>
      </c>
      <c r="D100" s="298"/>
      <c r="E100" s="298"/>
      <c r="F100" s="298"/>
      <c r="G100" s="298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1:20" x14ac:dyDescent="0.2">
      <c r="A101" s="147"/>
      <c r="B101" s="148"/>
      <c r="C101" s="292"/>
      <c r="D101" s="293"/>
      <c r="E101" s="293"/>
      <c r="F101" s="293"/>
      <c r="G101" s="293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">
      <c r="A102" s="157">
        <f>A99+1</f>
        <v>35</v>
      </c>
      <c r="B102" s="158" t="s">
        <v>438</v>
      </c>
      <c r="C102" s="168" t="s">
        <v>224</v>
      </c>
      <c r="D102" s="159" t="s">
        <v>126</v>
      </c>
      <c r="E102" s="160">
        <f>E99*19</f>
        <v>845.56079999999986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15.9</v>
      </c>
      <c r="K102" s="162">
        <f>ROUND(E102*J102,2)</f>
        <v>13444.42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322</v>
      </c>
      <c r="T102" s="162" t="s">
        <v>322</v>
      </c>
    </row>
    <row r="103" spans="1:20" x14ac:dyDescent="0.2">
      <c r="A103" s="147"/>
      <c r="B103" s="148"/>
      <c r="C103" s="295"/>
      <c r="D103" s="296"/>
      <c r="E103" s="296"/>
      <c r="F103" s="296"/>
      <c r="G103" s="296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">
      <c r="A104" s="157">
        <f>A102+1</f>
        <v>36</v>
      </c>
      <c r="B104" s="158" t="s">
        <v>435</v>
      </c>
      <c r="C104" s="168" t="s">
        <v>434</v>
      </c>
      <c r="D104" s="159" t="s">
        <v>126</v>
      </c>
      <c r="E104" s="160">
        <f>E99</f>
        <v>44.503199999999993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15.9</v>
      </c>
      <c r="K104" s="162">
        <f>ROUND(E104*J104,2)</f>
        <v>707.6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322</v>
      </c>
      <c r="T104" s="162" t="s">
        <v>322</v>
      </c>
    </row>
    <row r="105" spans="1:20" x14ac:dyDescent="0.2">
      <c r="A105" s="147"/>
      <c r="B105" s="148"/>
      <c r="C105" s="178"/>
      <c r="D105" s="179"/>
      <c r="E105" s="179"/>
      <c r="F105" s="179"/>
      <c r="G105" s="17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">
      <c r="A106" s="157">
        <f>A104+1</f>
        <v>37</v>
      </c>
      <c r="B106" s="158" t="s">
        <v>441</v>
      </c>
      <c r="C106" s="168" t="s">
        <v>287</v>
      </c>
      <c r="D106" s="159" t="s">
        <v>126</v>
      </c>
      <c r="E106" s="160">
        <f>E76*2.28</f>
        <v>44.323199999999993</v>
      </c>
      <c r="F106" s="161"/>
      <c r="G106" s="162">
        <f>ROUND(E106*F106,2)</f>
        <v>0</v>
      </c>
      <c r="H106" s="161">
        <v>0</v>
      </c>
      <c r="I106" s="162">
        <f>ROUND(E106*H106,2)</f>
        <v>0</v>
      </c>
      <c r="J106" s="161">
        <v>1245</v>
      </c>
      <c r="K106" s="162">
        <f>ROUND(E106*J106,2)</f>
        <v>55182.38</v>
      </c>
      <c r="L106" s="162">
        <v>21</v>
      </c>
      <c r="M106" s="162">
        <f>G106*(1+L106/100)</f>
        <v>0</v>
      </c>
      <c r="N106" s="162">
        <v>0</v>
      </c>
      <c r="O106" s="162">
        <f>ROUND(E106*N106,2)</f>
        <v>0</v>
      </c>
      <c r="P106" s="162">
        <v>0</v>
      </c>
      <c r="Q106" s="162">
        <f>ROUND(E106*P106,2)</f>
        <v>0</v>
      </c>
      <c r="R106" s="162" t="s">
        <v>137</v>
      </c>
      <c r="S106" s="162" t="s">
        <v>322</v>
      </c>
      <c r="T106" s="162" t="s">
        <v>322</v>
      </c>
    </row>
    <row r="107" spans="1:20" x14ac:dyDescent="0.2">
      <c r="A107" s="147"/>
      <c r="B107" s="148"/>
      <c r="C107" s="295"/>
      <c r="D107" s="296"/>
      <c r="E107" s="296"/>
      <c r="F107" s="296"/>
      <c r="G107" s="296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1:20" x14ac:dyDescent="0.2">
      <c r="A108" s="157">
        <f>A106+1</f>
        <v>38</v>
      </c>
      <c r="B108" s="158" t="s">
        <v>442</v>
      </c>
      <c r="C108" s="168" t="s">
        <v>288</v>
      </c>
      <c r="D108" s="159" t="s">
        <v>126</v>
      </c>
      <c r="E108" s="160">
        <v>0.18</v>
      </c>
      <c r="F108" s="161"/>
      <c r="G108" s="162">
        <f>ROUND(E108*F108,2)</f>
        <v>0</v>
      </c>
      <c r="H108" s="161">
        <v>0</v>
      </c>
      <c r="I108" s="162">
        <f>ROUND(E108*H108,2)</f>
        <v>0</v>
      </c>
      <c r="J108" s="161">
        <v>1447</v>
      </c>
      <c r="K108" s="162">
        <f>ROUND(E108*J108,2)</f>
        <v>260.45999999999998</v>
      </c>
      <c r="L108" s="162">
        <v>21</v>
      </c>
      <c r="M108" s="162">
        <f>G108*(1+L108/100)</f>
        <v>0</v>
      </c>
      <c r="N108" s="162">
        <v>0</v>
      </c>
      <c r="O108" s="162">
        <f>ROUND(E108*N108,2)</f>
        <v>0</v>
      </c>
      <c r="P108" s="162">
        <v>0</v>
      </c>
      <c r="Q108" s="162">
        <f>ROUND(E108*P108,2)</f>
        <v>0</v>
      </c>
      <c r="R108" s="162" t="s">
        <v>137</v>
      </c>
      <c r="S108" s="162" t="s">
        <v>322</v>
      </c>
      <c r="T108" s="162" t="s">
        <v>322</v>
      </c>
    </row>
    <row r="109" spans="1:20" x14ac:dyDescent="0.2">
      <c r="A109" s="147"/>
      <c r="B109" s="148"/>
      <c r="C109" s="295"/>
      <c r="D109" s="296"/>
      <c r="E109" s="296"/>
      <c r="F109" s="296"/>
      <c r="G109" s="296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1:20" x14ac:dyDescent="0.2">
      <c r="A110" s="151" t="s">
        <v>91</v>
      </c>
      <c r="B110" s="152" t="s">
        <v>63</v>
      </c>
      <c r="C110" s="167" t="s">
        <v>26</v>
      </c>
      <c r="D110" s="153"/>
      <c r="E110" s="154"/>
      <c r="F110" s="155"/>
      <c r="G110" s="155">
        <f>SUMIF(AF111:AF122,"&lt;&gt;NOR",G111:G122)</f>
        <v>0</v>
      </c>
      <c r="H110" s="155"/>
      <c r="I110" s="155">
        <f>SUM(I111:I122)</f>
        <v>0</v>
      </c>
      <c r="J110" s="155"/>
      <c r="K110" s="155">
        <f>SUM(K111:K122)</f>
        <v>0</v>
      </c>
      <c r="L110" s="155"/>
      <c r="M110" s="155">
        <f>SUM(M111:M122)</f>
        <v>0</v>
      </c>
      <c r="N110" s="155"/>
      <c r="O110" s="155">
        <f>SUM(O111:O122)</f>
        <v>0</v>
      </c>
      <c r="P110" s="155"/>
      <c r="Q110" s="155">
        <f>SUM(Q111:Q122)</f>
        <v>0</v>
      </c>
      <c r="R110" s="155"/>
      <c r="S110" s="155"/>
      <c r="T110" s="156"/>
    </row>
    <row r="111" spans="1:20" x14ac:dyDescent="0.2">
      <c r="A111" s="157">
        <f>A108+1</f>
        <v>39</v>
      </c>
      <c r="B111" s="158" t="s">
        <v>299</v>
      </c>
      <c r="C111" s="168" t="s">
        <v>297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322</v>
      </c>
      <c r="T111" s="163" t="s">
        <v>101</v>
      </c>
    </row>
    <row r="112" spans="1:20" x14ac:dyDescent="0.2">
      <c r="A112" s="173"/>
      <c r="B112" s="174"/>
      <c r="C112" s="294"/>
      <c r="D112" s="294"/>
      <c r="E112" s="294"/>
      <c r="F112" s="294"/>
      <c r="G112" s="294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</row>
    <row r="113" spans="1:20" ht="12.75" customHeight="1" x14ac:dyDescent="0.2">
      <c r="A113" s="157">
        <f>A111+1</f>
        <v>40</v>
      </c>
      <c r="B113" s="158" t="s">
        <v>300</v>
      </c>
      <c r="C113" s="168" t="s">
        <v>298</v>
      </c>
      <c r="D113" s="159" t="s">
        <v>100</v>
      </c>
      <c r="E113" s="160">
        <v>1</v>
      </c>
      <c r="F113" s="161"/>
      <c r="G113" s="162">
        <f>ROUND(E113*F113,2)</f>
        <v>0</v>
      </c>
      <c r="H113" s="161">
        <v>0</v>
      </c>
      <c r="I113" s="162">
        <f>ROUND(E113*H113,2)</f>
        <v>0</v>
      </c>
      <c r="J113" s="161">
        <v>0</v>
      </c>
      <c r="K113" s="162">
        <f>ROUND(E113*J113,2)</f>
        <v>0</v>
      </c>
      <c r="L113" s="162">
        <v>21</v>
      </c>
      <c r="M113" s="162">
        <f>G113*(1+L113/100)</f>
        <v>0</v>
      </c>
      <c r="N113" s="162">
        <v>0</v>
      </c>
      <c r="O113" s="162">
        <f>ROUND(E113*N113,2)</f>
        <v>0</v>
      </c>
      <c r="P113" s="162">
        <v>0</v>
      </c>
      <c r="Q113" s="162">
        <f>ROUND(E113*P113,2)</f>
        <v>0</v>
      </c>
      <c r="R113" s="162"/>
      <c r="S113" s="162" t="s">
        <v>322</v>
      </c>
      <c r="T113" s="163" t="s">
        <v>101</v>
      </c>
    </row>
    <row r="114" spans="1:20" x14ac:dyDescent="0.2">
      <c r="A114" s="147"/>
      <c r="B114" s="148"/>
      <c r="C114" s="307"/>
      <c r="D114" s="307"/>
      <c r="E114" s="307"/>
      <c r="F114" s="307"/>
      <c r="G114" s="307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</row>
    <row r="115" spans="1:20" x14ac:dyDescent="0.2">
      <c r="A115" s="157">
        <f>A113+1</f>
        <v>41</v>
      </c>
      <c r="B115" s="158" t="s">
        <v>157</v>
      </c>
      <c r="C115" s="168" t="s">
        <v>99</v>
      </c>
      <c r="D115" s="159" t="s">
        <v>100</v>
      </c>
      <c r="E115" s="160">
        <v>1</v>
      </c>
      <c r="F115" s="161"/>
      <c r="G115" s="162">
        <f>ROUND(E115*F115,2)</f>
        <v>0</v>
      </c>
      <c r="H115" s="161">
        <v>0</v>
      </c>
      <c r="I115" s="162">
        <f>ROUND(E115*H115,2)</f>
        <v>0</v>
      </c>
      <c r="J115" s="161">
        <v>0</v>
      </c>
      <c r="K115" s="162">
        <f>ROUND(E115*J115,2)</f>
        <v>0</v>
      </c>
      <c r="L115" s="162">
        <v>21</v>
      </c>
      <c r="M115" s="162">
        <f>G115*(1+L115/100)</f>
        <v>0</v>
      </c>
      <c r="N115" s="162">
        <v>0</v>
      </c>
      <c r="O115" s="162">
        <f>ROUND(E115*N115,2)</f>
        <v>0</v>
      </c>
      <c r="P115" s="162">
        <v>0</v>
      </c>
      <c r="Q115" s="162">
        <f>ROUND(E115*P115,2)</f>
        <v>0</v>
      </c>
      <c r="R115" s="162"/>
      <c r="S115" s="162" t="s">
        <v>322</v>
      </c>
      <c r="T115" s="163" t="s">
        <v>101</v>
      </c>
    </row>
    <row r="116" spans="1:20" ht="12.75" customHeight="1" x14ac:dyDescent="0.2">
      <c r="A116" s="147"/>
      <c r="B116" s="148"/>
      <c r="C116" s="295"/>
      <c r="D116" s="296"/>
      <c r="E116" s="296"/>
      <c r="F116" s="296"/>
      <c r="G116" s="296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ht="12.75" customHeight="1" x14ac:dyDescent="0.2">
      <c r="A117" s="157">
        <f>A115+1</f>
        <v>42</v>
      </c>
      <c r="B117" s="158" t="s">
        <v>339</v>
      </c>
      <c r="C117" s="168" t="s">
        <v>340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322</v>
      </c>
      <c r="T117" s="163" t="s">
        <v>101</v>
      </c>
    </row>
    <row r="118" spans="1:20" ht="12.75" customHeight="1" x14ac:dyDescent="0.2">
      <c r="A118" s="147"/>
      <c r="B118" s="148"/>
      <c r="C118" s="297" t="s">
        <v>341</v>
      </c>
      <c r="D118" s="297"/>
      <c r="E118" s="297"/>
      <c r="F118" s="297"/>
      <c r="G118" s="297"/>
      <c r="H118" s="181"/>
      <c r="I118" s="149"/>
      <c r="J118" s="181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">
      <c r="A120" s="157">
        <f>A115+1</f>
        <v>42</v>
      </c>
      <c r="B120" s="158" t="s">
        <v>106</v>
      </c>
      <c r="C120" s="168" t="s">
        <v>107</v>
      </c>
      <c r="D120" s="159" t="s">
        <v>100</v>
      </c>
      <c r="E120" s="160">
        <v>1</v>
      </c>
      <c r="F120" s="161"/>
      <c r="G120" s="162">
        <f>ROUND(E120*F120,2)</f>
        <v>0</v>
      </c>
      <c r="H120" s="161">
        <v>0</v>
      </c>
      <c r="I120" s="162">
        <f>ROUND(E120*H120,2)</f>
        <v>0</v>
      </c>
      <c r="J120" s="161">
        <v>0</v>
      </c>
      <c r="K120" s="162">
        <f>ROUND(E120*J120,2)</f>
        <v>0</v>
      </c>
      <c r="L120" s="162">
        <v>21</v>
      </c>
      <c r="M120" s="162">
        <f>G120*(1+L120/100)</f>
        <v>0</v>
      </c>
      <c r="N120" s="162">
        <v>0</v>
      </c>
      <c r="O120" s="162">
        <f>ROUND(E120*N120,2)</f>
        <v>0</v>
      </c>
      <c r="P120" s="162">
        <v>0</v>
      </c>
      <c r="Q120" s="162">
        <f>ROUND(E120*P120,2)</f>
        <v>0</v>
      </c>
      <c r="R120" s="162"/>
      <c r="S120" s="162" t="s">
        <v>322</v>
      </c>
      <c r="T120" s="163" t="s">
        <v>101</v>
      </c>
    </row>
    <row r="121" spans="1:20" ht="24" customHeight="1" x14ac:dyDescent="0.2">
      <c r="A121" s="147"/>
      <c r="B121" s="148"/>
      <c r="C121" s="297" t="s">
        <v>342</v>
      </c>
      <c r="D121" s="298"/>
      <c r="E121" s="298"/>
      <c r="F121" s="298"/>
      <c r="G121" s="298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</row>
    <row r="122" spans="1:20" ht="12.75" customHeight="1" x14ac:dyDescent="0.2">
      <c r="A122" s="147"/>
      <c r="B122" s="148"/>
      <c r="C122" s="169"/>
      <c r="D122" s="164"/>
      <c r="E122" s="164"/>
      <c r="F122" s="164"/>
      <c r="G122" s="164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">
      <c r="A123" s="151" t="s">
        <v>91</v>
      </c>
      <c r="B123" s="152" t="s">
        <v>64</v>
      </c>
      <c r="C123" s="167" t="s">
        <v>27</v>
      </c>
      <c r="D123" s="153"/>
      <c r="E123" s="154"/>
      <c r="F123" s="155"/>
      <c r="G123" s="155">
        <f>G124+G127</f>
        <v>0</v>
      </c>
      <c r="H123" s="155"/>
      <c r="I123" s="155">
        <f>SUM(I124:I129)</f>
        <v>0</v>
      </c>
      <c r="J123" s="155"/>
      <c r="K123" s="155">
        <f>SUM(K124:K129)</f>
        <v>0</v>
      </c>
      <c r="L123" s="155"/>
      <c r="M123" s="155">
        <f>M124+M127</f>
        <v>0</v>
      </c>
      <c r="N123" s="155"/>
      <c r="O123" s="155">
        <f>SUM(O124:O129)</f>
        <v>0</v>
      </c>
      <c r="P123" s="155"/>
      <c r="Q123" s="155">
        <f>SUM(Q124:Q129)</f>
        <v>0</v>
      </c>
      <c r="R123" s="155"/>
      <c r="S123" s="155"/>
      <c r="T123" s="156"/>
    </row>
    <row r="124" spans="1:20" x14ac:dyDescent="0.2">
      <c r="A124" s="157">
        <f>A120+1</f>
        <v>43</v>
      </c>
      <c r="B124" s="158" t="s">
        <v>141</v>
      </c>
      <c r="C124" s="168" t="s">
        <v>142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322</v>
      </c>
      <c r="T124" s="163" t="s">
        <v>101</v>
      </c>
    </row>
    <row r="125" spans="1:20" ht="12.75" customHeight="1" x14ac:dyDescent="0.2">
      <c r="A125" s="147"/>
      <c r="B125" s="148"/>
      <c r="C125" s="297" t="s">
        <v>158</v>
      </c>
      <c r="D125" s="298"/>
      <c r="E125" s="298"/>
      <c r="F125" s="298"/>
      <c r="G125" s="29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">
      <c r="A126" s="147"/>
      <c r="B126" s="148"/>
      <c r="C126" s="292"/>
      <c r="D126" s="293"/>
      <c r="E126" s="293"/>
      <c r="F126" s="293"/>
      <c r="G126" s="293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">
      <c r="A127" s="157">
        <f>A124+1</f>
        <v>44</v>
      </c>
      <c r="B127" s="158" t="s">
        <v>143</v>
      </c>
      <c r="C127" s="168" t="s">
        <v>144</v>
      </c>
      <c r="D127" s="159" t="s">
        <v>100</v>
      </c>
      <c r="E127" s="160">
        <v>1</v>
      </c>
      <c r="F127" s="161"/>
      <c r="G127" s="162">
        <f>ROUND(E127*F127,2)</f>
        <v>0</v>
      </c>
      <c r="H127" s="161">
        <v>0</v>
      </c>
      <c r="I127" s="162">
        <f>ROUND(E127*H127,2)</f>
        <v>0</v>
      </c>
      <c r="J127" s="161">
        <v>0</v>
      </c>
      <c r="K127" s="162">
        <f>ROUND(E127*J127,2)</f>
        <v>0</v>
      </c>
      <c r="L127" s="162">
        <v>21</v>
      </c>
      <c r="M127" s="162">
        <f>G127*(1+L127/100)</f>
        <v>0</v>
      </c>
      <c r="N127" s="162">
        <v>0</v>
      </c>
      <c r="O127" s="162">
        <f>ROUND(E127*N127,2)</f>
        <v>0</v>
      </c>
      <c r="P127" s="162">
        <v>0</v>
      </c>
      <c r="Q127" s="162">
        <f>ROUND(E127*P127,2)</f>
        <v>0</v>
      </c>
      <c r="R127" s="162"/>
      <c r="S127" s="162" t="s">
        <v>322</v>
      </c>
      <c r="T127" s="163" t="s">
        <v>101</v>
      </c>
    </row>
    <row r="128" spans="1:20" ht="12.75" customHeight="1" x14ac:dyDescent="0.2">
      <c r="A128" s="147"/>
      <c r="B128" s="148"/>
      <c r="C128" s="297" t="s">
        <v>145</v>
      </c>
      <c r="D128" s="298"/>
      <c r="E128" s="298"/>
      <c r="F128" s="298"/>
      <c r="G128" s="298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</row>
    <row r="129" spans="1:20" x14ac:dyDescent="0.2">
      <c r="A129" s="147"/>
      <c r="B129" s="148"/>
      <c r="C129" s="292"/>
      <c r="D129" s="293"/>
      <c r="E129" s="293"/>
      <c r="F129" s="293"/>
      <c r="G129" s="293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</row>
    <row r="130" spans="1:20" x14ac:dyDescent="0.2">
      <c r="A130" s="3"/>
      <c r="B130" s="4"/>
      <c r="C130" s="170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x14ac:dyDescent="0.2">
      <c r="A131" s="202"/>
      <c r="B131" s="203" t="s">
        <v>28</v>
      </c>
      <c r="C131" s="206"/>
      <c r="D131" s="204"/>
      <c r="E131" s="205"/>
      <c r="F131" s="205"/>
      <c r="G131" s="166">
        <f>G8+G31+G50+G61+G75+G83+G87+G95+G98+G110+G123</f>
        <v>0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x14ac:dyDescent="0.2">
      <c r="D132" s="10"/>
    </row>
    <row r="133" spans="1:20" x14ac:dyDescent="0.2">
      <c r="D133" s="10"/>
    </row>
    <row r="134" spans="1:20" x14ac:dyDescent="0.2">
      <c r="D134" s="10"/>
    </row>
    <row r="135" spans="1:20" x14ac:dyDescent="0.2">
      <c r="D135" s="10"/>
    </row>
    <row r="136" spans="1:20" x14ac:dyDescent="0.2">
      <c r="D136" s="10"/>
    </row>
    <row r="137" spans="1:20" x14ac:dyDescent="0.2">
      <c r="D137" s="10"/>
    </row>
    <row r="138" spans="1:20" x14ac:dyDescent="0.2">
      <c r="D138" s="10"/>
    </row>
    <row r="139" spans="1:20" x14ac:dyDescent="0.2">
      <c r="D139" s="10"/>
    </row>
    <row r="140" spans="1:20" x14ac:dyDescent="0.2">
      <c r="D140" s="10"/>
    </row>
    <row r="141" spans="1:20" x14ac:dyDescent="0.2">
      <c r="D141" s="10"/>
    </row>
    <row r="142" spans="1:20" x14ac:dyDescent="0.2">
      <c r="D142" s="10"/>
    </row>
    <row r="143" spans="1:20" x14ac:dyDescent="0.2">
      <c r="D143" s="10"/>
    </row>
    <row r="144" spans="1:2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</sheetData>
  <sheetProtection algorithmName="SHA-512" hashValue="x3TZg4jpgl+CyQkNqc9tyqZh29Ggq1Gr0rzUjBNdZWz2uiAQ4HfCAVBCMeuFADUTfkoMR1ezQVTH5ZQz9XXBPA==" saltValue="yn9a4X8i2hcMrA77Qo+59A==" spinCount="100000" sheet="1" objects="1" scenarios="1"/>
  <mergeCells count="50">
    <mergeCell ref="C126:G126"/>
    <mergeCell ref="C128:G128"/>
    <mergeCell ref="C129:G129"/>
    <mergeCell ref="C121:G121"/>
    <mergeCell ref="C109:G109"/>
    <mergeCell ref="C112:G112"/>
    <mergeCell ref="C114:G114"/>
    <mergeCell ref="C116:G116"/>
    <mergeCell ref="C125:G125"/>
    <mergeCell ref="C118:G118"/>
    <mergeCell ref="C16:G16"/>
    <mergeCell ref="C17:G17"/>
    <mergeCell ref="C19:G19"/>
    <mergeCell ref="C20:G20"/>
    <mergeCell ref="C30:G30"/>
    <mergeCell ref="C25:G25"/>
    <mergeCell ref="C103:G103"/>
    <mergeCell ref="C107:G107"/>
    <mergeCell ref="C100:G100"/>
    <mergeCell ref="C101:G101"/>
    <mergeCell ref="C97:G97"/>
    <mergeCell ref="C91:G91"/>
    <mergeCell ref="C94:G94"/>
    <mergeCell ref="C86:G86"/>
    <mergeCell ref="C89:G89"/>
    <mergeCell ref="C78:G78"/>
    <mergeCell ref="C82:G82"/>
    <mergeCell ref="C85:G85"/>
    <mergeCell ref="C92:G92"/>
    <mergeCell ref="C11:G11"/>
    <mergeCell ref="C13:G13"/>
    <mergeCell ref="C14:G14"/>
    <mergeCell ref="C74:G74"/>
    <mergeCell ref="C59:G59"/>
    <mergeCell ref="C48:G48"/>
    <mergeCell ref="C49:G49"/>
    <mergeCell ref="C52:G52"/>
    <mergeCell ref="C60:G60"/>
    <mergeCell ref="C54:G54"/>
    <mergeCell ref="C55:G55"/>
    <mergeCell ref="C64:G64"/>
    <mergeCell ref="C34:G34"/>
    <mergeCell ref="C27:G27"/>
    <mergeCell ref="C22:G22"/>
    <mergeCell ref="C24:G24"/>
    <mergeCell ref="A1:G1"/>
    <mergeCell ref="C2:H2"/>
    <mergeCell ref="C3:G3"/>
    <mergeCell ref="C4:H4"/>
    <mergeCell ref="C10:G10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C7F9-D496-493D-AC56-31A4A37746D4}">
  <sheetPr>
    <outlinePr summaryBelow="0"/>
    <pageSetUpPr fitToPage="1"/>
  </sheetPr>
  <dimension ref="A1:BG4864"/>
  <sheetViews>
    <sheetView zoomScaleNormal="100" workbookViewId="0">
      <pane ySplit="7" topLeftCell="A98" activePane="bottomLeft" state="frozen"/>
      <selection pane="bottomLeft" activeCell="F124" sqref="F124"/>
    </sheetView>
  </sheetViews>
  <sheetFormatPr defaultColWidth="8.85546875"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2" max="12" width="11.7109375" bestFit="1" customWidth="1"/>
    <col min="13" max="13" width="11.7109375" customWidth="1"/>
    <col min="14" max="17" width="0" hidden="1" customWidth="1"/>
    <col min="18" max="18" width="6.85546875" customWidth="1"/>
    <col min="20" max="20" width="8.42578125" customWidth="1"/>
    <col min="21" max="24" width="0" hidden="1" customWidth="1"/>
    <col min="25" max="25" width="11.7109375" bestFit="1" customWidth="1"/>
    <col min="28" max="28" width="0" hidden="1" customWidth="1"/>
    <col min="30" max="40" width="0" hidden="1" customWidth="1"/>
    <col min="52" max="52" width="98.7109375" customWidth="1"/>
  </cols>
  <sheetData>
    <row r="1" spans="1:59" ht="15.75" customHeight="1" x14ac:dyDescent="0.25">
      <c r="A1" s="299" t="s">
        <v>65</v>
      </c>
      <c r="B1" s="300"/>
      <c r="C1" s="300"/>
      <c r="D1" s="300"/>
      <c r="E1" s="300"/>
      <c r="F1" s="300"/>
      <c r="G1" s="300"/>
      <c r="H1" s="186"/>
      <c r="L1" s="190"/>
      <c r="AF1" t="s">
        <v>66</v>
      </c>
    </row>
    <row r="2" spans="1:59" ht="24.95" customHeight="1" x14ac:dyDescent="0.2">
      <c r="A2" s="187" t="s">
        <v>7</v>
      </c>
      <c r="B2" s="193" t="s">
        <v>326</v>
      </c>
      <c r="C2" s="304" t="s">
        <v>304</v>
      </c>
      <c r="D2" s="305"/>
      <c r="E2" s="305"/>
      <c r="F2" s="305"/>
      <c r="G2" s="305"/>
      <c r="H2" s="306"/>
      <c r="L2" s="190"/>
      <c r="AF2" t="s">
        <v>67</v>
      </c>
    </row>
    <row r="3" spans="1:59" ht="24.95" customHeight="1" x14ac:dyDescent="0.2">
      <c r="A3" s="187" t="s">
        <v>8</v>
      </c>
      <c r="B3" s="193" t="s">
        <v>43</v>
      </c>
      <c r="C3" s="301" t="s">
        <v>451</v>
      </c>
      <c r="D3" s="302"/>
      <c r="E3" s="302"/>
      <c r="F3" s="302"/>
      <c r="G3" s="303"/>
      <c r="H3" s="188"/>
      <c r="L3" s="190"/>
      <c r="AB3" s="123" t="s">
        <v>67</v>
      </c>
      <c r="AF3" t="s">
        <v>68</v>
      </c>
    </row>
    <row r="4" spans="1:59" ht="24.95" customHeight="1" x14ac:dyDescent="0.2">
      <c r="A4" s="189" t="s">
        <v>9</v>
      </c>
      <c r="B4" s="180" t="s">
        <v>326</v>
      </c>
      <c r="C4" s="260" t="s">
        <v>305</v>
      </c>
      <c r="D4" s="261"/>
      <c r="E4" s="261"/>
      <c r="F4" s="261"/>
      <c r="G4" s="261"/>
      <c r="H4" s="262"/>
      <c r="L4" s="190"/>
      <c r="AF4" t="s">
        <v>69</v>
      </c>
    </row>
    <row r="5" spans="1:59" x14ac:dyDescent="0.2">
      <c r="D5" s="10"/>
    </row>
    <row r="6" spans="1:59" ht="38.25" x14ac:dyDescent="0.2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SUMIF(AF9:AF38,"&lt;&gt;NOR",G9:G38)</f>
        <v>0</v>
      </c>
      <c r="H8" s="155"/>
      <c r="I8" s="155">
        <f>SUM(I9:I38)</f>
        <v>0</v>
      </c>
      <c r="J8" s="155"/>
      <c r="K8" s="155">
        <f>SUM(K9:K38)</f>
        <v>396622.9</v>
      </c>
      <c r="L8" s="155"/>
      <c r="M8" s="155">
        <f>SUM(M9:M38)</f>
        <v>0</v>
      </c>
      <c r="N8" s="155"/>
      <c r="O8" s="155">
        <f>SUM(O9:O38)</f>
        <v>0</v>
      </c>
      <c r="P8" s="155"/>
      <c r="Q8" s="155">
        <f>SUM(Q9:Q38)</f>
        <v>0</v>
      </c>
      <c r="R8" s="155"/>
      <c r="S8" s="155"/>
      <c r="T8" s="156"/>
      <c r="U8" s="150"/>
      <c r="V8" s="150">
        <f>SUM(V9:V11)</f>
        <v>0</v>
      </c>
      <c r="W8" s="150"/>
      <c r="X8" s="150"/>
      <c r="Y8" s="84"/>
      <c r="AF8" t="s">
        <v>92</v>
      </c>
    </row>
    <row r="9" spans="1:59" outlineLevel="1" x14ac:dyDescent="0.2">
      <c r="A9" s="157">
        <v>1</v>
      </c>
      <c r="B9" s="158" t="s">
        <v>348</v>
      </c>
      <c r="C9" s="168" t="s">
        <v>349</v>
      </c>
      <c r="D9" s="159" t="s">
        <v>114</v>
      </c>
      <c r="E9" s="160">
        <v>13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118</v>
      </c>
      <c r="K9" s="162">
        <f>ROUND(E9*J9,2)</f>
        <v>1534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351</v>
      </c>
      <c r="T9" s="162" t="s">
        <v>351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 t="s">
        <v>93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">
      <c r="A10" s="147"/>
      <c r="B10" s="148"/>
      <c r="C10" s="290" t="s">
        <v>350</v>
      </c>
      <c r="D10" s="291"/>
      <c r="E10" s="291"/>
      <c r="F10" s="291"/>
      <c r="G10" s="291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>
        <v>0</v>
      </c>
      <c r="V10" s="149">
        <f>ROUND(E10*U10,2)</f>
        <v>0</v>
      </c>
      <c r="W10" s="149"/>
      <c r="X10" s="149" t="s">
        <v>110</v>
      </c>
      <c r="Y10" s="140"/>
      <c r="Z10" s="140"/>
      <c r="AA10" s="140"/>
      <c r="AB10" s="140"/>
      <c r="AC10" s="140"/>
      <c r="AD10" s="140"/>
      <c r="AE10" s="140"/>
      <c r="AF10" s="140" t="s">
        <v>111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">
      <c r="A11" s="147"/>
      <c r="B11" s="148"/>
      <c r="C11" s="292"/>
      <c r="D11" s="293"/>
      <c r="E11" s="293"/>
      <c r="F11" s="293"/>
      <c r="G11" s="293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 t="s">
        <v>93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">
      <c r="A12" s="157">
        <f>A9+1</f>
        <v>2</v>
      </c>
      <c r="B12" s="158" t="s">
        <v>352</v>
      </c>
      <c r="C12" s="168" t="s">
        <v>353</v>
      </c>
      <c r="D12" s="159" t="s">
        <v>354</v>
      </c>
      <c r="E12" s="160">
        <v>420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240</v>
      </c>
      <c r="K12" s="162">
        <f>ROUND(E12*J12,2)</f>
        <v>100800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351</v>
      </c>
      <c r="T12" s="162" t="s">
        <v>351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outlineLevel="1" x14ac:dyDescent="0.2">
      <c r="A13" s="147"/>
      <c r="B13" s="148"/>
      <c r="C13" s="292"/>
      <c r="D13" s="293"/>
      <c r="E13" s="293"/>
      <c r="F13" s="293"/>
      <c r="G13" s="293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">
      <c r="A14" s="157">
        <f>A12+1</f>
        <v>3</v>
      </c>
      <c r="B14" s="158" t="s">
        <v>355</v>
      </c>
      <c r="C14" s="168" t="s">
        <v>356</v>
      </c>
      <c r="D14" s="159" t="s">
        <v>357</v>
      </c>
      <c r="E14" s="160">
        <v>42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240</v>
      </c>
      <c r="K14" s="162">
        <f>ROUND(E14*J14,2)</f>
        <v>10080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</v>
      </c>
      <c r="Q14" s="162">
        <f>ROUND(E14*P14,2)</f>
        <v>0</v>
      </c>
      <c r="R14" s="162" t="s">
        <v>115</v>
      </c>
      <c r="S14" s="162" t="s">
        <v>351</v>
      </c>
      <c r="T14" s="162" t="s">
        <v>351</v>
      </c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">
      <c r="A15" s="147"/>
      <c r="B15" s="148"/>
      <c r="C15" s="169"/>
      <c r="D15" s="164"/>
      <c r="E15" s="164"/>
      <c r="F15" s="164"/>
      <c r="G15" s="164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">
      <c r="A16" s="157">
        <f>A14+1</f>
        <v>4</v>
      </c>
      <c r="B16" s="158" t="s">
        <v>250</v>
      </c>
      <c r="C16" s="168" t="s">
        <v>359</v>
      </c>
      <c r="D16" s="159" t="s">
        <v>116</v>
      </c>
      <c r="E16" s="160">
        <f>12*3.2*1.5*2</f>
        <v>115.20000000000002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118</v>
      </c>
      <c r="K16" s="162">
        <f>ROUND(E16*J16,2)</f>
        <v>13593.6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</v>
      </c>
      <c r="Q16" s="162">
        <f>ROUND(E16*P16,2)</f>
        <v>0</v>
      </c>
      <c r="R16" s="162" t="s">
        <v>115</v>
      </c>
      <c r="S16" s="162" t="s">
        <v>351</v>
      </c>
      <c r="T16" s="162" t="s">
        <v>351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">
      <c r="A17" s="147"/>
      <c r="B17" s="148"/>
      <c r="C17" s="290" t="s">
        <v>251</v>
      </c>
      <c r="D17" s="291"/>
      <c r="E17" s="291"/>
      <c r="F17" s="291"/>
      <c r="G17" s="291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outlineLevel="1" x14ac:dyDescent="0.2">
      <c r="A19" s="157">
        <f>A16+1</f>
        <v>5</v>
      </c>
      <c r="B19" s="158" t="s">
        <v>360</v>
      </c>
      <c r="C19" s="168" t="s">
        <v>358</v>
      </c>
      <c r="D19" s="159" t="s">
        <v>116</v>
      </c>
      <c r="E19" s="160">
        <f>1.5*0.8*8*2</f>
        <v>19.200000000000003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240</v>
      </c>
      <c r="K19" s="162">
        <f>ROUND(E19*J19,2)</f>
        <v>4608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351</v>
      </c>
      <c r="T19" s="162" t="s">
        <v>351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">
      <c r="A20" s="147"/>
      <c r="B20" s="148"/>
      <c r="C20" s="169"/>
      <c r="D20" s="164"/>
      <c r="E20" s="164"/>
      <c r="F20" s="164"/>
      <c r="G20" s="164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">
      <c r="A21" s="157">
        <f>A19+1</f>
        <v>6</v>
      </c>
      <c r="B21" s="158" t="s">
        <v>364</v>
      </c>
      <c r="C21" s="168" t="s">
        <v>363</v>
      </c>
      <c r="D21" s="159" t="s">
        <v>98</v>
      </c>
      <c r="E21" s="160">
        <f>16*6*2</f>
        <v>192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240</v>
      </c>
      <c r="K21" s="162">
        <f>ROUND(E21*J21,2)</f>
        <v>46080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351</v>
      </c>
      <c r="T21" s="162" t="s">
        <v>351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outlineLevel="1" x14ac:dyDescent="0.2">
      <c r="A22" s="147"/>
      <c r="B22" s="148"/>
      <c r="C22" s="169"/>
      <c r="D22" s="164"/>
      <c r="E22" s="164"/>
      <c r="F22" s="164"/>
      <c r="G22" s="164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">
      <c r="A23" s="157">
        <f>A21+1</f>
        <v>7</v>
      </c>
      <c r="B23" s="158" t="s">
        <v>366</v>
      </c>
      <c r="C23" s="168" t="s">
        <v>365</v>
      </c>
      <c r="D23" s="159" t="s">
        <v>126</v>
      </c>
      <c r="E23" s="160">
        <f>E21*0.155</f>
        <v>29.759999999999998</v>
      </c>
      <c r="F23" s="161"/>
      <c r="G23" s="162">
        <f>ROUND(E23*F23,2)</f>
        <v>0</v>
      </c>
      <c r="H23" s="161">
        <v>0</v>
      </c>
      <c r="I23" s="162">
        <f>ROUND(E23*H23,2)</f>
        <v>0</v>
      </c>
      <c r="J23" s="161">
        <v>240</v>
      </c>
      <c r="K23" s="162">
        <f>ROUND(E23*J23,2)</f>
        <v>7142.4</v>
      </c>
      <c r="L23" s="162">
        <v>21</v>
      </c>
      <c r="M23" s="162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2" t="s">
        <v>115</v>
      </c>
      <c r="S23" s="162" t="s">
        <v>351</v>
      </c>
      <c r="T23" s="162" t="s">
        <v>351</v>
      </c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outlineLevel="1" x14ac:dyDescent="0.2">
      <c r="A24" s="147"/>
      <c r="B24" s="148"/>
      <c r="C24" s="169"/>
      <c r="D24" s="164"/>
      <c r="E24" s="164"/>
      <c r="F24" s="164"/>
      <c r="G24" s="164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ht="22.5" outlineLevel="1" x14ac:dyDescent="0.2">
      <c r="A25" s="157">
        <f>A23+1</f>
        <v>8</v>
      </c>
      <c r="B25" s="158" t="s">
        <v>368</v>
      </c>
      <c r="C25" s="168" t="s">
        <v>367</v>
      </c>
      <c r="D25" s="159" t="s">
        <v>98</v>
      </c>
      <c r="E25" s="160">
        <f>E21</f>
        <v>192</v>
      </c>
      <c r="F25" s="161"/>
      <c r="G25" s="162">
        <f>ROUND(E25*F25,2)</f>
        <v>0</v>
      </c>
      <c r="H25" s="161">
        <v>0</v>
      </c>
      <c r="I25" s="162">
        <f>ROUND(E25*H25,2)</f>
        <v>0</v>
      </c>
      <c r="J25" s="161">
        <v>240</v>
      </c>
      <c r="K25" s="162">
        <f>ROUND(E25*J25,2)</f>
        <v>46080</v>
      </c>
      <c r="L25" s="162">
        <v>21</v>
      </c>
      <c r="M25" s="162">
        <f>G25*(1+L25/100)</f>
        <v>0</v>
      </c>
      <c r="N25" s="162">
        <v>0</v>
      </c>
      <c r="O25" s="162">
        <f>ROUND(E25*N25,2)</f>
        <v>0</v>
      </c>
      <c r="P25" s="162">
        <v>0</v>
      </c>
      <c r="Q25" s="162">
        <f>ROUND(E25*P25,2)</f>
        <v>0</v>
      </c>
      <c r="R25" s="162" t="s">
        <v>115</v>
      </c>
      <c r="S25" s="162" t="s">
        <v>351</v>
      </c>
      <c r="T25" s="162" t="s">
        <v>351</v>
      </c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outlineLevel="1" x14ac:dyDescent="0.2">
      <c r="A26" s="147"/>
      <c r="B26" s="148"/>
      <c r="C26" s="169"/>
      <c r="D26" s="164"/>
      <c r="E26" s="164"/>
      <c r="F26" s="164"/>
      <c r="G26" s="164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outlineLevel="1" x14ac:dyDescent="0.2">
      <c r="A27" s="157">
        <f>A25+1</f>
        <v>9</v>
      </c>
      <c r="B27" s="158" t="s">
        <v>118</v>
      </c>
      <c r="C27" s="168" t="s">
        <v>369</v>
      </c>
      <c r="D27" s="159" t="s">
        <v>116</v>
      </c>
      <c r="E27" s="160">
        <f>E16+E19</f>
        <v>134.40000000000003</v>
      </c>
      <c r="F27" s="161"/>
      <c r="G27" s="162">
        <f>ROUND(E27*F27,2)</f>
        <v>0</v>
      </c>
      <c r="H27" s="161">
        <v>0</v>
      </c>
      <c r="I27" s="162">
        <f>ROUND(E27*H27,2)</f>
        <v>0</v>
      </c>
      <c r="J27" s="161">
        <v>259.5</v>
      </c>
      <c r="K27" s="162">
        <f>ROUND(E27*J27,2)</f>
        <v>34876.800000000003</v>
      </c>
      <c r="L27" s="162">
        <v>21</v>
      </c>
      <c r="M27" s="162">
        <f>G27*(1+L27/100)</f>
        <v>0</v>
      </c>
      <c r="N27" s="162">
        <v>0</v>
      </c>
      <c r="O27" s="162">
        <f>ROUND(E27*N27,2)</f>
        <v>0</v>
      </c>
      <c r="P27" s="162">
        <v>0</v>
      </c>
      <c r="Q27" s="162">
        <f>ROUND(E27*P27,2)</f>
        <v>0</v>
      </c>
      <c r="R27" s="162" t="s">
        <v>115</v>
      </c>
      <c r="S27" s="162" t="s">
        <v>351</v>
      </c>
      <c r="T27" s="162" t="s">
        <v>351</v>
      </c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ht="12.75" customHeight="1" outlineLevel="1" x14ac:dyDescent="0.2">
      <c r="A28" s="147"/>
      <c r="B28" s="148"/>
      <c r="C28" s="290" t="s">
        <v>119</v>
      </c>
      <c r="D28" s="291"/>
      <c r="E28" s="291"/>
      <c r="F28" s="291"/>
      <c r="G28" s="291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outlineLevel="1" x14ac:dyDescent="0.2">
      <c r="A29" s="147"/>
      <c r="B29" s="148"/>
      <c r="C29" s="292"/>
      <c r="D29" s="293"/>
      <c r="E29" s="293"/>
      <c r="F29" s="293"/>
      <c r="G29" s="293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">
      <c r="A30" s="157">
        <f>A27+1</f>
        <v>10</v>
      </c>
      <c r="B30" s="158" t="s">
        <v>120</v>
      </c>
      <c r="C30" s="168" t="s">
        <v>164</v>
      </c>
      <c r="D30" s="159" t="s">
        <v>116</v>
      </c>
      <c r="E30" s="160">
        <f>E19</f>
        <v>19.200000000000003</v>
      </c>
      <c r="F30" s="161"/>
      <c r="G30" s="162">
        <f>ROUND(E30*F30,2)</f>
        <v>0</v>
      </c>
      <c r="H30" s="161">
        <v>0</v>
      </c>
      <c r="I30" s="162">
        <f>ROUND(E30*H30,2)</f>
        <v>0</v>
      </c>
      <c r="J30" s="161">
        <v>265</v>
      </c>
      <c r="K30" s="162">
        <f>ROUND(E30*J30,2)</f>
        <v>5088</v>
      </c>
      <c r="L30" s="162">
        <v>21</v>
      </c>
      <c r="M30" s="162">
        <f>G30*(1+L30/100)</f>
        <v>0</v>
      </c>
      <c r="N30" s="162">
        <v>0</v>
      </c>
      <c r="O30" s="162">
        <f>ROUND(E30*N30,2)</f>
        <v>0</v>
      </c>
      <c r="P30" s="162">
        <v>0</v>
      </c>
      <c r="Q30" s="162">
        <f>ROUND(E30*P30,2)</f>
        <v>0</v>
      </c>
      <c r="R30" s="162" t="s">
        <v>115</v>
      </c>
      <c r="S30" s="162" t="s">
        <v>351</v>
      </c>
      <c r="T30" s="162" t="s">
        <v>351</v>
      </c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ht="12.75" customHeight="1" outlineLevel="1" x14ac:dyDescent="0.2">
      <c r="A31" s="147"/>
      <c r="B31" s="148"/>
      <c r="C31" s="295"/>
      <c r="D31" s="296"/>
      <c r="E31" s="296"/>
      <c r="F31" s="296"/>
      <c r="G31" s="296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1:59" ht="12.75" customHeight="1" outlineLevel="1" x14ac:dyDescent="0.2">
      <c r="A32" s="157">
        <f>A30+1</f>
        <v>11</v>
      </c>
      <c r="B32" s="158" t="s">
        <v>370</v>
      </c>
      <c r="C32" s="168" t="s">
        <v>431</v>
      </c>
      <c r="D32" s="159" t="s">
        <v>126</v>
      </c>
      <c r="E32" s="160">
        <f>E27*1.85</f>
        <v>248.64000000000007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65889.600000000006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351</v>
      </c>
      <c r="T32" s="162" t="s">
        <v>351</v>
      </c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1:59" ht="12.75" customHeight="1" outlineLevel="1" x14ac:dyDescent="0.2">
      <c r="A33" s="147"/>
      <c r="B33" s="148"/>
      <c r="C33" s="182" t="s">
        <v>432</v>
      </c>
      <c r="D33" s="183"/>
      <c r="E33" s="184"/>
      <c r="F33" s="192"/>
      <c r="G33" s="185"/>
      <c r="H33" s="181"/>
      <c r="I33" s="149"/>
      <c r="J33" s="181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1:59" ht="12.75" customHeight="1" outlineLevel="1" x14ac:dyDescent="0.2">
      <c r="A34" s="147"/>
      <c r="B34" s="148"/>
      <c r="C34" s="169"/>
      <c r="D34" s="164"/>
      <c r="E34" s="164"/>
      <c r="F34" s="164"/>
      <c r="G34" s="164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">
      <c r="A35" s="157">
        <f>A32+1</f>
        <v>12</v>
      </c>
      <c r="B35" s="158" t="s">
        <v>199</v>
      </c>
      <c r="C35" s="168" t="s">
        <v>371</v>
      </c>
      <c r="D35" s="159" t="s">
        <v>116</v>
      </c>
      <c r="E35" s="160">
        <f>E16-E70</f>
        <v>112.32000000000002</v>
      </c>
      <c r="F35" s="161"/>
      <c r="G35" s="162">
        <f>E35*F35</f>
        <v>0</v>
      </c>
      <c r="H35" s="161">
        <v>0</v>
      </c>
      <c r="I35" s="162">
        <v>0</v>
      </c>
      <c r="J35" s="161">
        <v>282.5</v>
      </c>
      <c r="K35" s="162">
        <v>22882.5</v>
      </c>
      <c r="L35" s="162">
        <v>21</v>
      </c>
      <c r="M35" s="162">
        <f>G35*1.21</f>
        <v>0</v>
      </c>
      <c r="N35" s="162">
        <v>0</v>
      </c>
      <c r="O35" s="162">
        <v>0</v>
      </c>
      <c r="P35" s="162">
        <v>0</v>
      </c>
      <c r="Q35" s="162">
        <v>0</v>
      </c>
      <c r="R35" s="162" t="s">
        <v>115</v>
      </c>
      <c r="S35" s="162" t="s">
        <v>351</v>
      </c>
      <c r="T35" s="162" t="s">
        <v>351</v>
      </c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">
      <c r="A36" s="157"/>
      <c r="B36" s="158"/>
      <c r="C36" s="295"/>
      <c r="D36" s="296"/>
      <c r="E36" s="296"/>
      <c r="F36" s="296"/>
      <c r="G36" s="296"/>
      <c r="H36" s="161"/>
      <c r="I36" s="162"/>
      <c r="J36" s="161"/>
      <c r="K36" s="162"/>
      <c r="L36" s="162"/>
      <c r="M36" s="162"/>
      <c r="N36" s="162"/>
      <c r="O36" s="162"/>
      <c r="P36" s="162"/>
      <c r="Q36" s="162"/>
      <c r="R36" s="162"/>
      <c r="S36" s="162"/>
      <c r="T36" s="201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">
      <c r="A37" s="157">
        <f>A35+1</f>
        <v>13</v>
      </c>
      <c r="B37" s="158" t="s">
        <v>124</v>
      </c>
      <c r="C37" s="168" t="s">
        <v>125</v>
      </c>
      <c r="D37" s="159" t="s">
        <v>116</v>
      </c>
      <c r="E37" s="160">
        <f>E27</f>
        <v>134.40000000000003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282.5</v>
      </c>
      <c r="K37" s="162">
        <f>ROUND(E37*J37,2)</f>
        <v>37968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115</v>
      </c>
      <c r="S37" s="162" t="s">
        <v>351</v>
      </c>
      <c r="T37" s="162" t="s">
        <v>351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">
      <c r="A38" s="147"/>
      <c r="B38" s="148"/>
      <c r="C38" s="295"/>
      <c r="D38" s="296"/>
      <c r="E38" s="296"/>
      <c r="F38" s="296"/>
      <c r="G38" s="296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outlineLevel="1" x14ac:dyDescent="0.2">
      <c r="A39" s="151" t="s">
        <v>91</v>
      </c>
      <c r="B39" s="152" t="s">
        <v>259</v>
      </c>
      <c r="C39" s="167" t="s">
        <v>260</v>
      </c>
      <c r="D39" s="153"/>
      <c r="E39" s="154"/>
      <c r="F39" s="155"/>
      <c r="G39" s="155">
        <f>SUMIF(AF40:AF55,"&lt;&gt;NOR",G40:G55)</f>
        <v>0</v>
      </c>
      <c r="H39" s="155"/>
      <c r="I39" s="155">
        <f>SUM(I40:I55)</f>
        <v>43326.53</v>
      </c>
      <c r="J39" s="155"/>
      <c r="K39" s="155">
        <f>SUM(K40:K55)</f>
        <v>96659.91</v>
      </c>
      <c r="L39" s="155"/>
      <c r="M39" s="155">
        <f>SUM(M40:M55)</f>
        <v>0</v>
      </c>
      <c r="N39" s="155"/>
      <c r="O39" s="155">
        <f>SUM(O40:O55)</f>
        <v>32.190000000000005</v>
      </c>
      <c r="P39" s="155"/>
      <c r="Q39" s="155">
        <f>SUM(Q40:Q55)</f>
        <v>0</v>
      </c>
      <c r="R39" s="155"/>
      <c r="S39" s="155"/>
      <c r="T39" s="156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1:59" outlineLevel="1" x14ac:dyDescent="0.2">
      <c r="A40" s="157">
        <f>A37+1</f>
        <v>14</v>
      </c>
      <c r="B40" s="158" t="s">
        <v>402</v>
      </c>
      <c r="C40" s="168" t="s">
        <v>401</v>
      </c>
      <c r="D40" s="159" t="s">
        <v>95</v>
      </c>
      <c r="E40" s="160">
        <v>4</v>
      </c>
      <c r="F40" s="161"/>
      <c r="G40" s="162">
        <f>ROUND(E40*F40,2)</f>
        <v>0</v>
      </c>
      <c r="H40" s="161">
        <v>356.55</v>
      </c>
      <c r="I40" s="162">
        <f>ROUND(E40*H40,2)</f>
        <v>1426.2</v>
      </c>
      <c r="J40" s="161">
        <v>795.45</v>
      </c>
      <c r="K40" s="162">
        <f>ROUND(E40*J40,2)</f>
        <v>3181.8</v>
      </c>
      <c r="L40" s="162">
        <v>21</v>
      </c>
      <c r="M40" s="162">
        <f>G40*(1+L40/100)</f>
        <v>0</v>
      </c>
      <c r="N40" s="162">
        <v>0.26486999999999999</v>
      </c>
      <c r="O40" s="162">
        <f>ROUND(E40*N40,2)</f>
        <v>1.06</v>
      </c>
      <c r="P40" s="162">
        <v>0</v>
      </c>
      <c r="Q40" s="162">
        <f>ROUND(E40*P40,2)</f>
        <v>0</v>
      </c>
      <c r="R40" s="162" t="s">
        <v>262</v>
      </c>
      <c r="S40" s="162" t="s">
        <v>351</v>
      </c>
      <c r="T40" s="162" t="s">
        <v>351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">
      <c r="A41" s="147"/>
      <c r="B41" s="148"/>
      <c r="C41" s="224"/>
      <c r="D41" s="179"/>
      <c r="E41" s="179"/>
      <c r="F41" s="179"/>
      <c r="G41" s="179"/>
      <c r="H41" s="181"/>
      <c r="I41" s="149"/>
      <c r="J41" s="181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">
      <c r="A42" s="157">
        <f>A40+1</f>
        <v>15</v>
      </c>
      <c r="B42" s="158" t="s">
        <v>404</v>
      </c>
      <c r="C42" s="168" t="s">
        <v>403</v>
      </c>
      <c r="D42" s="159" t="s">
        <v>116</v>
      </c>
      <c r="E42" s="160">
        <f>7.2*0.3*1.8*2</f>
        <v>7.7760000000000007</v>
      </c>
      <c r="F42" s="161"/>
      <c r="G42" s="162">
        <f>ROUND(E42*F42,2)</f>
        <v>0</v>
      </c>
      <c r="H42" s="161">
        <v>356.55</v>
      </c>
      <c r="I42" s="162">
        <f>ROUND(E42*H42,2)</f>
        <v>2772.53</v>
      </c>
      <c r="J42" s="161">
        <v>795.45</v>
      </c>
      <c r="K42" s="162">
        <f>ROUND(E42*J42,2)</f>
        <v>6185.42</v>
      </c>
      <c r="L42" s="162">
        <v>21</v>
      </c>
      <c r="M42" s="162">
        <f>G42*(1+L42/100)</f>
        <v>0</v>
      </c>
      <c r="N42" s="162">
        <v>0.26486999999999999</v>
      </c>
      <c r="O42" s="162">
        <f>ROUND(E42*N42,2)</f>
        <v>2.06</v>
      </c>
      <c r="P42" s="162">
        <v>0</v>
      </c>
      <c r="Q42" s="162">
        <f>ROUND(E42*P42,2)</f>
        <v>0</v>
      </c>
      <c r="R42" s="162" t="s">
        <v>262</v>
      </c>
      <c r="S42" s="162" t="s">
        <v>351</v>
      </c>
      <c r="T42" s="162" t="s">
        <v>351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1:59" outlineLevel="1" x14ac:dyDescent="0.2">
      <c r="A43" s="147"/>
      <c r="B43" s="148"/>
      <c r="C43" s="224"/>
      <c r="D43" s="179"/>
      <c r="E43" s="179"/>
      <c r="F43" s="179"/>
      <c r="G43" s="179"/>
      <c r="H43" s="181"/>
      <c r="I43" s="149"/>
      <c r="J43" s="181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">
      <c r="A44" s="157">
        <f>A42+1</f>
        <v>16</v>
      </c>
      <c r="B44" s="158" t="s">
        <v>406</v>
      </c>
      <c r="C44" s="168" t="s">
        <v>405</v>
      </c>
      <c r="D44" s="159" t="s">
        <v>114</v>
      </c>
      <c r="E44" s="160">
        <f>7.2*2+4*1.1</f>
        <v>18.8</v>
      </c>
      <c r="F44" s="161"/>
      <c r="G44" s="162">
        <f>ROUND(E44*F44,2)</f>
        <v>0</v>
      </c>
      <c r="H44" s="161">
        <v>356.55</v>
      </c>
      <c r="I44" s="162">
        <f>ROUND(E44*H44,2)</f>
        <v>6703.14</v>
      </c>
      <c r="J44" s="161">
        <v>795.45</v>
      </c>
      <c r="K44" s="162">
        <f>ROUND(E44*J44,2)</f>
        <v>14954.46</v>
      </c>
      <c r="L44" s="162">
        <v>21</v>
      </c>
      <c r="M44" s="162">
        <f>G44*(1+L44/100)</f>
        <v>0</v>
      </c>
      <c r="N44" s="162">
        <v>0.26486999999999999</v>
      </c>
      <c r="O44" s="162">
        <f>ROUND(E44*N44,2)</f>
        <v>4.9800000000000004</v>
      </c>
      <c r="P44" s="162">
        <v>0</v>
      </c>
      <c r="Q44" s="162">
        <f>ROUND(E44*P44,2)</f>
        <v>0</v>
      </c>
      <c r="R44" s="162" t="s">
        <v>262</v>
      </c>
      <c r="S44" s="162" t="s">
        <v>351</v>
      </c>
      <c r="T44" s="162" t="s">
        <v>351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">
      <c r="A45" s="147"/>
      <c r="B45" s="148"/>
      <c r="C45" s="224"/>
      <c r="D45" s="179"/>
      <c r="E45" s="179"/>
      <c r="F45" s="179"/>
      <c r="G45" s="179"/>
      <c r="H45" s="181"/>
      <c r="I45" s="149"/>
      <c r="J45" s="181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outlineLevel="1" x14ac:dyDescent="0.2">
      <c r="A46" s="157">
        <f>A42+1</f>
        <v>16</v>
      </c>
      <c r="B46" s="158" t="s">
        <v>407</v>
      </c>
      <c r="C46" s="168" t="s">
        <v>410</v>
      </c>
      <c r="D46" s="159" t="s">
        <v>116</v>
      </c>
      <c r="E46" s="160">
        <f>2.5*9*0.1*2</f>
        <v>4.5</v>
      </c>
      <c r="F46" s="161"/>
      <c r="G46" s="162">
        <f>ROUND(E46*F46,2)</f>
        <v>0</v>
      </c>
      <c r="H46" s="161">
        <v>356.55</v>
      </c>
      <c r="I46" s="162">
        <f>ROUND(E46*H46,2)</f>
        <v>1604.48</v>
      </c>
      <c r="J46" s="161">
        <v>795.45</v>
      </c>
      <c r="K46" s="162">
        <f>ROUND(E46*J46,2)</f>
        <v>3579.53</v>
      </c>
      <c r="L46" s="162">
        <v>21</v>
      </c>
      <c r="M46" s="162">
        <f>G46*(1+L46/100)</f>
        <v>0</v>
      </c>
      <c r="N46" s="162">
        <v>0.26486999999999999</v>
      </c>
      <c r="O46" s="162">
        <f>ROUND(E46*N46,2)</f>
        <v>1.19</v>
      </c>
      <c r="P46" s="162">
        <v>0</v>
      </c>
      <c r="Q46" s="162">
        <f>ROUND(E46*P46,2)</f>
        <v>0</v>
      </c>
      <c r="R46" s="162" t="s">
        <v>262</v>
      </c>
      <c r="S46" s="162" t="s">
        <v>351</v>
      </c>
      <c r="T46" s="162" t="s">
        <v>351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outlineLevel="1" x14ac:dyDescent="0.2">
      <c r="A47" s="147"/>
      <c r="B47" s="148"/>
      <c r="C47" s="224"/>
      <c r="D47" s="179"/>
      <c r="E47" s="179"/>
      <c r="F47" s="179"/>
      <c r="G47" s="179"/>
      <c r="H47" s="181"/>
      <c r="I47" s="149"/>
      <c r="J47" s="181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">
      <c r="A48" s="157">
        <f>A44+1</f>
        <v>17</v>
      </c>
      <c r="B48" s="158" t="s">
        <v>408</v>
      </c>
      <c r="C48" s="168" t="s">
        <v>409</v>
      </c>
      <c r="D48" s="159" t="s">
        <v>116</v>
      </c>
      <c r="E48" s="160">
        <f>1.5*8.5*0.8*2</f>
        <v>20.400000000000002</v>
      </c>
      <c r="F48" s="161"/>
      <c r="G48" s="162">
        <f>ROUND(E48*F48,2)</f>
        <v>0</v>
      </c>
      <c r="H48" s="161">
        <v>356.55</v>
      </c>
      <c r="I48" s="162">
        <f>ROUND(E48*H48,2)</f>
        <v>7273.62</v>
      </c>
      <c r="J48" s="161">
        <v>795.45</v>
      </c>
      <c r="K48" s="162">
        <f>ROUND(E48*J48,2)</f>
        <v>16227.18</v>
      </c>
      <c r="L48" s="162">
        <v>21</v>
      </c>
      <c r="M48" s="162">
        <f>G48*(1+L48/100)</f>
        <v>0</v>
      </c>
      <c r="N48" s="162">
        <v>0.26486999999999999</v>
      </c>
      <c r="O48" s="162">
        <f>ROUND(E48*N48,2)</f>
        <v>5.4</v>
      </c>
      <c r="P48" s="162">
        <v>0</v>
      </c>
      <c r="Q48" s="162">
        <f>ROUND(E48*P48,2)</f>
        <v>0</v>
      </c>
      <c r="R48" s="162" t="s">
        <v>262</v>
      </c>
      <c r="S48" s="162" t="s">
        <v>351</v>
      </c>
      <c r="T48" s="162" t="s">
        <v>351</v>
      </c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outlineLevel="1" x14ac:dyDescent="0.2">
      <c r="A49" s="147"/>
      <c r="B49" s="148"/>
      <c r="C49" s="224"/>
      <c r="D49" s="179"/>
      <c r="E49" s="179"/>
      <c r="F49" s="179"/>
      <c r="G49" s="179"/>
      <c r="H49" s="181"/>
      <c r="I49" s="149"/>
      <c r="J49" s="181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outlineLevel="1" x14ac:dyDescent="0.2">
      <c r="A50" s="157">
        <f>A48+1</f>
        <v>18</v>
      </c>
      <c r="B50" s="158" t="s">
        <v>412</v>
      </c>
      <c r="C50" s="168" t="s">
        <v>411</v>
      </c>
      <c r="D50" s="159" t="s">
        <v>98</v>
      </c>
      <c r="E50" s="160">
        <f>(1.5+8.5+8.5+1.5)*0.8*2</f>
        <v>32</v>
      </c>
      <c r="F50" s="161"/>
      <c r="G50" s="162">
        <f>ROUND(E50*F50,2)</f>
        <v>0</v>
      </c>
      <c r="H50" s="161">
        <v>356.55</v>
      </c>
      <c r="I50" s="162">
        <f>ROUND(E50*H50,2)</f>
        <v>11409.6</v>
      </c>
      <c r="J50" s="161">
        <v>795.45</v>
      </c>
      <c r="K50" s="162">
        <f>ROUND(E50*J50,2)</f>
        <v>25454.400000000001</v>
      </c>
      <c r="L50" s="162">
        <v>21</v>
      </c>
      <c r="M50" s="162">
        <f>G50*(1+L50/100)</f>
        <v>0</v>
      </c>
      <c r="N50" s="162">
        <v>0.26486999999999999</v>
      </c>
      <c r="O50" s="162">
        <f>ROUND(E50*N50,2)</f>
        <v>8.48</v>
      </c>
      <c r="P50" s="162">
        <v>0</v>
      </c>
      <c r="Q50" s="162">
        <f>ROUND(E50*P50,2)</f>
        <v>0</v>
      </c>
      <c r="R50" s="162" t="s">
        <v>262</v>
      </c>
      <c r="S50" s="162" t="s">
        <v>351</v>
      </c>
      <c r="T50" s="162" t="s">
        <v>351</v>
      </c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outlineLevel="1" x14ac:dyDescent="0.2">
      <c r="A51" s="147"/>
      <c r="B51" s="148"/>
      <c r="C51" s="224"/>
      <c r="D51" s="179"/>
      <c r="E51" s="179"/>
      <c r="F51" s="179"/>
      <c r="G51" s="179"/>
      <c r="H51" s="181"/>
      <c r="I51" s="149"/>
      <c r="J51" s="181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1:59" outlineLevel="1" x14ac:dyDescent="0.2">
      <c r="A52" s="157">
        <f>A50+1</f>
        <v>19</v>
      </c>
      <c r="B52" s="158" t="s">
        <v>414</v>
      </c>
      <c r="C52" s="168" t="s">
        <v>413</v>
      </c>
      <c r="D52" s="159" t="s">
        <v>98</v>
      </c>
      <c r="E52" s="160">
        <f>E50</f>
        <v>32</v>
      </c>
      <c r="F52" s="161"/>
      <c r="G52" s="162">
        <f>ROUND(E52*F52,2)</f>
        <v>0</v>
      </c>
      <c r="H52" s="161">
        <v>356.55</v>
      </c>
      <c r="I52" s="162">
        <f>ROUND(E52*H52,2)</f>
        <v>11409.6</v>
      </c>
      <c r="J52" s="161">
        <v>795.45</v>
      </c>
      <c r="K52" s="162">
        <f>ROUND(E52*J52,2)</f>
        <v>25454.400000000001</v>
      </c>
      <c r="L52" s="162">
        <v>21</v>
      </c>
      <c r="M52" s="162">
        <f>G52*(1+L52/100)</f>
        <v>0</v>
      </c>
      <c r="N52" s="162">
        <v>0.26486999999999999</v>
      </c>
      <c r="O52" s="162">
        <f>ROUND(E52*N52,2)</f>
        <v>8.48</v>
      </c>
      <c r="P52" s="162">
        <v>0</v>
      </c>
      <c r="Q52" s="162">
        <f>ROUND(E52*P52,2)</f>
        <v>0</v>
      </c>
      <c r="R52" s="162" t="s">
        <v>262</v>
      </c>
      <c r="S52" s="162" t="s">
        <v>351</v>
      </c>
      <c r="T52" s="162" t="s">
        <v>351</v>
      </c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1:59" outlineLevel="1" x14ac:dyDescent="0.2">
      <c r="A53" s="147"/>
      <c r="B53" s="148"/>
      <c r="C53" s="224"/>
      <c r="D53" s="179"/>
      <c r="E53" s="179"/>
      <c r="F53" s="179"/>
      <c r="G53" s="179"/>
      <c r="H53" s="181"/>
      <c r="I53" s="149"/>
      <c r="J53" s="181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1:59" outlineLevel="1" x14ac:dyDescent="0.2">
      <c r="A54" s="157">
        <f>A52+1</f>
        <v>20</v>
      </c>
      <c r="B54" s="158" t="s">
        <v>416</v>
      </c>
      <c r="C54" s="168" t="s">
        <v>415</v>
      </c>
      <c r="D54" s="159" t="s">
        <v>126</v>
      </c>
      <c r="E54" s="160">
        <f>E48*0.1</f>
        <v>2.0400000000000005</v>
      </c>
      <c r="F54" s="161"/>
      <c r="G54" s="162">
        <f>ROUND(E54*F54,2)</f>
        <v>0</v>
      </c>
      <c r="H54" s="161">
        <v>356.55</v>
      </c>
      <c r="I54" s="162">
        <f>ROUND(E54*H54,2)</f>
        <v>727.36</v>
      </c>
      <c r="J54" s="161">
        <v>795.45</v>
      </c>
      <c r="K54" s="162">
        <f>ROUND(E54*J54,2)</f>
        <v>1622.72</v>
      </c>
      <c r="L54" s="162">
        <v>21</v>
      </c>
      <c r="M54" s="162">
        <f>G54*(1+L54/100)</f>
        <v>0</v>
      </c>
      <c r="N54" s="162">
        <v>0.26486999999999999</v>
      </c>
      <c r="O54" s="162">
        <f>ROUND(E54*N54,2)</f>
        <v>0.54</v>
      </c>
      <c r="P54" s="162">
        <v>0</v>
      </c>
      <c r="Q54" s="162">
        <f>ROUND(E54*P54,2)</f>
        <v>0</v>
      </c>
      <c r="R54" s="162" t="s">
        <v>262</v>
      </c>
      <c r="S54" s="162" t="s">
        <v>351</v>
      </c>
      <c r="T54" s="162" t="s">
        <v>351</v>
      </c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59" outlineLevel="1" x14ac:dyDescent="0.2">
      <c r="A55" s="147"/>
      <c r="B55" s="148"/>
      <c r="C55" s="295"/>
      <c r="D55" s="296"/>
      <c r="E55" s="296"/>
      <c r="F55" s="296"/>
      <c r="G55" s="296"/>
      <c r="H55" s="181"/>
      <c r="I55" s="149"/>
      <c r="J55" s="181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</row>
    <row r="56" spans="1:59" outlineLevel="1" x14ac:dyDescent="0.2">
      <c r="A56" s="151" t="s">
        <v>91</v>
      </c>
      <c r="B56" s="152" t="s">
        <v>417</v>
      </c>
      <c r="C56" s="167" t="s">
        <v>418</v>
      </c>
      <c r="D56" s="153"/>
      <c r="E56" s="154"/>
      <c r="F56" s="155"/>
      <c r="G56" s="155">
        <f>SUMIF(AF57:AF68,"&lt;&gt;NOR",G57:G68)</f>
        <v>0</v>
      </c>
      <c r="H56" s="155"/>
      <c r="I56" s="155">
        <f>SUM(I57:I68)</f>
        <v>111943.59999999999</v>
      </c>
      <c r="J56" s="155"/>
      <c r="K56" s="155">
        <f>SUM(K57:K68)</f>
        <v>255215.36999999997</v>
      </c>
      <c r="L56" s="155"/>
      <c r="M56" s="155">
        <f>SUM(M57:M68)</f>
        <v>0</v>
      </c>
      <c r="N56" s="155"/>
      <c r="O56" s="155">
        <f>SUM(O57:O68)</f>
        <v>83.03</v>
      </c>
      <c r="P56" s="155"/>
      <c r="Q56" s="155">
        <f>SUM(Q57:Q68)</f>
        <v>0</v>
      </c>
      <c r="R56" s="155"/>
      <c r="S56" s="155"/>
      <c r="T56" s="156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1:59" outlineLevel="1" x14ac:dyDescent="0.2">
      <c r="A57" s="157">
        <f>A54+1</f>
        <v>21</v>
      </c>
      <c r="B57" s="158" t="s">
        <v>420</v>
      </c>
      <c r="C57" s="168" t="s">
        <v>419</v>
      </c>
      <c r="D57" s="159" t="s">
        <v>116</v>
      </c>
      <c r="E57" s="160">
        <f>0.8*1.8*8*2+0.4*0.35*8*2</f>
        <v>25.28</v>
      </c>
      <c r="F57" s="161"/>
      <c r="G57" s="162">
        <f>ROUND(E57*F57,2)</f>
        <v>0</v>
      </c>
      <c r="H57" s="161">
        <v>356.55</v>
      </c>
      <c r="I57" s="162">
        <f>ROUND(E57*H57,2)</f>
        <v>9013.58</v>
      </c>
      <c r="J57" s="161">
        <v>795.45</v>
      </c>
      <c r="K57" s="162">
        <f>ROUND(E57*J57,2)</f>
        <v>20108.98</v>
      </c>
      <c r="L57" s="162">
        <v>21</v>
      </c>
      <c r="M57" s="162">
        <f>G57*(1+L57/100)</f>
        <v>0</v>
      </c>
      <c r="N57" s="162">
        <v>0.26486999999999999</v>
      </c>
      <c r="O57" s="162">
        <f>ROUND(E57*N57,2)</f>
        <v>6.7</v>
      </c>
      <c r="P57" s="162">
        <v>0</v>
      </c>
      <c r="Q57" s="162">
        <f>ROUND(E57*P57,2)</f>
        <v>0</v>
      </c>
      <c r="R57" s="162" t="s">
        <v>262</v>
      </c>
      <c r="S57" s="163" t="s">
        <v>101</v>
      </c>
      <c r="T57" s="163" t="s">
        <v>101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1:59" outlineLevel="1" x14ac:dyDescent="0.2">
      <c r="A58" s="147"/>
      <c r="B58" s="148"/>
      <c r="C58" s="169"/>
      <c r="D58" s="164"/>
      <c r="E58" s="164"/>
      <c r="F58" s="164"/>
      <c r="G58" s="164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1:59" outlineLevel="1" x14ac:dyDescent="0.2">
      <c r="A59" s="157">
        <f>A57+1</f>
        <v>22</v>
      </c>
      <c r="B59" s="158" t="s">
        <v>422</v>
      </c>
      <c r="C59" s="168" t="s">
        <v>421</v>
      </c>
      <c r="D59" s="159" t="s">
        <v>116</v>
      </c>
      <c r="E59" s="160">
        <f>2.15*0.8*1.5*4</f>
        <v>10.32</v>
      </c>
      <c r="F59" s="161"/>
      <c r="G59" s="162">
        <f>ROUND(E59*F59,2)</f>
        <v>0</v>
      </c>
      <c r="H59" s="161">
        <v>375.32</v>
      </c>
      <c r="I59" s="162">
        <f>ROUND(E59*H59,2)</f>
        <v>3873.3</v>
      </c>
      <c r="J59" s="161">
        <v>1367.68</v>
      </c>
      <c r="K59" s="162">
        <f>ROUND(E59*J59,2)</f>
        <v>14114.46</v>
      </c>
      <c r="L59" s="162">
        <v>21</v>
      </c>
      <c r="M59" s="162">
        <f>G59*(1+L59/100)</f>
        <v>0</v>
      </c>
      <c r="N59" s="162">
        <v>0.26595000000000002</v>
      </c>
      <c r="O59" s="162">
        <f>ROUND(E59*N59,2)</f>
        <v>2.74</v>
      </c>
      <c r="P59" s="162">
        <v>0</v>
      </c>
      <c r="Q59" s="162">
        <f>ROUND(E59*P59,2)</f>
        <v>0</v>
      </c>
      <c r="R59" s="162" t="s">
        <v>262</v>
      </c>
      <c r="S59" s="163" t="s">
        <v>101</v>
      </c>
      <c r="T59" s="163" t="s">
        <v>101</v>
      </c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1:59" outlineLevel="1" x14ac:dyDescent="0.2">
      <c r="A60" s="147"/>
      <c r="B60" s="148"/>
      <c r="C60" s="178"/>
      <c r="D60" s="179"/>
      <c r="E60" s="179"/>
      <c r="F60" s="179"/>
      <c r="G60" s="179"/>
      <c r="H60" s="181"/>
      <c r="I60" s="149"/>
      <c r="J60" s="181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</row>
    <row r="61" spans="1:59" outlineLevel="1" x14ac:dyDescent="0.2">
      <c r="A61" s="157">
        <f>A59+1</f>
        <v>23</v>
      </c>
      <c r="B61" s="158" t="s">
        <v>425</v>
      </c>
      <c r="C61" s="168" t="s">
        <v>423</v>
      </c>
      <c r="D61" s="159" t="s">
        <v>98</v>
      </c>
      <c r="E61" s="160">
        <f>2.15*7.2+2.15*8+2.15*2.3*4+2.15*1.5*4+2.15*0.8*4+0.4*8*20</f>
        <v>136.23999999999998</v>
      </c>
      <c r="F61" s="161"/>
      <c r="G61" s="162">
        <f>ROUND(E61*F61,2)</f>
        <v>0</v>
      </c>
      <c r="H61" s="161">
        <v>356.55</v>
      </c>
      <c r="I61" s="162">
        <f>ROUND(E61*H61,2)</f>
        <v>48576.37</v>
      </c>
      <c r="J61" s="161">
        <v>795.45</v>
      </c>
      <c r="K61" s="162">
        <f>ROUND(E61*J61,2)</f>
        <v>108372.11</v>
      </c>
      <c r="L61" s="162">
        <v>21</v>
      </c>
      <c r="M61" s="162">
        <f>G61*(1+L61/100)</f>
        <v>0</v>
      </c>
      <c r="N61" s="162">
        <v>0.26486999999999999</v>
      </c>
      <c r="O61" s="162">
        <f>ROUND(E61*N61,2)</f>
        <v>36.090000000000003</v>
      </c>
      <c r="P61" s="162">
        <v>0</v>
      </c>
      <c r="Q61" s="162">
        <f>ROUND(E61*P61,2)</f>
        <v>0</v>
      </c>
      <c r="R61" s="162" t="s">
        <v>262</v>
      </c>
      <c r="S61" s="162" t="s">
        <v>351</v>
      </c>
      <c r="T61" s="162" t="s">
        <v>351</v>
      </c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</row>
    <row r="62" spans="1:59" outlineLevel="1" x14ac:dyDescent="0.2">
      <c r="A62" s="147"/>
      <c r="B62" s="148"/>
      <c r="C62" s="224"/>
      <c r="D62" s="179"/>
      <c r="E62" s="179"/>
      <c r="F62" s="179"/>
      <c r="G62" s="179"/>
      <c r="H62" s="181"/>
      <c r="I62" s="149"/>
      <c r="J62" s="181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</row>
    <row r="63" spans="1:59" outlineLevel="1" x14ac:dyDescent="0.2">
      <c r="A63" s="157">
        <f>A61+1</f>
        <v>24</v>
      </c>
      <c r="B63" s="158" t="s">
        <v>426</v>
      </c>
      <c r="C63" s="168" t="s">
        <v>424</v>
      </c>
      <c r="D63" s="159" t="s">
        <v>98</v>
      </c>
      <c r="E63" s="160">
        <f>E61</f>
        <v>136.23999999999998</v>
      </c>
      <c r="F63" s="161"/>
      <c r="G63" s="162">
        <f>ROUND(E63*F63,2)</f>
        <v>0</v>
      </c>
      <c r="H63" s="161">
        <v>356.55</v>
      </c>
      <c r="I63" s="162">
        <f>ROUND(E63*H63,2)</f>
        <v>48576.37</v>
      </c>
      <c r="J63" s="161">
        <v>795.45</v>
      </c>
      <c r="K63" s="162">
        <f>ROUND(E63*J63,2)</f>
        <v>108372.11</v>
      </c>
      <c r="L63" s="162">
        <v>21</v>
      </c>
      <c r="M63" s="162">
        <f>G63*(1+L63/100)</f>
        <v>0</v>
      </c>
      <c r="N63" s="162">
        <v>0.26486999999999999</v>
      </c>
      <c r="O63" s="162">
        <f>ROUND(E63*N63,2)</f>
        <v>36.090000000000003</v>
      </c>
      <c r="P63" s="162">
        <v>0</v>
      </c>
      <c r="Q63" s="162">
        <f>ROUND(E63*P63,2)</f>
        <v>0</v>
      </c>
      <c r="R63" s="162" t="s">
        <v>262</v>
      </c>
      <c r="S63" s="162" t="s">
        <v>351</v>
      </c>
      <c r="T63" s="162" t="s">
        <v>351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</row>
    <row r="64" spans="1:59" outlineLevel="1" x14ac:dyDescent="0.2">
      <c r="A64" s="147"/>
      <c r="B64" s="148"/>
      <c r="C64" s="224"/>
      <c r="D64" s="179"/>
      <c r="E64" s="179"/>
      <c r="F64" s="179"/>
      <c r="G64" s="179"/>
      <c r="H64" s="181"/>
      <c r="I64" s="149"/>
      <c r="J64" s="181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</row>
    <row r="65" spans="1:59" outlineLevel="1" x14ac:dyDescent="0.2">
      <c r="A65" s="157">
        <f>A63+1</f>
        <v>25</v>
      </c>
      <c r="B65" s="158" t="s">
        <v>429</v>
      </c>
      <c r="C65" s="168" t="s">
        <v>427</v>
      </c>
      <c r="D65" s="159" t="s">
        <v>126</v>
      </c>
      <c r="E65" s="160">
        <f>E57*0.15</f>
        <v>3.7919999999999998</v>
      </c>
      <c r="F65" s="161"/>
      <c r="G65" s="162">
        <f>ROUND(E65*F65,2)</f>
        <v>0</v>
      </c>
      <c r="H65" s="161">
        <v>356.55</v>
      </c>
      <c r="I65" s="162">
        <f>ROUND(E65*H65,2)</f>
        <v>1352.04</v>
      </c>
      <c r="J65" s="161">
        <v>795.45</v>
      </c>
      <c r="K65" s="162">
        <f>ROUND(E65*J65,2)</f>
        <v>3016.35</v>
      </c>
      <c r="L65" s="162">
        <v>21</v>
      </c>
      <c r="M65" s="162">
        <f>G65*(1+L65/100)</f>
        <v>0</v>
      </c>
      <c r="N65" s="162">
        <v>0.26486999999999999</v>
      </c>
      <c r="O65" s="162">
        <f>ROUND(E65*N65,2)</f>
        <v>1</v>
      </c>
      <c r="P65" s="162">
        <v>0</v>
      </c>
      <c r="Q65" s="162">
        <f>ROUND(E65*P65,2)</f>
        <v>0</v>
      </c>
      <c r="R65" s="162" t="s">
        <v>262</v>
      </c>
      <c r="S65" s="162" t="s">
        <v>351</v>
      </c>
      <c r="T65" s="162" t="s">
        <v>351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</row>
    <row r="66" spans="1:59" outlineLevel="1" x14ac:dyDescent="0.2">
      <c r="A66" s="147"/>
      <c r="B66" s="148"/>
      <c r="C66" s="224"/>
      <c r="D66" s="179"/>
      <c r="E66" s="179"/>
      <c r="F66" s="179"/>
      <c r="G66" s="179"/>
      <c r="H66" s="181"/>
      <c r="I66" s="149"/>
      <c r="J66" s="181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</row>
    <row r="67" spans="1:59" outlineLevel="1" x14ac:dyDescent="0.2">
      <c r="A67" s="157">
        <f>A65+1</f>
        <v>26</v>
      </c>
      <c r="B67" s="158" t="s">
        <v>430</v>
      </c>
      <c r="C67" s="168" t="s">
        <v>428</v>
      </c>
      <c r="D67" s="159" t="s">
        <v>126</v>
      </c>
      <c r="E67" s="160">
        <f>E59*0.15</f>
        <v>1.548</v>
      </c>
      <c r="F67" s="161"/>
      <c r="G67" s="162">
        <f>ROUND(E67*F67,2)</f>
        <v>0</v>
      </c>
      <c r="H67" s="161">
        <v>356.55</v>
      </c>
      <c r="I67" s="162">
        <f>ROUND(E67*H67,2)</f>
        <v>551.94000000000005</v>
      </c>
      <c r="J67" s="161">
        <v>795.45</v>
      </c>
      <c r="K67" s="162">
        <f>ROUND(E67*J67,2)</f>
        <v>1231.3599999999999</v>
      </c>
      <c r="L67" s="162">
        <v>21</v>
      </c>
      <c r="M67" s="162">
        <f>G67*(1+L67/100)</f>
        <v>0</v>
      </c>
      <c r="N67" s="162">
        <v>0.26486999999999999</v>
      </c>
      <c r="O67" s="162">
        <f>ROUND(E67*N67,2)</f>
        <v>0.41</v>
      </c>
      <c r="P67" s="162">
        <v>0</v>
      </c>
      <c r="Q67" s="162">
        <f>ROUND(E67*P67,2)</f>
        <v>0</v>
      </c>
      <c r="R67" s="162" t="s">
        <v>262</v>
      </c>
      <c r="S67" s="162" t="s">
        <v>351</v>
      </c>
      <c r="T67" s="162" t="s">
        <v>351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</row>
    <row r="68" spans="1:59" outlineLevel="1" x14ac:dyDescent="0.2">
      <c r="A68" s="147"/>
      <c r="B68" s="148"/>
      <c r="C68" s="224"/>
      <c r="D68" s="179"/>
      <c r="E68" s="179"/>
      <c r="F68" s="179"/>
      <c r="G68" s="179"/>
      <c r="H68" s="181"/>
      <c r="I68" s="149"/>
      <c r="J68" s="181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</row>
    <row r="69" spans="1:59" x14ac:dyDescent="0.2">
      <c r="A69" s="151" t="s">
        <v>91</v>
      </c>
      <c r="B69" s="152" t="s">
        <v>200</v>
      </c>
      <c r="C69" s="167" t="s">
        <v>201</v>
      </c>
      <c r="D69" s="153"/>
      <c r="E69" s="154"/>
      <c r="F69" s="155"/>
      <c r="G69" s="155">
        <f>SUMIF(AF70:AF75,"&lt;&gt;NOR",G70:G75)</f>
        <v>0</v>
      </c>
      <c r="H69" s="155"/>
      <c r="I69" s="155">
        <f>SUM(I70:I75)</f>
        <v>25216.6</v>
      </c>
      <c r="J69" s="155"/>
      <c r="K69" s="155">
        <f>SUM(K70:K75)</f>
        <v>20891.239999999998</v>
      </c>
      <c r="L69" s="155"/>
      <c r="M69" s="155">
        <f>SUM(M70:M75)</f>
        <v>0</v>
      </c>
      <c r="N69" s="155"/>
      <c r="O69" s="155">
        <f>SUM(O70:O75)</f>
        <v>24.009999999999998</v>
      </c>
      <c r="P69" s="155"/>
      <c r="Q69" s="155">
        <f>SUM(Q70:Q75)</f>
        <v>0</v>
      </c>
      <c r="R69" s="155"/>
      <c r="S69" s="155"/>
      <c r="T69" s="156"/>
      <c r="U69" s="150"/>
      <c r="V69" s="150" t="e">
        <f>SUM(#REF!)</f>
        <v>#REF!</v>
      </c>
      <c r="W69" s="150"/>
      <c r="X69" s="150"/>
      <c r="Y69" s="84"/>
      <c r="AF69" t="s">
        <v>92</v>
      </c>
    </row>
    <row r="70" spans="1:59" outlineLevel="1" x14ac:dyDescent="0.2">
      <c r="A70" s="157">
        <f>A67+1</f>
        <v>27</v>
      </c>
      <c r="B70" s="158" t="s">
        <v>374</v>
      </c>
      <c r="C70" s="168" t="s">
        <v>372</v>
      </c>
      <c r="D70" s="159" t="s">
        <v>116</v>
      </c>
      <c r="E70" s="160">
        <f>8*1.2*0.15*2</f>
        <v>2.88</v>
      </c>
      <c r="F70" s="161"/>
      <c r="G70" s="162">
        <f>ROUND(E70*F70,2)</f>
        <v>0</v>
      </c>
      <c r="H70" s="161">
        <v>375.32</v>
      </c>
      <c r="I70" s="162">
        <f>ROUND(E70*H70,2)</f>
        <v>1080.92</v>
      </c>
      <c r="J70" s="161">
        <v>1367.68</v>
      </c>
      <c r="K70" s="162">
        <f>ROUND(E70*J70,2)</f>
        <v>3938.92</v>
      </c>
      <c r="L70" s="162">
        <v>21</v>
      </c>
      <c r="M70" s="162">
        <f>G70*(1+L70/100)</f>
        <v>0</v>
      </c>
      <c r="N70" s="162">
        <v>0.26595000000000002</v>
      </c>
      <c r="O70" s="162">
        <f>ROUND(E70*N70,2)</f>
        <v>0.77</v>
      </c>
      <c r="P70" s="162">
        <v>0</v>
      </c>
      <c r="Q70" s="162">
        <f>ROUND(E70*P70,2)</f>
        <v>0</v>
      </c>
      <c r="R70" s="162" t="s">
        <v>262</v>
      </c>
      <c r="S70" s="162" t="s">
        <v>351</v>
      </c>
      <c r="T70" s="163" t="s">
        <v>101</v>
      </c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</row>
    <row r="71" spans="1:59" outlineLevel="1" x14ac:dyDescent="0.2">
      <c r="A71" s="147"/>
      <c r="B71" s="148"/>
      <c r="C71" s="219" t="s">
        <v>373</v>
      </c>
      <c r="D71" s="220"/>
      <c r="E71" s="221"/>
      <c r="F71" s="222"/>
      <c r="G71" s="149"/>
      <c r="H71" s="181"/>
      <c r="I71" s="149"/>
      <c r="J71" s="181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</row>
    <row r="72" spans="1:59" outlineLevel="1" x14ac:dyDescent="0.2">
      <c r="A72" s="147"/>
      <c r="B72" s="148"/>
      <c r="C72" s="169"/>
      <c r="D72" s="164"/>
      <c r="E72" s="164"/>
      <c r="F72" s="164"/>
      <c r="G72" s="164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</row>
    <row r="73" spans="1:59" ht="22.5" outlineLevel="1" x14ac:dyDescent="0.2">
      <c r="A73" s="157">
        <f>A70+1</f>
        <v>28</v>
      </c>
      <c r="B73" s="158" t="s">
        <v>263</v>
      </c>
      <c r="C73" s="168" t="s">
        <v>385</v>
      </c>
      <c r="D73" s="159" t="s">
        <v>98</v>
      </c>
      <c r="E73" s="160">
        <f>8*4</f>
        <v>32</v>
      </c>
      <c r="F73" s="161"/>
      <c r="G73" s="162">
        <f>ROUND(E73*F73,2)</f>
        <v>0</v>
      </c>
      <c r="H73" s="161">
        <v>754.24</v>
      </c>
      <c r="I73" s="162">
        <f>ROUND(E73*H73,2)</f>
        <v>24135.68</v>
      </c>
      <c r="J73" s="161">
        <v>529.76</v>
      </c>
      <c r="K73" s="162">
        <f>ROUND(E73*J73,2)</f>
        <v>16952.32</v>
      </c>
      <c r="L73" s="162">
        <v>21</v>
      </c>
      <c r="M73" s="162">
        <f>G73*(1+L73/100)</f>
        <v>0</v>
      </c>
      <c r="N73" s="162">
        <v>0.72618000000000005</v>
      </c>
      <c r="O73" s="162">
        <f>ROUND(E73*N73,2)</f>
        <v>23.24</v>
      </c>
      <c r="P73" s="162">
        <v>0</v>
      </c>
      <c r="Q73" s="162">
        <f>ROUND(E73*P73,2)</f>
        <v>0</v>
      </c>
      <c r="R73" s="162" t="s">
        <v>264</v>
      </c>
      <c r="S73" s="162" t="s">
        <v>351</v>
      </c>
      <c r="T73" s="162" t="s">
        <v>351</v>
      </c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</row>
    <row r="74" spans="1:59" outlineLevel="1" x14ac:dyDescent="0.2">
      <c r="A74" s="147"/>
      <c r="B74" s="148"/>
      <c r="C74" s="290" t="s">
        <v>265</v>
      </c>
      <c r="D74" s="291"/>
      <c r="E74" s="291"/>
      <c r="F74" s="291"/>
      <c r="G74" s="291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</row>
    <row r="75" spans="1:59" outlineLevel="1" x14ac:dyDescent="0.2">
      <c r="A75" s="147"/>
      <c r="B75" s="148"/>
      <c r="C75" s="292"/>
      <c r="D75" s="293"/>
      <c r="E75" s="293"/>
      <c r="F75" s="293"/>
      <c r="G75" s="293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</row>
    <row r="76" spans="1:59" x14ac:dyDescent="0.2">
      <c r="A76" s="151" t="s">
        <v>91</v>
      </c>
      <c r="B76" s="152" t="s">
        <v>175</v>
      </c>
      <c r="C76" s="167" t="s">
        <v>174</v>
      </c>
      <c r="D76" s="153"/>
      <c r="E76" s="154"/>
      <c r="F76" s="155"/>
      <c r="G76" s="155">
        <f>SUMIF(AF77:AF81,"&lt;&gt;NOR",G77:G81)</f>
        <v>0</v>
      </c>
      <c r="H76" s="155"/>
      <c r="I76" s="155">
        <f>SUM(I77:I81)</f>
        <v>29849.14</v>
      </c>
      <c r="J76" s="155"/>
      <c r="K76" s="155">
        <f>SUM(K77:K81)</f>
        <v>529262.14</v>
      </c>
      <c r="L76" s="155"/>
      <c r="M76" s="155">
        <f>SUM(M77:M81)</f>
        <v>0</v>
      </c>
      <c r="N76" s="155"/>
      <c r="O76" s="155">
        <f>SUM(O77:O81)</f>
        <v>6.95</v>
      </c>
      <c r="P76" s="155"/>
      <c r="Q76" s="155">
        <f>SUM(Q77:Q81)</f>
        <v>134.55000000000001</v>
      </c>
      <c r="R76" s="155"/>
      <c r="S76" s="155"/>
      <c r="T76" s="156"/>
    </row>
    <row r="77" spans="1:59" x14ac:dyDescent="0.2">
      <c r="A77" s="157">
        <f>A73+1</f>
        <v>29</v>
      </c>
      <c r="B77" s="158" t="s">
        <v>271</v>
      </c>
      <c r="C77" s="168" t="s">
        <v>272</v>
      </c>
      <c r="D77" s="159" t="s">
        <v>116</v>
      </c>
      <c r="E77" s="160">
        <f>E57+E59+E48</f>
        <v>56</v>
      </c>
      <c r="F77" s="161"/>
      <c r="G77" s="162">
        <f>ROUND(E77*F77,2)</f>
        <v>0</v>
      </c>
      <c r="H77" s="161">
        <v>502.69</v>
      </c>
      <c r="I77" s="162">
        <f>ROUND(E77*H77,2)</f>
        <v>28150.639999999999</v>
      </c>
      <c r="J77" s="161">
        <v>8987.31</v>
      </c>
      <c r="K77" s="162">
        <f>ROUND(E77*J77,2)</f>
        <v>503289.36</v>
      </c>
      <c r="L77" s="162">
        <v>21</v>
      </c>
      <c r="M77" s="162">
        <f>G77*(1+L77/100)</f>
        <v>0</v>
      </c>
      <c r="N77" s="162">
        <v>0.12173</v>
      </c>
      <c r="O77" s="162">
        <f>ROUND(E77*N77,2)</f>
        <v>6.82</v>
      </c>
      <c r="P77" s="162">
        <v>2.4</v>
      </c>
      <c r="Q77" s="162">
        <f>ROUND(E77*P77,2)</f>
        <v>134.4</v>
      </c>
      <c r="R77" s="162" t="s">
        <v>261</v>
      </c>
      <c r="S77" s="162" t="s">
        <v>351</v>
      </c>
      <c r="T77" s="162" t="s">
        <v>351</v>
      </c>
    </row>
    <row r="78" spans="1:59" x14ac:dyDescent="0.2">
      <c r="A78" s="147"/>
      <c r="B78" s="148"/>
      <c r="C78" s="182" t="s">
        <v>433</v>
      </c>
      <c r="D78" s="183"/>
      <c r="E78" s="184"/>
      <c r="F78" s="192"/>
      <c r="G78" s="185"/>
      <c r="H78" s="181"/>
      <c r="I78" s="149"/>
      <c r="J78" s="181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59" x14ac:dyDescent="0.2">
      <c r="A79" s="147"/>
      <c r="B79" s="148"/>
      <c r="C79" s="292"/>
      <c r="D79" s="293"/>
      <c r="E79" s="293"/>
      <c r="F79" s="293"/>
      <c r="G79" s="293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59" ht="15.75" customHeight="1" x14ac:dyDescent="0.2">
      <c r="A80" s="157">
        <f>A77+1</f>
        <v>30</v>
      </c>
      <c r="B80" s="158" t="s">
        <v>273</v>
      </c>
      <c r="C80" s="168" t="s">
        <v>307</v>
      </c>
      <c r="D80" s="159" t="s">
        <v>98</v>
      </c>
      <c r="E80" s="160">
        <f>(7.2*2.15+10)*2</f>
        <v>50.96</v>
      </c>
      <c r="F80" s="161"/>
      <c r="G80" s="162">
        <f>ROUND(E80*F80,2)</f>
        <v>0</v>
      </c>
      <c r="H80" s="161">
        <v>33.33</v>
      </c>
      <c r="I80" s="162">
        <f>ROUND(E80*H80,2)</f>
        <v>1698.5</v>
      </c>
      <c r="J80" s="161">
        <v>509.67</v>
      </c>
      <c r="K80" s="162">
        <f>ROUND(E80*J80,2)</f>
        <v>25972.78</v>
      </c>
      <c r="L80" s="162">
        <v>21</v>
      </c>
      <c r="M80" s="162">
        <f>G80*(1+L80/100)</f>
        <v>0</v>
      </c>
      <c r="N80" s="162">
        <v>2.6199999999999999E-3</v>
      </c>
      <c r="O80" s="162">
        <f>ROUND(E80*N80,2)</f>
        <v>0.13</v>
      </c>
      <c r="P80" s="162">
        <v>3.0000000000000001E-3</v>
      </c>
      <c r="Q80" s="162">
        <f>ROUND(E80*P80,2)</f>
        <v>0.15</v>
      </c>
      <c r="R80" s="162" t="s">
        <v>274</v>
      </c>
      <c r="S80" s="162" t="s">
        <v>351</v>
      </c>
      <c r="T80" s="162" t="s">
        <v>351</v>
      </c>
    </row>
    <row r="81" spans="1:20" x14ac:dyDescent="0.2">
      <c r="A81" s="147"/>
      <c r="B81" s="148"/>
      <c r="C81" s="178"/>
      <c r="D81" s="179"/>
      <c r="E81" s="179"/>
      <c r="F81" s="179"/>
      <c r="G81" s="17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</row>
    <row r="82" spans="1:20" x14ac:dyDescent="0.2">
      <c r="A82" s="151" t="s">
        <v>91</v>
      </c>
      <c r="B82" s="152" t="s">
        <v>439</v>
      </c>
      <c r="C82" s="167" t="s">
        <v>132</v>
      </c>
      <c r="D82" s="153"/>
      <c r="E82" s="154"/>
      <c r="F82" s="155"/>
      <c r="G82" s="155">
        <f>SUMIF(AF83:AF85,"&lt;&gt;NOR",G83:G85)</f>
        <v>0</v>
      </c>
      <c r="H82" s="155"/>
      <c r="I82" s="155">
        <f>SUM(I83:I85)</f>
        <v>0</v>
      </c>
      <c r="J82" s="155"/>
      <c r="K82" s="155">
        <f>SUM(K83:K85)</f>
        <v>23497.78</v>
      </c>
      <c r="L82" s="155"/>
      <c r="M82" s="155">
        <f>SUM(M83:M85)</f>
        <v>0</v>
      </c>
      <c r="N82" s="155"/>
      <c r="O82" s="155">
        <f>SUM(O83:O85)</f>
        <v>0</v>
      </c>
      <c r="P82" s="155"/>
      <c r="Q82" s="155">
        <f>SUM(Q83:Q85)</f>
        <v>0</v>
      </c>
      <c r="R82" s="155"/>
      <c r="S82" s="155"/>
      <c r="T82" s="156"/>
    </row>
    <row r="83" spans="1:20" x14ac:dyDescent="0.2">
      <c r="A83" s="157">
        <f>A80+1</f>
        <v>31</v>
      </c>
      <c r="B83" s="158" t="s">
        <v>440</v>
      </c>
      <c r="C83" s="168" t="s">
        <v>276</v>
      </c>
      <c r="D83" s="159" t="s">
        <v>126</v>
      </c>
      <c r="E83" s="160">
        <f>(E57+E59)*2+E65+E67</f>
        <v>76.540000000000006</v>
      </c>
      <c r="F83" s="161"/>
      <c r="G83" s="162">
        <f>ROUND(E83*F83,2)</f>
        <v>0</v>
      </c>
      <c r="H83" s="161">
        <v>0</v>
      </c>
      <c r="I83" s="162">
        <f>ROUND(E83*H83,2)</f>
        <v>0</v>
      </c>
      <c r="J83" s="161">
        <v>307</v>
      </c>
      <c r="K83" s="162">
        <f>ROUND(E83*J83,2)</f>
        <v>23497.78</v>
      </c>
      <c r="L83" s="162">
        <v>21</v>
      </c>
      <c r="M83" s="162">
        <f>G83*(1+L83/100)</f>
        <v>0</v>
      </c>
      <c r="N83" s="162">
        <v>0</v>
      </c>
      <c r="O83" s="162">
        <f>ROUND(E83*N83,2)</f>
        <v>0</v>
      </c>
      <c r="P83" s="162">
        <v>0</v>
      </c>
      <c r="Q83" s="162">
        <f>ROUND(E83*P83,2)</f>
        <v>0</v>
      </c>
      <c r="R83" s="162" t="s">
        <v>261</v>
      </c>
      <c r="S83" s="162" t="s">
        <v>351</v>
      </c>
      <c r="T83" s="162" t="s">
        <v>351</v>
      </c>
    </row>
    <row r="84" spans="1:20" ht="12.75" customHeight="1" x14ac:dyDescent="0.2">
      <c r="A84" s="147"/>
      <c r="B84" s="148"/>
      <c r="C84" s="290" t="s">
        <v>277</v>
      </c>
      <c r="D84" s="291"/>
      <c r="E84" s="291"/>
      <c r="F84" s="291"/>
      <c r="G84" s="291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  <row r="85" spans="1:20" x14ac:dyDescent="0.2">
      <c r="A85" s="147"/>
      <c r="B85" s="148"/>
      <c r="C85" s="292"/>
      <c r="D85" s="293"/>
      <c r="E85" s="293"/>
      <c r="F85" s="293"/>
      <c r="G85" s="293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</row>
    <row r="86" spans="1:20" x14ac:dyDescent="0.2">
      <c r="A86" s="151" t="s">
        <v>91</v>
      </c>
      <c r="B86" s="152" t="s">
        <v>278</v>
      </c>
      <c r="C86" s="167" t="s">
        <v>279</v>
      </c>
      <c r="D86" s="153"/>
      <c r="E86" s="154"/>
      <c r="F86" s="155"/>
      <c r="G86" s="155">
        <f>SUMIF(AF87:AF93,"&lt;&gt;NOR",G87:G93)</f>
        <v>0</v>
      </c>
      <c r="H86" s="155"/>
      <c r="I86" s="155">
        <f>SUM(I87:I91)</f>
        <v>43662.87</v>
      </c>
      <c r="J86" s="155"/>
      <c r="K86" s="155">
        <f>SUM(K87:K91)</f>
        <v>26153.91</v>
      </c>
      <c r="L86" s="155"/>
      <c r="M86" s="155">
        <f>SUM(M87:M93)</f>
        <v>0</v>
      </c>
      <c r="N86" s="155"/>
      <c r="O86" s="155">
        <f>SUM(O87:O91)</f>
        <v>1.33</v>
      </c>
      <c r="P86" s="155"/>
      <c r="Q86" s="155">
        <f>SUM(Q87:Q91)</f>
        <v>0</v>
      </c>
      <c r="R86" s="155"/>
      <c r="S86" s="155"/>
      <c r="T86" s="156"/>
    </row>
    <row r="87" spans="1:20" ht="22.5" x14ac:dyDescent="0.2">
      <c r="A87" s="157">
        <f>A83+1</f>
        <v>32</v>
      </c>
      <c r="B87" s="158" t="s">
        <v>444</v>
      </c>
      <c r="C87" s="168" t="s">
        <v>443</v>
      </c>
      <c r="D87" s="159" t="s">
        <v>98</v>
      </c>
      <c r="E87" s="160">
        <f>2.15*7.2*2+8*2+2.15*1.5*4+8*2+1.5*0.8*4+8.5*0.8*4+0.7*8*2</f>
        <v>119.06</v>
      </c>
      <c r="F87" s="161"/>
      <c r="G87" s="162">
        <f>ROUND(E87*F87,2)</f>
        <v>0</v>
      </c>
      <c r="H87" s="161">
        <v>0</v>
      </c>
      <c r="I87" s="162">
        <f>ROUND(E87*H87,2)</f>
        <v>0</v>
      </c>
      <c r="J87" s="161">
        <v>12.4</v>
      </c>
      <c r="K87" s="162">
        <f>ROUND(E87*J87,2)</f>
        <v>1476.34</v>
      </c>
      <c r="L87" s="162">
        <v>21</v>
      </c>
      <c r="M87" s="162">
        <f>G87*(1+L87/100)</f>
        <v>0</v>
      </c>
      <c r="N87" s="162">
        <v>0</v>
      </c>
      <c r="O87" s="162">
        <f>ROUND(E87*N87,2)</f>
        <v>0</v>
      </c>
      <c r="P87" s="162">
        <v>0</v>
      </c>
      <c r="Q87" s="162">
        <f>ROUND(E87*P87,2)</f>
        <v>0</v>
      </c>
      <c r="R87" s="162" t="s">
        <v>280</v>
      </c>
      <c r="S87" s="162" t="s">
        <v>351</v>
      </c>
      <c r="T87" s="162" t="s">
        <v>351</v>
      </c>
    </row>
    <row r="88" spans="1:20" x14ac:dyDescent="0.2">
      <c r="A88" s="147"/>
      <c r="B88" s="148"/>
      <c r="C88" s="295"/>
      <c r="D88" s="296"/>
      <c r="E88" s="296"/>
      <c r="F88" s="296"/>
      <c r="G88" s="296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</row>
    <row r="89" spans="1:20" ht="33.75" x14ac:dyDescent="0.2">
      <c r="A89" s="157">
        <f>A87+1</f>
        <v>33</v>
      </c>
      <c r="B89" s="158" t="s">
        <v>281</v>
      </c>
      <c r="C89" s="168" t="s">
        <v>311</v>
      </c>
      <c r="D89" s="159" t="s">
        <v>98</v>
      </c>
      <c r="E89" s="160">
        <f>E87</f>
        <v>119.06</v>
      </c>
      <c r="F89" s="161"/>
      <c r="G89" s="162">
        <f>ROUND(E89*F89,2)</f>
        <v>0</v>
      </c>
      <c r="H89" s="161">
        <v>366.73</v>
      </c>
      <c r="I89" s="162">
        <f>ROUND(E89*H89,2)</f>
        <v>43662.87</v>
      </c>
      <c r="J89" s="161">
        <v>207.27</v>
      </c>
      <c r="K89" s="162">
        <f>ROUND(E89*J89,2)</f>
        <v>24677.57</v>
      </c>
      <c r="L89" s="162">
        <v>21</v>
      </c>
      <c r="M89" s="162">
        <f>G89*(1+L89/100)</f>
        <v>0</v>
      </c>
      <c r="N89" s="162">
        <v>1.1169999999999999E-2</v>
      </c>
      <c r="O89" s="162">
        <f>ROUND(E89*N89,2)</f>
        <v>1.33</v>
      </c>
      <c r="P89" s="162">
        <v>0</v>
      </c>
      <c r="Q89" s="162">
        <f>ROUND(E89*P89,2)</f>
        <v>0</v>
      </c>
      <c r="R89" s="162" t="s">
        <v>280</v>
      </c>
      <c r="S89" s="162" t="s">
        <v>351</v>
      </c>
      <c r="T89" s="162" t="s">
        <v>351</v>
      </c>
    </row>
    <row r="90" spans="1:20" ht="12.75" customHeight="1" x14ac:dyDescent="0.2">
      <c r="A90" s="147"/>
      <c r="B90" s="148"/>
      <c r="C90" s="297" t="s">
        <v>282</v>
      </c>
      <c r="D90" s="298"/>
      <c r="E90" s="298"/>
      <c r="F90" s="298"/>
      <c r="G90" s="29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</row>
    <row r="91" spans="1:20" x14ac:dyDescent="0.2">
      <c r="A91" s="147"/>
      <c r="B91" s="148"/>
      <c r="C91" s="292"/>
      <c r="D91" s="293"/>
      <c r="E91" s="293"/>
      <c r="F91" s="293"/>
      <c r="G91" s="293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x14ac:dyDescent="0.2">
      <c r="A92" s="157">
        <f>A89+1</f>
        <v>34</v>
      </c>
      <c r="B92" s="158" t="s">
        <v>454</v>
      </c>
      <c r="C92" s="168" t="s">
        <v>455</v>
      </c>
      <c r="D92" s="159" t="s">
        <v>98</v>
      </c>
      <c r="E92" s="160">
        <f>E89+7.2*1.5*2</f>
        <v>140.66</v>
      </c>
      <c r="F92" s="161"/>
      <c r="G92" s="162">
        <f>ROUND(E92*F92,2)</f>
        <v>0</v>
      </c>
      <c r="H92" s="161">
        <v>0</v>
      </c>
      <c r="I92" s="162">
        <f>ROUND(E92*H92,2)</f>
        <v>0</v>
      </c>
      <c r="J92" s="161">
        <v>307</v>
      </c>
      <c r="K92" s="162">
        <f>ROUND(E92*J92,2)</f>
        <v>43182.62</v>
      </c>
      <c r="L92" s="162">
        <v>21</v>
      </c>
      <c r="M92" s="162">
        <f>G92*(1+L92/100)</f>
        <v>0</v>
      </c>
      <c r="N92" s="162">
        <v>0</v>
      </c>
      <c r="O92" s="162">
        <f>ROUND(E92*N92,2)</f>
        <v>0</v>
      </c>
      <c r="P92" s="162">
        <v>0</v>
      </c>
      <c r="Q92" s="162">
        <f>ROUND(E92*P92,2)</f>
        <v>0</v>
      </c>
      <c r="R92" s="162" t="s">
        <v>261</v>
      </c>
      <c r="S92" s="162" t="s">
        <v>351</v>
      </c>
      <c r="T92" s="162" t="s">
        <v>351</v>
      </c>
    </row>
    <row r="93" spans="1:20" x14ac:dyDescent="0.2">
      <c r="A93" s="147"/>
      <c r="B93" s="148"/>
      <c r="C93" s="169"/>
      <c r="D93" s="164"/>
      <c r="E93" s="164"/>
      <c r="F93" s="164"/>
      <c r="G93" s="164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1:20" x14ac:dyDescent="0.2">
      <c r="A94" s="151" t="s">
        <v>91</v>
      </c>
      <c r="B94" s="152" t="s">
        <v>436</v>
      </c>
      <c r="C94" s="167" t="s">
        <v>61</v>
      </c>
      <c r="D94" s="153"/>
      <c r="E94" s="154"/>
      <c r="F94" s="155"/>
      <c r="G94" s="155">
        <f>G95+G98+G102+G104+G100</f>
        <v>0</v>
      </c>
      <c r="H94" s="155"/>
      <c r="I94" s="155">
        <f>SUM(I95:I105)</f>
        <v>0</v>
      </c>
      <c r="J94" s="155"/>
      <c r="K94" s="155">
        <f>SUM(K95:K105)</f>
        <v>230758.32000000004</v>
      </c>
      <c r="L94" s="155"/>
      <c r="M94" s="155">
        <f>SUM(M95:M105)</f>
        <v>0</v>
      </c>
      <c r="N94" s="155"/>
      <c r="O94" s="155">
        <f>SUM(O95:O105)</f>
        <v>0</v>
      </c>
      <c r="P94" s="155"/>
      <c r="Q94" s="155">
        <f>SUM(Q95:Q105)</f>
        <v>0</v>
      </c>
      <c r="R94" s="155"/>
      <c r="S94" s="155"/>
      <c r="T94" s="156"/>
    </row>
    <row r="95" spans="1:20" x14ac:dyDescent="0.2">
      <c r="A95" s="157">
        <f>A92+1</f>
        <v>35</v>
      </c>
      <c r="B95" s="158" t="s">
        <v>437</v>
      </c>
      <c r="C95" s="168" t="s">
        <v>222</v>
      </c>
      <c r="D95" s="159" t="s">
        <v>126</v>
      </c>
      <c r="E95" s="160">
        <f>E102+E104</f>
        <v>128.79</v>
      </c>
      <c r="F95" s="161"/>
      <c r="G95" s="162">
        <f>ROUND(E95*F95,2)</f>
        <v>0</v>
      </c>
      <c r="H95" s="161">
        <v>0</v>
      </c>
      <c r="I95" s="162">
        <f>ROUND(E95*H95,2)</f>
        <v>0</v>
      </c>
      <c r="J95" s="161">
        <v>227</v>
      </c>
      <c r="K95" s="162">
        <f>ROUND(E95*J95,2)</f>
        <v>29235.33</v>
      </c>
      <c r="L95" s="162">
        <v>21</v>
      </c>
      <c r="M95" s="162">
        <f>G95*(1+L95/100)</f>
        <v>0</v>
      </c>
      <c r="N95" s="162">
        <v>0</v>
      </c>
      <c r="O95" s="162">
        <f>ROUND(E95*N95,2)</f>
        <v>0</v>
      </c>
      <c r="P95" s="162">
        <v>0</v>
      </c>
      <c r="Q95" s="162">
        <f>ROUND(E95*P95,2)</f>
        <v>0</v>
      </c>
      <c r="R95" s="162" t="s">
        <v>137</v>
      </c>
      <c r="S95" s="162" t="s">
        <v>351</v>
      </c>
      <c r="T95" s="162" t="s">
        <v>351</v>
      </c>
    </row>
    <row r="96" spans="1:20" x14ac:dyDescent="0.2">
      <c r="A96" s="147"/>
      <c r="B96" s="148"/>
      <c r="C96" s="297" t="s">
        <v>286</v>
      </c>
      <c r="D96" s="298"/>
      <c r="E96" s="298"/>
      <c r="F96" s="298"/>
      <c r="G96" s="298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</row>
    <row r="97" spans="1:20" x14ac:dyDescent="0.2">
      <c r="A97" s="147"/>
      <c r="B97" s="148"/>
      <c r="C97" s="292"/>
      <c r="D97" s="293"/>
      <c r="E97" s="293"/>
      <c r="F97" s="293"/>
      <c r="G97" s="293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</row>
    <row r="98" spans="1:20" x14ac:dyDescent="0.2">
      <c r="A98" s="157">
        <f>A95+1</f>
        <v>36</v>
      </c>
      <c r="B98" s="158" t="s">
        <v>438</v>
      </c>
      <c r="C98" s="168" t="s">
        <v>224</v>
      </c>
      <c r="D98" s="159" t="s">
        <v>126</v>
      </c>
      <c r="E98" s="160">
        <f>E95*19</f>
        <v>2447.0099999999998</v>
      </c>
      <c r="F98" s="161"/>
      <c r="G98" s="162">
        <f>ROUND(E98*F98,2)</f>
        <v>0</v>
      </c>
      <c r="H98" s="161">
        <v>0</v>
      </c>
      <c r="I98" s="162">
        <f>ROUND(E98*H98,2)</f>
        <v>0</v>
      </c>
      <c r="J98" s="161">
        <v>15.9</v>
      </c>
      <c r="K98" s="162">
        <f>ROUND(E98*J98,2)</f>
        <v>38907.46</v>
      </c>
      <c r="L98" s="162">
        <v>21</v>
      </c>
      <c r="M98" s="162">
        <f>G98*(1+L98/100)</f>
        <v>0</v>
      </c>
      <c r="N98" s="162">
        <v>0</v>
      </c>
      <c r="O98" s="162">
        <f>ROUND(E98*N98,2)</f>
        <v>0</v>
      </c>
      <c r="P98" s="162">
        <v>0</v>
      </c>
      <c r="Q98" s="162">
        <f>ROUND(E98*P98,2)</f>
        <v>0</v>
      </c>
      <c r="R98" s="162" t="s">
        <v>137</v>
      </c>
      <c r="S98" s="162" t="s">
        <v>351</v>
      </c>
      <c r="T98" s="162" t="s">
        <v>351</v>
      </c>
    </row>
    <row r="99" spans="1:20" x14ac:dyDescent="0.2">
      <c r="A99" s="147"/>
      <c r="B99" s="148"/>
      <c r="C99" s="295"/>
      <c r="D99" s="296"/>
      <c r="E99" s="296"/>
      <c r="F99" s="296"/>
      <c r="G99" s="296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</row>
    <row r="100" spans="1:20" x14ac:dyDescent="0.2">
      <c r="A100" s="157">
        <f>A98+1</f>
        <v>37</v>
      </c>
      <c r="B100" s="158" t="s">
        <v>435</v>
      </c>
      <c r="C100" s="168" t="s">
        <v>434</v>
      </c>
      <c r="D100" s="159" t="s">
        <v>126</v>
      </c>
      <c r="E100" s="160">
        <f>E95</f>
        <v>128.79</v>
      </c>
      <c r="F100" s="161"/>
      <c r="G100" s="162">
        <f>ROUND(E100*F100,2)</f>
        <v>0</v>
      </c>
      <c r="H100" s="161">
        <v>0</v>
      </c>
      <c r="I100" s="162">
        <f>ROUND(E100*H100,2)</f>
        <v>0</v>
      </c>
      <c r="J100" s="161">
        <v>15.9</v>
      </c>
      <c r="K100" s="162">
        <f>ROUND(E100*J100,2)</f>
        <v>2047.76</v>
      </c>
      <c r="L100" s="162">
        <v>21</v>
      </c>
      <c r="M100" s="162">
        <f>G100*(1+L100/100)</f>
        <v>0</v>
      </c>
      <c r="N100" s="162">
        <v>0</v>
      </c>
      <c r="O100" s="162">
        <f>ROUND(E100*N100,2)</f>
        <v>0</v>
      </c>
      <c r="P100" s="162">
        <v>0</v>
      </c>
      <c r="Q100" s="162">
        <f>ROUND(E100*P100,2)</f>
        <v>0</v>
      </c>
      <c r="R100" s="162" t="s">
        <v>137</v>
      </c>
      <c r="S100" s="162" t="s">
        <v>351</v>
      </c>
      <c r="T100" s="162" t="s">
        <v>351</v>
      </c>
    </row>
    <row r="101" spans="1:20" x14ac:dyDescent="0.2">
      <c r="A101" s="147"/>
      <c r="B101" s="148"/>
      <c r="C101" s="178"/>
      <c r="D101" s="179"/>
      <c r="E101" s="179"/>
      <c r="F101" s="179"/>
      <c r="G101" s="17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</row>
    <row r="102" spans="1:20" x14ac:dyDescent="0.2">
      <c r="A102" s="157">
        <f>A100+1</f>
        <v>38</v>
      </c>
      <c r="B102" s="158" t="s">
        <v>441</v>
      </c>
      <c r="C102" s="168" t="s">
        <v>287</v>
      </c>
      <c r="D102" s="159" t="s">
        <v>126</v>
      </c>
      <c r="E102" s="160">
        <f>E77*2.28</f>
        <v>127.67999999999999</v>
      </c>
      <c r="F102" s="161"/>
      <c r="G102" s="162">
        <f>ROUND(E102*F102,2)</f>
        <v>0</v>
      </c>
      <c r="H102" s="161">
        <v>0</v>
      </c>
      <c r="I102" s="162">
        <f>ROUND(E102*H102,2)</f>
        <v>0</v>
      </c>
      <c r="J102" s="161">
        <v>1245</v>
      </c>
      <c r="K102" s="162">
        <f>ROUND(E102*J102,2)</f>
        <v>158961.60000000001</v>
      </c>
      <c r="L102" s="162">
        <v>21</v>
      </c>
      <c r="M102" s="162">
        <f>G102*(1+L102/100)</f>
        <v>0</v>
      </c>
      <c r="N102" s="162">
        <v>0</v>
      </c>
      <c r="O102" s="162">
        <f>ROUND(E102*N102,2)</f>
        <v>0</v>
      </c>
      <c r="P102" s="162">
        <v>0</v>
      </c>
      <c r="Q102" s="162">
        <f>ROUND(E102*P102,2)</f>
        <v>0</v>
      </c>
      <c r="R102" s="162" t="s">
        <v>137</v>
      </c>
      <c r="S102" s="162" t="s">
        <v>351</v>
      </c>
      <c r="T102" s="162" t="s">
        <v>351</v>
      </c>
    </row>
    <row r="103" spans="1:20" x14ac:dyDescent="0.2">
      <c r="A103" s="147"/>
      <c r="B103" s="148"/>
      <c r="C103" s="295"/>
      <c r="D103" s="296"/>
      <c r="E103" s="296"/>
      <c r="F103" s="296"/>
      <c r="G103" s="296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">
      <c r="A104" s="157">
        <f>A102+1</f>
        <v>39</v>
      </c>
      <c r="B104" s="158" t="s">
        <v>442</v>
      </c>
      <c r="C104" s="168" t="s">
        <v>288</v>
      </c>
      <c r="D104" s="159" t="s">
        <v>126</v>
      </c>
      <c r="E104" s="160">
        <v>1.1100000000000001</v>
      </c>
      <c r="F104" s="161"/>
      <c r="G104" s="162">
        <f>ROUND(E104*F104,2)</f>
        <v>0</v>
      </c>
      <c r="H104" s="161">
        <v>0</v>
      </c>
      <c r="I104" s="162">
        <f>ROUND(E104*H104,2)</f>
        <v>0</v>
      </c>
      <c r="J104" s="161">
        <v>1447</v>
      </c>
      <c r="K104" s="162">
        <f>ROUND(E104*J104,2)</f>
        <v>1606.17</v>
      </c>
      <c r="L104" s="162">
        <v>21</v>
      </c>
      <c r="M104" s="162">
        <f>G104*(1+L104/100)</f>
        <v>0</v>
      </c>
      <c r="N104" s="162">
        <v>0</v>
      </c>
      <c r="O104" s="162">
        <f>ROUND(E104*N104,2)</f>
        <v>0</v>
      </c>
      <c r="P104" s="162">
        <v>0</v>
      </c>
      <c r="Q104" s="162">
        <f>ROUND(E104*P104,2)</f>
        <v>0</v>
      </c>
      <c r="R104" s="162" t="s">
        <v>137</v>
      </c>
      <c r="S104" s="162" t="s">
        <v>351</v>
      </c>
      <c r="T104" s="162" t="s">
        <v>351</v>
      </c>
    </row>
    <row r="105" spans="1:20" x14ac:dyDescent="0.2">
      <c r="A105" s="147"/>
      <c r="B105" s="148"/>
      <c r="C105" s="295"/>
      <c r="D105" s="296"/>
      <c r="E105" s="296"/>
      <c r="F105" s="296"/>
      <c r="G105" s="296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</row>
    <row r="106" spans="1:20" x14ac:dyDescent="0.2">
      <c r="A106" s="151" t="s">
        <v>91</v>
      </c>
      <c r="B106" s="152" t="s">
        <v>63</v>
      </c>
      <c r="C106" s="167" t="s">
        <v>26</v>
      </c>
      <c r="D106" s="153"/>
      <c r="E106" s="154"/>
      <c r="F106" s="155"/>
      <c r="G106" s="155">
        <f>SUMIF(AF107:AF119,"&lt;&gt;NOR",G107:G119)</f>
        <v>0</v>
      </c>
      <c r="H106" s="155"/>
      <c r="I106" s="155">
        <f>SUM(I107:I119)</f>
        <v>0</v>
      </c>
      <c r="J106" s="155"/>
      <c r="K106" s="155">
        <f>SUM(K107:K119)</f>
        <v>0</v>
      </c>
      <c r="L106" s="155"/>
      <c r="M106" s="155">
        <f>SUM(M107:M119)</f>
        <v>0</v>
      </c>
      <c r="N106" s="155"/>
      <c r="O106" s="155">
        <f>SUM(O107:O119)</f>
        <v>0</v>
      </c>
      <c r="P106" s="155"/>
      <c r="Q106" s="155">
        <f>SUM(Q107:Q119)</f>
        <v>0</v>
      </c>
      <c r="R106" s="155"/>
      <c r="S106" s="155"/>
      <c r="T106" s="156"/>
    </row>
    <row r="107" spans="1:20" x14ac:dyDescent="0.2">
      <c r="A107" s="157">
        <f>A104+1</f>
        <v>40</v>
      </c>
      <c r="B107" s="158" t="s">
        <v>299</v>
      </c>
      <c r="C107" s="168" t="s">
        <v>297</v>
      </c>
      <c r="D107" s="159" t="s">
        <v>100</v>
      </c>
      <c r="E107" s="160">
        <v>1</v>
      </c>
      <c r="F107" s="161"/>
      <c r="G107" s="162">
        <f>ROUND(E107*F107,2)</f>
        <v>0</v>
      </c>
      <c r="H107" s="161">
        <v>0</v>
      </c>
      <c r="I107" s="162">
        <f>ROUND(E107*H107,2)</f>
        <v>0</v>
      </c>
      <c r="J107" s="161">
        <v>0</v>
      </c>
      <c r="K107" s="162">
        <f>ROUND(E107*J107,2)</f>
        <v>0</v>
      </c>
      <c r="L107" s="162">
        <v>21</v>
      </c>
      <c r="M107" s="162">
        <f>G107*(1+L107/100)</f>
        <v>0</v>
      </c>
      <c r="N107" s="162">
        <v>0</v>
      </c>
      <c r="O107" s="162">
        <f>ROUND(E107*N107,2)</f>
        <v>0</v>
      </c>
      <c r="P107" s="162">
        <v>0</v>
      </c>
      <c r="Q107" s="162">
        <f>ROUND(E107*P107,2)</f>
        <v>0</v>
      </c>
      <c r="R107" s="162"/>
      <c r="S107" s="162" t="s">
        <v>351</v>
      </c>
      <c r="T107" s="163" t="s">
        <v>101</v>
      </c>
    </row>
    <row r="108" spans="1:20" x14ac:dyDescent="0.2">
      <c r="A108" s="173"/>
      <c r="B108" s="174"/>
      <c r="C108" s="294"/>
      <c r="D108" s="294"/>
      <c r="E108" s="294"/>
      <c r="F108" s="294"/>
      <c r="G108" s="294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</row>
    <row r="109" spans="1:20" ht="12.75" customHeight="1" x14ac:dyDescent="0.2">
      <c r="A109" s="157">
        <f>A107+1</f>
        <v>41</v>
      </c>
      <c r="B109" s="158" t="s">
        <v>300</v>
      </c>
      <c r="C109" s="168" t="s">
        <v>298</v>
      </c>
      <c r="D109" s="159" t="s">
        <v>100</v>
      </c>
      <c r="E109" s="160">
        <v>1</v>
      </c>
      <c r="F109" s="161"/>
      <c r="G109" s="162">
        <f>ROUND(E109*F109,2)</f>
        <v>0</v>
      </c>
      <c r="H109" s="161">
        <v>0</v>
      </c>
      <c r="I109" s="162">
        <f>ROUND(E109*H109,2)</f>
        <v>0</v>
      </c>
      <c r="J109" s="161">
        <v>0</v>
      </c>
      <c r="K109" s="162">
        <f>ROUND(E109*J109,2)</f>
        <v>0</v>
      </c>
      <c r="L109" s="162">
        <v>21</v>
      </c>
      <c r="M109" s="162">
        <f>G109*(1+L109/100)</f>
        <v>0</v>
      </c>
      <c r="N109" s="162">
        <v>0</v>
      </c>
      <c r="O109" s="162">
        <f>ROUND(E109*N109,2)</f>
        <v>0</v>
      </c>
      <c r="P109" s="162">
        <v>0</v>
      </c>
      <c r="Q109" s="162">
        <f>ROUND(E109*P109,2)</f>
        <v>0</v>
      </c>
      <c r="R109" s="162"/>
      <c r="S109" s="162" t="s">
        <v>351</v>
      </c>
      <c r="T109" s="163" t="s">
        <v>101</v>
      </c>
    </row>
    <row r="110" spans="1:20" x14ac:dyDescent="0.2">
      <c r="A110" s="147"/>
      <c r="B110" s="148"/>
      <c r="C110" s="307"/>
      <c r="D110" s="307"/>
      <c r="E110" s="307"/>
      <c r="F110" s="307"/>
      <c r="G110" s="307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1:20" x14ac:dyDescent="0.2">
      <c r="A111" s="157">
        <f>A109+1</f>
        <v>42</v>
      </c>
      <c r="B111" s="158" t="s">
        <v>157</v>
      </c>
      <c r="C111" s="168" t="s">
        <v>99</v>
      </c>
      <c r="D111" s="159" t="s">
        <v>100</v>
      </c>
      <c r="E111" s="160">
        <v>1</v>
      </c>
      <c r="F111" s="161"/>
      <c r="G111" s="162">
        <f>ROUND(E111*F111,2)</f>
        <v>0</v>
      </c>
      <c r="H111" s="161">
        <v>0</v>
      </c>
      <c r="I111" s="162">
        <f>ROUND(E111*H111,2)</f>
        <v>0</v>
      </c>
      <c r="J111" s="161">
        <v>0</v>
      </c>
      <c r="K111" s="162">
        <f>ROUND(E111*J111,2)</f>
        <v>0</v>
      </c>
      <c r="L111" s="162">
        <v>21</v>
      </c>
      <c r="M111" s="162">
        <f>G111*(1+L111/100)</f>
        <v>0</v>
      </c>
      <c r="N111" s="162">
        <v>0</v>
      </c>
      <c r="O111" s="162">
        <f>ROUND(E111*N111,2)</f>
        <v>0</v>
      </c>
      <c r="P111" s="162">
        <v>0</v>
      </c>
      <c r="Q111" s="162">
        <f>ROUND(E111*P111,2)</f>
        <v>0</v>
      </c>
      <c r="R111" s="162"/>
      <c r="S111" s="162" t="s">
        <v>351</v>
      </c>
      <c r="T111" s="163" t="s">
        <v>101</v>
      </c>
    </row>
    <row r="112" spans="1:20" ht="12.75" customHeight="1" x14ac:dyDescent="0.2">
      <c r="A112" s="147"/>
      <c r="B112" s="148"/>
      <c r="C112" s="297" t="s">
        <v>445</v>
      </c>
      <c r="D112" s="298"/>
      <c r="E112" s="298"/>
      <c r="F112" s="298"/>
      <c r="G112" s="298"/>
      <c r="H112" s="181"/>
      <c r="I112" s="149"/>
      <c r="J112" s="181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</row>
    <row r="113" spans="1:20" ht="12.75" customHeight="1" x14ac:dyDescent="0.2">
      <c r="A113" s="147"/>
      <c r="B113" s="148"/>
      <c r="C113" s="292"/>
      <c r="D113" s="293"/>
      <c r="E113" s="293"/>
      <c r="F113" s="293"/>
      <c r="G113" s="293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</row>
    <row r="114" spans="1:20" ht="12.75" customHeight="1" x14ac:dyDescent="0.2">
      <c r="A114" s="157">
        <f>A111+1</f>
        <v>43</v>
      </c>
      <c r="B114" s="158" t="s">
        <v>448</v>
      </c>
      <c r="C114" s="168" t="s">
        <v>446</v>
      </c>
      <c r="D114" s="159" t="s">
        <v>100</v>
      </c>
      <c r="E114" s="160">
        <v>1</v>
      </c>
      <c r="F114" s="161"/>
      <c r="G114" s="162">
        <f>ROUND(E114*F114,2)</f>
        <v>0</v>
      </c>
      <c r="H114" s="161">
        <v>0</v>
      </c>
      <c r="I114" s="162">
        <f>ROUND(E114*H114,2)</f>
        <v>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0</v>
      </c>
      <c r="O114" s="162">
        <f>ROUND(E114*N114,2)</f>
        <v>0</v>
      </c>
      <c r="P114" s="162">
        <v>0</v>
      </c>
      <c r="Q114" s="162">
        <f>ROUND(E114*P114,2)</f>
        <v>0</v>
      </c>
      <c r="R114" s="162"/>
      <c r="S114" s="162" t="s">
        <v>351</v>
      </c>
      <c r="T114" s="163" t="s">
        <v>101</v>
      </c>
    </row>
    <row r="115" spans="1:20" ht="12.75" customHeight="1" x14ac:dyDescent="0.2">
      <c r="A115" s="147"/>
      <c r="B115" s="148"/>
      <c r="C115" s="297" t="s">
        <v>447</v>
      </c>
      <c r="D115" s="298"/>
      <c r="E115" s="298"/>
      <c r="F115" s="298"/>
      <c r="G115" s="298"/>
      <c r="H115" s="181"/>
      <c r="I115" s="149"/>
      <c r="J115" s="181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</row>
    <row r="116" spans="1:20" ht="12.75" customHeight="1" x14ac:dyDescent="0.2">
      <c r="A116" s="147"/>
      <c r="B116" s="148"/>
      <c r="C116" s="169"/>
      <c r="D116" s="164"/>
      <c r="E116" s="164"/>
      <c r="F116" s="164"/>
      <c r="G116" s="164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</row>
    <row r="117" spans="1:20" x14ac:dyDescent="0.2">
      <c r="A117" s="157">
        <f>A114+1</f>
        <v>44</v>
      </c>
      <c r="B117" s="158" t="s">
        <v>106</v>
      </c>
      <c r="C117" s="168" t="s">
        <v>107</v>
      </c>
      <c r="D117" s="159" t="s">
        <v>100</v>
      </c>
      <c r="E117" s="160">
        <v>1</v>
      </c>
      <c r="F117" s="161"/>
      <c r="G117" s="162">
        <f>ROUND(E117*F117,2)</f>
        <v>0</v>
      </c>
      <c r="H117" s="161">
        <v>0</v>
      </c>
      <c r="I117" s="162">
        <f>ROUND(E117*H117,2)</f>
        <v>0</v>
      </c>
      <c r="J117" s="161">
        <v>0</v>
      </c>
      <c r="K117" s="162">
        <f>ROUND(E117*J117,2)</f>
        <v>0</v>
      </c>
      <c r="L117" s="162">
        <v>21</v>
      </c>
      <c r="M117" s="162">
        <f>G117*(1+L117/100)</f>
        <v>0</v>
      </c>
      <c r="N117" s="162">
        <v>0</v>
      </c>
      <c r="O117" s="162">
        <f>ROUND(E117*N117,2)</f>
        <v>0</v>
      </c>
      <c r="P117" s="162">
        <v>0</v>
      </c>
      <c r="Q117" s="162">
        <f>ROUND(E117*P117,2)</f>
        <v>0</v>
      </c>
      <c r="R117" s="162"/>
      <c r="S117" s="162" t="s">
        <v>351</v>
      </c>
      <c r="T117" s="163" t="s">
        <v>101</v>
      </c>
    </row>
    <row r="118" spans="1:20" ht="24" customHeight="1" x14ac:dyDescent="0.2">
      <c r="A118" s="147"/>
      <c r="B118" s="148"/>
      <c r="C118" s="297" t="s">
        <v>108</v>
      </c>
      <c r="D118" s="298"/>
      <c r="E118" s="298"/>
      <c r="F118" s="298"/>
      <c r="G118" s="298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</row>
    <row r="119" spans="1:20" ht="12.75" customHeight="1" x14ac:dyDescent="0.2">
      <c r="A119" s="147"/>
      <c r="B119" s="148"/>
      <c r="C119" s="169"/>
      <c r="D119" s="164"/>
      <c r="E119" s="164"/>
      <c r="F119" s="164"/>
      <c r="G119" s="164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</row>
    <row r="120" spans="1:20" x14ac:dyDescent="0.2">
      <c r="A120" s="151" t="s">
        <v>91</v>
      </c>
      <c r="B120" s="152" t="s">
        <v>64</v>
      </c>
      <c r="C120" s="167" t="s">
        <v>27</v>
      </c>
      <c r="D120" s="153"/>
      <c r="E120" s="154"/>
      <c r="F120" s="155"/>
      <c r="G120" s="155">
        <f>G121+G124</f>
        <v>0</v>
      </c>
      <c r="H120" s="155"/>
      <c r="I120" s="155">
        <f>SUM(I121:I126)</f>
        <v>0</v>
      </c>
      <c r="J120" s="155"/>
      <c r="K120" s="155">
        <f>SUM(K121:K126)</f>
        <v>0</v>
      </c>
      <c r="L120" s="155"/>
      <c r="M120" s="155">
        <f>M121+M124</f>
        <v>0</v>
      </c>
      <c r="N120" s="155"/>
      <c r="O120" s="155">
        <f>SUM(O121:O126)</f>
        <v>0</v>
      </c>
      <c r="P120" s="155"/>
      <c r="Q120" s="155">
        <f>SUM(Q121:Q126)</f>
        <v>0</v>
      </c>
      <c r="R120" s="155"/>
      <c r="S120" s="155"/>
      <c r="T120" s="156"/>
    </row>
    <row r="121" spans="1:20" x14ac:dyDescent="0.2">
      <c r="A121" s="157">
        <f>A117+1</f>
        <v>45</v>
      </c>
      <c r="B121" s="158" t="s">
        <v>141</v>
      </c>
      <c r="C121" s="168" t="s">
        <v>142</v>
      </c>
      <c r="D121" s="159" t="s">
        <v>100</v>
      </c>
      <c r="E121" s="160">
        <v>1</v>
      </c>
      <c r="F121" s="161"/>
      <c r="G121" s="162">
        <f>ROUND(E121*F121,2)</f>
        <v>0</v>
      </c>
      <c r="H121" s="161">
        <v>0</v>
      </c>
      <c r="I121" s="162">
        <f>ROUND(E121*H121,2)</f>
        <v>0</v>
      </c>
      <c r="J121" s="161">
        <v>0</v>
      </c>
      <c r="K121" s="162">
        <f>ROUND(E121*J121,2)</f>
        <v>0</v>
      </c>
      <c r="L121" s="162">
        <v>21</v>
      </c>
      <c r="M121" s="162">
        <f>G121*(1+L121/100)</f>
        <v>0</v>
      </c>
      <c r="N121" s="162">
        <v>0</v>
      </c>
      <c r="O121" s="162">
        <f>ROUND(E121*N121,2)</f>
        <v>0</v>
      </c>
      <c r="P121" s="162">
        <v>0</v>
      </c>
      <c r="Q121" s="162">
        <f>ROUND(E121*P121,2)</f>
        <v>0</v>
      </c>
      <c r="R121" s="162"/>
      <c r="S121" s="162" t="s">
        <v>351</v>
      </c>
      <c r="T121" s="163" t="s">
        <v>101</v>
      </c>
    </row>
    <row r="122" spans="1:20" ht="12.75" customHeight="1" x14ac:dyDescent="0.2">
      <c r="A122" s="147"/>
      <c r="B122" s="148"/>
      <c r="C122" s="297" t="s">
        <v>158</v>
      </c>
      <c r="D122" s="298"/>
      <c r="E122" s="298"/>
      <c r="F122" s="298"/>
      <c r="G122" s="298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</row>
    <row r="123" spans="1:20" x14ac:dyDescent="0.2">
      <c r="A123" s="147"/>
      <c r="B123" s="148"/>
      <c r="C123" s="292"/>
      <c r="D123" s="293"/>
      <c r="E123" s="293"/>
      <c r="F123" s="293"/>
      <c r="G123" s="293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</row>
    <row r="124" spans="1:20" x14ac:dyDescent="0.2">
      <c r="A124" s="157">
        <f>A121+1</f>
        <v>46</v>
      </c>
      <c r="B124" s="158" t="s">
        <v>143</v>
      </c>
      <c r="C124" s="168" t="s">
        <v>144</v>
      </c>
      <c r="D124" s="159" t="s">
        <v>100</v>
      </c>
      <c r="E124" s="160">
        <v>1</v>
      </c>
      <c r="F124" s="161"/>
      <c r="G124" s="162">
        <f>ROUND(E124*F124,2)</f>
        <v>0</v>
      </c>
      <c r="H124" s="161">
        <v>0</v>
      </c>
      <c r="I124" s="162">
        <f>ROUND(E124*H124,2)</f>
        <v>0</v>
      </c>
      <c r="J124" s="161">
        <v>0</v>
      </c>
      <c r="K124" s="162">
        <f>ROUND(E124*J124,2)</f>
        <v>0</v>
      </c>
      <c r="L124" s="162">
        <v>21</v>
      </c>
      <c r="M124" s="162">
        <f>G124*(1+L124/100)</f>
        <v>0</v>
      </c>
      <c r="N124" s="162">
        <v>0</v>
      </c>
      <c r="O124" s="162">
        <f>ROUND(E124*N124,2)</f>
        <v>0</v>
      </c>
      <c r="P124" s="162">
        <v>0</v>
      </c>
      <c r="Q124" s="162">
        <f>ROUND(E124*P124,2)</f>
        <v>0</v>
      </c>
      <c r="R124" s="162"/>
      <c r="S124" s="162" t="s">
        <v>351</v>
      </c>
      <c r="T124" s="163" t="s">
        <v>101</v>
      </c>
    </row>
    <row r="125" spans="1:20" ht="12.75" customHeight="1" x14ac:dyDescent="0.2">
      <c r="A125" s="147"/>
      <c r="B125" s="148"/>
      <c r="C125" s="297" t="s">
        <v>145</v>
      </c>
      <c r="D125" s="298"/>
      <c r="E125" s="298"/>
      <c r="F125" s="298"/>
      <c r="G125" s="29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</row>
    <row r="126" spans="1:20" x14ac:dyDescent="0.2">
      <c r="A126" s="147"/>
      <c r="B126" s="148"/>
      <c r="C126" s="292"/>
      <c r="D126" s="293"/>
      <c r="E126" s="293"/>
      <c r="F126" s="293"/>
      <c r="G126" s="293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</row>
    <row r="127" spans="1:20" x14ac:dyDescent="0.2">
      <c r="A127" s="3"/>
      <c r="B127" s="4"/>
      <c r="C127" s="170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x14ac:dyDescent="0.2">
      <c r="A128" s="202"/>
      <c r="B128" s="203" t="s">
        <v>28</v>
      </c>
      <c r="C128" s="206"/>
      <c r="D128" s="204"/>
      <c r="E128" s="205"/>
      <c r="F128" s="205"/>
      <c r="G128" s="166">
        <f>G120+G106+G94+G86+G82+G76+G69+G56+G39+G8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</sheetData>
  <sheetProtection algorithmName="SHA-512" hashValue="KaCwn6HXtHYFa8LlY3/5Pmt40XsGFjHyuoZ2wHXiEADP8j79ScrgAeXIMenhLEz3LC3tjbiI87FfDdoMSTbLcA==" saltValue="A1fmii35dl55uDXt/IlBuA==" spinCount="100000" sheet="1" objects="1" scenarios="1"/>
  <mergeCells count="37">
    <mergeCell ref="C13:G13"/>
    <mergeCell ref="A1:G1"/>
    <mergeCell ref="C2:H2"/>
    <mergeCell ref="C3:G3"/>
    <mergeCell ref="C4:H4"/>
    <mergeCell ref="C10:G10"/>
    <mergeCell ref="C11:G11"/>
    <mergeCell ref="C38:G38"/>
    <mergeCell ref="C74:G74"/>
    <mergeCell ref="C75:G75"/>
    <mergeCell ref="C28:G28"/>
    <mergeCell ref="C29:G29"/>
    <mergeCell ref="C31:G31"/>
    <mergeCell ref="C36:G36"/>
    <mergeCell ref="C99:G99"/>
    <mergeCell ref="C103:G103"/>
    <mergeCell ref="C79:G79"/>
    <mergeCell ref="C84:G84"/>
    <mergeCell ref="C85:G85"/>
    <mergeCell ref="C88:G88"/>
    <mergeCell ref="C90:G90"/>
    <mergeCell ref="C123:G123"/>
    <mergeCell ref="C125:G125"/>
    <mergeCell ref="C126:G126"/>
    <mergeCell ref="C115:G115"/>
    <mergeCell ref="C17:G17"/>
    <mergeCell ref="C55:G55"/>
    <mergeCell ref="C105:G105"/>
    <mergeCell ref="C108:G108"/>
    <mergeCell ref="C110:G110"/>
    <mergeCell ref="C113:G113"/>
    <mergeCell ref="C118:G118"/>
    <mergeCell ref="C122:G122"/>
    <mergeCell ref="C112:G112"/>
    <mergeCell ref="C91:G91"/>
    <mergeCell ref="C96:G96"/>
    <mergeCell ref="C97:G97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Komunikace</vt:lpstr>
      <vt:lpstr>Most - horní část</vt:lpstr>
      <vt:lpstr>Most - spodní část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Komunikace!Názvy_tisku</vt:lpstr>
      <vt:lpstr>'Most - horní část'!Názvy_tisku</vt:lpstr>
      <vt:lpstr>'Most - spodní část'!Názvy_tisku</vt:lpstr>
      <vt:lpstr>oadresa</vt:lpstr>
      <vt:lpstr>Stavba!Objednatel</vt:lpstr>
      <vt:lpstr>Stavba!Objekt</vt:lpstr>
      <vt:lpstr>Komunikace!Oblast_tisku</vt:lpstr>
      <vt:lpstr>'Most - horní část'!Oblast_tisku</vt:lpstr>
      <vt:lpstr>'Most - spodní část'!Oblast_tisku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PC</cp:lastModifiedBy>
  <cp:lastPrinted>2024-03-08T13:24:34Z</cp:lastPrinted>
  <dcterms:created xsi:type="dcterms:W3CDTF">2009-04-08T07:15:50Z</dcterms:created>
  <dcterms:modified xsi:type="dcterms:W3CDTF">2024-03-14T13:29:47Z</dcterms:modified>
</cp:coreProperties>
</file>