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petr.loffler.SMRZOVKA\Desktop\hřbitovní domek\"/>
    </mc:Choice>
  </mc:AlternateContent>
  <xr:revisionPtr revIDLastSave="0" documentId="13_ncr:1_{49440F7B-92E0-4868-87DF-6FC5A2B462F3}" xr6:coauthVersionLast="47" xr6:coauthVersionMax="47" xr10:uidLastSave="{00000000-0000-0000-0000-000000000000}"/>
  <bookViews>
    <workbookView xWindow="-120" yWindow="-120" windowWidth="20730" windowHeight="11160" tabRatio="905" firstSheet="4" activeTab="14" xr2:uid="{00000000-000D-0000-FFFF-FFFF00000000}"/>
  </bookViews>
  <sheets>
    <sheet name="Souhrn" sheetId="13" r:id="rId1"/>
    <sheet name="1-Krycí list" sheetId="2" r:id="rId2"/>
    <sheet name="1-Rekapitulace" sheetId="3" r:id="rId3"/>
    <sheet name="1-Položky" sheetId="4" r:id="rId4"/>
    <sheet name="ZTI" sheetId="6" r:id="rId5"/>
    <sheet name="elektro" sheetId="17" r:id="rId6"/>
    <sheet name="2-Krycí list" sheetId="7" r:id="rId7"/>
    <sheet name="2-Rekapitulace" sheetId="8" r:id="rId8"/>
    <sheet name="2-Položky" sheetId="9" r:id="rId9"/>
    <sheet name="3-Krycí list" sheetId="10" r:id="rId10"/>
    <sheet name="3-Rekapitulace" sheetId="11" r:id="rId11"/>
    <sheet name="3-Položky" sheetId="12" r:id="rId12"/>
    <sheet name="4-Krycí list" sheetId="14" r:id="rId13"/>
    <sheet name="4-Rekapitulace" sheetId="15" r:id="rId14"/>
    <sheet name="4-Položky" sheetId="16" r:id="rId15"/>
  </sheets>
  <definedNames>
    <definedName name="____________BPK1" localSheetId="1">#REF!</definedName>
    <definedName name="____________BPK1" localSheetId="3">#REF!</definedName>
    <definedName name="____________BPK1" localSheetId="2">#REF!</definedName>
    <definedName name="____________BPK1" localSheetId="12">#REF!</definedName>
    <definedName name="____________BPK1" localSheetId="14">#REF!</definedName>
    <definedName name="____________BPK1" localSheetId="13">#REF!</definedName>
    <definedName name="____________BPK1" localSheetId="5">#REF!</definedName>
    <definedName name="____________BPK1" localSheetId="0">#REF!</definedName>
    <definedName name="____________BPK1">#REF!</definedName>
    <definedName name="____________BPK2" localSheetId="1">#REF!</definedName>
    <definedName name="____________BPK2" localSheetId="3">#REF!</definedName>
    <definedName name="____________BPK2" localSheetId="2">#REF!</definedName>
    <definedName name="____________BPK2" localSheetId="12">#REF!</definedName>
    <definedName name="____________BPK2" localSheetId="14">#REF!</definedName>
    <definedName name="____________BPK2" localSheetId="13">#REF!</definedName>
    <definedName name="____________BPK2" localSheetId="5">#REF!</definedName>
    <definedName name="____________BPK2" localSheetId="0">#REF!</definedName>
    <definedName name="____________BPK2">#REF!</definedName>
    <definedName name="____________BPK3" localSheetId="1">#REF!</definedName>
    <definedName name="____________BPK3" localSheetId="3">#REF!</definedName>
    <definedName name="____________BPK3" localSheetId="2">#REF!</definedName>
    <definedName name="____________BPK3" localSheetId="12">#REF!</definedName>
    <definedName name="____________BPK3" localSheetId="14">#REF!</definedName>
    <definedName name="____________BPK3" localSheetId="13">#REF!</definedName>
    <definedName name="____________BPK3" localSheetId="5">#REF!</definedName>
    <definedName name="____________BPK3" localSheetId="0">#REF!</definedName>
    <definedName name="____________BPK3">#REF!</definedName>
    <definedName name="___________BPK1" localSheetId="1">#REF!</definedName>
    <definedName name="___________BPK1" localSheetId="3">#REF!</definedName>
    <definedName name="___________BPK1" localSheetId="2">#REF!</definedName>
    <definedName name="___________BPK1" localSheetId="12">#REF!</definedName>
    <definedName name="___________BPK1" localSheetId="14">#REF!</definedName>
    <definedName name="___________BPK1" localSheetId="13">#REF!</definedName>
    <definedName name="___________BPK1" localSheetId="5">#REF!</definedName>
    <definedName name="___________BPK1" localSheetId="0">#REF!</definedName>
    <definedName name="___________BPK1">#REF!</definedName>
    <definedName name="___________BPK2" localSheetId="1">#REF!</definedName>
    <definedName name="___________BPK2" localSheetId="3">#REF!</definedName>
    <definedName name="___________BPK2" localSheetId="2">#REF!</definedName>
    <definedName name="___________BPK2" localSheetId="12">#REF!</definedName>
    <definedName name="___________BPK2" localSheetId="14">#REF!</definedName>
    <definedName name="___________BPK2" localSheetId="13">#REF!</definedName>
    <definedName name="___________BPK2" localSheetId="5">#REF!</definedName>
    <definedName name="___________BPK2" localSheetId="0">#REF!</definedName>
    <definedName name="___________BPK2">#REF!</definedName>
    <definedName name="___________BPK3" localSheetId="1">#REF!</definedName>
    <definedName name="___________BPK3" localSheetId="3">#REF!</definedName>
    <definedName name="___________BPK3" localSheetId="2">#REF!</definedName>
    <definedName name="___________BPK3" localSheetId="12">#REF!</definedName>
    <definedName name="___________BPK3" localSheetId="14">#REF!</definedName>
    <definedName name="___________BPK3" localSheetId="13">#REF!</definedName>
    <definedName name="___________BPK3" localSheetId="5">#REF!</definedName>
    <definedName name="___________BPK3" localSheetId="0">#REF!</definedName>
    <definedName name="___________BPK3">#REF!</definedName>
    <definedName name="__________BPK1" localSheetId="1">#REF!</definedName>
    <definedName name="__________BPK1" localSheetId="3">#REF!</definedName>
    <definedName name="__________BPK1" localSheetId="2">#REF!</definedName>
    <definedName name="__________BPK1" localSheetId="12">#REF!</definedName>
    <definedName name="__________BPK1" localSheetId="14">#REF!</definedName>
    <definedName name="__________BPK1" localSheetId="13">#REF!</definedName>
    <definedName name="__________BPK1" localSheetId="5">#REF!</definedName>
    <definedName name="__________BPK1" localSheetId="0">#REF!</definedName>
    <definedName name="__________BPK1">#REF!</definedName>
    <definedName name="__________BPK2" localSheetId="1">#REF!</definedName>
    <definedName name="__________BPK2" localSheetId="3">#REF!</definedName>
    <definedName name="__________BPK2" localSheetId="2">#REF!</definedName>
    <definedName name="__________BPK2" localSheetId="12">#REF!</definedName>
    <definedName name="__________BPK2" localSheetId="14">#REF!</definedName>
    <definedName name="__________BPK2" localSheetId="13">#REF!</definedName>
    <definedName name="__________BPK2" localSheetId="5">#REF!</definedName>
    <definedName name="__________BPK2" localSheetId="0">#REF!</definedName>
    <definedName name="__________BPK2">#REF!</definedName>
    <definedName name="__________BPK3" localSheetId="1">#REF!</definedName>
    <definedName name="__________BPK3" localSheetId="3">#REF!</definedName>
    <definedName name="__________BPK3" localSheetId="2">#REF!</definedName>
    <definedName name="__________BPK3" localSheetId="12">#REF!</definedName>
    <definedName name="__________BPK3" localSheetId="14">#REF!</definedName>
    <definedName name="__________BPK3" localSheetId="13">#REF!</definedName>
    <definedName name="__________BPK3" localSheetId="5">#REF!</definedName>
    <definedName name="__________BPK3" localSheetId="0">#REF!</definedName>
    <definedName name="__________BPK3">#REF!</definedName>
    <definedName name="_________BPK1" localSheetId="1">#REF!</definedName>
    <definedName name="_________BPK1" localSheetId="3">#REF!</definedName>
    <definedName name="_________BPK1" localSheetId="2">#REF!</definedName>
    <definedName name="_________BPK1" localSheetId="12">#REF!</definedName>
    <definedName name="_________BPK1" localSheetId="14">#REF!</definedName>
    <definedName name="_________BPK1" localSheetId="13">#REF!</definedName>
    <definedName name="_________BPK1" localSheetId="5">#REF!</definedName>
    <definedName name="_________BPK1" localSheetId="0">#REF!</definedName>
    <definedName name="_________BPK1">#REF!</definedName>
    <definedName name="_________BPK2" localSheetId="1">#REF!</definedName>
    <definedName name="_________BPK2" localSheetId="3">#REF!</definedName>
    <definedName name="_________BPK2" localSheetId="2">#REF!</definedName>
    <definedName name="_________BPK2" localSheetId="12">#REF!</definedName>
    <definedName name="_________BPK2" localSheetId="14">#REF!</definedName>
    <definedName name="_________BPK2" localSheetId="13">#REF!</definedName>
    <definedName name="_________BPK2" localSheetId="5">#REF!</definedName>
    <definedName name="_________BPK2" localSheetId="0">#REF!</definedName>
    <definedName name="_________BPK2">#REF!</definedName>
    <definedName name="_________BPK3" localSheetId="1">#REF!</definedName>
    <definedName name="_________BPK3" localSheetId="3">#REF!</definedName>
    <definedName name="_________BPK3" localSheetId="2">#REF!</definedName>
    <definedName name="_________BPK3" localSheetId="12">#REF!</definedName>
    <definedName name="_________BPK3" localSheetId="14">#REF!</definedName>
    <definedName name="_________BPK3" localSheetId="13">#REF!</definedName>
    <definedName name="_________BPK3" localSheetId="5">#REF!</definedName>
    <definedName name="_________BPK3" localSheetId="0">#REF!</definedName>
    <definedName name="_________BPK3">#REF!</definedName>
    <definedName name="________BPK1" localSheetId="1">#REF!</definedName>
    <definedName name="________BPK1" localSheetId="3">#REF!</definedName>
    <definedName name="________BPK1" localSheetId="2">#REF!</definedName>
    <definedName name="________BPK1" localSheetId="12">#REF!</definedName>
    <definedName name="________BPK1" localSheetId="14">#REF!</definedName>
    <definedName name="________BPK1" localSheetId="13">#REF!</definedName>
    <definedName name="________BPK1" localSheetId="5">#REF!</definedName>
    <definedName name="________BPK1" localSheetId="0">#REF!</definedName>
    <definedName name="________BPK1">#REF!</definedName>
    <definedName name="________BPK2" localSheetId="1">#REF!</definedName>
    <definedName name="________BPK2" localSheetId="3">#REF!</definedName>
    <definedName name="________BPK2" localSheetId="2">#REF!</definedName>
    <definedName name="________BPK2" localSheetId="12">#REF!</definedName>
    <definedName name="________BPK2" localSheetId="14">#REF!</definedName>
    <definedName name="________BPK2" localSheetId="13">#REF!</definedName>
    <definedName name="________BPK2" localSheetId="5">#REF!</definedName>
    <definedName name="________BPK2" localSheetId="0">#REF!</definedName>
    <definedName name="________BPK2">#REF!</definedName>
    <definedName name="________BPK3" localSheetId="1">#REF!</definedName>
    <definedName name="________BPK3" localSheetId="3">#REF!</definedName>
    <definedName name="________BPK3" localSheetId="2">#REF!</definedName>
    <definedName name="________BPK3" localSheetId="12">#REF!</definedName>
    <definedName name="________BPK3" localSheetId="14">#REF!</definedName>
    <definedName name="________BPK3" localSheetId="13">#REF!</definedName>
    <definedName name="________BPK3" localSheetId="5">#REF!</definedName>
    <definedName name="________BPK3" localSheetId="0">#REF!</definedName>
    <definedName name="________BPK3">#REF!</definedName>
    <definedName name="_______BPK1" localSheetId="1">#REF!</definedName>
    <definedName name="_______BPK1" localSheetId="3">#REF!</definedName>
    <definedName name="_______BPK1" localSheetId="2">#REF!</definedName>
    <definedName name="_______BPK1" localSheetId="12">#REF!</definedName>
    <definedName name="_______BPK1" localSheetId="14">#REF!</definedName>
    <definedName name="_______BPK1" localSheetId="13">#REF!</definedName>
    <definedName name="_______BPK1" localSheetId="5">#REF!</definedName>
    <definedName name="_______BPK1" localSheetId="0">#REF!</definedName>
    <definedName name="_______BPK1">#REF!</definedName>
    <definedName name="_______BPK2" localSheetId="1">#REF!</definedName>
    <definedName name="_______BPK2" localSheetId="3">#REF!</definedName>
    <definedName name="_______BPK2" localSheetId="2">#REF!</definedName>
    <definedName name="_______BPK2" localSheetId="12">#REF!</definedName>
    <definedName name="_______BPK2" localSheetId="14">#REF!</definedName>
    <definedName name="_______BPK2" localSheetId="13">#REF!</definedName>
    <definedName name="_______BPK2" localSheetId="5">#REF!</definedName>
    <definedName name="_______BPK2" localSheetId="0">#REF!</definedName>
    <definedName name="_______BPK2">#REF!</definedName>
    <definedName name="_______BPK3" localSheetId="1">#REF!</definedName>
    <definedName name="_______BPK3" localSheetId="3">#REF!</definedName>
    <definedName name="_______BPK3" localSheetId="2">#REF!</definedName>
    <definedName name="_______BPK3" localSheetId="12">#REF!</definedName>
    <definedName name="_______BPK3" localSheetId="14">#REF!</definedName>
    <definedName name="_______BPK3" localSheetId="13">#REF!</definedName>
    <definedName name="_______BPK3" localSheetId="5">#REF!</definedName>
    <definedName name="_______BPK3" localSheetId="0">#REF!</definedName>
    <definedName name="_______BPK3">#REF!</definedName>
    <definedName name="______BPK1" localSheetId="1">#REF!</definedName>
    <definedName name="______BPK1" localSheetId="3">#REF!</definedName>
    <definedName name="______BPK1" localSheetId="2">#REF!</definedName>
    <definedName name="______BPK1" localSheetId="12">#REF!</definedName>
    <definedName name="______BPK1" localSheetId="14">#REF!</definedName>
    <definedName name="______BPK1" localSheetId="13">#REF!</definedName>
    <definedName name="______BPK1" localSheetId="5">#REF!</definedName>
    <definedName name="______BPK1" localSheetId="0">#REF!</definedName>
    <definedName name="______BPK1">#REF!</definedName>
    <definedName name="______BPK2" localSheetId="1">#REF!</definedName>
    <definedName name="______BPK2" localSheetId="3">#REF!</definedName>
    <definedName name="______BPK2" localSheetId="2">#REF!</definedName>
    <definedName name="______BPK2" localSheetId="12">#REF!</definedName>
    <definedName name="______BPK2" localSheetId="14">#REF!</definedName>
    <definedName name="______BPK2" localSheetId="13">#REF!</definedName>
    <definedName name="______BPK2" localSheetId="5">#REF!</definedName>
    <definedName name="______BPK2" localSheetId="0">#REF!</definedName>
    <definedName name="______BPK2">#REF!</definedName>
    <definedName name="______BPK3" localSheetId="1">#REF!</definedName>
    <definedName name="______BPK3" localSheetId="3">#REF!</definedName>
    <definedName name="______BPK3" localSheetId="2">#REF!</definedName>
    <definedName name="______BPK3" localSheetId="12">#REF!</definedName>
    <definedName name="______BPK3" localSheetId="14">#REF!</definedName>
    <definedName name="______BPK3" localSheetId="13">#REF!</definedName>
    <definedName name="______BPK3" localSheetId="5">#REF!</definedName>
    <definedName name="______BPK3" localSheetId="0">#REF!</definedName>
    <definedName name="______BPK3">#REF!</definedName>
    <definedName name="_____BPK1" localSheetId="1">#REF!</definedName>
    <definedName name="_____BPK1" localSheetId="3">#REF!</definedName>
    <definedName name="_____BPK1" localSheetId="2">#REF!</definedName>
    <definedName name="_____BPK1" localSheetId="12">#REF!</definedName>
    <definedName name="_____BPK1" localSheetId="14">#REF!</definedName>
    <definedName name="_____BPK1" localSheetId="13">#REF!</definedName>
    <definedName name="_____BPK1" localSheetId="5">#REF!</definedName>
    <definedName name="_____BPK1" localSheetId="0">#REF!</definedName>
    <definedName name="_____BPK1">#REF!</definedName>
    <definedName name="_____BPK2" localSheetId="1">#REF!</definedName>
    <definedName name="_____BPK2" localSheetId="3">#REF!</definedName>
    <definedName name="_____BPK2" localSheetId="2">#REF!</definedName>
    <definedName name="_____BPK2" localSheetId="12">#REF!</definedName>
    <definedName name="_____BPK2" localSheetId="14">#REF!</definedName>
    <definedName name="_____BPK2" localSheetId="13">#REF!</definedName>
    <definedName name="_____BPK2" localSheetId="5">#REF!</definedName>
    <definedName name="_____BPK2" localSheetId="0">#REF!</definedName>
    <definedName name="_____BPK2">#REF!</definedName>
    <definedName name="_____BPK3" localSheetId="1">#REF!</definedName>
    <definedName name="_____BPK3" localSheetId="3">#REF!</definedName>
    <definedName name="_____BPK3" localSheetId="2">#REF!</definedName>
    <definedName name="_____BPK3" localSheetId="12">#REF!</definedName>
    <definedName name="_____BPK3" localSheetId="14">#REF!</definedName>
    <definedName name="_____BPK3" localSheetId="13">#REF!</definedName>
    <definedName name="_____BPK3" localSheetId="5">#REF!</definedName>
    <definedName name="_____BPK3" localSheetId="0">#REF!</definedName>
    <definedName name="_____BPK3">#REF!</definedName>
    <definedName name="____0">"$#REF!.$A$3:$#REF!.$C$1671"</definedName>
    <definedName name="____0_1">0</definedName>
    <definedName name="____0_2">0</definedName>
    <definedName name="____0_3">0</definedName>
    <definedName name="____0_4">0</definedName>
    <definedName name="____0_5">0</definedName>
    <definedName name="____0_6">0</definedName>
    <definedName name="____BPK1" localSheetId="1">#REF!</definedName>
    <definedName name="____BPK1" localSheetId="3">#REF!</definedName>
    <definedName name="____BPK1" localSheetId="2">#REF!</definedName>
    <definedName name="____BPK1" localSheetId="12">#REF!</definedName>
    <definedName name="____BPK1" localSheetId="14">#REF!</definedName>
    <definedName name="____BPK1" localSheetId="13">#REF!</definedName>
    <definedName name="____BPK1" localSheetId="5">#REF!</definedName>
    <definedName name="____BPK1" localSheetId="0">#REF!</definedName>
    <definedName name="____BPK1">#REF!</definedName>
    <definedName name="____BPK2" localSheetId="1">#REF!</definedName>
    <definedName name="____BPK2" localSheetId="3">#REF!</definedName>
    <definedName name="____BPK2" localSheetId="2">#REF!</definedName>
    <definedName name="____BPK2" localSheetId="12">#REF!</definedName>
    <definedName name="____BPK2" localSheetId="14">#REF!</definedName>
    <definedName name="____BPK2" localSheetId="13">#REF!</definedName>
    <definedName name="____BPK2" localSheetId="5">#REF!</definedName>
    <definedName name="____BPK2" localSheetId="0">#REF!</definedName>
    <definedName name="____BPK2">#REF!</definedName>
    <definedName name="____BPK3" localSheetId="1">#REF!</definedName>
    <definedName name="____BPK3" localSheetId="3">#REF!</definedName>
    <definedName name="____BPK3" localSheetId="2">#REF!</definedName>
    <definedName name="____BPK3" localSheetId="12">#REF!</definedName>
    <definedName name="____BPK3" localSheetId="14">#REF!</definedName>
    <definedName name="____BPK3" localSheetId="13">#REF!</definedName>
    <definedName name="____BPK3" localSheetId="5">#REF!</definedName>
    <definedName name="____BPK3" localSheetId="0">#REF!</definedName>
    <definedName name="____BPK3">#REF!</definedName>
    <definedName name="___BPK1" localSheetId="1">#REF!</definedName>
    <definedName name="___BPK1" localSheetId="3">#REF!</definedName>
    <definedName name="___BPK1" localSheetId="2">#REF!</definedName>
    <definedName name="___BPK1" localSheetId="12">#REF!</definedName>
    <definedName name="___BPK1" localSheetId="14">#REF!</definedName>
    <definedName name="___BPK1" localSheetId="13">#REF!</definedName>
    <definedName name="___BPK1" localSheetId="5">#REF!</definedName>
    <definedName name="___BPK1" localSheetId="0">#REF!</definedName>
    <definedName name="___BPK1">#REF!</definedName>
    <definedName name="___BPK2" localSheetId="1">#REF!</definedName>
    <definedName name="___BPK2" localSheetId="3">#REF!</definedName>
    <definedName name="___BPK2" localSheetId="2">#REF!</definedName>
    <definedName name="___BPK2" localSheetId="12">#REF!</definedName>
    <definedName name="___BPK2" localSheetId="14">#REF!</definedName>
    <definedName name="___BPK2" localSheetId="13">#REF!</definedName>
    <definedName name="___BPK2" localSheetId="5">#REF!</definedName>
    <definedName name="___BPK2" localSheetId="0">#REF!</definedName>
    <definedName name="___BPK2">#REF!</definedName>
    <definedName name="___BPK3" localSheetId="1">#REF!</definedName>
    <definedName name="___BPK3" localSheetId="3">#REF!</definedName>
    <definedName name="___BPK3" localSheetId="2">#REF!</definedName>
    <definedName name="___BPK3" localSheetId="12">#REF!</definedName>
    <definedName name="___BPK3" localSheetId="14">#REF!</definedName>
    <definedName name="___BPK3" localSheetId="13">#REF!</definedName>
    <definedName name="___BPK3" localSheetId="5">#REF!</definedName>
    <definedName name="___BPK3" localSheetId="0">#REF!</definedName>
    <definedName name="___BPK3">#REF!</definedName>
    <definedName name="__BPK1" localSheetId="1">#REF!</definedName>
    <definedName name="__BPK1" localSheetId="3">#REF!</definedName>
    <definedName name="__BPK1" localSheetId="2">#REF!</definedName>
    <definedName name="__BPK1" localSheetId="12">#REF!</definedName>
    <definedName name="__BPK1" localSheetId="14">#REF!</definedName>
    <definedName name="__BPK1" localSheetId="13">#REF!</definedName>
    <definedName name="__BPK1" localSheetId="5">#REF!</definedName>
    <definedName name="__BPK1" localSheetId="0">#REF!</definedName>
    <definedName name="__BPK1">#REF!</definedName>
    <definedName name="__BPK2" localSheetId="1">#REF!</definedName>
    <definedName name="__BPK2" localSheetId="3">#REF!</definedName>
    <definedName name="__BPK2" localSheetId="2">#REF!</definedName>
    <definedName name="__BPK2" localSheetId="12">#REF!</definedName>
    <definedName name="__BPK2" localSheetId="14">#REF!</definedName>
    <definedName name="__BPK2" localSheetId="13">#REF!</definedName>
    <definedName name="__BPK2" localSheetId="5">#REF!</definedName>
    <definedName name="__BPK2" localSheetId="0">#REF!</definedName>
    <definedName name="__BPK2">#REF!</definedName>
    <definedName name="__BPK3" localSheetId="1">#REF!</definedName>
    <definedName name="__BPK3" localSheetId="3">#REF!</definedName>
    <definedName name="__BPK3" localSheetId="2">#REF!</definedName>
    <definedName name="__BPK3" localSheetId="12">#REF!</definedName>
    <definedName name="__BPK3" localSheetId="14">#REF!</definedName>
    <definedName name="__BPK3" localSheetId="13">#REF!</definedName>
    <definedName name="__BPK3" localSheetId="5">#REF!</definedName>
    <definedName name="__BPK3" localSheetId="0">#REF!</definedName>
    <definedName name="__BPK3">#REF!</definedName>
    <definedName name="__CENA__" localSheetId="1">#REF!</definedName>
    <definedName name="__CENA__" localSheetId="3">#REF!</definedName>
    <definedName name="__CENA__" localSheetId="2">#REF!</definedName>
    <definedName name="__CENA__" localSheetId="12">#REF!</definedName>
    <definedName name="__CENA__" localSheetId="14">#REF!</definedName>
    <definedName name="__CENA__" localSheetId="13">#REF!</definedName>
    <definedName name="__CENA__" localSheetId="5">#REF!</definedName>
    <definedName name="__CENA__" localSheetId="0">#REF!</definedName>
    <definedName name="__CENA__">#REF!</definedName>
    <definedName name="__MAIN__" localSheetId="1">#REF!</definedName>
    <definedName name="__MAIN__" localSheetId="3">#REF!</definedName>
    <definedName name="__MAIN__" localSheetId="2">#REF!</definedName>
    <definedName name="__MAIN__" localSheetId="12">#REF!</definedName>
    <definedName name="__MAIN__" localSheetId="14">#REF!</definedName>
    <definedName name="__MAIN__" localSheetId="13">#REF!</definedName>
    <definedName name="__MAIN__" localSheetId="5">#REF!</definedName>
    <definedName name="__MAIN__" localSheetId="0">#REF!</definedName>
    <definedName name="__MAIN__">#REF!</definedName>
    <definedName name="__MAIN2__" localSheetId="1">#REF!</definedName>
    <definedName name="__MAIN2__" localSheetId="3">#REF!</definedName>
    <definedName name="__MAIN2__" localSheetId="2">#REF!</definedName>
    <definedName name="__MAIN2__" localSheetId="12">#REF!</definedName>
    <definedName name="__MAIN2__" localSheetId="14">#REF!</definedName>
    <definedName name="__MAIN2__" localSheetId="13">#REF!</definedName>
    <definedName name="__MAIN2__" localSheetId="5">#REF!</definedName>
    <definedName name="__MAIN2__" localSheetId="0">#REF!</definedName>
    <definedName name="__MAIN2__">#REF!</definedName>
    <definedName name="__MAIN3__" localSheetId="5">#REF!</definedName>
    <definedName name="__MAIN3__" localSheetId="0">#REF!</definedName>
    <definedName name="__MAIN3__">#REF!</definedName>
    <definedName name="__SAZBA__" localSheetId="5">#REF!</definedName>
    <definedName name="__SAZBA__" localSheetId="0">#REF!</definedName>
    <definedName name="__SAZBA__">#REF!</definedName>
    <definedName name="__T0__" localSheetId="5">#REF!</definedName>
    <definedName name="__T0__" localSheetId="0">#REF!</definedName>
    <definedName name="__T0__">#REF!</definedName>
    <definedName name="__T1__" localSheetId="5">#REF!</definedName>
    <definedName name="__T1__" localSheetId="0">#REF!</definedName>
    <definedName name="__T1__">#REF!</definedName>
    <definedName name="__T2__" localSheetId="5">#REF!</definedName>
    <definedName name="__T2__" localSheetId="0">#REF!</definedName>
    <definedName name="__T2__">#REF!</definedName>
    <definedName name="__T3__" localSheetId="5">#REF!</definedName>
    <definedName name="__T3__" localSheetId="0">#REF!</definedName>
    <definedName name="__T3__">#REF!</definedName>
    <definedName name="__T4__" localSheetId="1">#REF!</definedName>
    <definedName name="__T4__" localSheetId="3">#REF!</definedName>
    <definedName name="__T4__" localSheetId="2">#REF!</definedName>
    <definedName name="__T4__" localSheetId="12">#REF!</definedName>
    <definedName name="__T4__" localSheetId="14">#REF!</definedName>
    <definedName name="__T4__" localSheetId="13">#REF!</definedName>
    <definedName name="__T4__" localSheetId="5">#REF!</definedName>
    <definedName name="__T4__" localSheetId="0">#REF!</definedName>
    <definedName name="__T4__">#REF!</definedName>
    <definedName name="__TE0__" localSheetId="1">#REF!</definedName>
    <definedName name="__TE0__" localSheetId="3">#REF!</definedName>
    <definedName name="__TE0__" localSheetId="2">#REF!</definedName>
    <definedName name="__TE0__" localSheetId="12">#REF!</definedName>
    <definedName name="__TE0__" localSheetId="14">#REF!</definedName>
    <definedName name="__TE0__" localSheetId="13">#REF!</definedName>
    <definedName name="__TE0__" localSheetId="5">#REF!</definedName>
    <definedName name="__TE0__" localSheetId="0">#REF!</definedName>
    <definedName name="__TE0__">#REF!</definedName>
    <definedName name="__TE1__" localSheetId="1">#REF!</definedName>
    <definedName name="__TE1__" localSheetId="3">#REF!</definedName>
    <definedName name="__TE1__" localSheetId="2">#REF!</definedName>
    <definedName name="__TE1__" localSheetId="12">#REF!</definedName>
    <definedName name="__TE1__" localSheetId="14">#REF!</definedName>
    <definedName name="__TE1__" localSheetId="13">#REF!</definedName>
    <definedName name="__TE1__" localSheetId="5">#REF!</definedName>
    <definedName name="__TE1__" localSheetId="0">#REF!</definedName>
    <definedName name="__TE1__">#REF!</definedName>
    <definedName name="__TE2__" localSheetId="1">#REF!</definedName>
    <definedName name="__TE2__" localSheetId="3">#REF!</definedName>
    <definedName name="__TE2__" localSheetId="2">#REF!</definedName>
    <definedName name="__TE2__" localSheetId="12">#REF!</definedName>
    <definedName name="__TE2__" localSheetId="14">#REF!</definedName>
    <definedName name="__TE2__" localSheetId="13">#REF!</definedName>
    <definedName name="__TE2__" localSheetId="5">#REF!</definedName>
    <definedName name="__TE2__" localSheetId="0">#REF!</definedName>
    <definedName name="__TE2__">#REF!</definedName>
    <definedName name="__TE3__" localSheetId="12">#REF!</definedName>
    <definedName name="__TE3__" localSheetId="14">#REF!</definedName>
    <definedName name="__TE3__" localSheetId="13">#REF!</definedName>
    <definedName name="__TE3__" localSheetId="5">#REF!</definedName>
    <definedName name="__TE3__" localSheetId="0">#REF!</definedName>
    <definedName name="__TE3__">#REF!</definedName>
    <definedName name="__TR0__" localSheetId="1">#REF!</definedName>
    <definedName name="__TR0__" localSheetId="3">#REF!</definedName>
    <definedName name="__TR0__" localSheetId="2">#REF!</definedName>
    <definedName name="__TR0__" localSheetId="12">#REF!</definedName>
    <definedName name="__TR0__" localSheetId="14">#REF!</definedName>
    <definedName name="__TR0__" localSheetId="13">#REF!</definedName>
    <definedName name="__TR0__" localSheetId="5">#REF!</definedName>
    <definedName name="__TR0__" localSheetId="0">#REF!</definedName>
    <definedName name="__TR0__">#REF!</definedName>
    <definedName name="__TR1__" localSheetId="1">#REF!</definedName>
    <definedName name="__TR1__" localSheetId="3">#REF!</definedName>
    <definedName name="__TR1__" localSheetId="2">#REF!</definedName>
    <definedName name="__TR1__" localSheetId="12">#REF!</definedName>
    <definedName name="__TR1__" localSheetId="14">#REF!</definedName>
    <definedName name="__TR1__" localSheetId="13">#REF!</definedName>
    <definedName name="__TR1__" localSheetId="5">#REF!</definedName>
    <definedName name="__TR1__" localSheetId="0">#REF!</definedName>
    <definedName name="__TR1__">#REF!</definedName>
    <definedName name="__TR2__" localSheetId="1">#REF!</definedName>
    <definedName name="__TR2__" localSheetId="3">#REF!</definedName>
    <definedName name="__TR2__" localSheetId="2">#REF!</definedName>
    <definedName name="__TR2__" localSheetId="12">#REF!</definedName>
    <definedName name="__TR2__" localSheetId="14">#REF!</definedName>
    <definedName name="__TR2__" localSheetId="13">#REF!</definedName>
    <definedName name="__TR2__" localSheetId="5">#REF!</definedName>
    <definedName name="__TR2__" localSheetId="0">#REF!</definedName>
    <definedName name="__TR2__">#REF!</definedName>
    <definedName name="__xlnm.Print_Area_1">"$#REF!.$A$1:$D$66"</definedName>
    <definedName name="_BPK1" localSheetId="1">#REF!</definedName>
    <definedName name="_BPK1" localSheetId="3">#REF!</definedName>
    <definedName name="_BPK1" localSheetId="2">#REF!</definedName>
    <definedName name="_BPK1" localSheetId="12">#REF!</definedName>
    <definedName name="_BPK1" localSheetId="14">#REF!</definedName>
    <definedName name="_BPK1" localSheetId="13">#REF!</definedName>
    <definedName name="_BPK1" localSheetId="5">#REF!</definedName>
    <definedName name="_BPK1" localSheetId="0">#REF!</definedName>
    <definedName name="_BPK1">#REF!</definedName>
    <definedName name="_BPK2" localSheetId="1">#REF!</definedName>
    <definedName name="_BPK2" localSheetId="3">#REF!</definedName>
    <definedName name="_BPK2" localSheetId="2">#REF!</definedName>
    <definedName name="_BPK2" localSheetId="12">#REF!</definedName>
    <definedName name="_BPK2" localSheetId="14">#REF!</definedName>
    <definedName name="_BPK2" localSheetId="13">#REF!</definedName>
    <definedName name="_BPK2" localSheetId="5">#REF!</definedName>
    <definedName name="_BPK2" localSheetId="0">#REF!</definedName>
    <definedName name="_BPK2">#REF!</definedName>
    <definedName name="_BPK3" localSheetId="1">#REF!</definedName>
    <definedName name="_BPK3" localSheetId="3">#REF!</definedName>
    <definedName name="_BPK3" localSheetId="2">#REF!</definedName>
    <definedName name="_BPK3" localSheetId="12">#REF!</definedName>
    <definedName name="_BPK3" localSheetId="14">#REF!</definedName>
    <definedName name="_BPK3" localSheetId="13">#REF!</definedName>
    <definedName name="_BPK3" localSheetId="5">#REF!</definedName>
    <definedName name="_BPK3" localSheetId="0">#REF!</definedName>
    <definedName name="_BPK3">#REF!</definedName>
    <definedName name="_dph1" localSheetId="1">#REF!</definedName>
    <definedName name="_dph1" localSheetId="3">#REF!</definedName>
    <definedName name="_dph1" localSheetId="2">#REF!</definedName>
    <definedName name="_dph1" localSheetId="12">#REF!</definedName>
    <definedName name="_dph1" localSheetId="14">#REF!</definedName>
    <definedName name="_dph1" localSheetId="13">#REF!</definedName>
    <definedName name="_dph1" localSheetId="5">#REF!</definedName>
    <definedName name="_dph1" localSheetId="0">#REF!</definedName>
    <definedName name="_dph1">#REF!</definedName>
    <definedName name="_dph2" localSheetId="1">#REF!</definedName>
    <definedName name="_dph2" localSheetId="3">#REF!</definedName>
    <definedName name="_dph2" localSheetId="2">#REF!</definedName>
    <definedName name="_dph2" localSheetId="12">#REF!</definedName>
    <definedName name="_dph2" localSheetId="14">#REF!</definedName>
    <definedName name="_dph2" localSheetId="13">#REF!</definedName>
    <definedName name="_dph2" localSheetId="5">#REF!</definedName>
    <definedName name="_dph2" localSheetId="0">#REF!</definedName>
    <definedName name="_dph2">#REF!</definedName>
    <definedName name="_dph3" localSheetId="1">#REF!</definedName>
    <definedName name="_dph3" localSheetId="3">#REF!</definedName>
    <definedName name="_dph3" localSheetId="2">#REF!</definedName>
    <definedName name="_dph3" localSheetId="12">#REF!</definedName>
    <definedName name="_dph3" localSheetId="14">#REF!</definedName>
    <definedName name="_dph3" localSheetId="13">#REF!</definedName>
    <definedName name="_dph3" localSheetId="5">#REF!</definedName>
    <definedName name="_dph3" localSheetId="0">#REF!</definedName>
    <definedName name="_dph3">#REF!</definedName>
    <definedName name="_END1" localSheetId="5">#REF!</definedName>
    <definedName name="_END1" localSheetId="0">#REF!</definedName>
    <definedName name="_END1">#REF!</definedName>
    <definedName name="_END2" localSheetId="5">#REF!</definedName>
    <definedName name="_END2" localSheetId="0">#REF!</definedName>
    <definedName name="_END2">#REF!</definedName>
    <definedName name="_odd1" localSheetId="5">#REF!</definedName>
    <definedName name="_odd1" localSheetId="0">#REF!</definedName>
    <definedName name="_odd1">#REF!</definedName>
    <definedName name="_odd11" localSheetId="5">#REF!</definedName>
    <definedName name="_odd11" localSheetId="0">#REF!</definedName>
    <definedName name="_odd11">#REF!</definedName>
    <definedName name="_odd12" localSheetId="5">#REF!</definedName>
    <definedName name="_odd12" localSheetId="0">#REF!</definedName>
    <definedName name="_odd12">#REF!</definedName>
    <definedName name="_odd13" localSheetId="5">#REF!</definedName>
    <definedName name="_odd13" localSheetId="0">#REF!</definedName>
    <definedName name="_odd13">#REF!</definedName>
    <definedName name="_odd14" localSheetId="5">#REF!</definedName>
    <definedName name="_odd14" localSheetId="0">#REF!</definedName>
    <definedName name="_odd14">#REF!</definedName>
    <definedName name="_odd15" localSheetId="5">#REF!</definedName>
    <definedName name="_odd15" localSheetId="0">#REF!</definedName>
    <definedName name="_odd15">#REF!</definedName>
    <definedName name="_odd16" localSheetId="5">#REF!</definedName>
    <definedName name="_odd16" localSheetId="0">#REF!</definedName>
    <definedName name="_odd16">#REF!</definedName>
    <definedName name="_odd2" localSheetId="5">#REF!</definedName>
    <definedName name="_odd2" localSheetId="0">#REF!</definedName>
    <definedName name="_odd2">#REF!</definedName>
    <definedName name="_odd21" localSheetId="5">#REF!</definedName>
    <definedName name="_odd21" localSheetId="0">#REF!</definedName>
    <definedName name="_odd21">#REF!</definedName>
    <definedName name="_odd22" localSheetId="5">#REF!</definedName>
    <definedName name="_odd22" localSheetId="0">#REF!</definedName>
    <definedName name="_odd22">#REF!</definedName>
    <definedName name="_odd23" localSheetId="5">#REF!</definedName>
    <definedName name="_odd23" localSheetId="0">#REF!</definedName>
    <definedName name="_odd23">#REF!</definedName>
    <definedName name="_odd24" localSheetId="5">#REF!</definedName>
    <definedName name="_odd24" localSheetId="0">#REF!</definedName>
    <definedName name="_odd24">#REF!</definedName>
    <definedName name="_odd25" localSheetId="5">#REF!</definedName>
    <definedName name="_odd25" localSheetId="0">#REF!</definedName>
    <definedName name="_odd25">#REF!</definedName>
    <definedName name="_odd26" localSheetId="5">#REF!</definedName>
    <definedName name="_odd26" localSheetId="0">#REF!</definedName>
    <definedName name="_odd26">#REF!</definedName>
    <definedName name="_odd3" localSheetId="5">#REF!</definedName>
    <definedName name="_odd3" localSheetId="0">#REF!</definedName>
    <definedName name="_odd3">#REF!</definedName>
    <definedName name="_odd31" localSheetId="5">#REF!</definedName>
    <definedName name="_odd31" localSheetId="0">#REF!</definedName>
    <definedName name="_odd31">#REF!</definedName>
    <definedName name="_odd32" localSheetId="5">#REF!</definedName>
    <definedName name="_odd32" localSheetId="0">#REF!</definedName>
    <definedName name="_odd32">#REF!</definedName>
    <definedName name="_odd33" localSheetId="5">#REF!</definedName>
    <definedName name="_odd33" localSheetId="0">#REF!</definedName>
    <definedName name="_odd33">#REF!</definedName>
    <definedName name="_odd34" localSheetId="5">#REF!</definedName>
    <definedName name="_odd34" localSheetId="0">#REF!</definedName>
    <definedName name="_odd34">#REF!</definedName>
    <definedName name="_odd35" localSheetId="5">#REF!</definedName>
    <definedName name="_odd35" localSheetId="0">#REF!</definedName>
    <definedName name="_odd35">#REF!</definedName>
    <definedName name="_odd36" localSheetId="5">#REF!</definedName>
    <definedName name="_odd36" localSheetId="0">#REF!</definedName>
    <definedName name="_odd36">#REF!</definedName>
    <definedName name="_odd37" localSheetId="5">#REF!</definedName>
    <definedName name="_odd37" localSheetId="0">#REF!</definedName>
    <definedName name="_odd37">#REF!</definedName>
    <definedName name="_odd38" localSheetId="5">#REF!</definedName>
    <definedName name="_odd38" localSheetId="0">#REF!</definedName>
    <definedName name="_odd38">#REF!</definedName>
    <definedName name="_odd39" localSheetId="5">#REF!</definedName>
    <definedName name="_odd39" localSheetId="0">#REF!</definedName>
    <definedName name="_odd39">#REF!</definedName>
    <definedName name="_odd4" localSheetId="5">#REF!</definedName>
    <definedName name="_odd4" localSheetId="0">#REF!</definedName>
    <definedName name="_odd4">#REF!</definedName>
    <definedName name="_odd41" localSheetId="5">#REF!</definedName>
    <definedName name="_odd41" localSheetId="0">#REF!</definedName>
    <definedName name="_odd41">#REF!</definedName>
    <definedName name="_odd42" localSheetId="5">#REF!</definedName>
    <definedName name="_odd42" localSheetId="0">#REF!</definedName>
    <definedName name="_odd42">#REF!</definedName>
    <definedName name="_odd43" localSheetId="5">#REF!</definedName>
    <definedName name="_odd43" localSheetId="0">#REF!</definedName>
    <definedName name="_odd43">#REF!</definedName>
    <definedName name="_odd44" localSheetId="5">#REF!</definedName>
    <definedName name="_odd44" localSheetId="0">#REF!</definedName>
    <definedName name="_odd44">#REF!</definedName>
    <definedName name="_odd45" localSheetId="5">#REF!</definedName>
    <definedName name="_odd45" localSheetId="0">#REF!</definedName>
    <definedName name="_odd45">#REF!</definedName>
    <definedName name="_odd46" localSheetId="5">#REF!</definedName>
    <definedName name="_odd46" localSheetId="0">#REF!</definedName>
    <definedName name="_odd46">#REF!</definedName>
    <definedName name="_odd5" localSheetId="5">#REF!</definedName>
    <definedName name="_odd5" localSheetId="0">#REF!</definedName>
    <definedName name="_odd5">#REF!</definedName>
    <definedName name="_odd51" localSheetId="5">#REF!</definedName>
    <definedName name="_odd51" localSheetId="0">#REF!</definedName>
    <definedName name="_odd51">#REF!</definedName>
    <definedName name="_odd52" localSheetId="5">#REF!</definedName>
    <definedName name="_odd52" localSheetId="0">#REF!</definedName>
    <definedName name="_odd52">#REF!</definedName>
    <definedName name="_odd53" localSheetId="5">#REF!</definedName>
    <definedName name="_odd53" localSheetId="0">#REF!</definedName>
    <definedName name="_odd53">#REF!</definedName>
    <definedName name="_odd54" localSheetId="5">#REF!</definedName>
    <definedName name="_odd54" localSheetId="0">#REF!</definedName>
    <definedName name="_odd54">#REF!</definedName>
    <definedName name="_odd55" localSheetId="5">#REF!</definedName>
    <definedName name="_odd55" localSheetId="0">#REF!</definedName>
    <definedName name="_odd55">#REF!</definedName>
    <definedName name="_odd56" localSheetId="5">#REF!</definedName>
    <definedName name="_odd56" localSheetId="0">#REF!</definedName>
    <definedName name="_odd56">#REF!</definedName>
    <definedName name="_odd57" localSheetId="5">#REF!</definedName>
    <definedName name="_odd57" localSheetId="0">#REF!</definedName>
    <definedName name="_odd57">#REF!</definedName>
    <definedName name="_odd58" localSheetId="5">#REF!</definedName>
    <definedName name="_odd58" localSheetId="0">#REF!</definedName>
    <definedName name="_odd58">#REF!</definedName>
    <definedName name="_odd59" localSheetId="5">#REF!</definedName>
    <definedName name="_odd59" localSheetId="0">#REF!</definedName>
    <definedName name="_odd59">#REF!</definedName>
    <definedName name="_odd6" localSheetId="5">#REF!</definedName>
    <definedName name="_odd6" localSheetId="0">#REF!</definedName>
    <definedName name="_odd6">#REF!</definedName>
    <definedName name="_odd61" localSheetId="5">#REF!</definedName>
    <definedName name="_odd61" localSheetId="0">#REF!</definedName>
    <definedName name="_odd61">#REF!</definedName>
    <definedName name="_odd62" localSheetId="5">#REF!</definedName>
    <definedName name="_odd62" localSheetId="0">#REF!</definedName>
    <definedName name="_odd62">#REF!</definedName>
    <definedName name="_odd63" localSheetId="5">#REF!</definedName>
    <definedName name="_odd63" localSheetId="0">#REF!</definedName>
    <definedName name="_odd63">#REF!</definedName>
    <definedName name="_odd64" localSheetId="5">#REF!</definedName>
    <definedName name="_odd64" localSheetId="0">#REF!</definedName>
    <definedName name="_odd64">#REF!</definedName>
    <definedName name="_odd7" localSheetId="5">#REF!</definedName>
    <definedName name="_odd7" localSheetId="0">#REF!</definedName>
    <definedName name="_odd7">#REF!</definedName>
    <definedName name="_odd71" localSheetId="5">#REF!</definedName>
    <definedName name="_odd71" localSheetId="0">#REF!</definedName>
    <definedName name="_odd71">#REF!</definedName>
    <definedName name="_odd711" localSheetId="5">#REF!</definedName>
    <definedName name="_odd711" localSheetId="0">#REF!</definedName>
    <definedName name="_odd711">#REF!</definedName>
    <definedName name="_odd712" localSheetId="5">#REF!</definedName>
    <definedName name="_odd712" localSheetId="0">#REF!</definedName>
    <definedName name="_odd712">#REF!</definedName>
    <definedName name="_odd713" localSheetId="5">#REF!</definedName>
    <definedName name="_odd713" localSheetId="0">#REF!</definedName>
    <definedName name="_odd713">#REF!</definedName>
    <definedName name="_odd714" localSheetId="5">#REF!</definedName>
    <definedName name="_odd714" localSheetId="0">#REF!</definedName>
    <definedName name="_odd714">#REF!</definedName>
    <definedName name="_odd715" localSheetId="5">#REF!</definedName>
    <definedName name="_odd715" localSheetId="0">#REF!</definedName>
    <definedName name="_odd715">#REF!</definedName>
    <definedName name="_odd716" localSheetId="5">#REF!</definedName>
    <definedName name="_odd716" localSheetId="0">#REF!</definedName>
    <definedName name="_odd716">#REF!</definedName>
    <definedName name="_odd717" localSheetId="5">#REF!</definedName>
    <definedName name="_odd717" localSheetId="0">#REF!</definedName>
    <definedName name="_odd717">#REF!</definedName>
    <definedName name="_odd718" localSheetId="5">#REF!</definedName>
    <definedName name="_odd718" localSheetId="0">#REF!</definedName>
    <definedName name="_odd718">#REF!</definedName>
    <definedName name="_odd719" localSheetId="5">#REF!</definedName>
    <definedName name="_odd719" localSheetId="0">#REF!</definedName>
    <definedName name="_odd719">#REF!</definedName>
    <definedName name="_odd72" localSheetId="5">#REF!</definedName>
    <definedName name="_odd72" localSheetId="0">#REF!</definedName>
    <definedName name="_odd72">#REF!</definedName>
    <definedName name="_odd721" localSheetId="5">#REF!</definedName>
    <definedName name="_odd721" localSheetId="0">#REF!</definedName>
    <definedName name="_odd721">#REF!</definedName>
    <definedName name="_odd7210" localSheetId="5">#REF!</definedName>
    <definedName name="_odd7210" localSheetId="0">#REF!</definedName>
    <definedName name="_odd7210">#REF!</definedName>
    <definedName name="_odd722" localSheetId="5">#REF!</definedName>
    <definedName name="_odd722" localSheetId="0">#REF!</definedName>
    <definedName name="_odd722">#REF!</definedName>
    <definedName name="_odd723" localSheetId="5">#REF!</definedName>
    <definedName name="_odd723" localSheetId="0">#REF!</definedName>
    <definedName name="_odd723">#REF!</definedName>
    <definedName name="_odd724" localSheetId="5">#REF!</definedName>
    <definedName name="_odd724" localSheetId="0">#REF!</definedName>
    <definedName name="_odd724">#REF!</definedName>
    <definedName name="_odd725" localSheetId="5">#REF!</definedName>
    <definedName name="_odd725" localSheetId="0">#REF!</definedName>
    <definedName name="_odd725">#REF!</definedName>
    <definedName name="_odd726" localSheetId="5">#REF!</definedName>
    <definedName name="_odd726" localSheetId="0">#REF!</definedName>
    <definedName name="_odd726">#REF!</definedName>
    <definedName name="_odd727" localSheetId="5">#REF!</definedName>
    <definedName name="_odd727" localSheetId="0">#REF!</definedName>
    <definedName name="_odd727">#REF!</definedName>
    <definedName name="_odd728" localSheetId="5">#REF!</definedName>
    <definedName name="_odd728" localSheetId="0">#REF!</definedName>
    <definedName name="_odd728">#REF!</definedName>
    <definedName name="_odd729" localSheetId="5">#REF!</definedName>
    <definedName name="_odd729" localSheetId="0">#REF!</definedName>
    <definedName name="_odd729">#REF!</definedName>
    <definedName name="_odd8" localSheetId="5">#REF!</definedName>
    <definedName name="_odd8" localSheetId="0">#REF!</definedName>
    <definedName name="_odd8">#REF!</definedName>
    <definedName name="_odd81" localSheetId="5">#REF!</definedName>
    <definedName name="_odd81" localSheetId="0">#REF!</definedName>
    <definedName name="_odd81">#REF!</definedName>
    <definedName name="_odd82" localSheetId="5">#REF!</definedName>
    <definedName name="_odd82" localSheetId="0">#REF!</definedName>
    <definedName name="_odd82">#REF!</definedName>
    <definedName name="_odd83" localSheetId="5">#REF!</definedName>
    <definedName name="_odd83" localSheetId="0">#REF!</definedName>
    <definedName name="_odd83">#REF!</definedName>
    <definedName name="_odd84" localSheetId="5">#REF!</definedName>
    <definedName name="_odd84" localSheetId="0">#REF!</definedName>
    <definedName name="_odd84">#REF!</definedName>
    <definedName name="_odd85" localSheetId="5">#REF!</definedName>
    <definedName name="_odd85" localSheetId="0">#REF!</definedName>
    <definedName name="_odd85">#REF!</definedName>
    <definedName name="_odd86" localSheetId="5">#REF!</definedName>
    <definedName name="_odd86" localSheetId="0">#REF!</definedName>
    <definedName name="_odd86">#REF!</definedName>
    <definedName name="_odd87" localSheetId="5">#REF!</definedName>
    <definedName name="_odd87" localSheetId="0">#REF!</definedName>
    <definedName name="_odd87">#REF!</definedName>
    <definedName name="_odd88" localSheetId="5">#REF!</definedName>
    <definedName name="_odd88" localSheetId="0">#REF!</definedName>
    <definedName name="_odd88">#REF!</definedName>
    <definedName name="_odd89" localSheetId="5">#REF!</definedName>
    <definedName name="_odd89" localSheetId="0">#REF!</definedName>
    <definedName name="_odd89">#REF!</definedName>
    <definedName name="_odd9" localSheetId="5">#REF!</definedName>
    <definedName name="_odd9" localSheetId="0">#REF!</definedName>
    <definedName name="_odd9">#REF!</definedName>
    <definedName name="_pol1" localSheetId="5">#REF!</definedName>
    <definedName name="_pol1" localSheetId="0">#REF!</definedName>
    <definedName name="_pol1">#REF!</definedName>
    <definedName name="_pol2" localSheetId="5">#REF!</definedName>
    <definedName name="_pol2" localSheetId="0">#REF!</definedName>
    <definedName name="_pol2">#REF!</definedName>
    <definedName name="_pol3" localSheetId="5">#REF!</definedName>
    <definedName name="_pol3" localSheetId="0">#REF!</definedName>
    <definedName name="_pol3">#REF!</definedName>
    <definedName name="_rek1" localSheetId="5">#REF!</definedName>
    <definedName name="_rek1" localSheetId="0">#REF!</definedName>
    <definedName name="_rek1">#REF!</definedName>
    <definedName name="_rek11" localSheetId="5">#REF!</definedName>
    <definedName name="_rek11" localSheetId="0">#REF!</definedName>
    <definedName name="_rek11">#REF!</definedName>
    <definedName name="_rek12" localSheetId="5">#REF!</definedName>
    <definedName name="_rek12" localSheetId="0">#REF!</definedName>
    <definedName name="_rek12">#REF!</definedName>
    <definedName name="_rek13" localSheetId="5">#REF!</definedName>
    <definedName name="_rek13" localSheetId="0">#REF!</definedName>
    <definedName name="_rek13">#REF!</definedName>
    <definedName name="_rek14" localSheetId="5">#REF!</definedName>
    <definedName name="_rek14" localSheetId="0">#REF!</definedName>
    <definedName name="_rek14">#REF!</definedName>
    <definedName name="_rek15" localSheetId="5">#REF!</definedName>
    <definedName name="_rek15" localSheetId="0">#REF!</definedName>
    <definedName name="_rek15">#REF!</definedName>
    <definedName name="_rek16" localSheetId="5">#REF!</definedName>
    <definedName name="_rek16" localSheetId="0">#REF!</definedName>
    <definedName name="_rek16">#REF!</definedName>
    <definedName name="_rek2" localSheetId="5">#REF!</definedName>
    <definedName name="_rek2" localSheetId="0">#REF!</definedName>
    <definedName name="_rek2">#REF!</definedName>
    <definedName name="_rek21" localSheetId="5">#REF!</definedName>
    <definedName name="_rek21" localSheetId="0">#REF!</definedName>
    <definedName name="_rek21">#REF!</definedName>
    <definedName name="_rek22" localSheetId="5">#REF!</definedName>
    <definedName name="_rek22" localSheetId="0">#REF!</definedName>
    <definedName name="_rek22">#REF!</definedName>
    <definedName name="_rek23" localSheetId="5">#REF!</definedName>
    <definedName name="_rek23" localSheetId="0">#REF!</definedName>
    <definedName name="_rek23">#REF!</definedName>
    <definedName name="_rek24" localSheetId="5">#REF!</definedName>
    <definedName name="_rek24" localSheetId="0">#REF!</definedName>
    <definedName name="_rek24">#REF!</definedName>
    <definedName name="_rek25" localSheetId="5">#REF!</definedName>
    <definedName name="_rek25" localSheetId="0">#REF!</definedName>
    <definedName name="_rek25">#REF!</definedName>
    <definedName name="_rek26" localSheetId="5">#REF!</definedName>
    <definedName name="_rek26" localSheetId="0">#REF!</definedName>
    <definedName name="_rek26">#REF!</definedName>
    <definedName name="_rek3" localSheetId="5">#REF!</definedName>
    <definedName name="_rek3" localSheetId="0">#REF!</definedName>
    <definedName name="_rek3">#REF!</definedName>
    <definedName name="_rek31" localSheetId="5">#REF!</definedName>
    <definedName name="_rek31" localSheetId="0">#REF!</definedName>
    <definedName name="_rek31">#REF!</definedName>
    <definedName name="_rek32" localSheetId="5">#REF!</definedName>
    <definedName name="_rek32" localSheetId="0">#REF!</definedName>
    <definedName name="_rek32">#REF!</definedName>
    <definedName name="_rek33" localSheetId="5">#REF!</definedName>
    <definedName name="_rek33" localSheetId="0">#REF!</definedName>
    <definedName name="_rek33">#REF!</definedName>
    <definedName name="_rek34" localSheetId="5">#REF!</definedName>
    <definedName name="_rek34" localSheetId="0">#REF!</definedName>
    <definedName name="_rek34">#REF!</definedName>
    <definedName name="_rek35" localSheetId="5">#REF!</definedName>
    <definedName name="_rek35" localSheetId="0">#REF!</definedName>
    <definedName name="_rek35">#REF!</definedName>
    <definedName name="_rek36" localSheetId="5">#REF!</definedName>
    <definedName name="_rek36" localSheetId="0">#REF!</definedName>
    <definedName name="_rek36">#REF!</definedName>
    <definedName name="_rek37" localSheetId="5">#REF!</definedName>
    <definedName name="_rek37" localSheetId="0">#REF!</definedName>
    <definedName name="_rek37">#REF!</definedName>
    <definedName name="_rek38" localSheetId="5">#REF!</definedName>
    <definedName name="_rek38" localSheetId="0">#REF!</definedName>
    <definedName name="_rek38">#REF!</definedName>
    <definedName name="_rek39" localSheetId="5">#REF!</definedName>
    <definedName name="_rek39" localSheetId="0">#REF!</definedName>
    <definedName name="_rek39">#REF!</definedName>
    <definedName name="_rek4" localSheetId="5">#REF!</definedName>
    <definedName name="_rek4" localSheetId="0">#REF!</definedName>
    <definedName name="_rek4">#REF!</definedName>
    <definedName name="_rek41" localSheetId="5">#REF!</definedName>
    <definedName name="_rek41" localSheetId="0">#REF!</definedName>
    <definedName name="_rek41">#REF!</definedName>
    <definedName name="_rek42" localSheetId="5">#REF!</definedName>
    <definedName name="_rek42" localSheetId="0">#REF!</definedName>
    <definedName name="_rek42">#REF!</definedName>
    <definedName name="_rek43" localSheetId="5">#REF!</definedName>
    <definedName name="_rek43" localSheetId="0">#REF!</definedName>
    <definedName name="_rek43">#REF!</definedName>
    <definedName name="_rek44" localSheetId="5">#REF!</definedName>
    <definedName name="_rek44" localSheetId="0">#REF!</definedName>
    <definedName name="_rek44">#REF!</definedName>
    <definedName name="_rek45" localSheetId="5">#REF!</definedName>
    <definedName name="_rek45" localSheetId="0">#REF!</definedName>
    <definedName name="_rek45">#REF!</definedName>
    <definedName name="_rek46" localSheetId="5">#REF!</definedName>
    <definedName name="_rek46" localSheetId="0">#REF!</definedName>
    <definedName name="_rek46">#REF!</definedName>
    <definedName name="_rek5" localSheetId="5">#REF!</definedName>
    <definedName name="_rek5" localSheetId="0">#REF!</definedName>
    <definedName name="_rek5">#REF!</definedName>
    <definedName name="_rek51" localSheetId="5">#REF!</definedName>
    <definedName name="_rek51" localSheetId="0">#REF!</definedName>
    <definedName name="_rek51">#REF!</definedName>
    <definedName name="_rek52" localSheetId="5">#REF!</definedName>
    <definedName name="_rek52" localSheetId="0">#REF!</definedName>
    <definedName name="_rek52">#REF!</definedName>
    <definedName name="_rek53" localSheetId="5">#REF!</definedName>
    <definedName name="_rek53" localSheetId="0">#REF!</definedName>
    <definedName name="_rek53">#REF!</definedName>
    <definedName name="_rek54" localSheetId="5">#REF!</definedName>
    <definedName name="_rek54" localSheetId="0">#REF!</definedName>
    <definedName name="_rek54">#REF!</definedName>
    <definedName name="_rek55" localSheetId="5">#REF!</definedName>
    <definedName name="_rek55" localSheetId="0">#REF!</definedName>
    <definedName name="_rek55">#REF!</definedName>
    <definedName name="_rek56" localSheetId="5">#REF!</definedName>
    <definedName name="_rek56" localSheetId="0">#REF!</definedName>
    <definedName name="_rek56">#REF!</definedName>
    <definedName name="_rek57" localSheetId="5">#REF!</definedName>
    <definedName name="_rek57" localSheetId="0">#REF!</definedName>
    <definedName name="_rek57">#REF!</definedName>
    <definedName name="_rek58" localSheetId="5">#REF!</definedName>
    <definedName name="_rek58" localSheetId="0">#REF!</definedName>
    <definedName name="_rek58">#REF!</definedName>
    <definedName name="_rek59" localSheetId="5">#REF!</definedName>
    <definedName name="_rek59" localSheetId="0">#REF!</definedName>
    <definedName name="_rek59">#REF!</definedName>
    <definedName name="_rek6" localSheetId="5">#REF!</definedName>
    <definedName name="_rek6" localSheetId="0">#REF!</definedName>
    <definedName name="_rek6">#REF!</definedName>
    <definedName name="_rek61" localSheetId="5">#REF!</definedName>
    <definedName name="_rek61" localSheetId="0">#REF!</definedName>
    <definedName name="_rek61">#REF!</definedName>
    <definedName name="_rek62" localSheetId="5">#REF!</definedName>
    <definedName name="_rek62" localSheetId="0">#REF!</definedName>
    <definedName name="_rek62">#REF!</definedName>
    <definedName name="_rek63" localSheetId="5">#REF!</definedName>
    <definedName name="_rek63" localSheetId="0">#REF!</definedName>
    <definedName name="_rek63">#REF!</definedName>
    <definedName name="_rek64" localSheetId="5">#REF!</definedName>
    <definedName name="_rek64" localSheetId="0">#REF!</definedName>
    <definedName name="_rek64">#REF!</definedName>
    <definedName name="_rek7" localSheetId="5">#REF!</definedName>
    <definedName name="_rek7" localSheetId="0">#REF!</definedName>
    <definedName name="_rek7">#REF!</definedName>
    <definedName name="_rek71" localSheetId="5">#REF!</definedName>
    <definedName name="_rek71" localSheetId="0">#REF!</definedName>
    <definedName name="_rek71">#REF!</definedName>
    <definedName name="_rek711" localSheetId="5">#REF!</definedName>
    <definedName name="_rek711" localSheetId="0">#REF!</definedName>
    <definedName name="_rek711">#REF!</definedName>
    <definedName name="_rek712" localSheetId="5">#REF!</definedName>
    <definedName name="_rek712" localSheetId="0">#REF!</definedName>
    <definedName name="_rek712">#REF!</definedName>
    <definedName name="_rek713" localSheetId="5">#REF!</definedName>
    <definedName name="_rek713" localSheetId="0">#REF!</definedName>
    <definedName name="_rek713">#REF!</definedName>
    <definedName name="_rek714" localSheetId="5">#REF!</definedName>
    <definedName name="_rek714" localSheetId="0">#REF!</definedName>
    <definedName name="_rek714">#REF!</definedName>
    <definedName name="_rek715" localSheetId="5">#REF!</definedName>
    <definedName name="_rek715" localSheetId="0">#REF!</definedName>
    <definedName name="_rek715">#REF!</definedName>
    <definedName name="_rek716" localSheetId="5">#REF!</definedName>
    <definedName name="_rek716" localSheetId="0">#REF!</definedName>
    <definedName name="_rek716">#REF!</definedName>
    <definedName name="_rek717" localSheetId="5">#REF!</definedName>
    <definedName name="_rek717" localSheetId="0">#REF!</definedName>
    <definedName name="_rek717">#REF!</definedName>
    <definedName name="_rek718" localSheetId="5">#REF!</definedName>
    <definedName name="_rek718" localSheetId="0">#REF!</definedName>
    <definedName name="_rek718">#REF!</definedName>
    <definedName name="_rek719" localSheetId="5">#REF!</definedName>
    <definedName name="_rek719" localSheetId="0">#REF!</definedName>
    <definedName name="_rek719">#REF!</definedName>
    <definedName name="_rek72" localSheetId="5">#REF!</definedName>
    <definedName name="_rek72" localSheetId="0">#REF!</definedName>
    <definedName name="_rek72">#REF!</definedName>
    <definedName name="_rek721" localSheetId="5">#REF!</definedName>
    <definedName name="_rek721" localSheetId="0">#REF!</definedName>
    <definedName name="_rek721">#REF!</definedName>
    <definedName name="_rek7210" localSheetId="5">#REF!</definedName>
    <definedName name="_rek7210" localSheetId="0">#REF!</definedName>
    <definedName name="_rek7210">#REF!</definedName>
    <definedName name="_rek722" localSheetId="5">#REF!</definedName>
    <definedName name="_rek722" localSheetId="0">#REF!</definedName>
    <definedName name="_rek722">#REF!</definedName>
    <definedName name="_rek723" localSheetId="5">#REF!</definedName>
    <definedName name="_rek723" localSheetId="0">#REF!</definedName>
    <definedName name="_rek723">#REF!</definedName>
    <definedName name="_rek724" localSheetId="5">#REF!</definedName>
    <definedName name="_rek724" localSheetId="0">#REF!</definedName>
    <definedName name="_rek724">#REF!</definedName>
    <definedName name="_rek725" localSheetId="5">#REF!</definedName>
    <definedName name="_rek725" localSheetId="0">#REF!</definedName>
    <definedName name="_rek725">#REF!</definedName>
    <definedName name="_rek726" localSheetId="5">#REF!</definedName>
    <definedName name="_rek726" localSheetId="0">#REF!</definedName>
    <definedName name="_rek726">#REF!</definedName>
    <definedName name="_rek727" localSheetId="5">#REF!</definedName>
    <definedName name="_rek727" localSheetId="0">#REF!</definedName>
    <definedName name="_rek727">#REF!</definedName>
    <definedName name="_rek728" localSheetId="5">#REF!</definedName>
    <definedName name="_rek728" localSheetId="0">#REF!</definedName>
    <definedName name="_rek728">#REF!</definedName>
    <definedName name="_rek729" localSheetId="5">#REF!</definedName>
    <definedName name="_rek729" localSheetId="0">#REF!</definedName>
    <definedName name="_rek729">#REF!</definedName>
    <definedName name="_rek8" localSheetId="5">#REF!</definedName>
    <definedName name="_rek8" localSheetId="0">#REF!</definedName>
    <definedName name="_rek8">#REF!</definedName>
    <definedName name="_rek81" localSheetId="5">#REF!</definedName>
    <definedName name="_rek81" localSheetId="0">#REF!</definedName>
    <definedName name="_rek81">#REF!</definedName>
    <definedName name="_rek9" localSheetId="5">#REF!</definedName>
    <definedName name="_rek9" localSheetId="0">#REF!</definedName>
    <definedName name="_rek9">#REF!</definedName>
    <definedName name="AAA" localSheetId="5">#REF!</definedName>
    <definedName name="AAA" localSheetId="0">#REF!</definedName>
    <definedName name="AAA">#REF!</definedName>
    <definedName name="aaaa">#N/A</definedName>
    <definedName name="ADKM" localSheetId="1">#REF!</definedName>
    <definedName name="ADKM" localSheetId="3">#REF!</definedName>
    <definedName name="ADKM" localSheetId="2">#REF!</definedName>
    <definedName name="ADKM" localSheetId="12">#REF!</definedName>
    <definedName name="ADKM" localSheetId="14">#REF!</definedName>
    <definedName name="ADKM" localSheetId="13">#REF!</definedName>
    <definedName name="ADKM" localSheetId="5">#REF!</definedName>
    <definedName name="ADKM" localSheetId="0">#REF!</definedName>
    <definedName name="ADKM">#REF!</definedName>
    <definedName name="afterdetail_rkap" localSheetId="1">#REF!</definedName>
    <definedName name="afterdetail_rkap" localSheetId="3">#REF!</definedName>
    <definedName name="afterdetail_rkap" localSheetId="2">#REF!</definedName>
    <definedName name="afterdetail_rkap" localSheetId="12">#REF!</definedName>
    <definedName name="afterdetail_rkap" localSheetId="14">#REF!</definedName>
    <definedName name="afterdetail_rkap" localSheetId="13">#REF!</definedName>
    <definedName name="afterdetail_rkap" localSheetId="5">#REF!</definedName>
    <definedName name="afterdetail_rkap" localSheetId="0">#REF!</definedName>
    <definedName name="afterdetail_rkap">#REF!</definedName>
    <definedName name="afterdetail_rozpocty" localSheetId="1">#REF!</definedName>
    <definedName name="afterdetail_rozpocty" localSheetId="3">#REF!</definedName>
    <definedName name="afterdetail_rozpocty" localSheetId="2">#REF!</definedName>
    <definedName name="afterdetail_rozpocty" localSheetId="12">#REF!</definedName>
    <definedName name="afterdetail_rozpocty" localSheetId="14">#REF!</definedName>
    <definedName name="afterdetail_rozpocty" localSheetId="13">#REF!</definedName>
    <definedName name="afterdetail_rozpocty" localSheetId="5">#REF!</definedName>
    <definedName name="afterdetail_rozpocty" localSheetId="0">#REF!</definedName>
    <definedName name="afterdetail_rozpocty">#REF!</definedName>
    <definedName name="Akce" localSheetId="5">#REF!</definedName>
    <definedName name="Akce" localSheetId="0">#REF!</definedName>
    <definedName name="Akce">#REF!</definedName>
    <definedName name="Aktuální_nabídka" localSheetId="1">#REF!</definedName>
    <definedName name="Aktuální_nabídka" localSheetId="3">#REF!</definedName>
    <definedName name="Aktuální_nabídka" localSheetId="2">#REF!</definedName>
    <definedName name="Aktuální_nabídka" localSheetId="12">#REF!</definedName>
    <definedName name="Aktuální_nabídka" localSheetId="14">#REF!</definedName>
    <definedName name="Aktuální_nabídka" localSheetId="13">#REF!</definedName>
    <definedName name="Aktuální_nabídka" localSheetId="5">#REF!</definedName>
    <definedName name="Aktuální_nabídka" localSheetId="0">#REF!</definedName>
    <definedName name="Aktuální_nabídka">#REF!</definedName>
    <definedName name="Analog" localSheetId="1">#REF!</definedName>
    <definedName name="Analog" localSheetId="3">#REF!</definedName>
    <definedName name="Analog" localSheetId="2">#REF!</definedName>
    <definedName name="Analog" localSheetId="12">#REF!</definedName>
    <definedName name="Analog" localSheetId="14">#REF!</definedName>
    <definedName name="Analog" localSheetId="13">#REF!</definedName>
    <definedName name="Analog" localSheetId="5">#REF!</definedName>
    <definedName name="Analog" localSheetId="0">#REF!</definedName>
    <definedName name="Analog">#REF!</definedName>
    <definedName name="bbbb" localSheetId="1">#REF!</definedName>
    <definedName name="bbbb" localSheetId="3">#REF!</definedName>
    <definedName name="bbbb" localSheetId="2">#REF!</definedName>
    <definedName name="bbbb" localSheetId="12">#REF!</definedName>
    <definedName name="bbbb" localSheetId="14">#REF!</definedName>
    <definedName name="bbbb" localSheetId="13">#REF!</definedName>
    <definedName name="bbbb" localSheetId="5">#REF!</definedName>
    <definedName name="bbbb" localSheetId="0">#REF!</definedName>
    <definedName name="bbbb">#REF!</definedName>
    <definedName name="before_rkap" localSheetId="1">#REF!</definedName>
    <definedName name="before_rkap" localSheetId="3">#REF!</definedName>
    <definedName name="before_rkap" localSheetId="2">#REF!</definedName>
    <definedName name="before_rkap" localSheetId="12">#REF!</definedName>
    <definedName name="before_rkap" localSheetId="14">#REF!</definedName>
    <definedName name="before_rkap" localSheetId="13">#REF!</definedName>
    <definedName name="before_rkap" localSheetId="5">#REF!</definedName>
    <definedName name="before_rkap" localSheetId="0">#REF!</definedName>
    <definedName name="before_rkap">#REF!</definedName>
    <definedName name="before_rozpocty" localSheetId="1">#REF!</definedName>
    <definedName name="before_rozpocty" localSheetId="3">#REF!</definedName>
    <definedName name="before_rozpocty" localSheetId="2">#REF!</definedName>
    <definedName name="before_rozpocty" localSheetId="12">#REF!</definedName>
    <definedName name="before_rozpocty" localSheetId="14">#REF!</definedName>
    <definedName name="before_rozpocty" localSheetId="13">#REF!</definedName>
    <definedName name="before_rozpocty" localSheetId="5">#REF!</definedName>
    <definedName name="before_rozpocty" localSheetId="0">#REF!</definedName>
    <definedName name="before_rozpocty">#REF!</definedName>
    <definedName name="beforeafterdetail_rozpocty.Poznamka2.1" localSheetId="1">#REF!</definedName>
    <definedName name="beforeafterdetail_rozpocty.Poznamka2.1" localSheetId="3">#REF!</definedName>
    <definedName name="beforeafterdetail_rozpocty.Poznamka2.1" localSheetId="2">#REF!</definedName>
    <definedName name="beforeafterdetail_rozpocty.Poznamka2.1" localSheetId="12">#REF!</definedName>
    <definedName name="beforeafterdetail_rozpocty.Poznamka2.1" localSheetId="14">#REF!</definedName>
    <definedName name="beforeafterdetail_rozpocty.Poznamka2.1" localSheetId="13">#REF!</definedName>
    <definedName name="beforeafterdetail_rozpocty.Poznamka2.1" localSheetId="5">#REF!</definedName>
    <definedName name="beforeafterdetail_rozpocty.Poznamka2.1" localSheetId="0">#REF!</definedName>
    <definedName name="beforeafterdetail_rozpocty.Poznamka2.1">#REF!</definedName>
    <definedName name="beforedetail_rozpocty" localSheetId="5">#REF!</definedName>
    <definedName name="beforedetail_rozpocty" localSheetId="0">#REF!</definedName>
    <definedName name="beforedetail_rozpocty">#REF!</definedName>
    <definedName name="beforepata" localSheetId="5">#REF!</definedName>
    <definedName name="beforepata" localSheetId="0">#REF!</definedName>
    <definedName name="beforepata">#REF!</definedName>
    <definedName name="blb" localSheetId="5">#REF!</definedName>
    <definedName name="blb" localSheetId="0">#REF!</definedName>
    <definedName name="blb">#REF!</definedName>
    <definedName name="blb_6" localSheetId="5">#REF!</definedName>
    <definedName name="blb_6" localSheetId="0">#REF!</definedName>
    <definedName name="blb_6">#REF!</definedName>
    <definedName name="body_hlavy" localSheetId="5">#REF!</definedName>
    <definedName name="body_hlavy" localSheetId="0">#REF!</definedName>
    <definedName name="body_hlavy">#REF!</definedName>
    <definedName name="body_memrekapdph" localSheetId="5">#REF!</definedName>
    <definedName name="body_memrekapdph" localSheetId="0">#REF!</definedName>
    <definedName name="body_memrekapdph">#REF!</definedName>
    <definedName name="body_phlavy" localSheetId="5">#REF!</definedName>
    <definedName name="body_phlavy" localSheetId="0">#REF!</definedName>
    <definedName name="body_phlavy">#REF!</definedName>
    <definedName name="body_prekap" localSheetId="5">#REF!</definedName>
    <definedName name="body_prekap" localSheetId="0">#REF!</definedName>
    <definedName name="body_prekap">#REF!</definedName>
    <definedName name="body_rkap" localSheetId="5">#REF!</definedName>
    <definedName name="body_rkap" localSheetId="0">#REF!</definedName>
    <definedName name="body_rkap">#REF!</definedName>
    <definedName name="body_rozpocty" localSheetId="5">#REF!</definedName>
    <definedName name="body_rozpocty" localSheetId="0">#REF!</definedName>
    <definedName name="body_rozpocty">#REF!</definedName>
    <definedName name="body_rozpočty" localSheetId="5">#REF!</definedName>
    <definedName name="body_rozpočty" localSheetId="0">#REF!</definedName>
    <definedName name="body_rozpočty">#REF!</definedName>
    <definedName name="body_rpolozky" localSheetId="5">#REF!</definedName>
    <definedName name="body_rpolozky" localSheetId="0">#REF!</definedName>
    <definedName name="body_rpolozky">#REF!</definedName>
    <definedName name="body_rpolozky.Poznamka2" localSheetId="5">#REF!</definedName>
    <definedName name="body_rpolozky.Poznamka2" localSheetId="0">#REF!</definedName>
    <definedName name="body_rpolozky.Poznamka2">#REF!</definedName>
    <definedName name="BPK1_6" localSheetId="5">#REF!</definedName>
    <definedName name="BPK1_6" localSheetId="0">#REF!</definedName>
    <definedName name="BPK1_6">#REF!</definedName>
    <definedName name="BPK2_6" localSheetId="5">#REF!</definedName>
    <definedName name="BPK2_6" localSheetId="0">#REF!</definedName>
    <definedName name="BPK2_6">#REF!</definedName>
    <definedName name="BPK3_6" localSheetId="5">#REF!</definedName>
    <definedName name="BPK3_6" localSheetId="0">#REF!</definedName>
    <definedName name="BPK3_6">#REF!</definedName>
    <definedName name="celkembezdph" localSheetId="5">#REF!</definedName>
    <definedName name="celkembezdph" localSheetId="0">#REF!</definedName>
    <definedName name="celkembezdph">#REF!</definedName>
    <definedName name="celkemsdph" localSheetId="5">#REF!</definedName>
    <definedName name="celkemsdph" localSheetId="0">#REF!</definedName>
    <definedName name="celkemsdph">#REF!</definedName>
    <definedName name="celkemsdph.Poznamka2" localSheetId="5">#REF!</definedName>
    <definedName name="celkemsdph.Poznamka2" localSheetId="0">#REF!</definedName>
    <definedName name="celkemsdph.Poznamka2">#REF!</definedName>
    <definedName name="celkemsdph.Poznamka2.1" localSheetId="5">#REF!</definedName>
    <definedName name="celkemsdph.Poznamka2.1" localSheetId="0">#REF!</definedName>
    <definedName name="celkemsdph.Poznamka2.1">#REF!</definedName>
    <definedName name="celklemsdph" localSheetId="5">#REF!</definedName>
    <definedName name="celklemsdph" localSheetId="0">#REF!</definedName>
    <definedName name="celklemsdph">#REF!</definedName>
    <definedName name="Cena" localSheetId="5">#REF!</definedName>
    <definedName name="Cena" localSheetId="0">#REF!</definedName>
    <definedName name="Cena">#REF!</definedName>
    <definedName name="Cena_1" localSheetId="5">#REF!</definedName>
    <definedName name="Cena_1" localSheetId="0">#REF!</definedName>
    <definedName name="Cena_1">#REF!</definedName>
    <definedName name="CENA_CELKEM" localSheetId="5">#REF!</definedName>
    <definedName name="CENA_CELKEM" localSheetId="0">#REF!</definedName>
    <definedName name="CENA_CELKEM">#REF!</definedName>
    <definedName name="CENA_CELKEM_FIX" localSheetId="5">#REF!</definedName>
    <definedName name="CENA_CELKEM_FIX" localSheetId="0">#REF!</definedName>
    <definedName name="CENA_CELKEM_FIX">#REF!</definedName>
    <definedName name="CENA_FIX_WIEN" localSheetId="5">#REF!</definedName>
    <definedName name="CENA_FIX_WIEN" localSheetId="0">#REF!</definedName>
    <definedName name="CENA_FIX_WIEN">#REF!</definedName>
    <definedName name="Cena1" localSheetId="5">#REF!</definedName>
    <definedName name="Cena1" localSheetId="0">#REF!</definedName>
    <definedName name="Cena1">#REF!</definedName>
    <definedName name="Cena1_1" localSheetId="5">#REF!</definedName>
    <definedName name="Cena1_1" localSheetId="0">#REF!</definedName>
    <definedName name="Cena1_1">#REF!</definedName>
    <definedName name="Cena2" localSheetId="5">#REF!</definedName>
    <definedName name="Cena2" localSheetId="0">#REF!</definedName>
    <definedName name="Cena2">#REF!</definedName>
    <definedName name="Cena2_1" localSheetId="5">#REF!</definedName>
    <definedName name="Cena2_1" localSheetId="0">#REF!</definedName>
    <definedName name="Cena2_1">#REF!</definedName>
    <definedName name="Cena3" localSheetId="5">#REF!</definedName>
    <definedName name="Cena3" localSheetId="0">#REF!</definedName>
    <definedName name="Cena3">#REF!</definedName>
    <definedName name="Cena3_1" localSheetId="5">#REF!</definedName>
    <definedName name="Cena3_1" localSheetId="0">#REF!</definedName>
    <definedName name="Cena3_1">#REF!</definedName>
    <definedName name="Cena4" localSheetId="5">#REF!</definedName>
    <definedName name="Cena4" localSheetId="0">#REF!</definedName>
    <definedName name="Cena4">#REF!</definedName>
    <definedName name="Cena4_1" localSheetId="5">#REF!</definedName>
    <definedName name="Cena4_1" localSheetId="0">#REF!</definedName>
    <definedName name="Cena4_1">#REF!</definedName>
    <definedName name="Cena5" localSheetId="5">#REF!</definedName>
    <definedName name="Cena5" localSheetId="0">#REF!</definedName>
    <definedName name="Cena5">#REF!</definedName>
    <definedName name="Cena5_1" localSheetId="5">#REF!</definedName>
    <definedName name="Cena5_1" localSheetId="0">#REF!</definedName>
    <definedName name="Cena5_1">#REF!</definedName>
    <definedName name="Cena6" localSheetId="5">#REF!</definedName>
    <definedName name="Cena6" localSheetId="0">#REF!</definedName>
    <definedName name="Cena6">#REF!</definedName>
    <definedName name="Cena6_1" localSheetId="5">#REF!</definedName>
    <definedName name="Cena6_1" localSheetId="0">#REF!</definedName>
    <definedName name="Cena6_1">#REF!</definedName>
    <definedName name="Cena7" localSheetId="5">#REF!</definedName>
    <definedName name="Cena7" localSheetId="0">#REF!</definedName>
    <definedName name="Cena7">#REF!</definedName>
    <definedName name="Cena7_1" localSheetId="5">#REF!</definedName>
    <definedName name="Cena7_1" localSheetId="0">#REF!</definedName>
    <definedName name="Cena7_1">#REF!</definedName>
    <definedName name="Cena8" localSheetId="5">#REF!</definedName>
    <definedName name="Cena8" localSheetId="0">#REF!</definedName>
    <definedName name="Cena8">#REF!</definedName>
    <definedName name="Cena8_1" localSheetId="5">#REF!</definedName>
    <definedName name="Cena8_1" localSheetId="0">#REF!</definedName>
    <definedName name="Cena8_1">#REF!</definedName>
    <definedName name="ceník" localSheetId="5">#REF!</definedName>
    <definedName name="ceník" localSheetId="0">#REF!</definedName>
    <definedName name="ceník">#REF!</definedName>
    <definedName name="cisloobjektu" localSheetId="6">'2-Krycí list'!$A$4</definedName>
    <definedName name="cisloobjektu" localSheetId="8">'2-Krycí list'!$A$4</definedName>
    <definedName name="cisloobjektu" localSheetId="7">'2-Krycí list'!$A$4</definedName>
    <definedName name="cisloobjektu" localSheetId="9">'3-Krycí list'!$A$4</definedName>
    <definedName name="cisloobjektu" localSheetId="11">'3-Krycí list'!$A$4</definedName>
    <definedName name="cisloobjektu" localSheetId="10">'3-Krycí list'!$A$4</definedName>
    <definedName name="cisloobjektu" localSheetId="12">#REF!</definedName>
    <definedName name="cisloobjektu" localSheetId="14">#REF!</definedName>
    <definedName name="cisloobjektu" localSheetId="13">#REF!</definedName>
    <definedName name="cisloobjektu" localSheetId="5">#REF!</definedName>
    <definedName name="cisloobjektu" localSheetId="0">#REF!</definedName>
    <definedName name="cisloobjektu" localSheetId="4">#REF!</definedName>
    <definedName name="cisloobjektu">#REF!</definedName>
    <definedName name="cisloobjektu_6" localSheetId="12">#REF!</definedName>
    <definedName name="cisloobjektu_6" localSheetId="14">#REF!</definedName>
    <definedName name="cisloobjektu_6" localSheetId="13">#REF!</definedName>
    <definedName name="cisloobjektu_6" localSheetId="5">#REF!</definedName>
    <definedName name="cisloobjektu_6" localSheetId="0">#REF!</definedName>
    <definedName name="cisloobjektu_6">#REF!</definedName>
    <definedName name="CisloRozpoctu" localSheetId="12">#REF!</definedName>
    <definedName name="CisloRozpoctu" localSheetId="14">#REF!</definedName>
    <definedName name="CisloRozpoctu" localSheetId="13">#REF!</definedName>
    <definedName name="CisloRozpoctu" localSheetId="5">#REF!</definedName>
    <definedName name="CisloRozpoctu" localSheetId="0">#REF!</definedName>
    <definedName name="CisloRozpoctu">#REF!</definedName>
    <definedName name="cislostavby" localSheetId="1">#REF!</definedName>
    <definedName name="cislostavby" localSheetId="3">#REF!</definedName>
    <definedName name="cislostavby" localSheetId="2">#REF!</definedName>
    <definedName name="cislostavby" localSheetId="6">'2-Krycí list'!$A$6</definedName>
    <definedName name="cislostavby" localSheetId="8">'2-Krycí list'!$A$6</definedName>
    <definedName name="cislostavby" localSheetId="7">'2-Krycí list'!$A$6</definedName>
    <definedName name="cislostavby" localSheetId="9">'3-Krycí list'!$A$6</definedName>
    <definedName name="cislostavby" localSheetId="11">'3-Krycí list'!$A$6</definedName>
    <definedName name="cislostavby" localSheetId="10">'3-Krycí list'!$A$6</definedName>
    <definedName name="cislostavby" localSheetId="12">#REF!</definedName>
    <definedName name="cislostavby" localSheetId="14">#REF!</definedName>
    <definedName name="cislostavby" localSheetId="13">#REF!</definedName>
    <definedName name="cislostavby" localSheetId="5">#REF!</definedName>
    <definedName name="cislostavby" localSheetId="0">#REF!</definedName>
    <definedName name="cislostavby" localSheetId="4">#REF!</definedName>
    <definedName name="cislostavby">#REF!</definedName>
    <definedName name="cislostavby_6" localSheetId="1">#REF!</definedName>
    <definedName name="cislostavby_6" localSheetId="3">#REF!</definedName>
    <definedName name="cislostavby_6" localSheetId="2">#REF!</definedName>
    <definedName name="cislostavby_6" localSheetId="12">#REF!</definedName>
    <definedName name="cislostavby_6" localSheetId="14">#REF!</definedName>
    <definedName name="cislostavby_6" localSheetId="13">#REF!</definedName>
    <definedName name="cislostavby_6" localSheetId="5">#REF!</definedName>
    <definedName name="cislostavby_6" localSheetId="0">#REF!</definedName>
    <definedName name="cislostavby_6">#REF!</definedName>
    <definedName name="connex" localSheetId="1">#REF!</definedName>
    <definedName name="connex" localSheetId="3">#REF!</definedName>
    <definedName name="connex" localSheetId="2">#REF!</definedName>
    <definedName name="connex" localSheetId="12">#REF!</definedName>
    <definedName name="connex" localSheetId="14">#REF!</definedName>
    <definedName name="connex" localSheetId="13">#REF!</definedName>
    <definedName name="connex" localSheetId="5">#REF!</definedName>
    <definedName name="connex" localSheetId="0">#REF!</definedName>
    <definedName name="connex">#REF!</definedName>
    <definedName name="časová_rezerva" localSheetId="5">#REF!</definedName>
    <definedName name="časová_rezerva" localSheetId="0">#REF!</definedName>
    <definedName name="časová_rezerva">#REF!</definedName>
    <definedName name="ČÁST_DOKUMENTACE" localSheetId="5">#REF!</definedName>
    <definedName name="ČÁST_DOKUMENTACE" localSheetId="0">#REF!</definedName>
    <definedName name="ČÁST_DOKUMENTACE">#REF!</definedName>
    <definedName name="ČísloNab" localSheetId="5">#REF!</definedName>
    <definedName name="ČísloNab" localSheetId="0">#REF!</definedName>
    <definedName name="ČísloNab">#REF!</definedName>
    <definedName name="d" localSheetId="1">#REF!</definedName>
    <definedName name="d" localSheetId="3">#REF!</definedName>
    <definedName name="d" localSheetId="2">#REF!</definedName>
    <definedName name="d" localSheetId="12">#REF!</definedName>
    <definedName name="d" localSheetId="14">#REF!</definedName>
    <definedName name="d" localSheetId="13">#REF!</definedName>
    <definedName name="d" localSheetId="5">#REF!</definedName>
    <definedName name="d" localSheetId="0">#REF!</definedName>
    <definedName name="d">#REF!</definedName>
    <definedName name="dadresa" localSheetId="1">#REF!</definedName>
    <definedName name="dadresa" localSheetId="3">#REF!</definedName>
    <definedName name="dadresa" localSheetId="2">#REF!</definedName>
    <definedName name="dadresa" localSheetId="12">#REF!</definedName>
    <definedName name="dadresa" localSheetId="14">#REF!</definedName>
    <definedName name="dadresa" localSheetId="13">#REF!</definedName>
    <definedName name="dadresa" localSheetId="5">#REF!</definedName>
    <definedName name="dadresa" localSheetId="0">#REF!</definedName>
    <definedName name="dadresa">#REF!</definedName>
    <definedName name="_xlnm.Database" localSheetId="1">#REF!</definedName>
    <definedName name="_xlnm.Database" localSheetId="3">#REF!</definedName>
    <definedName name="_xlnm.Database" localSheetId="2">#REF!</definedName>
    <definedName name="_xlnm.Database" localSheetId="12">#REF!</definedName>
    <definedName name="_xlnm.Database" localSheetId="14">#REF!</definedName>
    <definedName name="_xlnm.Database" localSheetId="13">#REF!</definedName>
    <definedName name="_xlnm.Database" localSheetId="5">#REF!</definedName>
    <definedName name="_xlnm.Database" localSheetId="0">#REF!</definedName>
    <definedName name="_xlnm.Database">#REF!</definedName>
    <definedName name="DATE___0_1">0</definedName>
    <definedName name="DATE___0_2">0</definedName>
    <definedName name="Datum" localSheetId="1">#REF!</definedName>
    <definedName name="Datum" localSheetId="3">#REF!</definedName>
    <definedName name="Datum" localSheetId="2">#REF!</definedName>
    <definedName name="Datum" localSheetId="6">'2-Krycí list'!$B$26</definedName>
    <definedName name="Datum" localSheetId="8">'2-Krycí list'!$B$26</definedName>
    <definedName name="Datum" localSheetId="7">'2-Krycí list'!$B$26</definedName>
    <definedName name="Datum" localSheetId="9">'3-Krycí list'!$B$26</definedName>
    <definedName name="Datum" localSheetId="11">'3-Krycí list'!$B$26</definedName>
    <definedName name="Datum" localSheetId="10">'3-Krycí list'!$B$26</definedName>
    <definedName name="Datum" localSheetId="12">#REF!</definedName>
    <definedName name="Datum" localSheetId="14">#REF!</definedName>
    <definedName name="Datum" localSheetId="13">#REF!</definedName>
    <definedName name="Datum" localSheetId="5">#REF!</definedName>
    <definedName name="Datum" localSheetId="0">#REF!</definedName>
    <definedName name="Datum">#REF!</definedName>
    <definedName name="Datum_1" localSheetId="1">#REF!</definedName>
    <definedName name="Datum_1" localSheetId="3">#REF!</definedName>
    <definedName name="Datum_1" localSheetId="2">#REF!</definedName>
    <definedName name="Datum_1" localSheetId="12">#REF!</definedName>
    <definedName name="Datum_1" localSheetId="14">#REF!</definedName>
    <definedName name="Datum_1" localSheetId="13">#REF!</definedName>
    <definedName name="Datum_1" localSheetId="5">#REF!</definedName>
    <definedName name="Datum_1" localSheetId="0">#REF!</definedName>
    <definedName name="Datum_1">#REF!</definedName>
    <definedName name="Datum_9" localSheetId="1">#REF!</definedName>
    <definedName name="Datum_9" localSheetId="3">#REF!</definedName>
    <definedName name="Datum_9" localSheetId="2">#REF!</definedName>
    <definedName name="Datum_9" localSheetId="12">#REF!</definedName>
    <definedName name="Datum_9" localSheetId="14">#REF!</definedName>
    <definedName name="Datum_9" localSheetId="13">#REF!</definedName>
    <definedName name="Datum_9" localSheetId="5">#REF!</definedName>
    <definedName name="Datum_9" localSheetId="0">#REF!</definedName>
    <definedName name="Datum_9">#REF!</definedName>
    <definedName name="DatumZprac" localSheetId="5">#REF!</definedName>
    <definedName name="DatumZprac" localSheetId="0">#REF!</definedName>
    <definedName name="DatumZprac">#REF!</definedName>
    <definedName name="debil" localSheetId="1">#REF!</definedName>
    <definedName name="debil" localSheetId="3">#REF!</definedName>
    <definedName name="debil" localSheetId="2">#REF!</definedName>
    <definedName name="debil" localSheetId="12">#REF!</definedName>
    <definedName name="debil" localSheetId="14">#REF!</definedName>
    <definedName name="debil" localSheetId="13">#REF!</definedName>
    <definedName name="debil" localSheetId="5">#REF!</definedName>
    <definedName name="debil" localSheetId="0">#REF!</definedName>
    <definedName name="debil">#REF!</definedName>
    <definedName name="debil_6" localSheetId="1">#REF!</definedName>
    <definedName name="debil_6" localSheetId="3">#REF!</definedName>
    <definedName name="debil_6" localSheetId="2">#REF!</definedName>
    <definedName name="debil_6" localSheetId="12">#REF!</definedName>
    <definedName name="debil_6" localSheetId="14">#REF!</definedName>
    <definedName name="debil_6" localSheetId="13">#REF!</definedName>
    <definedName name="debil_6" localSheetId="5">#REF!</definedName>
    <definedName name="debil_6" localSheetId="0">#REF!</definedName>
    <definedName name="debil_6">#REF!</definedName>
    <definedName name="DĚLENÍ_PROFESNÍHO_DILU" localSheetId="1">#REF!</definedName>
    <definedName name="DĚLENÍ_PROFESNÍHO_DILU" localSheetId="3">#REF!</definedName>
    <definedName name="DĚLENÍ_PROFESNÍHO_DILU" localSheetId="2">#REF!</definedName>
    <definedName name="DĚLENÍ_PROFESNÍHO_DILU" localSheetId="12">#REF!</definedName>
    <definedName name="DĚLENÍ_PROFESNÍHO_DILU" localSheetId="14">#REF!</definedName>
    <definedName name="DĚLENÍ_PROFESNÍHO_DILU" localSheetId="13">#REF!</definedName>
    <definedName name="DĚLENÍ_PROFESNÍHO_DILU" localSheetId="5">#REF!</definedName>
    <definedName name="DĚLENÍ_PROFESNÍHO_DILU" localSheetId="0">#REF!</definedName>
    <definedName name="DĚLENÍ_PROFESNÍHO_DILU">#REF!</definedName>
    <definedName name="dem___0_1">0</definedName>
    <definedName name="dem___0_2">0</definedName>
    <definedName name="detail_T4" localSheetId="1">#REF!</definedName>
    <definedName name="detail_T4" localSheetId="3">#REF!</definedName>
    <definedName name="detail_T4" localSheetId="2">#REF!</definedName>
    <definedName name="detail_T4" localSheetId="12">#REF!</definedName>
    <definedName name="detail_T4" localSheetId="14">#REF!</definedName>
    <definedName name="detail_T4" localSheetId="13">#REF!</definedName>
    <definedName name="detail_T4" localSheetId="5">#REF!</definedName>
    <definedName name="detail_T4" localSheetId="0">#REF!</definedName>
    <definedName name="detail_T4">#REF!</definedName>
    <definedName name="detail_T4_6" localSheetId="1">#REF!</definedName>
    <definedName name="detail_T4_6" localSheetId="3">#REF!</definedName>
    <definedName name="detail_T4_6" localSheetId="2">#REF!</definedName>
    <definedName name="detail_T4_6" localSheetId="12">#REF!</definedName>
    <definedName name="detail_T4_6" localSheetId="14">#REF!</definedName>
    <definedName name="detail_T4_6" localSheetId="13">#REF!</definedName>
    <definedName name="detail_T4_6" localSheetId="5">#REF!</definedName>
    <definedName name="detail_T4_6" localSheetId="0">#REF!</definedName>
    <definedName name="detail_T4_6">#REF!</definedName>
    <definedName name="DIČ" localSheetId="1">#REF!</definedName>
    <definedName name="DIČ" localSheetId="3">#REF!</definedName>
    <definedName name="DIČ" localSheetId="2">#REF!</definedName>
    <definedName name="DIČ" localSheetId="12">#REF!</definedName>
    <definedName name="DIČ" localSheetId="14">#REF!</definedName>
    <definedName name="DIČ" localSheetId="13">#REF!</definedName>
    <definedName name="DIČ" localSheetId="5">#REF!</definedName>
    <definedName name="DIČ" localSheetId="0">#REF!</definedName>
    <definedName name="DIČ">#REF!</definedName>
    <definedName name="Dil" localSheetId="8">'2-Rekapitulace'!$A$6</definedName>
    <definedName name="Dil" localSheetId="7">'2-Rekapitulace'!$A$6</definedName>
    <definedName name="Dil" localSheetId="11">'3-Rekapitulace'!$A$6</definedName>
    <definedName name="Dil" localSheetId="10">'3-Rekapitulace'!$A$6</definedName>
    <definedName name="Dil" localSheetId="12">#REF!</definedName>
    <definedName name="Dil" localSheetId="14">#REF!</definedName>
    <definedName name="Dil" localSheetId="13">#REF!</definedName>
    <definedName name="Dil" localSheetId="5">#REF!</definedName>
    <definedName name="Dil" localSheetId="0">#REF!</definedName>
    <definedName name="Dil" localSheetId="4">ZTI!$A$7</definedName>
    <definedName name="Dil">#REF!</definedName>
    <definedName name="Dil_6" localSheetId="12">#REF!</definedName>
    <definedName name="Dil_6" localSheetId="14">#REF!</definedName>
    <definedName name="Dil_6" localSheetId="13">#REF!</definedName>
    <definedName name="Dil_6" localSheetId="5">#REF!</definedName>
    <definedName name="Dil_6" localSheetId="0">#REF!</definedName>
    <definedName name="Dil_6">#REF!</definedName>
    <definedName name="DÍLČÍ_ČLENĚNÍ" localSheetId="5">#REF!</definedName>
    <definedName name="DÍLČÍ_ČLENĚNÍ" localSheetId="0">#REF!</definedName>
    <definedName name="DÍLČÍ_ČLENĚNÍ">#REF!</definedName>
    <definedName name="Dispečink" localSheetId="1">#REF!</definedName>
    <definedName name="Dispečink" localSheetId="3">#REF!</definedName>
    <definedName name="Dispečink" localSheetId="2">#REF!</definedName>
    <definedName name="Dispečink" localSheetId="12">#REF!</definedName>
    <definedName name="Dispečink" localSheetId="14">#REF!</definedName>
    <definedName name="Dispečink" localSheetId="13">#REF!</definedName>
    <definedName name="Dispečink" localSheetId="5">#REF!</definedName>
    <definedName name="Dispečink" localSheetId="0">#REF!</definedName>
    <definedName name="Dispečink">#REF!</definedName>
    <definedName name="Dispečink_1" localSheetId="1">#REF!</definedName>
    <definedName name="Dispečink_1" localSheetId="3">#REF!</definedName>
    <definedName name="Dispečink_1" localSheetId="2">#REF!</definedName>
    <definedName name="Dispečink_1" localSheetId="12">#REF!</definedName>
    <definedName name="Dispečink_1" localSheetId="14">#REF!</definedName>
    <definedName name="Dispečink_1" localSheetId="13">#REF!</definedName>
    <definedName name="Dispečink_1" localSheetId="5">#REF!</definedName>
    <definedName name="Dispečink_1" localSheetId="0">#REF!</definedName>
    <definedName name="Dispečink_1">#REF!</definedName>
    <definedName name="dmisto" localSheetId="1">#REF!</definedName>
    <definedName name="dmisto" localSheetId="3">#REF!</definedName>
    <definedName name="dmisto" localSheetId="2">#REF!</definedName>
    <definedName name="dmisto" localSheetId="12">#REF!</definedName>
    <definedName name="dmisto" localSheetId="14">#REF!</definedName>
    <definedName name="dmisto" localSheetId="13">#REF!</definedName>
    <definedName name="dmisto" localSheetId="5">#REF!</definedName>
    <definedName name="dmisto" localSheetId="0">#REF!</definedName>
    <definedName name="dmisto">#REF!</definedName>
    <definedName name="Dodavka" localSheetId="6">'2-Rekapitulace'!$G$13</definedName>
    <definedName name="Dodavka" localSheetId="8">'2-Rekapitulace'!$G$13</definedName>
    <definedName name="Dodavka" localSheetId="7">'2-Rekapitulace'!$G$13</definedName>
    <definedName name="Dodavka" localSheetId="9">'3-Rekapitulace'!$G$11</definedName>
    <definedName name="Dodavka" localSheetId="11">'3-Rekapitulace'!$G$11</definedName>
    <definedName name="Dodavka" localSheetId="10">'3-Rekapitulace'!$G$11</definedName>
    <definedName name="Dodavka" localSheetId="12">#REF!</definedName>
    <definedName name="Dodavka" localSheetId="14">#REF!</definedName>
    <definedName name="Dodavka" localSheetId="13">#REF!</definedName>
    <definedName name="Dodavka" localSheetId="5">#REF!</definedName>
    <definedName name="Dodavka" localSheetId="0">#REF!</definedName>
    <definedName name="Dodavka" localSheetId="4">ZTI!#REF!</definedName>
    <definedName name="Dodavka">#REF!</definedName>
    <definedName name="Dodavka_6" localSheetId="1">#REF!</definedName>
    <definedName name="Dodavka_6" localSheetId="3">#REF!</definedName>
    <definedName name="Dodavka_6" localSheetId="2">#REF!</definedName>
    <definedName name="Dodavka_6" localSheetId="12">#REF!</definedName>
    <definedName name="Dodavka_6" localSheetId="14">#REF!</definedName>
    <definedName name="Dodavka_6" localSheetId="13">#REF!</definedName>
    <definedName name="Dodavka_6" localSheetId="5">#REF!</definedName>
    <definedName name="Dodavka_6" localSheetId="0">#REF!</definedName>
    <definedName name="Dodavka_6">#REF!</definedName>
    <definedName name="Dodavka0" localSheetId="1">#REF!</definedName>
    <definedName name="Dodavka0" localSheetId="3">#REF!</definedName>
    <definedName name="Dodavka0" localSheetId="2">#REF!</definedName>
    <definedName name="Dodavka0" localSheetId="6">'2-Položky'!#REF!</definedName>
    <definedName name="Dodavka0" localSheetId="8">'2-Položky'!#REF!</definedName>
    <definedName name="Dodavka0" localSheetId="7">'2-Položky'!#REF!</definedName>
    <definedName name="Dodavka0" localSheetId="9">'3-Položky'!#REF!</definedName>
    <definedName name="Dodavka0" localSheetId="11">'3-Položky'!#REF!</definedName>
    <definedName name="Dodavka0" localSheetId="10">'3-Položky'!#REF!</definedName>
    <definedName name="Dodavka0" localSheetId="12">#REF!</definedName>
    <definedName name="Dodavka0" localSheetId="14">#REF!</definedName>
    <definedName name="Dodavka0" localSheetId="13">#REF!</definedName>
    <definedName name="Dodavka0" localSheetId="5">#REF!</definedName>
    <definedName name="Dodavka0" localSheetId="0">#REF!</definedName>
    <definedName name="Dodavka0" localSheetId="4">ZTI!#REF!</definedName>
    <definedName name="Dodavka0">#REF!</definedName>
    <definedName name="Dodavka0_6" localSheetId="1">#REF!</definedName>
    <definedName name="Dodavka0_6" localSheetId="3">#REF!</definedName>
    <definedName name="Dodavka0_6" localSheetId="2">#REF!</definedName>
    <definedName name="Dodavka0_6" localSheetId="12">#REF!</definedName>
    <definedName name="Dodavka0_6" localSheetId="14">#REF!</definedName>
    <definedName name="Dodavka0_6" localSheetId="13">#REF!</definedName>
    <definedName name="Dodavka0_6" localSheetId="5">#REF!</definedName>
    <definedName name="Dodavka0_6" localSheetId="0">#REF!</definedName>
    <definedName name="Dodavka0_6">#REF!</definedName>
    <definedName name="DPHSni" localSheetId="12">#REF!</definedName>
    <definedName name="DPHSni" localSheetId="14">#REF!</definedName>
    <definedName name="DPHSni" localSheetId="13">#REF!</definedName>
    <definedName name="DPHSni" localSheetId="5">#REF!</definedName>
    <definedName name="DPHSni" localSheetId="0">#REF!</definedName>
    <definedName name="DPHSni">#REF!</definedName>
    <definedName name="DPHZakl" localSheetId="12">#REF!</definedName>
    <definedName name="DPHZakl" localSheetId="14">#REF!</definedName>
    <definedName name="DPHZakl" localSheetId="13">#REF!</definedName>
    <definedName name="DPHZakl" localSheetId="5">#REF!</definedName>
    <definedName name="DPHZakl" localSheetId="0">#REF!</definedName>
    <definedName name="DPHZakl">#REF!</definedName>
    <definedName name="dpsc" localSheetId="1">#REF!</definedName>
    <definedName name="dpsc" localSheetId="3">#REF!</definedName>
    <definedName name="dpsc" localSheetId="2">#REF!</definedName>
    <definedName name="dpsc" localSheetId="12">#REF!</definedName>
    <definedName name="dpsc" localSheetId="14">#REF!</definedName>
    <definedName name="dpsc" localSheetId="13">#REF!</definedName>
    <definedName name="dpsc" localSheetId="5">#REF!</definedName>
    <definedName name="dpsc" localSheetId="0">#REF!</definedName>
    <definedName name="dpsc">#REF!</definedName>
    <definedName name="dveře_patra" localSheetId="1">#REF!</definedName>
    <definedName name="dveře_patra" localSheetId="3">#REF!</definedName>
    <definedName name="dveře_patra" localSheetId="2">#REF!</definedName>
    <definedName name="dveře_patra" localSheetId="12">#REF!</definedName>
    <definedName name="dveře_patra" localSheetId="14">#REF!</definedName>
    <definedName name="dveře_patra" localSheetId="13">#REF!</definedName>
    <definedName name="dveře_patra" localSheetId="5">#REF!</definedName>
    <definedName name="dveře_patra" localSheetId="0">#REF!</definedName>
    <definedName name="dveře_patra">#REF!</definedName>
    <definedName name="dveře_patra_6" localSheetId="1">#REF!</definedName>
    <definedName name="dveře_patra_6" localSheetId="3">#REF!</definedName>
    <definedName name="dveře_patra_6" localSheetId="2">#REF!</definedName>
    <definedName name="dveře_patra_6" localSheetId="12">#REF!</definedName>
    <definedName name="dveře_patra_6" localSheetId="14">#REF!</definedName>
    <definedName name="dveře_patra_6" localSheetId="13">#REF!</definedName>
    <definedName name="dveře_patra_6" localSheetId="5">#REF!</definedName>
    <definedName name="dveře_patra_6" localSheetId="0">#REF!</definedName>
    <definedName name="dveře_patra_6">#REF!</definedName>
    <definedName name="dveře_suterén" localSheetId="5">#REF!</definedName>
    <definedName name="dveře_suterén" localSheetId="0">#REF!</definedName>
    <definedName name="dveře_suterén">#REF!</definedName>
    <definedName name="dveře_suterén_6" localSheetId="5">#REF!</definedName>
    <definedName name="dveře_suterén_6" localSheetId="0">#REF!</definedName>
    <definedName name="dveře_suterén_6">#REF!</definedName>
    <definedName name="ecu___0_1">0</definedName>
    <definedName name="ecu___0_2">0</definedName>
    <definedName name="end_rozpocty" localSheetId="1">#REF!</definedName>
    <definedName name="end_rozpocty" localSheetId="3">#REF!</definedName>
    <definedName name="end_rozpocty" localSheetId="2">#REF!</definedName>
    <definedName name="end_rozpocty" localSheetId="12">#REF!</definedName>
    <definedName name="end_rozpocty" localSheetId="14">#REF!</definedName>
    <definedName name="end_rozpocty" localSheetId="13">#REF!</definedName>
    <definedName name="end_rozpocty" localSheetId="5">#REF!</definedName>
    <definedName name="end_rozpocty" localSheetId="0">#REF!</definedName>
    <definedName name="end_rozpocty">#REF!</definedName>
    <definedName name="Est_copy_první" localSheetId="1">#REF!</definedName>
    <definedName name="Est_copy_první" localSheetId="3">#REF!</definedName>
    <definedName name="Est_copy_první" localSheetId="2">#REF!</definedName>
    <definedName name="Est_copy_první" localSheetId="12">#REF!</definedName>
    <definedName name="Est_copy_první" localSheetId="14">#REF!</definedName>
    <definedName name="Est_copy_první" localSheetId="13">#REF!</definedName>
    <definedName name="Est_copy_první" localSheetId="5">#REF!</definedName>
    <definedName name="Est_copy_první" localSheetId="0">#REF!</definedName>
    <definedName name="Est_copy_první">#REF!</definedName>
    <definedName name="Est_copy_první_1" localSheetId="1">#REF!</definedName>
    <definedName name="Est_copy_první_1" localSheetId="3">#REF!</definedName>
    <definedName name="Est_copy_první_1" localSheetId="2">#REF!</definedName>
    <definedName name="Est_copy_první_1" localSheetId="12">#REF!</definedName>
    <definedName name="Est_copy_první_1" localSheetId="14">#REF!</definedName>
    <definedName name="Est_copy_první_1" localSheetId="13">#REF!</definedName>
    <definedName name="Est_copy_první_1" localSheetId="5">#REF!</definedName>
    <definedName name="Est_copy_první_1" localSheetId="0">#REF!</definedName>
    <definedName name="Est_copy_první_1">#REF!</definedName>
    <definedName name="Est_copy_první_6" localSheetId="5">#REF!</definedName>
    <definedName name="Est_copy_první_6" localSheetId="0">#REF!</definedName>
    <definedName name="Est_copy_první_6">#REF!</definedName>
    <definedName name="Est_poslední" localSheetId="5">#REF!</definedName>
    <definedName name="Est_poslední" localSheetId="0">#REF!</definedName>
    <definedName name="Est_poslední">#REF!</definedName>
    <definedName name="Est_poslední_1" localSheetId="5">#REF!</definedName>
    <definedName name="Est_poslední_1" localSheetId="0">#REF!</definedName>
    <definedName name="Est_poslední_1">#REF!</definedName>
    <definedName name="Est_poslední_6" localSheetId="5">#REF!</definedName>
    <definedName name="Est_poslední_6" localSheetId="0">#REF!</definedName>
    <definedName name="Est_poslední_6">#REF!</definedName>
    <definedName name="Est_první" localSheetId="5">#REF!</definedName>
    <definedName name="Est_první" localSheetId="0">#REF!</definedName>
    <definedName name="Est_první">#REF!</definedName>
    <definedName name="Est_první_1" localSheetId="5">#REF!</definedName>
    <definedName name="Est_první_1" localSheetId="0">#REF!</definedName>
    <definedName name="Est_první_1">#REF!</definedName>
    <definedName name="Est_první_6" localSheetId="5">#REF!</definedName>
    <definedName name="Est_první_6" localSheetId="0">#REF!</definedName>
    <definedName name="Est_první_6">#REF!</definedName>
    <definedName name="EURO" localSheetId="12">#REF!</definedName>
    <definedName name="EURO" localSheetId="14">#REF!</definedName>
    <definedName name="EURO" localSheetId="13">#REF!</definedName>
    <definedName name="EURO" localSheetId="5">#REF!</definedName>
    <definedName name="EURO" localSheetId="0">#REF!</definedName>
    <definedName name="EURO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12">#REF!</definedName>
    <definedName name="Excel_BuiltIn_Print_Area_1" localSheetId="14">#REF!</definedName>
    <definedName name="Excel_BuiltIn_Print_Area_1" localSheetId="13">#REF!</definedName>
    <definedName name="Excel_BuiltIn_Print_Area_1" localSheetId="5">#REF!</definedName>
    <definedName name="Excel_BuiltIn_Print_Area_1" localSheetId="0">#REF!</definedName>
    <definedName name="Excel_BuiltIn_Print_Area_1">#REF!</definedName>
    <definedName name="Excel_BuiltIn_Print_Area_1_1_1" localSheetId="1">#REF!</definedName>
    <definedName name="Excel_BuiltIn_Print_Area_1_1_1" localSheetId="3">#REF!</definedName>
    <definedName name="Excel_BuiltIn_Print_Area_1_1_1" localSheetId="2">#REF!</definedName>
    <definedName name="Excel_BuiltIn_Print_Area_1_1_1" localSheetId="12">#REF!</definedName>
    <definedName name="Excel_BuiltIn_Print_Area_1_1_1" localSheetId="14">#REF!</definedName>
    <definedName name="Excel_BuiltIn_Print_Area_1_1_1" localSheetId="13">#REF!</definedName>
    <definedName name="Excel_BuiltIn_Print_Area_1_1_1" localSheetId="5">#REF!</definedName>
    <definedName name="Excel_BuiltIn_Print_Area_1_1_1" localSheetId="0">#REF!</definedName>
    <definedName name="Excel_BuiltIn_Print_Area_1_1_1">#REF!</definedName>
    <definedName name="Excel_BuiltIn_Print_Area_6" localSheetId="1">#REF!</definedName>
    <definedName name="Excel_BuiltIn_Print_Area_6" localSheetId="3">#REF!</definedName>
    <definedName name="Excel_BuiltIn_Print_Area_6" localSheetId="2">#REF!</definedName>
    <definedName name="Excel_BuiltIn_Print_Area_6" localSheetId="12">#REF!</definedName>
    <definedName name="Excel_BuiltIn_Print_Area_6" localSheetId="14">#REF!</definedName>
    <definedName name="Excel_BuiltIn_Print_Area_6" localSheetId="13">#REF!</definedName>
    <definedName name="Excel_BuiltIn_Print_Area_6" localSheetId="5">#REF!</definedName>
    <definedName name="Excel_BuiltIn_Print_Area_6" localSheetId="0">#REF!</definedName>
    <definedName name="Excel_BuiltIn_Print_Area_6">#REF!</definedName>
    <definedName name="Excel_BuiltIn_Print_Titles_1_1" localSheetId="5">#REF!</definedName>
    <definedName name="Excel_BuiltIn_Print_Titles_1_1" localSheetId="0">#REF!</definedName>
    <definedName name="Excel_BuiltIn_Print_Titles_1_1">#REF!</definedName>
    <definedName name="Excel_BuiltIn_Print_Titles_10" localSheetId="5">#REF!</definedName>
    <definedName name="Excel_BuiltIn_Print_Titles_10" localSheetId="0">#REF!</definedName>
    <definedName name="Excel_BuiltIn_Print_Titles_10">#REF!</definedName>
    <definedName name="Excel_BuiltIn_Print_Titles_2" localSheetId="5">#REF!</definedName>
    <definedName name="Excel_BuiltIn_Print_Titles_2" localSheetId="0">#REF!</definedName>
    <definedName name="Excel_BuiltIn_Print_Titles_2">#REF!</definedName>
    <definedName name="Excel_BuiltIn_Print_Titles_3" localSheetId="5">#REF!</definedName>
    <definedName name="Excel_BuiltIn_Print_Titles_3" localSheetId="0">#REF!</definedName>
    <definedName name="Excel_BuiltIn_Print_Titles_3">#REF!</definedName>
    <definedName name="Excel_BuiltIn_Print_Titles_4" localSheetId="5">#REF!</definedName>
    <definedName name="Excel_BuiltIn_Print_Titles_4" localSheetId="0">#REF!</definedName>
    <definedName name="Excel_BuiltIn_Print_Titles_4">#REF!</definedName>
    <definedName name="Excel_BuiltIn_Print_Titles_5" localSheetId="5">#REF!</definedName>
    <definedName name="Excel_BuiltIn_Print_Titles_5" localSheetId="0">#REF!</definedName>
    <definedName name="Excel_BuiltIn_Print_Titles_5">#REF!</definedName>
    <definedName name="Excel_BuiltIn_Print_Titles_6" localSheetId="5">#REF!</definedName>
    <definedName name="Excel_BuiltIn_Print_Titles_6" localSheetId="0">#REF!</definedName>
    <definedName name="Excel_BuiltIn_Print_Titles_6">#REF!</definedName>
    <definedName name="Excel_BuiltIn_Print_Titles_7" localSheetId="5">#REF!</definedName>
    <definedName name="Excel_BuiltIn_Print_Titles_7" localSheetId="0">#REF!</definedName>
    <definedName name="Excel_BuiltIn_Print_Titles_7">#REF!</definedName>
    <definedName name="Excel_BuiltIn_Print_Titles_8" localSheetId="5">#REF!</definedName>
    <definedName name="Excel_BuiltIn_Print_Titles_8" localSheetId="0">#REF!</definedName>
    <definedName name="Excel_BuiltIn_Print_Titles_8">#REF!</definedName>
    <definedName name="Excel_BuiltIn_Print_Titles_9" localSheetId="5">#REF!</definedName>
    <definedName name="Excel_BuiltIn_Print_Titles_9" localSheetId="0">#REF!</definedName>
    <definedName name="Excel_BuiltIn_Print_Titles_9">#REF!</definedName>
    <definedName name="f" localSheetId="5">#REF!</definedName>
    <definedName name="f" localSheetId="0">#REF!</definedName>
    <definedName name="f">#REF!</definedName>
    <definedName name="firmy_rozpocty_pozn.Poznamka2" localSheetId="5">#REF!</definedName>
    <definedName name="firmy_rozpocty_pozn.Poznamka2" localSheetId="0">#REF!</definedName>
    <definedName name="firmy_rozpocty_pozn.Poznamka2">#REF!</definedName>
    <definedName name="footer" localSheetId="5">#REF!</definedName>
    <definedName name="footer" localSheetId="0">#REF!</definedName>
    <definedName name="footer">#REF!</definedName>
    <definedName name="footer2" localSheetId="5">#REF!</definedName>
    <definedName name="footer2" localSheetId="0">#REF!</definedName>
    <definedName name="footer2">#REF!</definedName>
    <definedName name="FUNKCNI_CLENENI" localSheetId="5">#REF!</definedName>
    <definedName name="FUNKCNI_CLENENI" localSheetId="0">#REF!</definedName>
    <definedName name="FUNKCNI_CLENENI">#REF!</definedName>
    <definedName name="fvv" localSheetId="12">#REF!</definedName>
    <definedName name="fvv" localSheetId="14">#REF!</definedName>
    <definedName name="fvv" localSheetId="13">#REF!</definedName>
    <definedName name="fvv" localSheetId="5">#REF!</definedName>
    <definedName name="fvv" localSheetId="0">#REF!</definedName>
    <definedName name="fvv">#REF!</definedName>
    <definedName name="G___P__" localSheetId="1">#REF!</definedName>
    <definedName name="G___P__" localSheetId="3">#REF!</definedName>
    <definedName name="G___P__" localSheetId="2">#REF!</definedName>
    <definedName name="G___P__" localSheetId="12">#REF!</definedName>
    <definedName name="G___P__" localSheetId="14">#REF!</definedName>
    <definedName name="G___P__" localSheetId="13">#REF!</definedName>
    <definedName name="G___P__" localSheetId="5">#REF!</definedName>
    <definedName name="G___P__" localSheetId="0">#REF!</definedName>
    <definedName name="G___P__">#REF!</definedName>
    <definedName name="gbp___0_1">0</definedName>
    <definedName name="gbp___0_2">0</definedName>
    <definedName name="head1" localSheetId="1">#REF!</definedName>
    <definedName name="head1" localSheetId="3">#REF!</definedName>
    <definedName name="head1" localSheetId="2">#REF!</definedName>
    <definedName name="head1" localSheetId="12">#REF!</definedName>
    <definedName name="head1" localSheetId="14">#REF!</definedName>
    <definedName name="head1" localSheetId="13">#REF!</definedName>
    <definedName name="head1" localSheetId="5">#REF!</definedName>
    <definedName name="head1" localSheetId="0">#REF!</definedName>
    <definedName name="head1">#REF!</definedName>
    <definedName name="Header" localSheetId="1">#REF!</definedName>
    <definedName name="Header" localSheetId="3">#REF!</definedName>
    <definedName name="Header" localSheetId="2">#REF!</definedName>
    <definedName name="Header" localSheetId="12">#REF!</definedName>
    <definedName name="Header" localSheetId="14">#REF!</definedName>
    <definedName name="Header" localSheetId="13">#REF!</definedName>
    <definedName name="Header" localSheetId="5">#REF!</definedName>
    <definedName name="Header" localSheetId="0">#REF!</definedName>
    <definedName name="Header">#REF!</definedName>
    <definedName name="Header2" localSheetId="5">#REF!</definedName>
    <definedName name="Header2" localSheetId="0">#REF!</definedName>
    <definedName name="Header2">#REF!</definedName>
    <definedName name="Hlava1" localSheetId="5">#REF!</definedName>
    <definedName name="Hlava1" localSheetId="0">#REF!</definedName>
    <definedName name="Hlava1">#REF!</definedName>
    <definedName name="Hlava2" localSheetId="5">#REF!</definedName>
    <definedName name="Hlava2" localSheetId="0">#REF!</definedName>
    <definedName name="Hlava2">#REF!</definedName>
    <definedName name="Hlava3" localSheetId="5">#REF!</definedName>
    <definedName name="Hlava3" localSheetId="0">#REF!</definedName>
    <definedName name="Hlava3">#REF!</definedName>
    <definedName name="Hlava4" localSheetId="5">#REF!</definedName>
    <definedName name="Hlava4" localSheetId="0">#REF!</definedName>
    <definedName name="Hlava4">#REF!</definedName>
    <definedName name="Hlavička" localSheetId="1">#REF!</definedName>
    <definedName name="Hlavička" localSheetId="3">#REF!</definedName>
    <definedName name="Hlavička" localSheetId="2">#REF!</definedName>
    <definedName name="Hlavička" localSheetId="12">#REF!</definedName>
    <definedName name="Hlavička" localSheetId="14">#REF!</definedName>
    <definedName name="Hlavička" localSheetId="13">#REF!</definedName>
    <definedName name="Hlavička" localSheetId="5">#REF!</definedName>
    <definedName name="Hlavička" localSheetId="0">#REF!</definedName>
    <definedName name="Hlavička">#REF!</definedName>
    <definedName name="Hlavička_1" localSheetId="1">#REF!</definedName>
    <definedName name="Hlavička_1" localSheetId="3">#REF!</definedName>
    <definedName name="Hlavička_1" localSheetId="2">#REF!</definedName>
    <definedName name="Hlavička_1" localSheetId="12">#REF!</definedName>
    <definedName name="Hlavička_1" localSheetId="14">#REF!</definedName>
    <definedName name="Hlavička_1" localSheetId="13">#REF!</definedName>
    <definedName name="Hlavička_1" localSheetId="5">#REF!</definedName>
    <definedName name="Hlavička_1" localSheetId="0">#REF!</definedName>
    <definedName name="Hlavička_1">#REF!</definedName>
    <definedName name="hovado" localSheetId="1">#REF!</definedName>
    <definedName name="hovado" localSheetId="3">#REF!</definedName>
    <definedName name="hovado" localSheetId="2">#REF!</definedName>
    <definedName name="hovado" localSheetId="12">#REF!</definedName>
    <definedName name="hovado" localSheetId="14">#REF!</definedName>
    <definedName name="hovado" localSheetId="13">#REF!</definedName>
    <definedName name="hovado" localSheetId="5">#REF!</definedName>
    <definedName name="hovado" localSheetId="0">#REF!</definedName>
    <definedName name="hovado">#REF!</definedName>
    <definedName name="hovado_6" localSheetId="1">#REF!</definedName>
    <definedName name="hovado_6" localSheetId="3">#REF!</definedName>
    <definedName name="hovado_6" localSheetId="2">#REF!</definedName>
    <definedName name="hovado_6" localSheetId="12">#REF!</definedName>
    <definedName name="hovado_6" localSheetId="14">#REF!</definedName>
    <definedName name="hovado_6" localSheetId="13">#REF!</definedName>
    <definedName name="hovado_6" localSheetId="5">#REF!</definedName>
    <definedName name="hovado_6" localSheetId="0">#REF!</definedName>
    <definedName name="hovado_6">#REF!</definedName>
    <definedName name="hr" localSheetId="1">#REF!</definedName>
    <definedName name="hr" localSheetId="3">#REF!</definedName>
    <definedName name="hr" localSheetId="2">#REF!</definedName>
    <definedName name="hr" localSheetId="12">#REF!</definedName>
    <definedName name="hr" localSheetId="14">#REF!</definedName>
    <definedName name="hr" localSheetId="13">#REF!</definedName>
    <definedName name="hr" localSheetId="5">#REF!</definedName>
    <definedName name="hr" localSheetId="0">#REF!</definedName>
    <definedName name="hr">#REF!</definedName>
    <definedName name="hr_HSV" localSheetId="5">#REF!</definedName>
    <definedName name="hr_HSV" localSheetId="0">#REF!</definedName>
    <definedName name="hr_HSV">#REF!</definedName>
    <definedName name="hr_PSV" localSheetId="5">#REF!</definedName>
    <definedName name="hr_PSV" localSheetId="0">#REF!</definedName>
    <definedName name="hr_PSV">#REF!</definedName>
    <definedName name="hrubá_fasáda" localSheetId="5">#REF!</definedName>
    <definedName name="hrubá_fasáda" localSheetId="0">#REF!</definedName>
    <definedName name="hrubá_fasáda">#REF!</definedName>
    <definedName name="hrubá_fasáda_6" localSheetId="5">#REF!</definedName>
    <definedName name="hrubá_fasáda_6" localSheetId="0">#REF!</definedName>
    <definedName name="hrubá_fasáda_6">#REF!</definedName>
    <definedName name="HSV" localSheetId="6">'2-Rekapitulace'!$E$13</definedName>
    <definedName name="HSV" localSheetId="8">'2-Rekapitulace'!$E$13</definedName>
    <definedName name="HSV" localSheetId="7">'2-Rekapitulace'!$E$13</definedName>
    <definedName name="HSV" localSheetId="9">'3-Rekapitulace'!$E$11</definedName>
    <definedName name="HSV" localSheetId="11">'3-Rekapitulace'!$E$11</definedName>
    <definedName name="HSV" localSheetId="10">'3-Rekapitulace'!$E$11</definedName>
    <definedName name="HSV" localSheetId="12">#REF!</definedName>
    <definedName name="HSV" localSheetId="14">#REF!</definedName>
    <definedName name="HSV" localSheetId="13">#REF!</definedName>
    <definedName name="HSV" localSheetId="5">#REF!</definedName>
    <definedName name="HSV" localSheetId="0">#REF!</definedName>
    <definedName name="HSV" localSheetId="4">ZTI!$E$11</definedName>
    <definedName name="HSV">#REF!</definedName>
    <definedName name="HSV_" localSheetId="1">#REF!</definedName>
    <definedName name="HSV_" localSheetId="3">#REF!</definedName>
    <definedName name="HSV_" localSheetId="2">#REF!</definedName>
    <definedName name="HSV_" localSheetId="12">#REF!</definedName>
    <definedName name="HSV_" localSheetId="14">#REF!</definedName>
    <definedName name="HSV_" localSheetId="13">#REF!</definedName>
    <definedName name="HSV_" localSheetId="5">#REF!</definedName>
    <definedName name="HSV_" localSheetId="0">#REF!</definedName>
    <definedName name="HSV_">#REF!</definedName>
    <definedName name="HSV_6" localSheetId="1">#REF!</definedName>
    <definedName name="HSV_6" localSheetId="3">#REF!</definedName>
    <definedName name="HSV_6" localSheetId="2">#REF!</definedName>
    <definedName name="HSV_6" localSheetId="12">#REF!</definedName>
    <definedName name="HSV_6" localSheetId="14">#REF!</definedName>
    <definedName name="HSV_6" localSheetId="13">#REF!</definedName>
    <definedName name="HSV_6" localSheetId="5">#REF!</definedName>
    <definedName name="HSV_6" localSheetId="0">#REF!</definedName>
    <definedName name="HSV_6">#REF!</definedName>
    <definedName name="HSV0" localSheetId="1">#REF!</definedName>
    <definedName name="HSV0" localSheetId="3">#REF!</definedName>
    <definedName name="HSV0" localSheetId="2">#REF!</definedName>
    <definedName name="HSV0" localSheetId="6">'2-Položky'!#REF!</definedName>
    <definedName name="HSV0" localSheetId="8">'2-Položky'!#REF!</definedName>
    <definedName name="HSV0" localSheetId="7">'2-Položky'!#REF!</definedName>
    <definedName name="HSV0" localSheetId="9">'3-Položky'!#REF!</definedName>
    <definedName name="HSV0" localSheetId="11">'3-Položky'!#REF!</definedName>
    <definedName name="HSV0" localSheetId="10">'3-Položky'!#REF!</definedName>
    <definedName name="HSV0" localSheetId="12">#REF!</definedName>
    <definedName name="HSV0" localSheetId="14">#REF!</definedName>
    <definedName name="HSV0" localSheetId="13">#REF!</definedName>
    <definedName name="HSV0" localSheetId="5">#REF!</definedName>
    <definedName name="HSV0" localSheetId="0">#REF!</definedName>
    <definedName name="HSV0" localSheetId="4">ZTI!#REF!</definedName>
    <definedName name="HSV0">#REF!</definedName>
    <definedName name="HSV0_6" localSheetId="1">#REF!</definedName>
    <definedName name="HSV0_6" localSheetId="3">#REF!</definedName>
    <definedName name="HSV0_6" localSheetId="2">#REF!</definedName>
    <definedName name="HSV0_6" localSheetId="12">#REF!</definedName>
    <definedName name="HSV0_6" localSheetId="14">#REF!</definedName>
    <definedName name="HSV0_6" localSheetId="13">#REF!</definedName>
    <definedName name="HSV0_6" localSheetId="5">#REF!</definedName>
    <definedName name="HSV0_6" localSheetId="0">#REF!</definedName>
    <definedName name="HSV0_6">#REF!</definedName>
    <definedName name="hydro">#N/A</definedName>
    <definedName name="Hydrotechnické_výpočty">#N/A</definedName>
    <definedName name="HZS" localSheetId="6">'2-Rekapitulace'!$I$13</definedName>
    <definedName name="HZS" localSheetId="8">'2-Rekapitulace'!$I$13</definedName>
    <definedName name="HZS" localSheetId="7">'2-Rekapitulace'!$I$13</definedName>
    <definedName name="HZS" localSheetId="9">'3-Rekapitulace'!$I$11</definedName>
    <definedName name="HZS" localSheetId="11">'3-Rekapitulace'!$I$11</definedName>
    <definedName name="HZS" localSheetId="10">'3-Rekapitulace'!$I$11</definedName>
    <definedName name="HZS" localSheetId="12">#REF!</definedName>
    <definedName name="HZS" localSheetId="14">#REF!</definedName>
    <definedName name="HZS" localSheetId="13">#REF!</definedName>
    <definedName name="HZS" localSheetId="5">#REF!</definedName>
    <definedName name="HZS" localSheetId="0">#REF!</definedName>
    <definedName name="HZS" localSheetId="4">ZTI!$I$11</definedName>
    <definedName name="HZS">#REF!</definedName>
    <definedName name="HZS_6" localSheetId="1">#REF!</definedName>
    <definedName name="HZS_6" localSheetId="3">#REF!</definedName>
    <definedName name="HZS_6" localSheetId="2">#REF!</definedName>
    <definedName name="HZS_6" localSheetId="12">#REF!</definedName>
    <definedName name="HZS_6" localSheetId="14">#REF!</definedName>
    <definedName name="HZS_6" localSheetId="13">#REF!</definedName>
    <definedName name="HZS_6" localSheetId="5">#REF!</definedName>
    <definedName name="HZS_6" localSheetId="0">#REF!</definedName>
    <definedName name="HZS_6">#REF!</definedName>
    <definedName name="hzs_HSV" localSheetId="1">#REF!</definedName>
    <definedName name="hzs_HSV" localSheetId="3">#REF!</definedName>
    <definedName name="hzs_HSV" localSheetId="2">#REF!</definedName>
    <definedName name="hzs_HSV" localSheetId="12">#REF!</definedName>
    <definedName name="hzs_HSV" localSheetId="14">#REF!</definedName>
    <definedName name="hzs_HSV" localSheetId="13">#REF!</definedName>
    <definedName name="hzs_HSV" localSheetId="5">#REF!</definedName>
    <definedName name="hzs_HSV" localSheetId="0">#REF!</definedName>
    <definedName name="hzs_HSV">#REF!</definedName>
    <definedName name="hzs_PSV" localSheetId="1">#REF!</definedName>
    <definedName name="hzs_PSV" localSheetId="3">#REF!</definedName>
    <definedName name="hzs_PSV" localSheetId="2">#REF!</definedName>
    <definedName name="hzs_PSV" localSheetId="12">#REF!</definedName>
    <definedName name="hzs_PSV" localSheetId="14">#REF!</definedName>
    <definedName name="hzs_PSV" localSheetId="13">#REF!</definedName>
    <definedName name="hzs_PSV" localSheetId="5">#REF!</definedName>
    <definedName name="hzs_PSV" localSheetId="0">#REF!</definedName>
    <definedName name="hzs_PSV">#REF!</definedName>
    <definedName name="HZS0" localSheetId="1">#REF!</definedName>
    <definedName name="HZS0" localSheetId="3">#REF!</definedName>
    <definedName name="HZS0" localSheetId="2">#REF!</definedName>
    <definedName name="HZS0" localSheetId="6">'2-Položky'!#REF!</definedName>
    <definedName name="HZS0" localSheetId="8">'2-Položky'!#REF!</definedName>
    <definedName name="HZS0" localSheetId="7">'2-Položky'!#REF!</definedName>
    <definedName name="HZS0" localSheetId="9">'3-Položky'!#REF!</definedName>
    <definedName name="HZS0" localSheetId="11">'3-Položky'!#REF!</definedName>
    <definedName name="HZS0" localSheetId="10">'3-Položky'!#REF!</definedName>
    <definedName name="HZS0" localSheetId="12">#REF!</definedName>
    <definedName name="HZS0" localSheetId="14">#REF!</definedName>
    <definedName name="HZS0" localSheetId="13">#REF!</definedName>
    <definedName name="HZS0" localSheetId="5">#REF!</definedName>
    <definedName name="HZS0" localSheetId="0">#REF!</definedName>
    <definedName name="HZS0" localSheetId="4">ZTI!#REF!</definedName>
    <definedName name="HZS0">#REF!</definedName>
    <definedName name="HZS0_6" localSheetId="1">#REF!</definedName>
    <definedName name="HZS0_6" localSheetId="3">#REF!</definedName>
    <definedName name="HZS0_6" localSheetId="2">#REF!</definedName>
    <definedName name="HZS0_6" localSheetId="12">#REF!</definedName>
    <definedName name="HZS0_6" localSheetId="14">#REF!</definedName>
    <definedName name="HZS0_6" localSheetId="13">#REF!</definedName>
    <definedName name="HZS0_6" localSheetId="5">#REF!</definedName>
    <definedName name="HZS0_6" localSheetId="0">#REF!</definedName>
    <definedName name="HZS0_6">#REF!</definedName>
    <definedName name="I" localSheetId="1">#REF!</definedName>
    <definedName name="I" localSheetId="3">#REF!</definedName>
    <definedName name="I" localSheetId="2">#REF!</definedName>
    <definedName name="I" localSheetId="12">#REF!</definedName>
    <definedName name="I" localSheetId="14">#REF!</definedName>
    <definedName name="I" localSheetId="13">#REF!</definedName>
    <definedName name="I" localSheetId="5">#REF!</definedName>
    <definedName name="I" localSheetId="0">#REF!</definedName>
    <definedName name="I">#REF!</definedName>
    <definedName name="IČO" localSheetId="5">#REF!</definedName>
    <definedName name="IČO" localSheetId="0">#REF!</definedName>
    <definedName name="IČO">#REF!</definedName>
    <definedName name="inflace" localSheetId="5">#REF!</definedName>
    <definedName name="inflace" localSheetId="0">#REF!</definedName>
    <definedName name="inflace">#REF!</definedName>
    <definedName name="Integr_poslední" localSheetId="5">#REF!</definedName>
    <definedName name="Integr_poslední" localSheetId="0">#REF!</definedName>
    <definedName name="Integr_poslední">#REF!</definedName>
    <definedName name="Integr_poslední_1" localSheetId="5">#REF!</definedName>
    <definedName name="Integr_poslední_1" localSheetId="0">#REF!</definedName>
    <definedName name="Integr_poslední_1">#REF!</definedName>
    <definedName name="Integr_poslední_6" localSheetId="5">#REF!</definedName>
    <definedName name="Integr_poslední_6" localSheetId="0">#REF!</definedName>
    <definedName name="Integr_poslední_6">#REF!</definedName>
    <definedName name="IntegralC" localSheetId="1">#REF!,#REF!</definedName>
    <definedName name="IntegralC" localSheetId="3">#REF!,#REF!</definedName>
    <definedName name="IntegralC" localSheetId="2">#REF!,#REF!</definedName>
    <definedName name="IntegralC" localSheetId="12">#REF!,#REF!</definedName>
    <definedName name="IntegralC" localSheetId="14">#REF!,#REF!</definedName>
    <definedName name="IntegralC" localSheetId="13">#REF!,#REF!</definedName>
    <definedName name="IntegralC" localSheetId="5">#REF!,#REF!</definedName>
    <definedName name="IntegralC" localSheetId="0">#REF!,#REF!</definedName>
    <definedName name="IntegralC">#REF!,#REF!</definedName>
    <definedName name="interier" localSheetId="1">#REF!</definedName>
    <definedName name="interier" localSheetId="3">#REF!</definedName>
    <definedName name="interier" localSheetId="2">#REF!</definedName>
    <definedName name="interier" localSheetId="12">#REF!</definedName>
    <definedName name="interier" localSheetId="14">#REF!</definedName>
    <definedName name="interier" localSheetId="13">#REF!</definedName>
    <definedName name="interier" localSheetId="5">#REF!</definedName>
    <definedName name="interier" localSheetId="0">#REF!</definedName>
    <definedName name="interier">#REF!</definedName>
    <definedName name="já" localSheetId="1">#REF!</definedName>
    <definedName name="já" localSheetId="3">#REF!</definedName>
    <definedName name="já" localSheetId="2">#REF!</definedName>
    <definedName name="já" localSheetId="12">#REF!</definedName>
    <definedName name="já" localSheetId="14">#REF!</definedName>
    <definedName name="já" localSheetId="13">#REF!</definedName>
    <definedName name="já" localSheetId="5">#REF!</definedName>
    <definedName name="já" localSheetId="0">#REF!</definedName>
    <definedName name="já">#REF!</definedName>
    <definedName name="JKSO" localSheetId="1">#REF!</definedName>
    <definedName name="JKSO" localSheetId="3">#REF!</definedName>
    <definedName name="JKSO" localSheetId="2">#REF!</definedName>
    <definedName name="JKSO" localSheetId="6">'2-Krycí list'!$F$4</definedName>
    <definedName name="JKSO" localSheetId="8">'2-Krycí list'!$F$4</definedName>
    <definedName name="JKSO" localSheetId="7">'2-Krycí list'!$F$4</definedName>
    <definedName name="JKSO" localSheetId="9">'3-Krycí list'!$F$4</definedName>
    <definedName name="JKSO" localSheetId="11">'3-Krycí list'!$F$4</definedName>
    <definedName name="JKSO" localSheetId="10">'3-Krycí list'!$F$4</definedName>
    <definedName name="JKSO" localSheetId="12">#REF!</definedName>
    <definedName name="JKSO" localSheetId="14">#REF!</definedName>
    <definedName name="JKSO" localSheetId="13">#REF!</definedName>
    <definedName name="JKSO" localSheetId="5">#REF!</definedName>
    <definedName name="JKSO" localSheetId="0">#REF!</definedName>
    <definedName name="JKSO">#REF!</definedName>
    <definedName name="JKSO_6" localSheetId="5">#REF!</definedName>
    <definedName name="JKSO_6" localSheetId="0">#REF!</definedName>
    <definedName name="JKSO_6">#REF!</definedName>
    <definedName name="k_1">NA()</definedName>
    <definedName name="kk">"$#REF!.$J$4"</definedName>
    <definedName name="Kod" localSheetId="1">#REF!</definedName>
    <definedName name="Kod" localSheetId="3">#REF!</definedName>
    <definedName name="Kod" localSheetId="2">#REF!</definedName>
    <definedName name="Kod" localSheetId="12">#REF!</definedName>
    <definedName name="Kod" localSheetId="14">#REF!</definedName>
    <definedName name="Kod" localSheetId="13">#REF!</definedName>
    <definedName name="Kod" localSheetId="5">#REF!</definedName>
    <definedName name="Kod" localSheetId="0">#REF!</definedName>
    <definedName name="Kod">#REF!</definedName>
    <definedName name="Kod_1" localSheetId="1">#REF!</definedName>
    <definedName name="Kod_1" localSheetId="3">#REF!</definedName>
    <definedName name="Kod_1" localSheetId="2">#REF!</definedName>
    <definedName name="Kod_1" localSheetId="12">#REF!</definedName>
    <definedName name="Kod_1" localSheetId="14">#REF!</definedName>
    <definedName name="Kod_1" localSheetId="13">#REF!</definedName>
    <definedName name="Kod_1" localSheetId="5">#REF!</definedName>
    <definedName name="Kod_1" localSheetId="0">#REF!</definedName>
    <definedName name="Kod_1">#REF!</definedName>
    <definedName name="konec" localSheetId="1">#REF!</definedName>
    <definedName name="konec" localSheetId="3">#REF!</definedName>
    <definedName name="konec" localSheetId="2">#REF!</definedName>
    <definedName name="konec" localSheetId="12">#REF!</definedName>
    <definedName name="konec" localSheetId="14">#REF!</definedName>
    <definedName name="konec" localSheetId="13">#REF!</definedName>
    <definedName name="konec" localSheetId="5">#REF!</definedName>
    <definedName name="konec" localSheetId="0">#REF!</definedName>
    <definedName name="konec">#REF!</definedName>
    <definedName name="konec_6" localSheetId="5">#REF!</definedName>
    <definedName name="konec_6" localSheetId="0">#REF!</definedName>
    <definedName name="konec_6">#REF!</definedName>
    <definedName name="Kontrola" localSheetId="5">#REF!</definedName>
    <definedName name="Kontrola" localSheetId="0">#REF!</definedName>
    <definedName name="Kontrola">#REF!</definedName>
    <definedName name="kování" localSheetId="5">#REF!</definedName>
    <definedName name="kování" localSheetId="0">#REF!</definedName>
    <definedName name="kování">#REF!</definedName>
    <definedName name="lg">"$#REF!.$J$5"</definedName>
    <definedName name="lůkmlkm" localSheetId="1">#REF!</definedName>
    <definedName name="lůkmlkm" localSheetId="3">#REF!</definedName>
    <definedName name="lůkmlkm" localSheetId="2">#REF!</definedName>
    <definedName name="lůkmlkm" localSheetId="12">#REF!</definedName>
    <definedName name="lůkmlkm" localSheetId="14">#REF!</definedName>
    <definedName name="lůkmlkm" localSheetId="13">#REF!</definedName>
    <definedName name="lůkmlkm" localSheetId="5">#REF!</definedName>
    <definedName name="lůkmlkm" localSheetId="0">#REF!</definedName>
    <definedName name="lůkmlkm">#REF!</definedName>
    <definedName name="lůkmlkm_6" localSheetId="1">#REF!</definedName>
    <definedName name="lůkmlkm_6" localSheetId="3">#REF!</definedName>
    <definedName name="lůkmlkm_6" localSheetId="2">#REF!</definedName>
    <definedName name="lůkmlkm_6" localSheetId="12">#REF!</definedName>
    <definedName name="lůkmlkm_6" localSheetId="14">#REF!</definedName>
    <definedName name="lůkmlkm_6" localSheetId="13">#REF!</definedName>
    <definedName name="lůkmlkm_6" localSheetId="5">#REF!</definedName>
    <definedName name="lůkmlkm_6" localSheetId="0">#REF!</definedName>
    <definedName name="lůkmlkm_6">#REF!</definedName>
    <definedName name="MDKM" localSheetId="1">#REF!</definedName>
    <definedName name="MDKM" localSheetId="3">#REF!</definedName>
    <definedName name="MDKM" localSheetId="2">#REF!</definedName>
    <definedName name="MDKM" localSheetId="12">#REF!</definedName>
    <definedName name="MDKM" localSheetId="14">#REF!</definedName>
    <definedName name="MDKM" localSheetId="13">#REF!</definedName>
    <definedName name="MDKM" localSheetId="5">#REF!</definedName>
    <definedName name="MDKM" localSheetId="0">#REF!</definedName>
    <definedName name="MDKM">#REF!</definedName>
    <definedName name="Mena" localSheetId="12">#REF!</definedName>
    <definedName name="Mena" localSheetId="14">#REF!</definedName>
    <definedName name="Mena" localSheetId="13">#REF!</definedName>
    <definedName name="Mena" localSheetId="5">#REF!</definedName>
    <definedName name="Mena" localSheetId="0">#REF!</definedName>
    <definedName name="Mena">#REF!</definedName>
    <definedName name="MJ" localSheetId="1">#REF!</definedName>
    <definedName name="MJ" localSheetId="3">#REF!</definedName>
    <definedName name="MJ" localSheetId="2">#REF!</definedName>
    <definedName name="MJ" localSheetId="6">'2-Krycí list'!$G$4</definedName>
    <definedName name="MJ" localSheetId="8">'2-Krycí list'!$G$4</definedName>
    <definedName name="MJ" localSheetId="7">'2-Krycí list'!$G$4</definedName>
    <definedName name="MJ" localSheetId="9">'3-Krycí list'!$G$4</definedName>
    <definedName name="MJ" localSheetId="11">'3-Krycí list'!$G$4</definedName>
    <definedName name="MJ" localSheetId="10">'3-Krycí list'!$G$4</definedName>
    <definedName name="MJ" localSheetId="12">#REF!</definedName>
    <definedName name="MJ" localSheetId="14">#REF!</definedName>
    <definedName name="MJ" localSheetId="13">#REF!</definedName>
    <definedName name="MJ" localSheetId="5">#REF!</definedName>
    <definedName name="MJ" localSheetId="0">#REF!</definedName>
    <definedName name="MJ">#REF!</definedName>
    <definedName name="MJ_6" localSheetId="1">#REF!</definedName>
    <definedName name="MJ_6" localSheetId="3">#REF!</definedName>
    <definedName name="MJ_6" localSheetId="2">#REF!</definedName>
    <definedName name="MJ_6" localSheetId="12">#REF!</definedName>
    <definedName name="MJ_6" localSheetId="14">#REF!</definedName>
    <definedName name="MJ_6" localSheetId="13">#REF!</definedName>
    <definedName name="MJ_6" localSheetId="5">#REF!</definedName>
    <definedName name="MJ_6" localSheetId="0">#REF!</definedName>
    <definedName name="MJ_6">#REF!</definedName>
    <definedName name="mmm" localSheetId="12">#REF!</definedName>
    <definedName name="mmm" localSheetId="14">#REF!</definedName>
    <definedName name="mmm" localSheetId="13">#REF!</definedName>
    <definedName name="mmm" localSheetId="5">#REF!</definedName>
    <definedName name="mmm" localSheetId="0">#REF!</definedName>
    <definedName name="mmm">#REF!</definedName>
    <definedName name="Monolog" localSheetId="1">#REF!</definedName>
    <definedName name="Monolog" localSheetId="3">#REF!</definedName>
    <definedName name="Monolog" localSheetId="2">#REF!</definedName>
    <definedName name="Monolog" localSheetId="12">#REF!</definedName>
    <definedName name="Monolog" localSheetId="14">#REF!</definedName>
    <definedName name="Monolog" localSheetId="13">#REF!</definedName>
    <definedName name="Monolog" localSheetId="5">#REF!</definedName>
    <definedName name="Monolog" localSheetId="0">#REF!</definedName>
    <definedName name="Monolog">#REF!</definedName>
    <definedName name="Mont" localSheetId="6">'2-Rekapitulace'!$H$13</definedName>
    <definedName name="Mont" localSheetId="8">'2-Rekapitulace'!$H$13</definedName>
    <definedName name="Mont" localSheetId="7">'2-Rekapitulace'!$H$13</definedName>
    <definedName name="Mont" localSheetId="9">'3-Rekapitulace'!$H$11</definedName>
    <definedName name="Mont" localSheetId="11">'3-Rekapitulace'!$H$11</definedName>
    <definedName name="Mont" localSheetId="10">'3-Rekapitulace'!$H$11</definedName>
    <definedName name="Mont" localSheetId="12">#REF!</definedName>
    <definedName name="Mont" localSheetId="14">#REF!</definedName>
    <definedName name="Mont" localSheetId="13">#REF!</definedName>
    <definedName name="Mont" localSheetId="5">#REF!</definedName>
    <definedName name="Mont" localSheetId="0">#REF!</definedName>
    <definedName name="Mont" localSheetId="4">ZTI!$H$11</definedName>
    <definedName name="Mont">#REF!</definedName>
    <definedName name="Mont_" localSheetId="1">#REF!</definedName>
    <definedName name="Mont_" localSheetId="3">#REF!</definedName>
    <definedName name="Mont_" localSheetId="2">#REF!</definedName>
    <definedName name="Mont_" localSheetId="12">#REF!</definedName>
    <definedName name="Mont_" localSheetId="14">#REF!</definedName>
    <definedName name="Mont_" localSheetId="13">#REF!</definedName>
    <definedName name="Mont_" localSheetId="5">#REF!</definedName>
    <definedName name="Mont_" localSheetId="0">#REF!</definedName>
    <definedName name="Mont_">#REF!</definedName>
    <definedName name="Mont_6" localSheetId="1">#REF!</definedName>
    <definedName name="Mont_6" localSheetId="3">#REF!</definedName>
    <definedName name="Mont_6" localSheetId="2">#REF!</definedName>
    <definedName name="Mont_6" localSheetId="12">#REF!</definedName>
    <definedName name="Mont_6" localSheetId="14">#REF!</definedName>
    <definedName name="Mont_6" localSheetId="13">#REF!</definedName>
    <definedName name="Mont_6" localSheetId="5">#REF!</definedName>
    <definedName name="Mont_6" localSheetId="0">#REF!</definedName>
    <definedName name="Mont_6">#REF!</definedName>
    <definedName name="Montaz0" localSheetId="1">#REF!</definedName>
    <definedName name="Montaz0" localSheetId="3">#REF!</definedName>
    <definedName name="Montaz0" localSheetId="2">#REF!</definedName>
    <definedName name="Montaz0" localSheetId="6">'2-Položky'!#REF!</definedName>
    <definedName name="Montaz0" localSheetId="8">'2-Položky'!#REF!</definedName>
    <definedName name="Montaz0" localSheetId="7">'2-Položky'!#REF!</definedName>
    <definedName name="Montaz0" localSheetId="9">'3-Položky'!#REF!</definedName>
    <definedName name="Montaz0" localSheetId="11">'3-Položky'!#REF!</definedName>
    <definedName name="Montaz0" localSheetId="10">'3-Položky'!#REF!</definedName>
    <definedName name="Montaz0" localSheetId="12">#REF!</definedName>
    <definedName name="Montaz0" localSheetId="14">#REF!</definedName>
    <definedName name="Montaz0" localSheetId="13">#REF!</definedName>
    <definedName name="Montaz0" localSheetId="5">#REF!</definedName>
    <definedName name="Montaz0" localSheetId="0">#REF!</definedName>
    <definedName name="Montaz0" localSheetId="4">ZTI!#REF!</definedName>
    <definedName name="Montaz0">#REF!</definedName>
    <definedName name="Montaz0_6" localSheetId="1">#REF!</definedName>
    <definedName name="Montaz0_6" localSheetId="3">#REF!</definedName>
    <definedName name="Montaz0_6" localSheetId="2">#REF!</definedName>
    <definedName name="Montaz0_6" localSheetId="12">#REF!</definedName>
    <definedName name="Montaz0_6" localSheetId="14">#REF!</definedName>
    <definedName name="Montaz0_6" localSheetId="13">#REF!</definedName>
    <definedName name="Montaz0_6" localSheetId="5">#REF!</definedName>
    <definedName name="Montaz0_6" localSheetId="0">#REF!</definedName>
    <definedName name="Montaz0_6">#REF!</definedName>
    <definedName name="mzda" localSheetId="1">#REF!</definedName>
    <definedName name="mzda" localSheetId="3">#REF!</definedName>
    <definedName name="mzda" localSheetId="2">#REF!</definedName>
    <definedName name="mzda" localSheetId="12">#REF!</definedName>
    <definedName name="mzda" localSheetId="14">#REF!</definedName>
    <definedName name="mzda" localSheetId="13">#REF!</definedName>
    <definedName name="mzda" localSheetId="5">#REF!</definedName>
    <definedName name="mzda" localSheetId="0">#REF!</definedName>
    <definedName name="mzda">#REF!</definedName>
    <definedName name="mzda_pomocná" localSheetId="5">#REF!</definedName>
    <definedName name="mzda_pomocná" localSheetId="0">#REF!</definedName>
    <definedName name="mzda_pomocná">#REF!</definedName>
    <definedName name="mzda_PSV" localSheetId="5">#REF!</definedName>
    <definedName name="mzda_PSV" localSheetId="0">#REF!</definedName>
    <definedName name="mzda_PSV">#REF!</definedName>
    <definedName name="nátěr" localSheetId="5">#REF!</definedName>
    <definedName name="nátěr" localSheetId="0">#REF!</definedName>
    <definedName name="nátěr">#REF!</definedName>
    <definedName name="nátěr_replika" localSheetId="5">#REF!</definedName>
    <definedName name="nátěr_replika" localSheetId="0">#REF!</definedName>
    <definedName name="nátěr_replika">#REF!</definedName>
    <definedName name="NazevDilu" localSheetId="8">'2-Rekapitulace'!$B$6</definedName>
    <definedName name="NazevDilu" localSheetId="7">'2-Rekapitulace'!$B$6</definedName>
    <definedName name="NazevDilu" localSheetId="11">'3-Rekapitulace'!$B$6</definedName>
    <definedName name="NazevDilu" localSheetId="10">'3-Rekapitulace'!$B$6</definedName>
    <definedName name="NazevDilu" localSheetId="12">#REF!</definedName>
    <definedName name="NazevDilu" localSheetId="14">#REF!</definedName>
    <definedName name="NazevDilu" localSheetId="13">#REF!</definedName>
    <definedName name="NazevDilu" localSheetId="5">#REF!</definedName>
    <definedName name="NazevDilu" localSheetId="0">#REF!</definedName>
    <definedName name="NazevDilu" localSheetId="4">ZTI!$C$7</definedName>
    <definedName name="NazevDilu">#REF!</definedName>
    <definedName name="NazevDilu_6" localSheetId="12">#REF!</definedName>
    <definedName name="NazevDilu_6" localSheetId="14">#REF!</definedName>
    <definedName name="NazevDilu_6" localSheetId="13">#REF!</definedName>
    <definedName name="NazevDilu_6" localSheetId="5">#REF!</definedName>
    <definedName name="NazevDilu_6" localSheetId="0">#REF!</definedName>
    <definedName name="NazevDilu_6">#REF!</definedName>
    <definedName name="nazevobjektu" localSheetId="6">'2-Krycí list'!$C$4</definedName>
    <definedName name="nazevobjektu" localSheetId="8">'2-Krycí list'!$C$4</definedName>
    <definedName name="nazevobjektu" localSheetId="7">'2-Krycí list'!$C$4</definedName>
    <definedName name="nazevobjektu" localSheetId="9">'3-Krycí list'!$C$4</definedName>
    <definedName name="nazevobjektu" localSheetId="11">'3-Krycí list'!$C$4</definedName>
    <definedName name="nazevobjektu" localSheetId="10">'3-Krycí list'!$C$4</definedName>
    <definedName name="nazevobjektu" localSheetId="12">#REF!</definedName>
    <definedName name="nazevobjektu" localSheetId="14">#REF!</definedName>
    <definedName name="nazevobjektu" localSheetId="13">#REF!</definedName>
    <definedName name="nazevobjektu" localSheetId="5">#REF!</definedName>
    <definedName name="nazevobjektu" localSheetId="0">#REF!</definedName>
    <definedName name="nazevobjektu" localSheetId="4">#REF!</definedName>
    <definedName name="nazevobjektu">#REF!</definedName>
    <definedName name="nazevobjektu_6" localSheetId="12">#REF!</definedName>
    <definedName name="nazevobjektu_6" localSheetId="14">#REF!</definedName>
    <definedName name="nazevobjektu_6" localSheetId="13">#REF!</definedName>
    <definedName name="nazevobjektu_6" localSheetId="5">#REF!</definedName>
    <definedName name="nazevobjektu_6" localSheetId="0">#REF!</definedName>
    <definedName name="nazevobjektu_6">#REF!</definedName>
    <definedName name="NazevRozpoctu" localSheetId="12">#REF!</definedName>
    <definedName name="NazevRozpoctu" localSheetId="14">#REF!</definedName>
    <definedName name="NazevRozpoctu" localSheetId="13">#REF!</definedName>
    <definedName name="NazevRozpoctu" localSheetId="5">#REF!</definedName>
    <definedName name="NazevRozpoctu" localSheetId="0">#REF!</definedName>
    <definedName name="NazevRozpoctu">#REF!</definedName>
    <definedName name="nazevstavby" localSheetId="1">#REF!</definedName>
    <definedName name="nazevstavby" localSheetId="3">#REF!</definedName>
    <definedName name="nazevstavby" localSheetId="2">#REF!</definedName>
    <definedName name="nazevstavby" localSheetId="6">'2-Krycí list'!$C$6</definedName>
    <definedName name="nazevstavby" localSheetId="8">'2-Krycí list'!$C$6</definedName>
    <definedName name="nazevstavby" localSheetId="7">'2-Krycí list'!$C$6</definedName>
    <definedName name="nazevstavby" localSheetId="9">'3-Krycí list'!$C$6</definedName>
    <definedName name="nazevstavby" localSheetId="11">'3-Krycí list'!$C$6</definedName>
    <definedName name="nazevstavby" localSheetId="10">'3-Krycí list'!$C$6</definedName>
    <definedName name="nazevstavby" localSheetId="12">#REF!</definedName>
    <definedName name="nazevstavby" localSheetId="14">#REF!</definedName>
    <definedName name="nazevstavby" localSheetId="13">#REF!</definedName>
    <definedName name="nazevstavby" localSheetId="5">#REF!</definedName>
    <definedName name="nazevstavby" localSheetId="0">#REF!</definedName>
    <definedName name="nazevstavby" localSheetId="4">#REF!</definedName>
    <definedName name="nazevstavby">#REF!</definedName>
    <definedName name="nazevstavby_6" localSheetId="1">#REF!</definedName>
    <definedName name="nazevstavby_6" localSheetId="3">#REF!</definedName>
    <definedName name="nazevstavby_6" localSheetId="2">#REF!</definedName>
    <definedName name="nazevstavby_6" localSheetId="12">#REF!</definedName>
    <definedName name="nazevstavby_6" localSheetId="14">#REF!</definedName>
    <definedName name="nazevstavby_6" localSheetId="13">#REF!</definedName>
    <definedName name="nazevstavby_6" localSheetId="5">#REF!</definedName>
    <definedName name="nazevstavby_6" localSheetId="0">#REF!</definedName>
    <definedName name="nazevstavby_6">#REF!</definedName>
    <definedName name="_xlnm.Print_Titles" localSheetId="8">'2-Položky'!$1:$6</definedName>
    <definedName name="_xlnm.Print_Titles" localSheetId="7">'2-Rekapitulace'!$1:$6</definedName>
    <definedName name="_xlnm.Print_Titles" localSheetId="11">'3-Položky'!$1:$6</definedName>
    <definedName name="_xlnm.Print_Titles" localSheetId="10">'3-Rekapitulace'!$1:$6</definedName>
    <definedName name="_xlnm.Print_Titles" localSheetId="4">ZTI!$1:$13</definedName>
    <definedName name="nlg___0_1">0</definedName>
    <definedName name="nlg___0_2">0</definedName>
    <definedName name="NOVY" localSheetId="1">#REF!</definedName>
    <definedName name="NOVY" localSheetId="3">#REF!</definedName>
    <definedName name="NOVY" localSheetId="2">#REF!</definedName>
    <definedName name="NOVY" localSheetId="12">#REF!</definedName>
    <definedName name="NOVY" localSheetId="14">#REF!</definedName>
    <definedName name="NOVY" localSheetId="13">#REF!</definedName>
    <definedName name="NOVY" localSheetId="5">#REF!</definedName>
    <definedName name="NOVY" localSheetId="0">#REF!</definedName>
    <definedName name="NOVY">#REF!</definedName>
    <definedName name="NOVY_6" localSheetId="1">#REF!</definedName>
    <definedName name="NOVY_6" localSheetId="3">#REF!</definedName>
    <definedName name="NOVY_6" localSheetId="2">#REF!</definedName>
    <definedName name="NOVY_6" localSheetId="12">#REF!</definedName>
    <definedName name="NOVY_6" localSheetId="14">#REF!</definedName>
    <definedName name="NOVY_6" localSheetId="13">#REF!</definedName>
    <definedName name="NOVY_6" localSheetId="5">#REF!</definedName>
    <definedName name="NOVY_6" localSheetId="0">#REF!</definedName>
    <definedName name="NOVY_6">#REF!</definedName>
    <definedName name="NOVY2" localSheetId="1">#REF!</definedName>
    <definedName name="NOVY2" localSheetId="3">#REF!</definedName>
    <definedName name="NOVY2" localSheetId="2">#REF!</definedName>
    <definedName name="NOVY2" localSheetId="12">#REF!</definedName>
    <definedName name="NOVY2" localSheetId="14">#REF!</definedName>
    <definedName name="NOVY2" localSheetId="13">#REF!</definedName>
    <definedName name="NOVY2" localSheetId="5">#REF!</definedName>
    <definedName name="NOVY2" localSheetId="0">#REF!</definedName>
    <definedName name="NOVY2">#REF!</definedName>
    <definedName name="NOVY2_6" localSheetId="5">#REF!</definedName>
    <definedName name="NOVY2_6" localSheetId="0">#REF!</definedName>
    <definedName name="NOVY2_6">#REF!</definedName>
    <definedName name="obezdívky_van" localSheetId="5">#REF!</definedName>
    <definedName name="obezdívky_van" localSheetId="0">#REF!</definedName>
    <definedName name="obezdívky_van">#REF!</definedName>
    <definedName name="obezdívky_van_6" localSheetId="5">#REF!</definedName>
    <definedName name="obezdívky_van_6" localSheetId="0">#REF!</definedName>
    <definedName name="obezdívky_van_6">#REF!</definedName>
    <definedName name="Objednatel" localSheetId="6">'2-Krycí list'!$C$8</definedName>
    <definedName name="Objednatel" localSheetId="8">'2-Krycí list'!$C$8</definedName>
    <definedName name="Objednatel" localSheetId="7">'2-Krycí list'!$C$8</definedName>
    <definedName name="Objednatel" localSheetId="9">'3-Krycí list'!$C$8</definedName>
    <definedName name="Objednatel" localSheetId="11">'3-Krycí list'!$C$8</definedName>
    <definedName name="Objednatel" localSheetId="10">'3-Krycí list'!$C$8</definedName>
    <definedName name="Objednatel" localSheetId="12">#REF!</definedName>
    <definedName name="Objednatel" localSheetId="14">#REF!</definedName>
    <definedName name="Objednatel" localSheetId="13">#REF!</definedName>
    <definedName name="Objednatel" localSheetId="5">#REF!</definedName>
    <definedName name="Objednatel" localSheetId="0">#REF!</definedName>
    <definedName name="Objednatel">#REF!</definedName>
    <definedName name="Objednatel_6" localSheetId="5">#REF!</definedName>
    <definedName name="Objednatel_6" localSheetId="0">#REF!</definedName>
    <definedName name="Objednatel_6">#REF!</definedName>
    <definedName name="Objekt" localSheetId="5">#REF!</definedName>
    <definedName name="Objekt" localSheetId="0">#REF!</definedName>
    <definedName name="Objekt">#REF!</definedName>
    <definedName name="_xlnm.Print_Area" localSheetId="1">'1-Krycí list'!$A$1:$P$35</definedName>
    <definedName name="_xlnm.Print_Area" localSheetId="3">'1-Položky'!$A$1:$L$520</definedName>
    <definedName name="_xlnm.Print_Area" localSheetId="2">'1-Rekapitulace'!$A$1:$F$48</definedName>
    <definedName name="_xlnm.Print_Area" localSheetId="6">'2-Krycí list'!$A$1:$G$45</definedName>
    <definedName name="_xlnm.Print_Area" localSheetId="8">'2-Položky'!$A$1:$G$57</definedName>
    <definedName name="_xlnm.Print_Area" localSheetId="7">'2-Rekapitulace'!$A$1:$I$23</definedName>
    <definedName name="_xlnm.Print_Area" localSheetId="9">'3-Krycí list'!$A$1:$G$45</definedName>
    <definedName name="_xlnm.Print_Area" localSheetId="11">'3-Položky'!$A$1:$G$42</definedName>
    <definedName name="_xlnm.Print_Area" localSheetId="10">'3-Rekapitulace'!$A$1:$I$21</definedName>
    <definedName name="_xlnm.Print_Area" localSheetId="12">'4-Krycí list'!$A$1:$P$35</definedName>
    <definedName name="_xlnm.Print_Area" localSheetId="14">'4-Položky'!$A$1:$L$55</definedName>
    <definedName name="_xlnm.Print_Area" localSheetId="13">'4-Rekapitulace'!$A$1:$F$21</definedName>
    <definedName name="_xlnm.Print_Area" localSheetId="5">elektro!$A$1:$E$65</definedName>
    <definedName name="_xlnm.Print_Area" localSheetId="0">Souhrn!$B$1:$Q$26</definedName>
    <definedName name="_xlnm.Print_Area" localSheetId="4">ZTI!$A$1:$G$73</definedName>
    <definedName name="obvod_hliník" localSheetId="1">#REF!</definedName>
    <definedName name="obvod_hliník" localSheetId="3">#REF!</definedName>
    <definedName name="obvod_hliník" localSheetId="2">#REF!</definedName>
    <definedName name="obvod_hliník" localSheetId="12">#REF!</definedName>
    <definedName name="obvod_hliník" localSheetId="14">#REF!</definedName>
    <definedName name="obvod_hliník" localSheetId="13">#REF!</definedName>
    <definedName name="obvod_hliník" localSheetId="5">#REF!</definedName>
    <definedName name="obvod_hliník" localSheetId="0">#REF!</definedName>
    <definedName name="obvod_hliník">#REF!</definedName>
    <definedName name="obvod_hliník_6" localSheetId="1">#REF!</definedName>
    <definedName name="obvod_hliník_6" localSheetId="3">#REF!</definedName>
    <definedName name="obvod_hliník_6" localSheetId="2">#REF!</definedName>
    <definedName name="obvod_hliník_6" localSheetId="12">#REF!</definedName>
    <definedName name="obvod_hliník_6" localSheetId="14">#REF!</definedName>
    <definedName name="obvod_hliník_6" localSheetId="13">#REF!</definedName>
    <definedName name="obvod_hliník_6" localSheetId="5">#REF!</definedName>
    <definedName name="obvod_hliník_6" localSheetId="0">#REF!</definedName>
    <definedName name="obvod_hliník_6">#REF!</definedName>
    <definedName name="obvod_oken_1.np" localSheetId="1">#REF!</definedName>
    <definedName name="obvod_oken_1.np" localSheetId="3">#REF!</definedName>
    <definedName name="obvod_oken_1.np" localSheetId="2">#REF!</definedName>
    <definedName name="obvod_oken_1.np" localSheetId="12">#REF!</definedName>
    <definedName name="obvod_oken_1.np" localSheetId="14">#REF!</definedName>
    <definedName name="obvod_oken_1.np" localSheetId="13">#REF!</definedName>
    <definedName name="obvod_oken_1.np" localSheetId="5">#REF!</definedName>
    <definedName name="obvod_oken_1.np" localSheetId="0">#REF!</definedName>
    <definedName name="obvod_oken_1.np">#REF!</definedName>
    <definedName name="obvod_oken_1.np_6" localSheetId="5">#REF!</definedName>
    <definedName name="obvod_oken_1.np_6" localSheetId="0">#REF!</definedName>
    <definedName name="obvod_oken_1.np_6">#REF!</definedName>
    <definedName name="obvod_oken_suterén" localSheetId="5">#REF!</definedName>
    <definedName name="obvod_oken_suterén" localSheetId="0">#REF!</definedName>
    <definedName name="obvod_oken_suterén">#REF!</definedName>
    <definedName name="obvod_oken_suterén_6" localSheetId="5">#REF!</definedName>
    <definedName name="obvod_oken_suterén_6" localSheetId="0">#REF!</definedName>
    <definedName name="obvod_oken_suterén_6">#REF!</definedName>
    <definedName name="obvod_oken_typické" localSheetId="5">#REF!</definedName>
    <definedName name="obvod_oken_typické" localSheetId="0">#REF!</definedName>
    <definedName name="obvod_oken_typické">#REF!</definedName>
    <definedName name="obvod_oken_typické_6" localSheetId="5">#REF!</definedName>
    <definedName name="obvod_oken_typické_6" localSheetId="0">#REF!</definedName>
    <definedName name="obvod_oken_typické_6">#REF!</definedName>
    <definedName name="obvod_oken_ustupující" localSheetId="5">#REF!</definedName>
    <definedName name="obvod_oken_ustupující" localSheetId="0">#REF!</definedName>
    <definedName name="obvod_oken_ustupující">#REF!</definedName>
    <definedName name="obvod_oken_ustupující_6" localSheetId="5">#REF!</definedName>
    <definedName name="obvod_oken_ustupující_6" localSheetId="0">#REF!</definedName>
    <definedName name="obvod_oken_ustupující_6">#REF!</definedName>
    <definedName name="obvod_suteren" localSheetId="5">#REF!</definedName>
    <definedName name="obvod_suteren" localSheetId="0">#REF!</definedName>
    <definedName name="obvod_suteren">#REF!</definedName>
    <definedName name="obvod_suteren_6" localSheetId="5">#REF!</definedName>
    <definedName name="obvod_suteren_6" localSheetId="0">#REF!</definedName>
    <definedName name="obvod_suteren_6">#REF!</definedName>
    <definedName name="ocel" localSheetId="5">#REF!</definedName>
    <definedName name="ocel" localSheetId="0">#REF!</definedName>
    <definedName name="ocel">#REF!</definedName>
    <definedName name="ocenění_S5" localSheetId="5">#REF!</definedName>
    <definedName name="ocenění_S5" localSheetId="0">#REF!</definedName>
    <definedName name="ocenění_S5">#REF!</definedName>
    <definedName name="ocenění_S5_6" localSheetId="5">#REF!</definedName>
    <definedName name="ocenění_S5_6" localSheetId="0">#REF!</definedName>
    <definedName name="ocenění_S5_6">#REF!</definedName>
    <definedName name="odd1_6" localSheetId="5">#REF!</definedName>
    <definedName name="odd1_6" localSheetId="0">#REF!</definedName>
    <definedName name="odd1_6">#REF!</definedName>
    <definedName name="odd11_6" localSheetId="5">#REF!</definedName>
    <definedName name="odd11_6" localSheetId="0">#REF!</definedName>
    <definedName name="odd11_6">#REF!</definedName>
    <definedName name="odd12_6" localSheetId="5">#REF!</definedName>
    <definedName name="odd12_6" localSheetId="0">#REF!</definedName>
    <definedName name="odd12_6">#REF!</definedName>
    <definedName name="odd13_6" localSheetId="5">#REF!</definedName>
    <definedName name="odd13_6" localSheetId="0">#REF!</definedName>
    <definedName name="odd13_6">#REF!</definedName>
    <definedName name="odd14_6" localSheetId="5">#REF!</definedName>
    <definedName name="odd14_6" localSheetId="0">#REF!</definedName>
    <definedName name="odd14_6">#REF!</definedName>
    <definedName name="odd15_6" localSheetId="5">#REF!</definedName>
    <definedName name="odd15_6" localSheetId="0">#REF!</definedName>
    <definedName name="odd15_6">#REF!</definedName>
    <definedName name="odd16_6" localSheetId="5">#REF!</definedName>
    <definedName name="odd16_6" localSheetId="0">#REF!</definedName>
    <definedName name="odd16_6">#REF!</definedName>
    <definedName name="odd2_6" localSheetId="5">#REF!</definedName>
    <definedName name="odd2_6" localSheetId="0">#REF!</definedName>
    <definedName name="odd2_6">#REF!</definedName>
    <definedName name="odd21_6" localSheetId="5">#REF!</definedName>
    <definedName name="odd21_6" localSheetId="0">#REF!</definedName>
    <definedName name="odd21_6">#REF!</definedName>
    <definedName name="odd22_6" localSheetId="5">#REF!</definedName>
    <definedName name="odd22_6" localSheetId="0">#REF!</definedName>
    <definedName name="odd22_6">#REF!</definedName>
    <definedName name="odd23_6" localSheetId="5">#REF!</definedName>
    <definedName name="odd23_6" localSheetId="0">#REF!</definedName>
    <definedName name="odd23_6">#REF!</definedName>
    <definedName name="odd24_6" localSheetId="5">#REF!</definedName>
    <definedName name="odd24_6" localSheetId="0">#REF!</definedName>
    <definedName name="odd24_6">#REF!</definedName>
    <definedName name="odd25_6" localSheetId="5">#REF!</definedName>
    <definedName name="odd25_6" localSheetId="0">#REF!</definedName>
    <definedName name="odd25_6">#REF!</definedName>
    <definedName name="odd26_6" localSheetId="5">#REF!</definedName>
    <definedName name="odd26_6" localSheetId="0">#REF!</definedName>
    <definedName name="odd26_6">#REF!</definedName>
    <definedName name="odd3_6" localSheetId="5">#REF!</definedName>
    <definedName name="odd3_6" localSheetId="0">#REF!</definedName>
    <definedName name="odd3_6">#REF!</definedName>
    <definedName name="odd31_6" localSheetId="5">#REF!</definedName>
    <definedName name="odd31_6" localSheetId="0">#REF!</definedName>
    <definedName name="odd31_6">#REF!</definedName>
    <definedName name="odd32_6" localSheetId="5">#REF!</definedName>
    <definedName name="odd32_6" localSheetId="0">#REF!</definedName>
    <definedName name="odd32_6">#REF!</definedName>
    <definedName name="odd33_6" localSheetId="5">#REF!</definedName>
    <definedName name="odd33_6" localSheetId="0">#REF!</definedName>
    <definedName name="odd33_6">#REF!</definedName>
    <definedName name="odd34_6" localSheetId="5">#REF!</definedName>
    <definedName name="odd34_6" localSheetId="0">#REF!</definedName>
    <definedName name="odd34_6">#REF!</definedName>
    <definedName name="odd35_6" localSheetId="5">#REF!</definedName>
    <definedName name="odd35_6" localSheetId="0">#REF!</definedName>
    <definedName name="odd35_6">#REF!</definedName>
    <definedName name="odd36_6" localSheetId="5">#REF!</definedName>
    <definedName name="odd36_6" localSheetId="0">#REF!</definedName>
    <definedName name="odd36_6">#REF!</definedName>
    <definedName name="odd37_6" localSheetId="5">#REF!</definedName>
    <definedName name="odd37_6" localSheetId="0">#REF!</definedName>
    <definedName name="odd37_6">#REF!</definedName>
    <definedName name="odd38_6" localSheetId="5">#REF!</definedName>
    <definedName name="odd38_6" localSheetId="0">#REF!</definedName>
    <definedName name="odd38_6">#REF!</definedName>
    <definedName name="odd39_6" localSheetId="5">#REF!</definedName>
    <definedName name="odd39_6" localSheetId="0">#REF!</definedName>
    <definedName name="odd39_6">#REF!</definedName>
    <definedName name="odd4_6" localSheetId="5">#REF!</definedName>
    <definedName name="odd4_6" localSheetId="0">#REF!</definedName>
    <definedName name="odd4_6">#REF!</definedName>
    <definedName name="odd41_6" localSheetId="5">#REF!</definedName>
    <definedName name="odd41_6" localSheetId="0">#REF!</definedName>
    <definedName name="odd41_6">#REF!</definedName>
    <definedName name="odd42_6" localSheetId="5">#REF!</definedName>
    <definedName name="odd42_6" localSheetId="0">#REF!</definedName>
    <definedName name="odd42_6">#REF!</definedName>
    <definedName name="odd43_6" localSheetId="5">#REF!</definedName>
    <definedName name="odd43_6" localSheetId="0">#REF!</definedName>
    <definedName name="odd43_6">#REF!</definedName>
    <definedName name="odd44_6" localSheetId="5">#REF!</definedName>
    <definedName name="odd44_6" localSheetId="0">#REF!</definedName>
    <definedName name="odd44_6">#REF!</definedName>
    <definedName name="odd45_6" localSheetId="5">#REF!</definedName>
    <definedName name="odd45_6" localSheetId="0">#REF!</definedName>
    <definedName name="odd45_6">#REF!</definedName>
    <definedName name="odd46_6" localSheetId="5">#REF!</definedName>
    <definedName name="odd46_6" localSheetId="0">#REF!</definedName>
    <definedName name="odd46_6">#REF!</definedName>
    <definedName name="odd5_6" localSheetId="5">#REF!</definedName>
    <definedName name="odd5_6" localSheetId="0">#REF!</definedName>
    <definedName name="odd5_6">#REF!</definedName>
    <definedName name="odd51_6" localSheetId="5">#REF!</definedName>
    <definedName name="odd51_6" localSheetId="0">#REF!</definedName>
    <definedName name="odd51_6">#REF!</definedName>
    <definedName name="odd52_6" localSheetId="5">#REF!</definedName>
    <definedName name="odd52_6" localSheetId="0">#REF!</definedName>
    <definedName name="odd52_6">#REF!</definedName>
    <definedName name="odd53_6" localSheetId="5">#REF!</definedName>
    <definedName name="odd53_6" localSheetId="0">#REF!</definedName>
    <definedName name="odd53_6">#REF!</definedName>
    <definedName name="odd54_6" localSheetId="5">#REF!</definedName>
    <definedName name="odd54_6" localSheetId="0">#REF!</definedName>
    <definedName name="odd54_6">#REF!</definedName>
    <definedName name="odd55_6" localSheetId="5">#REF!</definedName>
    <definedName name="odd55_6" localSheetId="0">#REF!</definedName>
    <definedName name="odd55_6">#REF!</definedName>
    <definedName name="odd56_6" localSheetId="5">#REF!</definedName>
    <definedName name="odd56_6" localSheetId="0">#REF!</definedName>
    <definedName name="odd56_6">#REF!</definedName>
    <definedName name="odd57_6" localSheetId="5">#REF!</definedName>
    <definedName name="odd57_6" localSheetId="0">#REF!</definedName>
    <definedName name="odd57_6">#REF!</definedName>
    <definedName name="odd58_6" localSheetId="5">#REF!</definedName>
    <definedName name="odd58_6" localSheetId="0">#REF!</definedName>
    <definedName name="odd58_6">#REF!</definedName>
    <definedName name="odd59_6" localSheetId="5">#REF!</definedName>
    <definedName name="odd59_6" localSheetId="0">#REF!</definedName>
    <definedName name="odd59_6">#REF!</definedName>
    <definedName name="odd6_6" localSheetId="5">#REF!</definedName>
    <definedName name="odd6_6" localSheetId="0">#REF!</definedName>
    <definedName name="odd6_6">#REF!</definedName>
    <definedName name="odd61_6" localSheetId="5">#REF!</definedName>
    <definedName name="odd61_6" localSheetId="0">#REF!</definedName>
    <definedName name="odd61_6">#REF!</definedName>
    <definedName name="odd62_6" localSheetId="5">#REF!</definedName>
    <definedName name="odd62_6" localSheetId="0">#REF!</definedName>
    <definedName name="odd62_6">#REF!</definedName>
    <definedName name="odd63_6" localSheetId="5">#REF!</definedName>
    <definedName name="odd63_6" localSheetId="0">#REF!</definedName>
    <definedName name="odd63_6">#REF!</definedName>
    <definedName name="odd64_6" localSheetId="5">#REF!</definedName>
    <definedName name="odd64_6" localSheetId="0">#REF!</definedName>
    <definedName name="odd64_6">#REF!</definedName>
    <definedName name="odd7_6" localSheetId="5">#REF!</definedName>
    <definedName name="odd7_6" localSheetId="0">#REF!</definedName>
    <definedName name="odd7_6">#REF!</definedName>
    <definedName name="odd71_6" localSheetId="5">#REF!</definedName>
    <definedName name="odd71_6" localSheetId="0">#REF!</definedName>
    <definedName name="odd71_6">#REF!</definedName>
    <definedName name="odd711_6" localSheetId="5">#REF!</definedName>
    <definedName name="odd711_6" localSheetId="0">#REF!</definedName>
    <definedName name="odd711_6">#REF!</definedName>
    <definedName name="odd712_6" localSheetId="5">#REF!</definedName>
    <definedName name="odd712_6" localSheetId="0">#REF!</definedName>
    <definedName name="odd712_6">#REF!</definedName>
    <definedName name="odd713_6" localSheetId="5">#REF!</definedName>
    <definedName name="odd713_6" localSheetId="0">#REF!</definedName>
    <definedName name="odd713_6">#REF!</definedName>
    <definedName name="odd714_6" localSheetId="5">#REF!</definedName>
    <definedName name="odd714_6" localSheetId="0">#REF!</definedName>
    <definedName name="odd714_6">#REF!</definedName>
    <definedName name="odd715_6" localSheetId="5">#REF!</definedName>
    <definedName name="odd715_6" localSheetId="0">#REF!</definedName>
    <definedName name="odd715_6">#REF!</definedName>
    <definedName name="odd716_6" localSheetId="5">#REF!</definedName>
    <definedName name="odd716_6" localSheetId="0">#REF!</definedName>
    <definedName name="odd716_6">#REF!</definedName>
    <definedName name="odd717_6" localSheetId="5">#REF!</definedName>
    <definedName name="odd717_6" localSheetId="0">#REF!</definedName>
    <definedName name="odd717_6">#REF!</definedName>
    <definedName name="odd718_6" localSheetId="5">#REF!</definedName>
    <definedName name="odd718_6" localSheetId="0">#REF!</definedName>
    <definedName name="odd718_6">#REF!</definedName>
    <definedName name="odd719_6" localSheetId="5">#REF!</definedName>
    <definedName name="odd719_6" localSheetId="0">#REF!</definedName>
    <definedName name="odd719_6">#REF!</definedName>
    <definedName name="odd72_6" localSheetId="5">#REF!</definedName>
    <definedName name="odd72_6" localSheetId="0">#REF!</definedName>
    <definedName name="odd72_6">#REF!</definedName>
    <definedName name="odd721_6" localSheetId="5">#REF!</definedName>
    <definedName name="odd721_6" localSheetId="0">#REF!</definedName>
    <definedName name="odd721_6">#REF!</definedName>
    <definedName name="odd7210_6" localSheetId="5">#REF!</definedName>
    <definedName name="odd7210_6" localSheetId="0">#REF!</definedName>
    <definedName name="odd7210_6">#REF!</definedName>
    <definedName name="odd722_6" localSheetId="5">#REF!</definedName>
    <definedName name="odd722_6" localSheetId="0">#REF!</definedName>
    <definedName name="odd722_6">#REF!</definedName>
    <definedName name="odd723_6" localSheetId="5">#REF!</definedName>
    <definedName name="odd723_6" localSheetId="0">#REF!</definedName>
    <definedName name="odd723_6">#REF!</definedName>
    <definedName name="odd724_6" localSheetId="5">#REF!</definedName>
    <definedName name="odd724_6" localSheetId="0">#REF!</definedName>
    <definedName name="odd724_6">#REF!</definedName>
    <definedName name="odd725_6" localSheetId="5">#REF!</definedName>
    <definedName name="odd725_6" localSheetId="0">#REF!</definedName>
    <definedName name="odd725_6">#REF!</definedName>
    <definedName name="odd726_6" localSheetId="5">#REF!</definedName>
    <definedName name="odd726_6" localSheetId="0">#REF!</definedName>
    <definedName name="odd726_6">#REF!</definedName>
    <definedName name="odd727_6" localSheetId="5">#REF!</definedName>
    <definedName name="odd727_6" localSheetId="0">#REF!</definedName>
    <definedName name="odd727_6">#REF!</definedName>
    <definedName name="odd728_6" localSheetId="5">#REF!</definedName>
    <definedName name="odd728_6" localSheetId="0">#REF!</definedName>
    <definedName name="odd728_6">#REF!</definedName>
    <definedName name="odd729_6" localSheetId="5">#REF!</definedName>
    <definedName name="odd729_6" localSheetId="0">#REF!</definedName>
    <definedName name="odd729_6">#REF!</definedName>
    <definedName name="odd8_6" localSheetId="5">#REF!</definedName>
    <definedName name="odd8_6" localSheetId="0">#REF!</definedName>
    <definedName name="odd8_6">#REF!</definedName>
    <definedName name="odd81_6" localSheetId="5">#REF!</definedName>
    <definedName name="odd81_6" localSheetId="0">#REF!</definedName>
    <definedName name="odd81_6">#REF!</definedName>
    <definedName name="odd81ELO" localSheetId="5">#REF!</definedName>
    <definedName name="odd81ELO" localSheetId="0">#REF!</definedName>
    <definedName name="odd81ELO">#REF!</definedName>
    <definedName name="odd81ELO_6" localSheetId="5">#REF!</definedName>
    <definedName name="odd81ELO_6" localSheetId="0">#REF!</definedName>
    <definedName name="odd81ELO_6">#REF!</definedName>
    <definedName name="odd82_6" localSheetId="5">#REF!</definedName>
    <definedName name="odd82_6" localSheetId="0">#REF!</definedName>
    <definedName name="odd82_6">#REF!</definedName>
    <definedName name="odd83_6" localSheetId="5">#REF!</definedName>
    <definedName name="odd83_6" localSheetId="0">#REF!</definedName>
    <definedName name="odd83_6">#REF!</definedName>
    <definedName name="odd84_6" localSheetId="5">#REF!</definedName>
    <definedName name="odd84_6" localSheetId="0">#REF!</definedName>
    <definedName name="odd84_6">#REF!</definedName>
    <definedName name="odd85_6" localSheetId="5">#REF!</definedName>
    <definedName name="odd85_6" localSheetId="0">#REF!</definedName>
    <definedName name="odd85_6">#REF!</definedName>
    <definedName name="odd86_6" localSheetId="5">#REF!</definedName>
    <definedName name="odd86_6" localSheetId="0">#REF!</definedName>
    <definedName name="odd86_6">#REF!</definedName>
    <definedName name="odd87_6" localSheetId="5">#REF!</definedName>
    <definedName name="odd87_6" localSheetId="0">#REF!</definedName>
    <definedName name="odd87_6">#REF!</definedName>
    <definedName name="odd88_6" localSheetId="5">#REF!</definedName>
    <definedName name="odd88_6" localSheetId="0">#REF!</definedName>
    <definedName name="odd88_6">#REF!</definedName>
    <definedName name="odd89_6" localSheetId="5">#REF!</definedName>
    <definedName name="odd89_6" localSheetId="0">#REF!</definedName>
    <definedName name="odd89_6">#REF!</definedName>
    <definedName name="odd9_6" localSheetId="5">#REF!</definedName>
    <definedName name="odd9_6" localSheetId="0">#REF!</definedName>
    <definedName name="odd9_6">#REF!</definedName>
    <definedName name="odic" localSheetId="5">#REF!</definedName>
    <definedName name="odic" localSheetId="0">#REF!</definedName>
    <definedName name="odic">#REF!</definedName>
    <definedName name="odvodnění_S1" localSheetId="5">#REF!</definedName>
    <definedName name="odvodnění_S1" localSheetId="0">#REF!</definedName>
    <definedName name="odvodnění_S1">#REF!</definedName>
    <definedName name="odvodnění_S1_6" localSheetId="5">#REF!</definedName>
    <definedName name="odvodnění_S1_6" localSheetId="0">#REF!</definedName>
    <definedName name="odvodnění_S1_6">#REF!</definedName>
    <definedName name="odvoz" localSheetId="5">#REF!</definedName>
    <definedName name="odvoz" localSheetId="0">#REF!</definedName>
    <definedName name="odvoz">#REF!</definedName>
    <definedName name="oico" localSheetId="5">#REF!</definedName>
    <definedName name="oico" localSheetId="0">#REF!</definedName>
    <definedName name="oico">#REF!</definedName>
    <definedName name="okno_kování_replika" localSheetId="5">#REF!</definedName>
    <definedName name="okno_kování_replika" localSheetId="0">#REF!</definedName>
    <definedName name="okno_kování_replika">#REF!</definedName>
    <definedName name="okno_replika" localSheetId="5">#REF!</definedName>
    <definedName name="okno_replika" localSheetId="0">#REF!</definedName>
    <definedName name="okno_replika">#REF!</definedName>
    <definedName name="omisto" localSheetId="5">#REF!</definedName>
    <definedName name="omisto" localSheetId="0">#REF!</definedName>
    <definedName name="omisto">#REF!</definedName>
    <definedName name="omítka_keraštuk" localSheetId="5">#REF!</definedName>
    <definedName name="omítka_keraštuk" localSheetId="0">#REF!</definedName>
    <definedName name="omítka_keraštuk">#REF!</definedName>
    <definedName name="omítka_keraštuk_6" localSheetId="5">#REF!</definedName>
    <definedName name="omítka_keraštuk_6" localSheetId="0">#REF!</definedName>
    <definedName name="omítka_keraštuk_6">#REF!</definedName>
    <definedName name="onazev" localSheetId="5">#REF!</definedName>
    <definedName name="onazev" localSheetId="0">#REF!</definedName>
    <definedName name="onazev">#REF!</definedName>
    <definedName name="opsc" localSheetId="5">#REF!</definedName>
    <definedName name="opsc" localSheetId="0">#REF!</definedName>
    <definedName name="opsc">#REF!</definedName>
    <definedName name="p" localSheetId="5">#REF!</definedName>
    <definedName name="p" localSheetId="0">#REF!</definedName>
    <definedName name="p">#REF!</definedName>
    <definedName name="pata" localSheetId="5">#REF!</definedName>
    <definedName name="pata" localSheetId="0">#REF!</definedName>
    <definedName name="pata">#REF!</definedName>
    <definedName name="plocha_A1" localSheetId="5">#REF!</definedName>
    <definedName name="plocha_A1" localSheetId="0">#REF!</definedName>
    <definedName name="plocha_A1">#REF!</definedName>
    <definedName name="plocha_A1_6" localSheetId="5">#REF!</definedName>
    <definedName name="plocha_A1_6" localSheetId="0">#REF!</definedName>
    <definedName name="plocha_A1_6">#REF!</definedName>
    <definedName name="plocha_A2" localSheetId="5">#REF!</definedName>
    <definedName name="plocha_A2" localSheetId="0">#REF!</definedName>
    <definedName name="plocha_A2">#REF!</definedName>
    <definedName name="plocha_A2_6" localSheetId="5">#REF!</definedName>
    <definedName name="plocha_A2_6" localSheetId="0">#REF!</definedName>
    <definedName name="plocha_A2_6">#REF!</definedName>
    <definedName name="plocha_A3" localSheetId="5">#REF!</definedName>
    <definedName name="plocha_A3" localSheetId="0">#REF!</definedName>
    <definedName name="plocha_A3">#REF!</definedName>
    <definedName name="plocha_A3_6" localSheetId="5">#REF!</definedName>
    <definedName name="plocha_A3_6" localSheetId="0">#REF!</definedName>
    <definedName name="plocha_A3_6">#REF!</definedName>
    <definedName name="plocha_hliník" localSheetId="5">#REF!</definedName>
    <definedName name="plocha_hliník" localSheetId="0">#REF!</definedName>
    <definedName name="plocha_hliník">#REF!</definedName>
    <definedName name="plocha_hliník_6" localSheetId="5">#REF!</definedName>
    <definedName name="plocha_hliník_6" localSheetId="0">#REF!</definedName>
    <definedName name="plocha_hliník_6">#REF!</definedName>
    <definedName name="plocha_oken_1.np" localSheetId="5">#REF!</definedName>
    <definedName name="plocha_oken_1.np" localSheetId="0">#REF!</definedName>
    <definedName name="plocha_oken_1.np">#REF!</definedName>
    <definedName name="plocha_oken_1.np_6" localSheetId="5">#REF!</definedName>
    <definedName name="plocha_oken_1.np_6" localSheetId="0">#REF!</definedName>
    <definedName name="plocha_oken_1.np_6">#REF!</definedName>
    <definedName name="plocha_oken_suterén" localSheetId="5">#REF!</definedName>
    <definedName name="plocha_oken_suterén" localSheetId="0">#REF!</definedName>
    <definedName name="plocha_oken_suterén">#REF!</definedName>
    <definedName name="plocha_oken_suterén_6" localSheetId="5">#REF!</definedName>
    <definedName name="plocha_oken_suterén_6" localSheetId="0">#REF!</definedName>
    <definedName name="plocha_oken_suterén_6">#REF!</definedName>
    <definedName name="plocha_oken_typické" localSheetId="5">#REF!</definedName>
    <definedName name="plocha_oken_typické" localSheetId="0">#REF!</definedName>
    <definedName name="plocha_oken_typické">#REF!</definedName>
    <definedName name="plocha_oken_typické_6" localSheetId="5">#REF!</definedName>
    <definedName name="plocha_oken_typické_6" localSheetId="0">#REF!</definedName>
    <definedName name="plocha_oken_typické_6">#REF!</definedName>
    <definedName name="plocha_oken_ustupující" localSheetId="5">#REF!</definedName>
    <definedName name="plocha_oken_ustupující" localSheetId="0">#REF!</definedName>
    <definedName name="plocha_oken_ustupující">#REF!</definedName>
    <definedName name="plocha_oken_ustupující_6" localSheetId="5">#REF!</definedName>
    <definedName name="plocha_oken_ustupující_6" localSheetId="0">#REF!</definedName>
    <definedName name="plocha_oken_ustupující_6">#REF!</definedName>
    <definedName name="PM" localSheetId="1">#REF!</definedName>
    <definedName name="PM" localSheetId="3">#REF!</definedName>
    <definedName name="PM" localSheetId="2">#REF!</definedName>
    <definedName name="PM" localSheetId="12">#REF!</definedName>
    <definedName name="PM" localSheetId="14">#REF!</definedName>
    <definedName name="PM" localSheetId="13">#REF!</definedName>
    <definedName name="PM" localSheetId="5">#REF!</definedName>
    <definedName name="PM" localSheetId="0">#REF!</definedName>
    <definedName name="PM">#REF!</definedName>
    <definedName name="Pocet_Integral" localSheetId="1">#REF!,#REF!</definedName>
    <definedName name="Pocet_Integral" localSheetId="3">#REF!,#REF!</definedName>
    <definedName name="Pocet_Integral" localSheetId="2">#REF!,#REF!</definedName>
    <definedName name="Pocet_Integral" localSheetId="12">#REF!,#REF!</definedName>
    <definedName name="Pocet_Integral" localSheetId="14">#REF!,#REF!</definedName>
    <definedName name="Pocet_Integral" localSheetId="13">#REF!,#REF!</definedName>
    <definedName name="Pocet_Integral" localSheetId="5">#REF!,#REF!</definedName>
    <definedName name="Pocet_Integral" localSheetId="0">#REF!,#REF!</definedName>
    <definedName name="Pocet_Integral">#REF!,#REF!</definedName>
    <definedName name="PocetMJ" localSheetId="1">#REF!</definedName>
    <definedName name="PocetMJ" localSheetId="3">#REF!</definedName>
    <definedName name="PocetMJ" localSheetId="2">#REF!</definedName>
    <definedName name="PocetMJ" localSheetId="6">'2-Krycí list'!$G$7</definedName>
    <definedName name="PocetMJ" localSheetId="8">'2-Krycí list'!$G$7</definedName>
    <definedName name="PocetMJ" localSheetId="7">'2-Krycí list'!$G$7</definedName>
    <definedName name="PocetMJ" localSheetId="9">'3-Krycí list'!$G$7</definedName>
    <definedName name="PocetMJ" localSheetId="11">'3-Krycí list'!$G$7</definedName>
    <definedName name="PocetMJ" localSheetId="10">'3-Krycí list'!$G$7</definedName>
    <definedName name="PocetMJ" localSheetId="12">#REF!</definedName>
    <definedName name="PocetMJ" localSheetId="14">#REF!</definedName>
    <definedName name="PocetMJ" localSheetId="13">#REF!</definedName>
    <definedName name="PocetMJ" localSheetId="5">#REF!</definedName>
    <definedName name="PocetMJ" localSheetId="0">#REF!</definedName>
    <definedName name="PocetMJ" localSheetId="4">#REF!</definedName>
    <definedName name="PocetMJ">#REF!</definedName>
    <definedName name="PocetMJ_6" localSheetId="1">#REF!</definedName>
    <definedName name="PocetMJ_6" localSheetId="3">#REF!</definedName>
    <definedName name="PocetMJ_6" localSheetId="2">#REF!</definedName>
    <definedName name="PocetMJ_6" localSheetId="12">#REF!</definedName>
    <definedName name="PocetMJ_6" localSheetId="14">#REF!</definedName>
    <definedName name="PocetMJ_6" localSheetId="13">#REF!</definedName>
    <definedName name="PocetMJ_6" localSheetId="5">#REF!</definedName>
    <definedName name="PocetMJ_6" localSheetId="0">#REF!</definedName>
    <definedName name="PocetMJ_6">#REF!</definedName>
    <definedName name="podlaha1" localSheetId="1">#REF!</definedName>
    <definedName name="podlaha1" localSheetId="3">#REF!</definedName>
    <definedName name="podlaha1" localSheetId="2">#REF!</definedName>
    <definedName name="podlaha1" localSheetId="12">#REF!</definedName>
    <definedName name="podlaha1" localSheetId="14">#REF!</definedName>
    <definedName name="podlaha1" localSheetId="13">#REF!</definedName>
    <definedName name="podlaha1" localSheetId="5">#REF!</definedName>
    <definedName name="podlaha1" localSheetId="0">#REF!</definedName>
    <definedName name="podlaha1">#REF!</definedName>
    <definedName name="podlaha1_6" localSheetId="5">#REF!</definedName>
    <definedName name="podlaha1_6" localSheetId="0">#REF!</definedName>
    <definedName name="podlaha1_6">#REF!</definedName>
    <definedName name="podlaha10" localSheetId="5">#REF!</definedName>
    <definedName name="podlaha10" localSheetId="0">#REF!</definedName>
    <definedName name="podlaha10">#REF!</definedName>
    <definedName name="podlaha10_6" localSheetId="5">#REF!</definedName>
    <definedName name="podlaha10_6" localSheetId="0">#REF!</definedName>
    <definedName name="podlaha10_6">#REF!</definedName>
    <definedName name="podlaha11" localSheetId="5">#REF!</definedName>
    <definedName name="podlaha11" localSheetId="0">#REF!</definedName>
    <definedName name="podlaha11">#REF!</definedName>
    <definedName name="podlaha11_6" localSheetId="5">#REF!</definedName>
    <definedName name="podlaha11_6" localSheetId="0">#REF!</definedName>
    <definedName name="podlaha11_6">#REF!</definedName>
    <definedName name="podlaha12" localSheetId="5">#REF!</definedName>
    <definedName name="podlaha12" localSheetId="0">#REF!</definedName>
    <definedName name="podlaha12">#REF!</definedName>
    <definedName name="podlaha12_6" localSheetId="5">#REF!</definedName>
    <definedName name="podlaha12_6" localSheetId="0">#REF!</definedName>
    <definedName name="podlaha12_6">#REF!</definedName>
    <definedName name="podlaha13" localSheetId="5">#REF!</definedName>
    <definedName name="podlaha13" localSheetId="0">#REF!</definedName>
    <definedName name="podlaha13">#REF!</definedName>
    <definedName name="podlaha13_6" localSheetId="5">#REF!</definedName>
    <definedName name="podlaha13_6" localSheetId="0">#REF!</definedName>
    <definedName name="podlaha13_6">#REF!</definedName>
    <definedName name="podlaha14" localSheetId="5">#REF!</definedName>
    <definedName name="podlaha14" localSheetId="0">#REF!</definedName>
    <definedName name="podlaha14">#REF!</definedName>
    <definedName name="podlaha14_6" localSheetId="5">#REF!</definedName>
    <definedName name="podlaha14_6" localSheetId="0">#REF!</definedName>
    <definedName name="podlaha14_6">#REF!</definedName>
    <definedName name="podlaha2" localSheetId="5">#REF!</definedName>
    <definedName name="podlaha2" localSheetId="0">#REF!</definedName>
    <definedName name="podlaha2">#REF!</definedName>
    <definedName name="podlaha2_6" localSheetId="5">#REF!</definedName>
    <definedName name="podlaha2_6" localSheetId="0">#REF!</definedName>
    <definedName name="podlaha2_6">#REF!</definedName>
    <definedName name="podlaha3" localSheetId="5">#REF!</definedName>
    <definedName name="podlaha3" localSheetId="0">#REF!</definedName>
    <definedName name="podlaha3">#REF!</definedName>
    <definedName name="podlaha3_6" localSheetId="5">#REF!</definedName>
    <definedName name="podlaha3_6" localSheetId="0">#REF!</definedName>
    <definedName name="podlaha3_6">#REF!</definedName>
    <definedName name="podlaha4" localSheetId="5">#REF!</definedName>
    <definedName name="podlaha4" localSheetId="0">#REF!</definedName>
    <definedName name="podlaha4">#REF!</definedName>
    <definedName name="podlaha4_6" localSheetId="5">#REF!</definedName>
    <definedName name="podlaha4_6" localSheetId="0">#REF!</definedName>
    <definedName name="podlaha4_6">#REF!</definedName>
    <definedName name="podlaha4a" localSheetId="5">#REF!</definedName>
    <definedName name="podlaha4a" localSheetId="0">#REF!</definedName>
    <definedName name="podlaha4a">#REF!</definedName>
    <definedName name="podlaha4a_6" localSheetId="5">#REF!</definedName>
    <definedName name="podlaha4a_6" localSheetId="0">#REF!</definedName>
    <definedName name="podlaha4a_6">#REF!</definedName>
    <definedName name="podlaha5" localSheetId="5">#REF!</definedName>
    <definedName name="podlaha5" localSheetId="0">#REF!</definedName>
    <definedName name="podlaha5">#REF!</definedName>
    <definedName name="podlaha5_6" localSheetId="5">#REF!</definedName>
    <definedName name="podlaha5_6" localSheetId="0">#REF!</definedName>
    <definedName name="podlaha5_6">#REF!</definedName>
    <definedName name="podlaha6" localSheetId="5">#REF!</definedName>
    <definedName name="podlaha6" localSheetId="0">#REF!</definedName>
    <definedName name="podlaha6">#REF!</definedName>
    <definedName name="podlaha6_6" localSheetId="5">#REF!</definedName>
    <definedName name="podlaha6_6" localSheetId="0">#REF!</definedName>
    <definedName name="podlaha6_6">#REF!</definedName>
    <definedName name="podlaha7" localSheetId="5">#REF!</definedName>
    <definedName name="podlaha7" localSheetId="0">#REF!</definedName>
    <definedName name="podlaha7">#REF!</definedName>
    <definedName name="podlaha7_6" localSheetId="5">#REF!</definedName>
    <definedName name="podlaha7_6" localSheetId="0">#REF!</definedName>
    <definedName name="podlaha7_6">#REF!</definedName>
    <definedName name="podlaha8" localSheetId="5">#REF!</definedName>
    <definedName name="podlaha8" localSheetId="0">#REF!</definedName>
    <definedName name="podlaha8">#REF!</definedName>
    <definedName name="podlaha8_6" localSheetId="5">#REF!</definedName>
    <definedName name="podlaha8_6" localSheetId="0">#REF!</definedName>
    <definedName name="podlaha8_6">#REF!</definedName>
    <definedName name="podlaha9" localSheetId="5">#REF!</definedName>
    <definedName name="podlaha9" localSheetId="0">#REF!</definedName>
    <definedName name="podlaha9">#REF!</definedName>
    <definedName name="podlaha9_6" localSheetId="5">#REF!</definedName>
    <definedName name="podlaha9_6" localSheetId="0">#REF!</definedName>
    <definedName name="podlaha9_6">#REF!</definedName>
    <definedName name="podlahaS01a" localSheetId="5">#REF!</definedName>
    <definedName name="podlahaS01a" localSheetId="0">#REF!</definedName>
    <definedName name="podlahaS01a">#REF!</definedName>
    <definedName name="podlahaS01a_6" localSheetId="5">#REF!</definedName>
    <definedName name="podlahaS01a_6" localSheetId="0">#REF!</definedName>
    <definedName name="podlahaS01a_6">#REF!</definedName>
    <definedName name="podlahaS01b" localSheetId="5">#REF!</definedName>
    <definedName name="podlahaS01b" localSheetId="0">#REF!</definedName>
    <definedName name="podlahaS01b">#REF!</definedName>
    <definedName name="podlahaS01b_6" localSheetId="5">#REF!</definedName>
    <definedName name="podlahaS01b_6" localSheetId="0">#REF!</definedName>
    <definedName name="podlahaS01b_6">#REF!</definedName>
    <definedName name="podlahaS02" localSheetId="5">#REF!</definedName>
    <definedName name="podlahaS02" localSheetId="0">#REF!</definedName>
    <definedName name="podlahaS02">#REF!</definedName>
    <definedName name="podlahaS02_6" localSheetId="5">#REF!</definedName>
    <definedName name="podlahaS02_6" localSheetId="0">#REF!</definedName>
    <definedName name="podlahaS02_6">#REF!</definedName>
    <definedName name="podlahaS03a" localSheetId="5">#REF!</definedName>
    <definedName name="podlahaS03a" localSheetId="0">#REF!</definedName>
    <definedName name="podlahaS03a">#REF!</definedName>
    <definedName name="podlahaS03a_6" localSheetId="5">#REF!</definedName>
    <definedName name="podlahaS03a_6" localSheetId="0">#REF!</definedName>
    <definedName name="podlahaS03a_6">#REF!</definedName>
    <definedName name="podlahaS03b" localSheetId="5">#REF!</definedName>
    <definedName name="podlahaS03b" localSheetId="0">#REF!</definedName>
    <definedName name="podlahaS03b">#REF!</definedName>
    <definedName name="podlahaS03b_6" localSheetId="5">#REF!</definedName>
    <definedName name="podlahaS03b_6" localSheetId="0">#REF!</definedName>
    <definedName name="podlahaS03b_6">#REF!</definedName>
    <definedName name="pojistné" localSheetId="5">#REF!</definedName>
    <definedName name="pojistné" localSheetId="0">#REF!</definedName>
    <definedName name="pojistné">#REF!</definedName>
    <definedName name="polbezcen1" localSheetId="5">#REF!</definedName>
    <definedName name="polbezcen1" localSheetId="0">#REF!</definedName>
    <definedName name="polbezcen1">#REF!</definedName>
    <definedName name="polcen2" localSheetId="5">#REF!</definedName>
    <definedName name="polcen2" localSheetId="0">#REF!</definedName>
    <definedName name="polcen2">#REF!</definedName>
    <definedName name="polcen3" localSheetId="5">#REF!</definedName>
    <definedName name="polcen3" localSheetId="0">#REF!</definedName>
    <definedName name="polcen3">#REF!</definedName>
    <definedName name="poslední" localSheetId="5">#REF!</definedName>
    <definedName name="poslední" localSheetId="0">#REF!</definedName>
    <definedName name="poslední">#REF!</definedName>
    <definedName name="poslední_1" localSheetId="5">#REF!</definedName>
    <definedName name="poslední_1" localSheetId="0">#REF!</definedName>
    <definedName name="poslední_1">#REF!</definedName>
    <definedName name="poslední_6" localSheetId="5">#REF!</definedName>
    <definedName name="poslední_6" localSheetId="0">#REF!</definedName>
    <definedName name="poslední_6">#REF!</definedName>
    <definedName name="Poznamka" localSheetId="6">'2-Krycí list'!$B$37</definedName>
    <definedName name="Poznamka" localSheetId="8">'2-Krycí list'!$B$37</definedName>
    <definedName name="Poznamka" localSheetId="7">'2-Krycí list'!$B$37</definedName>
    <definedName name="Poznamka" localSheetId="9">'3-Krycí list'!$B$37</definedName>
    <definedName name="Poznamka" localSheetId="11">'3-Krycí list'!$B$37</definedName>
    <definedName name="Poznamka" localSheetId="10">'3-Krycí list'!$B$37</definedName>
    <definedName name="Poznamka" localSheetId="12">#REF!</definedName>
    <definedName name="Poznamka" localSheetId="14">#REF!</definedName>
    <definedName name="Poznamka" localSheetId="13">#REF!</definedName>
    <definedName name="Poznamka" localSheetId="5">#REF!</definedName>
    <definedName name="Poznamka" localSheetId="0">#REF!</definedName>
    <definedName name="Poznamka">#REF!</definedName>
    <definedName name="Poznamka_6" localSheetId="5">#REF!</definedName>
    <definedName name="Poznamka_6" localSheetId="0">#REF!</definedName>
    <definedName name="Poznamka_6">#REF!</definedName>
    <definedName name="prdel" localSheetId="5">#REF!</definedName>
    <definedName name="prdel" localSheetId="0">#REF!</definedName>
    <definedName name="prdel">#REF!</definedName>
    <definedName name="Print_Area">"$#REF!.$A$1:$#REF!.$E$205"</definedName>
    <definedName name="Print_Area___0">"$Rozpočet.$A$1:$#REF!.$E$623"</definedName>
    <definedName name="Print_Area___0_1">0</definedName>
    <definedName name="Print_Area___0_10">0</definedName>
    <definedName name="Print_Area___0_11">0</definedName>
    <definedName name="Print_Area___0_12">0</definedName>
    <definedName name="Print_Area___0_13">0</definedName>
    <definedName name="Print_Area___0_14">0</definedName>
    <definedName name="Print_Area___0_15">0</definedName>
    <definedName name="Print_Area___0_16">0</definedName>
    <definedName name="Print_Area___0_17">0</definedName>
    <definedName name="Print_Area___0_18">0</definedName>
    <definedName name="Print_Area___0_19">0</definedName>
    <definedName name="Print_Area___0_2">0</definedName>
    <definedName name="Print_Area___0_20">0</definedName>
    <definedName name="Print_Area___0_21">0</definedName>
    <definedName name="Print_Area___0_22">0</definedName>
    <definedName name="Print_Area___0_23">0</definedName>
    <definedName name="Print_Area___0_3">0</definedName>
    <definedName name="Print_Area___0_4">0</definedName>
    <definedName name="Print_Area___0_5">0</definedName>
    <definedName name="Print_Area___0_6">0</definedName>
    <definedName name="Print_Area___0_7">0</definedName>
    <definedName name="Print_Area___0_8">0</definedName>
    <definedName name="Print_Area___0_9">0</definedName>
    <definedName name="Print_Titles">"$#REF!.$#REF!$#REF!:$#REF!.$#REF!$#REF!"</definedName>
    <definedName name="Print_Titles___0">"$#REF!.$#REF!$#REF!:$#REF!.$#REF!$#REF!"</definedName>
    <definedName name="Print_Titles___0_1">0</definedName>
    <definedName name="Print_Titles___0_2">0</definedName>
    <definedName name="Print_Titles___0_3">0</definedName>
    <definedName name="Print_Titles___0_4">0</definedName>
    <definedName name="PROFESNI_DIL" localSheetId="1">#REF!</definedName>
    <definedName name="PROFESNI_DIL" localSheetId="3">#REF!</definedName>
    <definedName name="PROFESNI_DIL" localSheetId="2">#REF!</definedName>
    <definedName name="PROFESNI_DIL" localSheetId="12">#REF!</definedName>
    <definedName name="PROFESNI_DIL" localSheetId="14">#REF!</definedName>
    <definedName name="PROFESNI_DIL" localSheetId="13">#REF!</definedName>
    <definedName name="PROFESNI_DIL" localSheetId="5">#REF!</definedName>
    <definedName name="PROFESNI_DIL" localSheetId="0">#REF!</definedName>
    <definedName name="PROFESNI_DIL">#REF!</definedName>
    <definedName name="Projektant" localSheetId="1">#REF!</definedName>
    <definedName name="Projektant" localSheetId="3">#REF!</definedName>
    <definedName name="Projektant" localSheetId="2">#REF!</definedName>
    <definedName name="Projektant" localSheetId="6">'2-Krycí list'!$C$7</definedName>
    <definedName name="Projektant" localSheetId="8">'2-Krycí list'!$C$7</definedName>
    <definedName name="Projektant" localSheetId="7">'2-Krycí list'!$C$7</definedName>
    <definedName name="Projektant" localSheetId="9">'3-Krycí list'!$C$7</definedName>
    <definedName name="Projektant" localSheetId="11">'3-Krycí list'!$C$7</definedName>
    <definedName name="Projektant" localSheetId="10">'3-Krycí list'!$C$7</definedName>
    <definedName name="Projektant" localSheetId="12">#REF!</definedName>
    <definedName name="Projektant" localSheetId="14">#REF!</definedName>
    <definedName name="Projektant" localSheetId="13">#REF!</definedName>
    <definedName name="Projektant" localSheetId="5">#REF!</definedName>
    <definedName name="Projektant" localSheetId="0">#REF!</definedName>
    <definedName name="Projektant">#REF!</definedName>
    <definedName name="Projektant_6" localSheetId="5">#REF!</definedName>
    <definedName name="Projektant_6" localSheetId="0">#REF!</definedName>
    <definedName name="Projektant_6">#REF!</definedName>
    <definedName name="Přehled" localSheetId="5">#REF!</definedName>
    <definedName name="Přehled" localSheetId="0">#REF!</definedName>
    <definedName name="Přehled">#REF!</definedName>
    <definedName name="Přehled_1" localSheetId="5">#REF!</definedName>
    <definedName name="Přehled_1" localSheetId="0">#REF!</definedName>
    <definedName name="Přehled_1">#REF!</definedName>
    <definedName name="přesčasy" localSheetId="5">#REF!</definedName>
    <definedName name="přesčasy" localSheetId="0">#REF!</definedName>
    <definedName name="přesčasy">#REF!</definedName>
    <definedName name="PSV" localSheetId="6">'2-Rekapitulace'!$F$13</definedName>
    <definedName name="PSV" localSheetId="8">'2-Rekapitulace'!$F$13</definedName>
    <definedName name="PSV" localSheetId="7">'2-Rekapitulace'!$F$13</definedName>
    <definedName name="PSV" localSheetId="9">'3-Rekapitulace'!$F$11</definedName>
    <definedName name="PSV" localSheetId="11">'3-Rekapitulace'!$F$11</definedName>
    <definedName name="PSV" localSheetId="10">'3-Rekapitulace'!$F$11</definedName>
    <definedName name="PSV" localSheetId="12">#REF!</definedName>
    <definedName name="PSV" localSheetId="14">#REF!</definedName>
    <definedName name="PSV" localSheetId="13">#REF!</definedName>
    <definedName name="PSV" localSheetId="5">#REF!</definedName>
    <definedName name="PSV" localSheetId="0">#REF!</definedName>
    <definedName name="PSV" localSheetId="4">ZTI!$G$11</definedName>
    <definedName name="PSV">#REF!</definedName>
    <definedName name="PSV_" localSheetId="1">#REF!</definedName>
    <definedName name="PSV_" localSheetId="3">#REF!</definedName>
    <definedName name="PSV_" localSheetId="2">#REF!</definedName>
    <definedName name="PSV_" localSheetId="12">#REF!</definedName>
    <definedName name="PSV_" localSheetId="14">#REF!</definedName>
    <definedName name="PSV_" localSheetId="13">#REF!</definedName>
    <definedName name="PSV_" localSheetId="5">#REF!</definedName>
    <definedName name="PSV_" localSheetId="0">#REF!</definedName>
    <definedName name="PSV_">#REF!</definedName>
    <definedName name="PSV_6" localSheetId="1">#REF!</definedName>
    <definedName name="PSV_6" localSheetId="3">#REF!</definedName>
    <definedName name="PSV_6" localSheetId="2">#REF!</definedName>
    <definedName name="PSV_6" localSheetId="12">#REF!</definedName>
    <definedName name="PSV_6" localSheetId="14">#REF!</definedName>
    <definedName name="PSV_6" localSheetId="13">#REF!</definedName>
    <definedName name="PSV_6" localSheetId="5">#REF!</definedName>
    <definedName name="PSV_6" localSheetId="0">#REF!</definedName>
    <definedName name="PSV_6">#REF!</definedName>
    <definedName name="PSV0" localSheetId="1">#REF!</definedName>
    <definedName name="PSV0" localSheetId="3">#REF!</definedName>
    <definedName name="PSV0" localSheetId="2">#REF!</definedName>
    <definedName name="PSV0" localSheetId="6">'2-Položky'!#REF!</definedName>
    <definedName name="PSV0" localSheetId="8">'2-Položky'!#REF!</definedName>
    <definedName name="PSV0" localSheetId="7">'2-Položky'!#REF!</definedName>
    <definedName name="PSV0" localSheetId="9">'3-Položky'!#REF!</definedName>
    <definedName name="PSV0" localSheetId="11">'3-Položky'!#REF!</definedName>
    <definedName name="PSV0" localSheetId="10">'3-Položky'!#REF!</definedName>
    <definedName name="PSV0" localSheetId="12">#REF!</definedName>
    <definedName name="PSV0" localSheetId="14">#REF!</definedName>
    <definedName name="PSV0" localSheetId="13">#REF!</definedName>
    <definedName name="PSV0" localSheetId="5">#REF!</definedName>
    <definedName name="PSV0" localSheetId="0">#REF!</definedName>
    <definedName name="PSV0" localSheetId="4">ZTI!#REF!</definedName>
    <definedName name="PSV0">#REF!</definedName>
    <definedName name="PSV0_6" localSheetId="1">#REF!</definedName>
    <definedName name="PSV0_6" localSheetId="3">#REF!</definedName>
    <definedName name="PSV0_6" localSheetId="2">#REF!</definedName>
    <definedName name="PSV0_6" localSheetId="12">#REF!</definedName>
    <definedName name="PSV0_6" localSheetId="14">#REF!</definedName>
    <definedName name="PSV0_6" localSheetId="13">#REF!</definedName>
    <definedName name="PSV0_6" localSheetId="5">#REF!</definedName>
    <definedName name="PSV0_6" localSheetId="0">#REF!</definedName>
    <definedName name="PSV0_6">#REF!</definedName>
    <definedName name="pulina" localSheetId="1">#REF!</definedName>
    <definedName name="pulina" localSheetId="3">#REF!</definedName>
    <definedName name="pulina" localSheetId="2">#REF!</definedName>
    <definedName name="pulina" localSheetId="12">#REF!</definedName>
    <definedName name="pulina" localSheetId="14">#REF!</definedName>
    <definedName name="pulina" localSheetId="13">#REF!</definedName>
    <definedName name="pulina" localSheetId="5">#REF!</definedName>
    <definedName name="pulina" localSheetId="0">#REF!</definedName>
    <definedName name="pulina">#REF!</definedName>
    <definedName name="pulina_6" localSheetId="5">#REF!</definedName>
    <definedName name="pulina_6" localSheetId="0">#REF!</definedName>
    <definedName name="pulina_6">#REF!</definedName>
    <definedName name="Rabat_1" localSheetId="12">#REF!</definedName>
    <definedName name="Rabat_1" localSheetId="14">#REF!</definedName>
    <definedName name="Rabat_1" localSheetId="13">#REF!</definedName>
    <definedName name="Rabat_1" localSheetId="5">#REF!</definedName>
    <definedName name="Rabat_1" localSheetId="0">#REF!</definedName>
    <definedName name="Rabat_1">#REF!</definedName>
    <definedName name="rám" localSheetId="1">#REF!</definedName>
    <definedName name="rám" localSheetId="3">#REF!</definedName>
    <definedName name="rám" localSheetId="2">#REF!</definedName>
    <definedName name="rám" localSheetId="12">#REF!</definedName>
    <definedName name="rám" localSheetId="14">#REF!</definedName>
    <definedName name="rám" localSheetId="13">#REF!</definedName>
    <definedName name="rám" localSheetId="5">#REF!</definedName>
    <definedName name="rám" localSheetId="0">#REF!</definedName>
    <definedName name="rám">#REF!</definedName>
    <definedName name="rám_connex" localSheetId="1">#REF!</definedName>
    <definedName name="rám_connex" localSheetId="3">#REF!</definedName>
    <definedName name="rám_connex" localSheetId="2">#REF!</definedName>
    <definedName name="rám_connex" localSheetId="12">#REF!</definedName>
    <definedName name="rám_connex" localSheetId="14">#REF!</definedName>
    <definedName name="rám_connex" localSheetId="13">#REF!</definedName>
    <definedName name="rám_connex" localSheetId="5">#REF!</definedName>
    <definedName name="rám_connex" localSheetId="0">#REF!</definedName>
    <definedName name="rám_connex">#REF!</definedName>
    <definedName name="rek1_6" localSheetId="1">#REF!</definedName>
    <definedName name="rek1_6" localSheetId="3">#REF!</definedName>
    <definedName name="rek1_6" localSheetId="2">#REF!</definedName>
    <definedName name="rek1_6" localSheetId="12">#REF!</definedName>
    <definedName name="rek1_6" localSheetId="14">#REF!</definedName>
    <definedName name="rek1_6" localSheetId="13">#REF!</definedName>
    <definedName name="rek1_6" localSheetId="5">#REF!</definedName>
    <definedName name="rek1_6" localSheetId="0">#REF!</definedName>
    <definedName name="rek1_6">#REF!</definedName>
    <definedName name="rek11_6" localSheetId="5">#REF!</definedName>
    <definedName name="rek11_6" localSheetId="0">#REF!</definedName>
    <definedName name="rek11_6">#REF!</definedName>
    <definedName name="rek12_6" localSheetId="5">#REF!</definedName>
    <definedName name="rek12_6" localSheetId="0">#REF!</definedName>
    <definedName name="rek12_6">#REF!</definedName>
    <definedName name="rek13_6" localSheetId="5">#REF!</definedName>
    <definedName name="rek13_6" localSheetId="0">#REF!</definedName>
    <definedName name="rek13_6">#REF!</definedName>
    <definedName name="rek14_6" localSheetId="5">#REF!</definedName>
    <definedName name="rek14_6" localSheetId="0">#REF!</definedName>
    <definedName name="rek14_6">#REF!</definedName>
    <definedName name="rek15_6" localSheetId="5">#REF!</definedName>
    <definedName name="rek15_6" localSheetId="0">#REF!</definedName>
    <definedName name="rek15_6">#REF!</definedName>
    <definedName name="rek16_6" localSheetId="5">#REF!</definedName>
    <definedName name="rek16_6" localSheetId="0">#REF!</definedName>
    <definedName name="rek16_6">#REF!</definedName>
    <definedName name="rek2_6" localSheetId="5">#REF!</definedName>
    <definedName name="rek2_6" localSheetId="0">#REF!</definedName>
    <definedName name="rek2_6">#REF!</definedName>
    <definedName name="rek21_6" localSheetId="5">#REF!</definedName>
    <definedName name="rek21_6" localSheetId="0">#REF!</definedName>
    <definedName name="rek21_6">#REF!</definedName>
    <definedName name="rek22_6" localSheetId="5">#REF!</definedName>
    <definedName name="rek22_6" localSheetId="0">#REF!</definedName>
    <definedName name="rek22_6">#REF!</definedName>
    <definedName name="rek23_6" localSheetId="5">#REF!</definedName>
    <definedName name="rek23_6" localSheetId="0">#REF!</definedName>
    <definedName name="rek23_6">#REF!</definedName>
    <definedName name="rek24_6" localSheetId="5">#REF!</definedName>
    <definedName name="rek24_6" localSheetId="0">#REF!</definedName>
    <definedName name="rek24_6">#REF!</definedName>
    <definedName name="rek25_6" localSheetId="5">#REF!</definedName>
    <definedName name="rek25_6" localSheetId="0">#REF!</definedName>
    <definedName name="rek25_6">#REF!</definedName>
    <definedName name="rek26_6" localSheetId="5">#REF!</definedName>
    <definedName name="rek26_6" localSheetId="0">#REF!</definedName>
    <definedName name="rek26_6">#REF!</definedName>
    <definedName name="rek3_6" localSheetId="5">#REF!</definedName>
    <definedName name="rek3_6" localSheetId="0">#REF!</definedName>
    <definedName name="rek3_6">#REF!</definedName>
    <definedName name="rek31_6" localSheetId="5">#REF!</definedName>
    <definedName name="rek31_6" localSheetId="0">#REF!</definedName>
    <definedName name="rek31_6">#REF!</definedName>
    <definedName name="rek32_6" localSheetId="5">#REF!</definedName>
    <definedName name="rek32_6" localSheetId="0">#REF!</definedName>
    <definedName name="rek32_6">#REF!</definedName>
    <definedName name="rek33_6" localSheetId="5">#REF!</definedName>
    <definedName name="rek33_6" localSheetId="0">#REF!</definedName>
    <definedName name="rek33_6">#REF!</definedName>
    <definedName name="rek34_6" localSheetId="5">#REF!</definedName>
    <definedName name="rek34_6" localSheetId="0">#REF!</definedName>
    <definedName name="rek34_6">#REF!</definedName>
    <definedName name="rek35_6" localSheetId="5">#REF!</definedName>
    <definedName name="rek35_6" localSheetId="0">#REF!</definedName>
    <definedName name="rek35_6">#REF!</definedName>
    <definedName name="rek36_6" localSheetId="5">#REF!</definedName>
    <definedName name="rek36_6" localSheetId="0">#REF!</definedName>
    <definedName name="rek36_6">#REF!</definedName>
    <definedName name="rek37_6" localSheetId="5">#REF!</definedName>
    <definedName name="rek37_6" localSheetId="0">#REF!</definedName>
    <definedName name="rek37_6">#REF!</definedName>
    <definedName name="rek38_6" localSheetId="5">#REF!</definedName>
    <definedName name="rek38_6" localSheetId="0">#REF!</definedName>
    <definedName name="rek38_6">#REF!</definedName>
    <definedName name="rek39_6" localSheetId="5">#REF!</definedName>
    <definedName name="rek39_6" localSheetId="0">#REF!</definedName>
    <definedName name="rek39_6">#REF!</definedName>
    <definedName name="rek4_6" localSheetId="5">#REF!</definedName>
    <definedName name="rek4_6" localSheetId="0">#REF!</definedName>
    <definedName name="rek4_6">#REF!</definedName>
    <definedName name="rek41_6" localSheetId="5">#REF!</definedName>
    <definedName name="rek41_6" localSheetId="0">#REF!</definedName>
    <definedName name="rek41_6">#REF!</definedName>
    <definedName name="rek42_6" localSheetId="5">#REF!</definedName>
    <definedName name="rek42_6" localSheetId="0">#REF!</definedName>
    <definedName name="rek42_6">#REF!</definedName>
    <definedName name="rek43_6" localSheetId="5">#REF!</definedName>
    <definedName name="rek43_6" localSheetId="0">#REF!</definedName>
    <definedName name="rek43_6">#REF!</definedName>
    <definedName name="rek44_6" localSheetId="5">#REF!</definedName>
    <definedName name="rek44_6" localSheetId="0">#REF!</definedName>
    <definedName name="rek44_6">#REF!</definedName>
    <definedName name="rek45_6" localSheetId="5">#REF!</definedName>
    <definedName name="rek45_6" localSheetId="0">#REF!</definedName>
    <definedName name="rek45_6">#REF!</definedName>
    <definedName name="rek46_6" localSheetId="5">#REF!</definedName>
    <definedName name="rek46_6" localSheetId="0">#REF!</definedName>
    <definedName name="rek46_6">#REF!</definedName>
    <definedName name="rek5_6" localSheetId="5">#REF!</definedName>
    <definedName name="rek5_6" localSheetId="0">#REF!</definedName>
    <definedName name="rek5_6">#REF!</definedName>
    <definedName name="rek51_6" localSheetId="5">#REF!</definedName>
    <definedName name="rek51_6" localSheetId="0">#REF!</definedName>
    <definedName name="rek51_6">#REF!</definedName>
    <definedName name="rek52_6" localSheetId="5">#REF!</definedName>
    <definedName name="rek52_6" localSheetId="0">#REF!</definedName>
    <definedName name="rek52_6">#REF!</definedName>
    <definedName name="rek53_6" localSheetId="5">#REF!</definedName>
    <definedName name="rek53_6" localSheetId="0">#REF!</definedName>
    <definedName name="rek53_6">#REF!</definedName>
    <definedName name="rek54_6" localSheetId="5">#REF!</definedName>
    <definedName name="rek54_6" localSheetId="0">#REF!</definedName>
    <definedName name="rek54_6">#REF!</definedName>
    <definedName name="rek55_6" localSheetId="5">#REF!</definedName>
    <definedName name="rek55_6" localSheetId="0">#REF!</definedName>
    <definedName name="rek55_6">#REF!</definedName>
    <definedName name="rek56_6" localSheetId="5">#REF!</definedName>
    <definedName name="rek56_6" localSheetId="0">#REF!</definedName>
    <definedName name="rek56_6">#REF!</definedName>
    <definedName name="rek57_6" localSheetId="5">#REF!</definedName>
    <definedName name="rek57_6" localSheetId="0">#REF!</definedName>
    <definedName name="rek57_6">#REF!</definedName>
    <definedName name="rek58_6" localSheetId="5">#REF!</definedName>
    <definedName name="rek58_6" localSheetId="0">#REF!</definedName>
    <definedName name="rek58_6">#REF!</definedName>
    <definedName name="rek59_6" localSheetId="5">#REF!</definedName>
    <definedName name="rek59_6" localSheetId="0">#REF!</definedName>
    <definedName name="rek59_6">#REF!</definedName>
    <definedName name="rek6_6" localSheetId="5">#REF!</definedName>
    <definedName name="rek6_6" localSheetId="0">#REF!</definedName>
    <definedName name="rek6_6">#REF!</definedName>
    <definedName name="rek61_6" localSheetId="5">#REF!</definedName>
    <definedName name="rek61_6" localSheetId="0">#REF!</definedName>
    <definedName name="rek61_6">#REF!</definedName>
    <definedName name="rek62_6" localSheetId="5">#REF!</definedName>
    <definedName name="rek62_6" localSheetId="0">#REF!</definedName>
    <definedName name="rek62_6">#REF!</definedName>
    <definedName name="rek63_6" localSheetId="5">#REF!</definedName>
    <definedName name="rek63_6" localSheetId="0">#REF!</definedName>
    <definedName name="rek63_6">#REF!</definedName>
    <definedName name="rek64_6" localSheetId="5">#REF!</definedName>
    <definedName name="rek64_6" localSheetId="0">#REF!</definedName>
    <definedName name="rek64_6">#REF!</definedName>
    <definedName name="rek7_6" localSheetId="5">#REF!</definedName>
    <definedName name="rek7_6" localSheetId="0">#REF!</definedName>
    <definedName name="rek7_6">#REF!</definedName>
    <definedName name="rek71_6" localSheetId="5">#REF!</definedName>
    <definedName name="rek71_6" localSheetId="0">#REF!</definedName>
    <definedName name="rek71_6">#REF!</definedName>
    <definedName name="rek711_6" localSheetId="5">#REF!</definedName>
    <definedName name="rek711_6" localSheetId="0">#REF!</definedName>
    <definedName name="rek711_6">#REF!</definedName>
    <definedName name="rek712_6" localSheetId="5">#REF!</definedName>
    <definedName name="rek712_6" localSheetId="0">#REF!</definedName>
    <definedName name="rek712_6">#REF!</definedName>
    <definedName name="rek713_6" localSheetId="5">#REF!</definedName>
    <definedName name="rek713_6" localSheetId="0">#REF!</definedName>
    <definedName name="rek713_6">#REF!</definedName>
    <definedName name="rek714_6" localSheetId="5">#REF!</definedName>
    <definedName name="rek714_6" localSheetId="0">#REF!</definedName>
    <definedName name="rek714_6">#REF!</definedName>
    <definedName name="rek715_6" localSheetId="5">#REF!</definedName>
    <definedName name="rek715_6" localSheetId="0">#REF!</definedName>
    <definedName name="rek715_6">#REF!</definedName>
    <definedName name="rek716_6" localSheetId="5">#REF!</definedName>
    <definedName name="rek716_6" localSheetId="0">#REF!</definedName>
    <definedName name="rek716_6">#REF!</definedName>
    <definedName name="rek717_6" localSheetId="5">#REF!</definedName>
    <definedName name="rek717_6" localSheetId="0">#REF!</definedName>
    <definedName name="rek717_6">#REF!</definedName>
    <definedName name="rek718_6" localSheetId="5">#REF!</definedName>
    <definedName name="rek718_6" localSheetId="0">#REF!</definedName>
    <definedName name="rek718_6">#REF!</definedName>
    <definedName name="rek719_6" localSheetId="5">#REF!</definedName>
    <definedName name="rek719_6" localSheetId="0">#REF!</definedName>
    <definedName name="rek719_6">#REF!</definedName>
    <definedName name="rek72_6" localSheetId="5">#REF!</definedName>
    <definedName name="rek72_6" localSheetId="0">#REF!</definedName>
    <definedName name="rek72_6">#REF!</definedName>
    <definedName name="rek721_6" localSheetId="5">#REF!</definedName>
    <definedName name="rek721_6" localSheetId="0">#REF!</definedName>
    <definedName name="rek721_6">#REF!</definedName>
    <definedName name="rek7210_6" localSheetId="5">#REF!</definedName>
    <definedName name="rek7210_6" localSheetId="0">#REF!</definedName>
    <definedName name="rek7210_6">#REF!</definedName>
    <definedName name="rek722_6" localSheetId="5">#REF!</definedName>
    <definedName name="rek722_6" localSheetId="0">#REF!</definedName>
    <definedName name="rek722_6">#REF!</definedName>
    <definedName name="rek723_6" localSheetId="5">#REF!</definedName>
    <definedName name="rek723_6" localSheetId="0">#REF!</definedName>
    <definedName name="rek723_6">#REF!</definedName>
    <definedName name="rek724_6" localSheetId="5">#REF!</definedName>
    <definedName name="rek724_6" localSheetId="0">#REF!</definedName>
    <definedName name="rek724_6">#REF!</definedName>
    <definedName name="rek725_6" localSheetId="5">#REF!</definedName>
    <definedName name="rek725_6" localSheetId="0">#REF!</definedName>
    <definedName name="rek725_6">#REF!</definedName>
    <definedName name="rek726_6" localSheetId="5">#REF!</definedName>
    <definedName name="rek726_6" localSheetId="0">#REF!</definedName>
    <definedName name="rek726_6">#REF!</definedName>
    <definedName name="rek727_6" localSheetId="5">#REF!</definedName>
    <definedName name="rek727_6" localSheetId="0">#REF!</definedName>
    <definedName name="rek727_6">#REF!</definedName>
    <definedName name="rek728_6" localSheetId="5">#REF!</definedName>
    <definedName name="rek728_6" localSheetId="0">#REF!</definedName>
    <definedName name="rek728_6">#REF!</definedName>
    <definedName name="rek729_6" localSheetId="5">#REF!</definedName>
    <definedName name="rek729_6" localSheetId="0">#REF!</definedName>
    <definedName name="rek729_6">#REF!</definedName>
    <definedName name="rek8_6" localSheetId="5">#REF!</definedName>
    <definedName name="rek8_6" localSheetId="0">#REF!</definedName>
    <definedName name="rek8_6">#REF!</definedName>
    <definedName name="rek81_6" localSheetId="5">#REF!</definedName>
    <definedName name="rek81_6" localSheetId="0">#REF!</definedName>
    <definedName name="rek81_6">#REF!</definedName>
    <definedName name="rek9_6" localSheetId="5">#REF!</definedName>
    <definedName name="rek9_6" localSheetId="0">#REF!</definedName>
    <definedName name="rek9_6">#REF!</definedName>
    <definedName name="Reka" localSheetId="1">#REF!</definedName>
    <definedName name="Reka" localSheetId="3">#REF!</definedName>
    <definedName name="Reka" localSheetId="2">#REF!</definedName>
    <definedName name="Reka" localSheetId="12">#REF!</definedName>
    <definedName name="Reka" localSheetId="14">#REF!</definedName>
    <definedName name="Reka" localSheetId="13">#REF!</definedName>
    <definedName name="Reka" localSheetId="5">#REF!</definedName>
    <definedName name="Reka" localSheetId="0">#REF!</definedName>
    <definedName name="Reka">#REF!</definedName>
    <definedName name="RekapitulaceDPH" localSheetId="12">#REF!,#REF!,#REF!,#REF!,#REF!,#REF!</definedName>
    <definedName name="RekapitulaceDPH" localSheetId="14">#REF!,#REF!,#REF!,#REF!,#REF!,#REF!</definedName>
    <definedName name="RekapitulaceDPH" localSheetId="13">#REF!,#REF!,#REF!,#REF!,#REF!,#REF!</definedName>
    <definedName name="RekapitulaceDPH" localSheetId="5">#REF!,#REF!,#REF!,#REF!,#REF!,#REF!</definedName>
    <definedName name="RekapitulaceDPH" localSheetId="0">#REF!,#REF!,#REF!,#REF!,#REF!,#REF!</definedName>
    <definedName name="RekapitulaceDPH">#REF!,#REF!,#REF!,#REF!,#REF!,#REF!</definedName>
    <definedName name="Restricted" localSheetId="1">#REF!</definedName>
    <definedName name="Restricted" localSheetId="3">#REF!</definedName>
    <definedName name="Restricted" localSheetId="2">#REF!</definedName>
    <definedName name="Restricted" localSheetId="12">#REF!</definedName>
    <definedName name="Restricted" localSheetId="14">#REF!</definedName>
    <definedName name="Restricted" localSheetId="13">#REF!</definedName>
    <definedName name="Restricted" localSheetId="5">#REF!</definedName>
    <definedName name="Restricted" localSheetId="0">#REF!</definedName>
    <definedName name="Restricted">#REF!</definedName>
    <definedName name="REV___0_1">0</definedName>
    <definedName name="REV___0_2">0</definedName>
    <definedName name="Rok_nabídky" localSheetId="1">#REF!</definedName>
    <definedName name="Rok_nabídky" localSheetId="3">#REF!</definedName>
    <definedName name="Rok_nabídky" localSheetId="2">#REF!</definedName>
    <definedName name="Rok_nabídky" localSheetId="12">#REF!</definedName>
    <definedName name="Rok_nabídky" localSheetId="14">#REF!</definedName>
    <definedName name="Rok_nabídky" localSheetId="13">#REF!</definedName>
    <definedName name="Rok_nabídky" localSheetId="5">#REF!</definedName>
    <definedName name="Rok_nabídky" localSheetId="0">#REF!</definedName>
    <definedName name="Rok_nabídky">#REF!</definedName>
    <definedName name="Rok_nabídky_1" localSheetId="1">#REF!</definedName>
    <definedName name="Rok_nabídky_1" localSheetId="3">#REF!</definedName>
    <definedName name="Rok_nabídky_1" localSheetId="2">#REF!</definedName>
    <definedName name="Rok_nabídky_1" localSheetId="12">#REF!</definedName>
    <definedName name="Rok_nabídky_1" localSheetId="14">#REF!</definedName>
    <definedName name="Rok_nabídky_1" localSheetId="13">#REF!</definedName>
    <definedName name="Rok_nabídky_1" localSheetId="5">#REF!</definedName>
    <definedName name="Rok_nabídky_1" localSheetId="0">#REF!</definedName>
    <definedName name="Rok_nabídky_1">#REF!</definedName>
    <definedName name="s" localSheetId="1">#REF!</definedName>
    <definedName name="s" localSheetId="3">#REF!</definedName>
    <definedName name="s" localSheetId="2">#REF!</definedName>
    <definedName name="s" localSheetId="12">#REF!</definedName>
    <definedName name="s" localSheetId="14">#REF!</definedName>
    <definedName name="s" localSheetId="13">#REF!</definedName>
    <definedName name="s" localSheetId="5">#REF!</definedName>
    <definedName name="s" localSheetId="0">#REF!</definedName>
    <definedName name="s">#REF!</definedName>
    <definedName name="safdas" localSheetId="1">#REF!</definedName>
    <definedName name="safdas" localSheetId="3">#REF!</definedName>
    <definedName name="safdas" localSheetId="2">#REF!</definedName>
    <definedName name="safdas" localSheetId="12">#REF!</definedName>
    <definedName name="safdas" localSheetId="14">#REF!</definedName>
    <definedName name="safdas" localSheetId="13">#REF!</definedName>
    <definedName name="safdas" localSheetId="5">#REF!</definedName>
    <definedName name="safdas" localSheetId="0">#REF!</definedName>
    <definedName name="safdas">#REF!</definedName>
    <definedName name="SazbaDPH1" localSheetId="12">#REF!</definedName>
    <definedName name="SazbaDPH1" localSheetId="14">#REF!</definedName>
    <definedName name="SazbaDPH1" localSheetId="13">#REF!</definedName>
    <definedName name="SazbaDPH1" localSheetId="5">#REF!</definedName>
    <definedName name="SazbaDPH1" localSheetId="0">#REF!</definedName>
    <definedName name="SazbaDPH1">#REF!</definedName>
    <definedName name="SazbaDPH1_6" localSheetId="1">#REF!</definedName>
    <definedName name="SazbaDPH1_6" localSheetId="3">#REF!</definedName>
    <definedName name="SazbaDPH1_6" localSheetId="2">#REF!</definedName>
    <definedName name="SazbaDPH1_6" localSheetId="12">#REF!</definedName>
    <definedName name="SazbaDPH1_6" localSheetId="14">#REF!</definedName>
    <definedName name="SazbaDPH1_6" localSheetId="13">#REF!</definedName>
    <definedName name="SazbaDPH1_6" localSheetId="5">#REF!</definedName>
    <definedName name="SazbaDPH1_6" localSheetId="0">#REF!</definedName>
    <definedName name="SazbaDPH1_6">#REF!</definedName>
    <definedName name="SazbaDPH2" localSheetId="12">#REF!</definedName>
    <definedName name="SazbaDPH2" localSheetId="14">#REF!</definedName>
    <definedName name="SazbaDPH2" localSheetId="13">#REF!</definedName>
    <definedName name="SazbaDPH2" localSheetId="5">#REF!</definedName>
    <definedName name="SazbaDPH2" localSheetId="0">#REF!</definedName>
    <definedName name="SazbaDPH2">#REF!</definedName>
    <definedName name="SazbaDPH2_6" localSheetId="1">#REF!</definedName>
    <definedName name="SazbaDPH2_6" localSheetId="3">#REF!</definedName>
    <definedName name="SazbaDPH2_6" localSheetId="2">#REF!</definedName>
    <definedName name="SazbaDPH2_6" localSheetId="12">#REF!</definedName>
    <definedName name="SazbaDPH2_6" localSheetId="14">#REF!</definedName>
    <definedName name="SazbaDPH2_6" localSheetId="13">#REF!</definedName>
    <definedName name="SazbaDPH2_6" localSheetId="5">#REF!</definedName>
    <definedName name="SazbaDPH2_6" localSheetId="0">#REF!</definedName>
    <definedName name="SazbaDPH2_6">#REF!</definedName>
    <definedName name="sklo" localSheetId="1">#REF!</definedName>
    <definedName name="sklo" localSheetId="3">#REF!</definedName>
    <definedName name="sklo" localSheetId="2">#REF!</definedName>
    <definedName name="sklo" localSheetId="12">#REF!</definedName>
    <definedName name="sklo" localSheetId="14">#REF!</definedName>
    <definedName name="sklo" localSheetId="13">#REF!</definedName>
    <definedName name="sklo" localSheetId="5">#REF!</definedName>
    <definedName name="sklo" localSheetId="0">#REF!</definedName>
    <definedName name="sklo">#REF!</definedName>
    <definedName name="sklo_požární" localSheetId="1">#REF!</definedName>
    <definedName name="sklo_požární" localSheetId="3">#REF!</definedName>
    <definedName name="sklo_požární" localSheetId="2">#REF!</definedName>
    <definedName name="sklo_požární" localSheetId="12">#REF!</definedName>
    <definedName name="sklo_požární" localSheetId="14">#REF!</definedName>
    <definedName name="sklo_požární" localSheetId="13">#REF!</definedName>
    <definedName name="sklo_požární" localSheetId="5">#REF!</definedName>
    <definedName name="sklo_požární" localSheetId="0">#REF!</definedName>
    <definedName name="sklo_požární">#REF!</definedName>
    <definedName name="skonto_1" localSheetId="12">#REF!</definedName>
    <definedName name="skonto_1" localSheetId="14">#REF!</definedName>
    <definedName name="skonto_1" localSheetId="13">#REF!</definedName>
    <definedName name="skonto_1" localSheetId="5">#REF!</definedName>
    <definedName name="skonto_1" localSheetId="0">#REF!</definedName>
    <definedName name="skonto_1">#REF!</definedName>
    <definedName name="skonto_2" localSheetId="12">#REF!</definedName>
    <definedName name="skonto_2" localSheetId="14">#REF!</definedName>
    <definedName name="skonto_2" localSheetId="13">#REF!</definedName>
    <definedName name="skonto_2" localSheetId="5">#REF!</definedName>
    <definedName name="skonto_2" localSheetId="0">#REF!</definedName>
    <definedName name="skonto_2">#REF!</definedName>
    <definedName name="skonto_3" localSheetId="12">#REF!</definedName>
    <definedName name="skonto_3" localSheetId="14">#REF!</definedName>
    <definedName name="skonto_3" localSheetId="13">#REF!</definedName>
    <definedName name="skonto_3" localSheetId="5">#REF!</definedName>
    <definedName name="skonto_3" localSheetId="0">#REF!</definedName>
    <definedName name="skonto_3">#REF!</definedName>
    <definedName name="sleva" localSheetId="12">#REF!</definedName>
    <definedName name="sleva" localSheetId="14">#REF!</definedName>
    <definedName name="sleva" localSheetId="13">#REF!</definedName>
    <definedName name="sleva" localSheetId="5">#REF!</definedName>
    <definedName name="sleva" localSheetId="0">#REF!</definedName>
    <definedName name="sleva">#REF!</definedName>
    <definedName name="SloupecCC" localSheetId="1">#REF!</definedName>
    <definedName name="SloupecCC" localSheetId="3">#REF!</definedName>
    <definedName name="SloupecCC" localSheetId="2">#REF!</definedName>
    <definedName name="SloupecCC" localSheetId="8">'2-Položky'!$G$6</definedName>
    <definedName name="SloupecCC" localSheetId="11">'3-Položky'!$G$6</definedName>
    <definedName name="SloupecCC" localSheetId="12">#REF!</definedName>
    <definedName name="SloupecCC" localSheetId="14">#REF!</definedName>
    <definedName name="SloupecCC" localSheetId="13">#REF!</definedName>
    <definedName name="SloupecCC" localSheetId="5">#REF!</definedName>
    <definedName name="SloupecCC" localSheetId="0">#REF!</definedName>
    <definedName name="SloupecCC" localSheetId="4">ZTI!$G$13</definedName>
    <definedName name="SloupecCC">#REF!</definedName>
    <definedName name="SloupecCC_6" localSheetId="1">#REF!</definedName>
    <definedName name="SloupecCC_6" localSheetId="3">#REF!</definedName>
    <definedName name="SloupecCC_6" localSheetId="2">#REF!</definedName>
    <definedName name="SloupecCC_6" localSheetId="12">#REF!</definedName>
    <definedName name="SloupecCC_6" localSheetId="14">#REF!</definedName>
    <definedName name="SloupecCC_6" localSheetId="13">#REF!</definedName>
    <definedName name="SloupecCC_6" localSheetId="5">#REF!</definedName>
    <definedName name="SloupecCC_6" localSheetId="0">#REF!</definedName>
    <definedName name="SloupecCC_6">#REF!</definedName>
    <definedName name="SloupecCDH" localSheetId="1">#REF!</definedName>
    <definedName name="SloupecCDH" localSheetId="3">#REF!</definedName>
    <definedName name="SloupecCDH" localSheetId="2">#REF!</definedName>
    <definedName name="SloupecCDH" localSheetId="12">#REF!</definedName>
    <definedName name="SloupecCDH" localSheetId="14">#REF!</definedName>
    <definedName name="SloupecCDH" localSheetId="13">#REF!</definedName>
    <definedName name="SloupecCDH" localSheetId="5">#REF!</definedName>
    <definedName name="SloupecCDH" localSheetId="0">#REF!</definedName>
    <definedName name="SloupecCDH">#REF!</definedName>
    <definedName name="SloupecCisloPol" localSheetId="8">'2-Položky'!$B$6</definedName>
    <definedName name="SloupecCisloPol" localSheetId="11">'3-Položky'!$B$6</definedName>
    <definedName name="SloupecCisloPol" localSheetId="12">#REF!</definedName>
    <definedName name="SloupecCisloPol" localSheetId="14">#REF!</definedName>
    <definedName name="SloupecCisloPol" localSheetId="13">#REF!</definedName>
    <definedName name="SloupecCisloPol" localSheetId="5">#REF!</definedName>
    <definedName name="SloupecCisloPol" localSheetId="0">#REF!</definedName>
    <definedName name="SloupecCisloPol" localSheetId="4">ZTI!$B$13</definedName>
    <definedName name="SloupecCisloPol">#REF!</definedName>
    <definedName name="SloupecCisloPol_6" localSheetId="12">#REF!</definedName>
    <definedName name="SloupecCisloPol_6" localSheetId="14">#REF!</definedName>
    <definedName name="SloupecCisloPol_6" localSheetId="13">#REF!</definedName>
    <definedName name="SloupecCisloPol_6" localSheetId="5">#REF!</definedName>
    <definedName name="SloupecCisloPol_6" localSheetId="0">#REF!</definedName>
    <definedName name="SloupecCisloPol_6">#REF!</definedName>
    <definedName name="SloupecCH" localSheetId="5">#REF!</definedName>
    <definedName name="SloupecCH" localSheetId="0">#REF!</definedName>
    <definedName name="SloupecCH">#REF!</definedName>
    <definedName name="SloupecJC" localSheetId="8">'2-Položky'!$F$6</definedName>
    <definedName name="SloupecJC" localSheetId="11">'3-Položky'!$F$6</definedName>
    <definedName name="SloupecJC" localSheetId="12">#REF!</definedName>
    <definedName name="SloupecJC" localSheetId="14">#REF!</definedName>
    <definedName name="SloupecJC" localSheetId="13">#REF!</definedName>
    <definedName name="SloupecJC" localSheetId="5">#REF!</definedName>
    <definedName name="SloupecJC" localSheetId="0">#REF!</definedName>
    <definedName name="SloupecJC" localSheetId="4">ZTI!$F$13</definedName>
    <definedName name="SloupecJC">#REF!</definedName>
    <definedName name="SloupecJC_6" localSheetId="12">#REF!</definedName>
    <definedName name="SloupecJC_6" localSheetId="14">#REF!</definedName>
    <definedName name="SloupecJC_6" localSheetId="13">#REF!</definedName>
    <definedName name="SloupecJC_6" localSheetId="5">#REF!</definedName>
    <definedName name="SloupecJC_6" localSheetId="0">#REF!</definedName>
    <definedName name="SloupecJC_6">#REF!</definedName>
    <definedName name="SloupecJDH" localSheetId="5">#REF!</definedName>
    <definedName name="SloupecJDH" localSheetId="0">#REF!</definedName>
    <definedName name="SloupecJDH">#REF!</definedName>
    <definedName name="SloupecJDM" localSheetId="5">#REF!</definedName>
    <definedName name="SloupecJDM" localSheetId="0">#REF!</definedName>
    <definedName name="SloupecJDM">#REF!</definedName>
    <definedName name="SloupecJH" localSheetId="5">#REF!</definedName>
    <definedName name="SloupecJH" localSheetId="0">#REF!</definedName>
    <definedName name="SloupecJH">#REF!</definedName>
    <definedName name="SloupecMJ" localSheetId="8">'2-Položky'!$D$6</definedName>
    <definedName name="SloupecMJ" localSheetId="11">'3-Položky'!$D$6</definedName>
    <definedName name="SloupecMJ" localSheetId="12">#REF!</definedName>
    <definedName name="SloupecMJ" localSheetId="14">#REF!</definedName>
    <definedName name="SloupecMJ" localSheetId="13">#REF!</definedName>
    <definedName name="SloupecMJ" localSheetId="5">#REF!</definedName>
    <definedName name="SloupecMJ" localSheetId="0">#REF!</definedName>
    <definedName name="SloupecMJ" localSheetId="4">ZTI!$D$13</definedName>
    <definedName name="SloupecMJ">#REF!</definedName>
    <definedName name="SloupecMJ_6" localSheetId="12">#REF!</definedName>
    <definedName name="SloupecMJ_6" localSheetId="14">#REF!</definedName>
    <definedName name="SloupecMJ_6" localSheetId="13">#REF!</definedName>
    <definedName name="SloupecMJ_6" localSheetId="5">#REF!</definedName>
    <definedName name="SloupecMJ_6" localSheetId="0">#REF!</definedName>
    <definedName name="SloupecMJ_6">#REF!</definedName>
    <definedName name="SloupecMnozstvi" localSheetId="8">'2-Položky'!$E$6</definedName>
    <definedName name="SloupecMnozstvi" localSheetId="11">'3-Položky'!$E$6</definedName>
    <definedName name="SloupecMnozstvi" localSheetId="12">#REF!</definedName>
    <definedName name="SloupecMnozstvi" localSheetId="14">#REF!</definedName>
    <definedName name="SloupecMnozstvi" localSheetId="13">#REF!</definedName>
    <definedName name="SloupecMnozstvi" localSheetId="5">#REF!</definedName>
    <definedName name="SloupecMnozstvi" localSheetId="0">#REF!</definedName>
    <definedName name="SloupecMnozstvi" localSheetId="4">ZTI!$E$13</definedName>
    <definedName name="SloupecMnozstvi">#REF!</definedName>
    <definedName name="SloupecMnozstvi_6" localSheetId="12">#REF!</definedName>
    <definedName name="SloupecMnozstvi_6" localSheetId="14">#REF!</definedName>
    <definedName name="SloupecMnozstvi_6" localSheetId="13">#REF!</definedName>
    <definedName name="SloupecMnozstvi_6" localSheetId="5">#REF!</definedName>
    <definedName name="SloupecMnozstvi_6" localSheetId="0">#REF!</definedName>
    <definedName name="SloupecMnozstvi_6">#REF!</definedName>
    <definedName name="SloupecNazPol" localSheetId="8">'2-Položky'!$C$6</definedName>
    <definedName name="SloupecNazPol" localSheetId="11">'3-Položky'!$C$6</definedName>
    <definedName name="SloupecNazPol" localSheetId="12">#REF!</definedName>
    <definedName name="SloupecNazPol" localSheetId="14">#REF!</definedName>
    <definedName name="SloupecNazPol" localSheetId="13">#REF!</definedName>
    <definedName name="SloupecNazPol" localSheetId="5">#REF!</definedName>
    <definedName name="SloupecNazPol" localSheetId="0">#REF!</definedName>
    <definedName name="SloupecNazPol" localSheetId="4">ZTI!$C$13</definedName>
    <definedName name="SloupecNazPol">#REF!</definedName>
    <definedName name="SloupecNazPol_6" localSheetId="12">#REF!</definedName>
    <definedName name="SloupecNazPol_6" localSheetId="14">#REF!</definedName>
    <definedName name="SloupecNazPol_6" localSheetId="13">#REF!</definedName>
    <definedName name="SloupecNazPol_6" localSheetId="5">#REF!</definedName>
    <definedName name="SloupecNazPol_6" localSheetId="0">#REF!</definedName>
    <definedName name="SloupecNazPol_6">#REF!</definedName>
    <definedName name="SloupecPC" localSheetId="8">'2-Položky'!$A$6</definedName>
    <definedName name="SloupecPC" localSheetId="11">'3-Položky'!$A$6</definedName>
    <definedName name="SloupecPC" localSheetId="12">#REF!</definedName>
    <definedName name="SloupecPC" localSheetId="14">#REF!</definedName>
    <definedName name="SloupecPC" localSheetId="13">#REF!</definedName>
    <definedName name="SloupecPC" localSheetId="5">#REF!</definedName>
    <definedName name="SloupecPC" localSheetId="0">#REF!</definedName>
    <definedName name="SloupecPC" localSheetId="4">ZTI!$A$13</definedName>
    <definedName name="SloupecPC">#REF!</definedName>
    <definedName name="SloupecPC_6" localSheetId="12">#REF!</definedName>
    <definedName name="SloupecPC_6" localSheetId="14">#REF!</definedName>
    <definedName name="SloupecPC_6" localSheetId="13">#REF!</definedName>
    <definedName name="SloupecPC_6" localSheetId="5">#REF!</definedName>
    <definedName name="SloupecPC_6" localSheetId="0">#REF!</definedName>
    <definedName name="SloupecPC_6">#REF!</definedName>
    <definedName name="SN1___0_1">0</definedName>
    <definedName name="SN1___0_2">0</definedName>
    <definedName name="SN2___0_1">0</definedName>
    <definedName name="SN2___0_2">0</definedName>
    <definedName name="solver_lin" localSheetId="8" hidden="1">0</definedName>
    <definedName name="solver_lin" localSheetId="11" hidden="1">0</definedName>
    <definedName name="solver_lin" localSheetId="4" hidden="1">0</definedName>
    <definedName name="solver_num" localSheetId="8" hidden="1">0</definedName>
    <definedName name="solver_num" localSheetId="11" hidden="1">0</definedName>
    <definedName name="solver_num" localSheetId="4" hidden="1">0</definedName>
    <definedName name="solver_opt" localSheetId="8" hidden="1">'2-Položky'!#REF!</definedName>
    <definedName name="solver_opt" localSheetId="11" hidden="1">'3-Položky'!#REF!</definedName>
    <definedName name="solver_opt" localSheetId="4" hidden="1">ZTI!#REF!</definedName>
    <definedName name="solver_typ" localSheetId="8" hidden="1">1</definedName>
    <definedName name="solver_typ" localSheetId="11" hidden="1">1</definedName>
    <definedName name="solver_typ" localSheetId="4" hidden="1">1</definedName>
    <definedName name="solver_val" localSheetId="8" hidden="1">0</definedName>
    <definedName name="solver_val" localSheetId="11" hidden="1">0</definedName>
    <definedName name="solver_val" localSheetId="4" hidden="1">0</definedName>
    <definedName name="SORT" localSheetId="1">#REF!</definedName>
    <definedName name="SORT" localSheetId="3">#REF!</definedName>
    <definedName name="SORT" localSheetId="2">#REF!</definedName>
    <definedName name="SORT" localSheetId="12">#REF!</definedName>
    <definedName name="SORT" localSheetId="14">#REF!</definedName>
    <definedName name="SORT" localSheetId="13">#REF!</definedName>
    <definedName name="SORT" localSheetId="5">#REF!</definedName>
    <definedName name="SORT" localSheetId="0">#REF!</definedName>
    <definedName name="SORT">#REF!</definedName>
    <definedName name="Specifikace" localSheetId="1">#REF!</definedName>
    <definedName name="Specifikace" localSheetId="3">#REF!</definedName>
    <definedName name="Specifikace" localSheetId="2">#REF!</definedName>
    <definedName name="Specifikace" localSheetId="12">#REF!</definedName>
    <definedName name="Specifikace" localSheetId="14">#REF!</definedName>
    <definedName name="Specifikace" localSheetId="13">#REF!</definedName>
    <definedName name="Specifikace" localSheetId="5">#REF!</definedName>
    <definedName name="Specifikace" localSheetId="0">#REF!</definedName>
    <definedName name="Specifikace">#REF!</definedName>
    <definedName name="Specifikace_1" localSheetId="1">#REF!</definedName>
    <definedName name="Specifikace_1" localSheetId="3">#REF!</definedName>
    <definedName name="Specifikace_1" localSheetId="2">#REF!</definedName>
    <definedName name="Specifikace_1" localSheetId="12">#REF!</definedName>
    <definedName name="Specifikace_1" localSheetId="14">#REF!</definedName>
    <definedName name="Specifikace_1" localSheetId="13">#REF!</definedName>
    <definedName name="Specifikace_1" localSheetId="5">#REF!</definedName>
    <definedName name="Specifikace_1" localSheetId="0">#REF!</definedName>
    <definedName name="Specifikace_1">#REF!</definedName>
    <definedName name="Spodek" localSheetId="5">#REF!</definedName>
    <definedName name="Spodek" localSheetId="0">#REF!</definedName>
    <definedName name="Spodek">#REF!</definedName>
    <definedName name="Spodek_1" localSheetId="5">#REF!</definedName>
    <definedName name="Spodek_1" localSheetId="0">#REF!</definedName>
    <definedName name="Spodek_1">#REF!</definedName>
    <definedName name="Spodek_6" localSheetId="5">#REF!</definedName>
    <definedName name="Spodek_6" localSheetId="0">#REF!</definedName>
    <definedName name="Spodek_6">#REF!</definedName>
    <definedName name="StavbaCelkem" localSheetId="5">#REF!</definedName>
    <definedName name="StavbaCelkem" localSheetId="0">#REF!</definedName>
    <definedName name="StavbaCelkem">#REF!</definedName>
    <definedName name="STAVEBNI_OBJEKT" localSheetId="5">#REF!</definedName>
    <definedName name="STAVEBNI_OBJEKT" localSheetId="0">#REF!</definedName>
    <definedName name="STAVEBNI_OBJEKT">#REF!</definedName>
    <definedName name="sum_memrekapdph" localSheetId="5">#REF!</definedName>
    <definedName name="sum_memrekapdph" localSheetId="0">#REF!</definedName>
    <definedName name="sum_memrekapdph">#REF!</definedName>
    <definedName name="sum_prekap" localSheetId="5">#REF!</definedName>
    <definedName name="sum_prekap" localSheetId="0">#REF!</definedName>
    <definedName name="sum_prekap">#REF!</definedName>
    <definedName name="SWnákup" localSheetId="5">#REF!</definedName>
    <definedName name="SWnákup" localSheetId="0">#REF!</definedName>
    <definedName name="SWnákup">#REF!</definedName>
    <definedName name="SWnákup_1" localSheetId="5">#REF!</definedName>
    <definedName name="SWnákup_1" localSheetId="0">#REF!</definedName>
    <definedName name="SWnákup_1">#REF!</definedName>
    <definedName name="SWnákup_6" localSheetId="5">#REF!</definedName>
    <definedName name="SWnákup_6" localSheetId="0">#REF!</definedName>
    <definedName name="SWnákup_6">#REF!</definedName>
    <definedName name="SWprodej" localSheetId="5">#REF!</definedName>
    <definedName name="SWprodej" localSheetId="0">#REF!</definedName>
    <definedName name="SWprodej">#REF!</definedName>
    <definedName name="SWprodej_1" localSheetId="5">#REF!</definedName>
    <definedName name="SWprodej_1" localSheetId="0">#REF!</definedName>
    <definedName name="SWprodej_1">#REF!</definedName>
    <definedName name="SWprodej_6" localSheetId="5">#REF!</definedName>
    <definedName name="SWprodej_6" localSheetId="0">#REF!</definedName>
    <definedName name="SWprodej_6">#REF!</definedName>
    <definedName name="špaleta" localSheetId="5">#REF!</definedName>
    <definedName name="špaleta" localSheetId="0">#REF!</definedName>
    <definedName name="špaleta">#REF!</definedName>
    <definedName name="špaleta_hliník" localSheetId="5">#REF!</definedName>
    <definedName name="špaleta_hliník" localSheetId="0">#REF!</definedName>
    <definedName name="špaleta_hliník">#REF!</definedName>
    <definedName name="špaleta_hliník_6" localSheetId="5">#REF!</definedName>
    <definedName name="špaleta_hliník_6" localSheetId="0">#REF!</definedName>
    <definedName name="špaleta_hliník_6">#REF!</definedName>
    <definedName name="špalety_oken_1.np" localSheetId="5">#REF!</definedName>
    <definedName name="špalety_oken_1.np" localSheetId="0">#REF!</definedName>
    <definedName name="špalety_oken_1.np">#REF!</definedName>
    <definedName name="špalety_oken_1.np_6" localSheetId="5">#REF!</definedName>
    <definedName name="špalety_oken_1.np_6" localSheetId="0">#REF!</definedName>
    <definedName name="špalety_oken_1.np_6">#REF!</definedName>
    <definedName name="špalety_oken_suterén" localSheetId="5">#REF!</definedName>
    <definedName name="špalety_oken_suterén" localSheetId="0">#REF!</definedName>
    <definedName name="špalety_oken_suterén">#REF!</definedName>
    <definedName name="špalety_oken_suterén_6" localSheetId="5">#REF!</definedName>
    <definedName name="špalety_oken_suterén_6" localSheetId="0">#REF!</definedName>
    <definedName name="špalety_oken_suterén_6">#REF!</definedName>
    <definedName name="špalety_oken_typické" localSheetId="5">#REF!</definedName>
    <definedName name="špalety_oken_typické" localSheetId="0">#REF!</definedName>
    <definedName name="špalety_oken_typické">#REF!</definedName>
    <definedName name="špalety_oken_typické_6" localSheetId="5">#REF!</definedName>
    <definedName name="špalety_oken_typické_6" localSheetId="0">#REF!</definedName>
    <definedName name="špalety_oken_typické_6">#REF!</definedName>
    <definedName name="špalety_oken_ustupující" localSheetId="5">#REF!</definedName>
    <definedName name="špalety_oken_ustupující" localSheetId="0">#REF!</definedName>
    <definedName name="špalety_oken_ustupující">#REF!</definedName>
    <definedName name="špalety_oken_ustupující_6" localSheetId="5">#REF!</definedName>
    <definedName name="špalety_oken_ustupující_6" localSheetId="0">#REF!</definedName>
    <definedName name="špalety_oken_ustupující_6">#REF!</definedName>
    <definedName name="štuková_omítka" localSheetId="5">#REF!</definedName>
    <definedName name="štuková_omítka" localSheetId="0">#REF!</definedName>
    <definedName name="štuková_omítka">#REF!</definedName>
    <definedName name="štuková_omítka_6" localSheetId="5">#REF!</definedName>
    <definedName name="štuková_omítka_6" localSheetId="0">#REF!</definedName>
    <definedName name="štuková_omítka_6">#REF!</definedName>
    <definedName name="T4_ESO" localSheetId="5">#REF!</definedName>
    <definedName name="T4_ESO" localSheetId="0">#REF!</definedName>
    <definedName name="T4_ESO">#REF!</definedName>
    <definedName name="T4_ESO_6" localSheetId="5">#REF!</definedName>
    <definedName name="T4_ESO_6" localSheetId="0">#REF!</definedName>
    <definedName name="T4_ESO_6">#REF!</definedName>
    <definedName name="TABLE">"$#REF!.$#REF!$#REF!:$#REF!.$#REF!$#REF!"</definedName>
    <definedName name="TABLE_2">"$#REF!.$#REF!$#REF!:$#REF!.$#REF!$#REF!"</definedName>
    <definedName name="TABLE_3">"$#REF!.$#REF!$#REF!:$#REF!.$#REF!$#REF!"</definedName>
    <definedName name="TABLE_4">"$#REF!.$#REF!$#REF!:$#REF!.$#REF!$#REF!"</definedName>
    <definedName name="TABLE_5">"$#REF!.$A$716:$#REF!.$A$716"</definedName>
    <definedName name="TABLE_6">"$#REF!.$A$404:$#REF!.$A$404"</definedName>
    <definedName name="Teco_Ceník">"$#REF!.$A$3:$#REF!.$C$562"</definedName>
    <definedName name="test">#N/A</definedName>
    <definedName name="Tlacitka_EX" localSheetId="1">#REF!,#REF!</definedName>
    <definedName name="Tlacitka_EX" localSheetId="3">#REF!,#REF!</definedName>
    <definedName name="Tlacitka_EX" localSheetId="2">#REF!,#REF!</definedName>
    <definedName name="Tlacitka_EX" localSheetId="12">#REF!,#REF!</definedName>
    <definedName name="Tlacitka_EX" localSheetId="14">#REF!,#REF!</definedName>
    <definedName name="Tlacitka_EX" localSheetId="13">#REF!,#REF!</definedName>
    <definedName name="Tlacitka_EX" localSheetId="5">#REF!,#REF!</definedName>
    <definedName name="Tlacitka_EX" localSheetId="0">#REF!,#REF!</definedName>
    <definedName name="Tlacitka_EX">#REF!,#REF!</definedName>
    <definedName name="top_memrekapdph" localSheetId="1">#REF!</definedName>
    <definedName name="top_memrekapdph" localSheetId="3">#REF!</definedName>
    <definedName name="top_memrekapdph" localSheetId="2">#REF!</definedName>
    <definedName name="top_memrekapdph" localSheetId="12">#REF!</definedName>
    <definedName name="top_memrekapdph" localSheetId="14">#REF!</definedName>
    <definedName name="top_memrekapdph" localSheetId="13">#REF!</definedName>
    <definedName name="top_memrekapdph" localSheetId="5">#REF!</definedName>
    <definedName name="top_memrekapdph" localSheetId="0">#REF!</definedName>
    <definedName name="top_memrekapdph">#REF!</definedName>
    <definedName name="top_phlavy" localSheetId="1">#REF!</definedName>
    <definedName name="top_phlavy" localSheetId="3">#REF!</definedName>
    <definedName name="top_phlavy" localSheetId="2">#REF!</definedName>
    <definedName name="top_phlavy" localSheetId="12">#REF!</definedName>
    <definedName name="top_phlavy" localSheetId="14">#REF!</definedName>
    <definedName name="top_phlavy" localSheetId="13">#REF!</definedName>
    <definedName name="top_phlavy" localSheetId="5">#REF!</definedName>
    <definedName name="top_phlavy" localSheetId="0">#REF!</definedName>
    <definedName name="top_phlavy">#REF!</definedName>
    <definedName name="top_rkap" localSheetId="1">#REF!</definedName>
    <definedName name="top_rkap" localSheetId="3">#REF!</definedName>
    <definedName name="top_rkap" localSheetId="2">#REF!</definedName>
    <definedName name="top_rkap" localSheetId="12">#REF!</definedName>
    <definedName name="top_rkap" localSheetId="14">#REF!</definedName>
    <definedName name="top_rkap" localSheetId="13">#REF!</definedName>
    <definedName name="top_rkap" localSheetId="5">#REF!</definedName>
    <definedName name="top_rkap" localSheetId="0">#REF!</definedName>
    <definedName name="top_rkap">#REF!</definedName>
    <definedName name="top_rozpocty" localSheetId="5">#REF!</definedName>
    <definedName name="top_rozpocty" localSheetId="0">#REF!</definedName>
    <definedName name="top_rozpocty">#REF!</definedName>
    <definedName name="top_rpolozky" localSheetId="5">#REF!</definedName>
    <definedName name="top_rpolozky" localSheetId="0">#REF!</definedName>
    <definedName name="top_rpolozky">#REF!</definedName>
    <definedName name="Typ" localSheetId="1">#REF!</definedName>
    <definedName name="Typ" localSheetId="3">#REF!</definedName>
    <definedName name="Typ" localSheetId="2">#REF!</definedName>
    <definedName name="Typ" localSheetId="6">'2-Položky'!#REF!</definedName>
    <definedName name="Typ" localSheetId="8">'2-Položky'!#REF!</definedName>
    <definedName name="Typ" localSheetId="7">'2-Položky'!#REF!</definedName>
    <definedName name="Typ" localSheetId="9">'3-Položky'!#REF!</definedName>
    <definedName name="Typ" localSheetId="11">'3-Položky'!#REF!</definedName>
    <definedName name="Typ" localSheetId="10">'3-Položky'!#REF!</definedName>
    <definedName name="Typ" localSheetId="12">#REF!</definedName>
    <definedName name="Typ" localSheetId="14">#REF!</definedName>
    <definedName name="Typ" localSheetId="13">#REF!</definedName>
    <definedName name="Typ" localSheetId="5">#REF!</definedName>
    <definedName name="Typ" localSheetId="0">#REF!</definedName>
    <definedName name="Typ" localSheetId="4">ZTI!#REF!</definedName>
    <definedName name="Typ">#REF!</definedName>
    <definedName name="Typ_1" localSheetId="12">(#REF!,#REF!)</definedName>
    <definedName name="Typ_1" localSheetId="14">(#REF!,#REF!)</definedName>
    <definedName name="Typ_1" localSheetId="13">(#REF!,#REF!)</definedName>
    <definedName name="Typ_1" localSheetId="5">(#REF!,#REF!)</definedName>
    <definedName name="Typ_1" localSheetId="0">(#REF!,#REF!)</definedName>
    <definedName name="Typ_1">(#REF!,#REF!)</definedName>
    <definedName name="Typ_9" localSheetId="1">#REF!</definedName>
    <definedName name="Typ_9" localSheetId="3">#REF!</definedName>
    <definedName name="Typ_9" localSheetId="2">#REF!</definedName>
    <definedName name="Typ_9" localSheetId="12">#REF!</definedName>
    <definedName name="Typ_9" localSheetId="14">#REF!</definedName>
    <definedName name="Typ_9" localSheetId="13">#REF!</definedName>
    <definedName name="Typ_9" localSheetId="5">#REF!</definedName>
    <definedName name="Typ_9" localSheetId="0">#REF!</definedName>
    <definedName name="Typ_9">#REF!</definedName>
    <definedName name="TypNabidky" localSheetId="5">#REF!</definedName>
    <definedName name="TypNabidky" localSheetId="0">#REF!</definedName>
    <definedName name="TypNabidky">#REF!</definedName>
    <definedName name="UkazatDPH" localSheetId="5">#REF!</definedName>
    <definedName name="UkazatDPH" localSheetId="0">#REF!</definedName>
    <definedName name="UkazatDPH">#REF!</definedName>
    <definedName name="usd___0_1">0</definedName>
    <definedName name="usd___0_2">0</definedName>
    <definedName name="V_BezSlevy" localSheetId="12">"N"&amp;#REF!</definedName>
    <definedName name="V_BezSlevy" localSheetId="14">"N"&amp;#REF!</definedName>
    <definedName name="V_BezSlevy" localSheetId="13">"N"&amp;#REF!</definedName>
    <definedName name="V_BezSlevy" localSheetId="5">"N"&amp;#REF!</definedName>
    <definedName name="V_BezSlevy" localSheetId="0">"N"&amp;#REF!</definedName>
    <definedName name="V_BezSlevy">"N"&amp;#REF!</definedName>
    <definedName name="V_BruttoCelkem" localSheetId="12">#REF!*(1+#REF!/100)</definedName>
    <definedName name="V_BruttoCelkem" localSheetId="14">#REF!*(1+#REF!/100)</definedName>
    <definedName name="V_BruttoCelkem" localSheetId="13">#REF!*(1+#REF!/100)</definedName>
    <definedName name="V_BruttoCelkem" localSheetId="5">#REF!*(1+#REF!/100)</definedName>
    <definedName name="V_BruttoCelkem" localSheetId="0">#REF!*(1+#REF!/100)</definedName>
    <definedName name="V_BruttoCelkem">#REF!*(1+#REF!/100)</definedName>
    <definedName name="V_BruttoCelkemDPH" localSheetId="1">IF(UPPER(UkazatDPH)="A",V_BruttoCelkem," ")</definedName>
    <definedName name="V_BruttoCelkemDPH" localSheetId="3">IF(UPPER(UkazatDPH)="A",V_BruttoCelkem," ")</definedName>
    <definedName name="V_BruttoCelkemDPH" localSheetId="2">IF(UPPER(UkazatDPH)="A",V_BruttoCelkem," ")</definedName>
    <definedName name="V_BruttoCelkemDPH" localSheetId="12">IF(UPPER(UkazatDPH)="A",'4-Krycí list'!V_BruttoCelkem," ")</definedName>
    <definedName name="V_BruttoCelkemDPH" localSheetId="14">IF(UPPER(UkazatDPH)="A",'4-Položky'!V_BruttoCelkem," ")</definedName>
    <definedName name="V_BruttoCelkemDPH" localSheetId="13">IF(UPPER(UkazatDPH)="A",'4-Rekapitulace'!V_BruttoCelkem," ")</definedName>
    <definedName name="V_BruttoCelkemDPH" localSheetId="5">IF(UPPER(elektro!UkazatDPH)="A",elektro!V_BruttoCelkem," ")</definedName>
    <definedName name="V_BruttoCelkemDPH" localSheetId="0">IF(UPPER(Souhrn!UkazatDPH)="A",Souhrn!V_BruttoCelkem," ")</definedName>
    <definedName name="V_BruttoCelkemDPH">IF(UPPER(UkazatDPH)="A",V_BruttoCelkem," ")</definedName>
    <definedName name="V_CelkemBezDPH" localSheetId="12">SUMIF(#REF!,#REF!,#REF!)</definedName>
    <definedName name="V_CelkemBezDPH" localSheetId="14">SUMIF(#REF!,#REF!,#REF!)</definedName>
    <definedName name="V_CelkemBezDPH" localSheetId="13">SUMIF(#REF!,#REF!,#REF!)</definedName>
    <definedName name="V_CelkemBezDPH" localSheetId="5">SUMIF(#REF!,#REF!,#REF!)</definedName>
    <definedName name="V_CelkemBezDPH" localSheetId="0">SUMIF(#REF!,#REF!,#REF!)</definedName>
    <definedName name="V_CelkemBezDPH">SUMIF(#REF!,#REF!,#REF!)</definedName>
    <definedName name="V_CelkemBezDPHNakup" localSheetId="12">SUMIF(#REF!,#REF!,#REF!)</definedName>
    <definedName name="V_CelkemBezDPHNakup" localSheetId="14">SUMIF(#REF!,#REF!,#REF!)</definedName>
    <definedName name="V_CelkemBezDPHNakup" localSheetId="13">SUMIF(#REF!,#REF!,#REF!)</definedName>
    <definedName name="V_CelkemBezDPHNakup" localSheetId="5">SUMIF(#REF!,#REF!,#REF!)</definedName>
    <definedName name="V_CelkemBezDPHNakup" localSheetId="0">SUMIF(#REF!,#REF!,#REF!)</definedName>
    <definedName name="V_CelkemBezDPHNakup">SUMIF(#REF!,#REF!,#REF!)</definedName>
    <definedName name="V_CelkemKW" localSheetId="12">SUMIF(#REF!,"C",#REF!)</definedName>
    <definedName name="V_CelkemKW" localSheetId="14">SUMIF(#REF!,"C",#REF!)</definedName>
    <definedName name="V_CelkemKW" localSheetId="13">SUMIF(#REF!,"C",#REF!)</definedName>
    <definedName name="V_CelkemKW" localSheetId="5">SUMIF(#REF!,"C",#REF!)</definedName>
    <definedName name="V_CelkemKW" localSheetId="0">SUMIF(#REF!,"C",#REF!)</definedName>
    <definedName name="V_CelkemKW">SUMIF(#REF!,"C",#REF!)</definedName>
    <definedName name="V_NabSkupNaz" localSheetId="12">VLOOKUP(#REF!,#REF!,6,0)</definedName>
    <definedName name="V_NabSkupNaz" localSheetId="14">VLOOKUP(#REF!,#REF!,6,0)</definedName>
    <definedName name="V_NabSkupNaz" localSheetId="13">VLOOKUP(#REF!,#REF!,6,0)</definedName>
    <definedName name="V_NabSkupNaz" localSheetId="5">VLOOKUP(#REF!,#REF!,6,0)</definedName>
    <definedName name="V_NabSkupNaz" localSheetId="0">VLOOKUP(#REF!,#REF!,6,0)</definedName>
    <definedName name="V_NabSkupNaz">VLOOKUP(#REF!,#REF!,6,0)</definedName>
    <definedName name="V_NettoCelkem" localSheetId="12">#REF!*#REF!</definedName>
    <definedName name="V_NettoCelkem" localSheetId="14">#REF!*#REF!</definedName>
    <definedName name="V_NettoCelkem" localSheetId="13">#REF!*#REF!</definedName>
    <definedName name="V_NettoCelkem" localSheetId="5">#REF!*#REF!</definedName>
    <definedName name="V_NettoCelkem" localSheetId="0">#REF!*#REF!</definedName>
    <definedName name="V_NettoCelkem">#REF!*#REF!</definedName>
    <definedName name="V_Plus1" localSheetId="5">#REF!+1</definedName>
    <definedName name="V_Plus1" localSheetId="0">#REF!+1</definedName>
    <definedName name="V_Plus1">#REF!+1</definedName>
    <definedName name="V_Poz" localSheetId="12">#REF! &amp; "." &amp;#REF! &amp; "." &amp;#REF!</definedName>
    <definedName name="V_Poz" localSheetId="14">#REF! &amp; "." &amp;#REF! &amp; "." &amp;#REF!</definedName>
    <definedName name="V_Poz" localSheetId="13">#REF! &amp; "." &amp;#REF! &amp; "." &amp;#REF!</definedName>
    <definedName name="V_Poz" localSheetId="5">#REF! &amp; "." &amp;#REF! &amp; "." &amp;#REF!</definedName>
    <definedName name="V_Poz" localSheetId="0">#REF! &amp; "." &amp;#REF! &amp; "." &amp;#REF!</definedName>
    <definedName name="V_Poz">#REF! &amp; "." &amp;#REF! &amp; "." &amp;#REF!</definedName>
    <definedName name="V_Prikon" localSheetId="12">IF(LEFT(#REF!,4)=#REF!,VALUE(RIGHT(#REF!,LEN(#REF!)-5)),0)</definedName>
    <definedName name="V_Prikon" localSheetId="14">IF(LEFT(#REF!,4)=#REF!,VALUE(RIGHT(#REF!,LEN(#REF!)-5)),0)</definedName>
    <definedName name="V_Prikon" localSheetId="13">IF(LEFT(#REF!,4)=#REF!,VALUE(RIGHT(#REF!,LEN(#REF!)-5)),0)</definedName>
    <definedName name="V_Prikon" localSheetId="5">IF(LEFT(#REF!,4)=#REF!,VALUE(RIGHT(#REF!,LEN(#REF!)-5)),0)</definedName>
    <definedName name="V_Prikon" localSheetId="0">IF(LEFT(#REF!,4)=#REF!,VALUE(RIGHT(#REF!,LEN(#REF!)-5)),0)</definedName>
    <definedName name="V_Prikon">IF(LEFT(#REF!,4)=#REF!,VALUE(RIGHT(#REF!,LEN(#REF!)-5)),0)</definedName>
    <definedName name="V_RekNetto" localSheetId="12">IF(#REF!=" ", " ",VLOOKUP(#REF!,#REF!,4,0))</definedName>
    <definedName name="V_RekNetto" localSheetId="14">IF(#REF!=" ", " ",VLOOKUP(#REF!,#REF!,4,0))</definedName>
    <definedName name="V_RekNetto" localSheetId="13">IF(#REF!=" ", " ",VLOOKUP(#REF!,#REF!,4,0))</definedName>
    <definedName name="V_RekNetto" localSheetId="5">IF(#REF!=" ", " ",VLOOKUP(#REF!,#REF!,4,0))</definedName>
    <definedName name="V_RekNetto" localSheetId="0">IF(#REF!=" ", " ",VLOOKUP(#REF!,#REF!,4,0))</definedName>
    <definedName name="V_RekNetto">IF(#REF!=" ", " ",VLOOKUP(#REF!,#REF!,4,0))</definedName>
    <definedName name="V_RekSkup" localSheetId="12">VLOOKUP(#REF!,#REF!,3,0)</definedName>
    <definedName name="V_RekSkup" localSheetId="14">VLOOKUP(#REF!,#REF!,3,0)</definedName>
    <definedName name="V_RekSkup" localSheetId="13">VLOOKUP(#REF!,#REF!,3,0)</definedName>
    <definedName name="V_RekSkup" localSheetId="5">VLOOKUP(#REF!,#REF!,3,0)</definedName>
    <definedName name="V_RekSkup" localSheetId="0">VLOOKUP(#REF!,#REF!,3,0)</definedName>
    <definedName name="V_RekSkup">VLOOKUP(#REF!,#REF!,3,0)</definedName>
    <definedName name="V_RekSkupNaz" localSheetId="5">IF(ISERROR(#REF!), " ",#REF!)</definedName>
    <definedName name="V_RekSkupNaz" localSheetId="0">IF(ISERROR(#REF!), " ",#REF!)</definedName>
    <definedName name="V_RekSkupNaz">IF(ISERROR(#REF!), " ",#REF!)</definedName>
    <definedName name="V_SkupinaCelkem" localSheetId="12">SUMIF(#REF!,#REF!,#REF!)</definedName>
    <definedName name="V_SkupinaCelkem" localSheetId="14">SUMIF(#REF!,#REF!,#REF!)</definedName>
    <definedName name="V_SkupinaCelkem" localSheetId="13">SUMIF(#REF!,#REF!,#REF!)</definedName>
    <definedName name="V_SkupinaCelkem" localSheetId="5">SUMIF(#REF!,#REF!,#REF!)</definedName>
    <definedName name="V_SkupinaCelkem" localSheetId="0">SUMIF(#REF!,#REF!,#REF!)</definedName>
    <definedName name="V_SkupinaCelkem">SUMIF(#REF!,#REF!,#REF!)</definedName>
    <definedName name="V_SkupinaCelkemDPH" localSheetId="1">IF(UPPER(UkazatDPH)="A",V_SkupinaCelkem," ")</definedName>
    <definedName name="V_SkupinaCelkemDPH" localSheetId="3">IF(UPPER(UkazatDPH)="A",V_SkupinaCelkem," ")</definedName>
    <definedName name="V_SkupinaCelkemDPH" localSheetId="2">IF(UPPER(UkazatDPH)="A",V_SkupinaCelkem," ")</definedName>
    <definedName name="V_SkupinaCelkemDPH" localSheetId="12">IF(UPPER(UkazatDPH)="A",'4-Krycí list'!V_SkupinaCelkem," ")</definedName>
    <definedName name="V_SkupinaCelkemDPH" localSheetId="14">IF(UPPER(UkazatDPH)="A",'4-Položky'!V_SkupinaCelkem," ")</definedName>
    <definedName name="V_SkupinaCelkemDPH" localSheetId="13">IF(UPPER(UkazatDPH)="A",'4-Rekapitulace'!V_SkupinaCelkem," ")</definedName>
    <definedName name="V_SkupinaCelkemDPH" localSheetId="5">IF(UPPER(elektro!UkazatDPH)="A",elektro!V_SkupinaCelkem," ")</definedName>
    <definedName name="V_SkupinaCelkemDPH" localSheetId="0">IF(UPPER(Souhrn!UkazatDPH)="A",Souhrn!V_SkupinaCelkem," ")</definedName>
    <definedName name="V_SkupinaCelkemDPH">IF(UPPER(UkazatDPH)="A",V_SkupinaCelkem," ")</definedName>
    <definedName name="V_SLEVA" localSheetId="12">-SUMIF(#REF!,"P",#REF!)*#REF!/100</definedName>
    <definedName name="V_SLEVA" localSheetId="14">-SUMIF(#REF!,"P",#REF!)*#REF!/100</definedName>
    <definedName name="V_SLEVA" localSheetId="13">-SUMIF(#REF!,"P",#REF!)*#REF!/100</definedName>
    <definedName name="V_SLEVA" localSheetId="5">-SUMIF(#REF!,"P",#REF!)*#REF!/100</definedName>
    <definedName name="V_SLEVA" localSheetId="0">-SUMIF(#REF!,"P",#REF!)*#REF!/100</definedName>
    <definedName name="V_SLEVA">-SUMIF(#REF!,"P",#REF!)*#REF!/100</definedName>
    <definedName name="V_UpPlus1" localSheetId="12">#REF!+1</definedName>
    <definedName name="V_UpPlus1" localSheetId="14">#REF!+1</definedName>
    <definedName name="V_UpPlus1" localSheetId="13">#REF!+1</definedName>
    <definedName name="V_UpPlus1" localSheetId="5">#REF!+1</definedName>
    <definedName name="V_UpPlus1" localSheetId="0">#REF!+1</definedName>
    <definedName name="V_UpPlus1">#REF!+1</definedName>
    <definedName name="VedProjProfese" localSheetId="1">#REF!</definedName>
    <definedName name="VedProjProfese" localSheetId="3">#REF!</definedName>
    <definedName name="VedProjProfese" localSheetId="2">#REF!</definedName>
    <definedName name="VedProjProfese" localSheetId="12">#REF!</definedName>
    <definedName name="VedProjProfese" localSheetId="14">#REF!</definedName>
    <definedName name="VedProjProfese" localSheetId="13">#REF!</definedName>
    <definedName name="VedProjProfese" localSheetId="5">#REF!</definedName>
    <definedName name="VedProjProfese" localSheetId="0">#REF!</definedName>
    <definedName name="VedProjProfese">#REF!</definedName>
    <definedName name="VF___0_1">0</definedName>
    <definedName name="VF___0_2">0</definedName>
    <definedName name="VRN" localSheetId="6">'2-Rekapitulace'!$H$22</definedName>
    <definedName name="VRN" localSheetId="8">'2-Rekapitulace'!$H$22</definedName>
    <definedName name="VRN" localSheetId="7">'2-Rekapitulace'!$H$22</definedName>
    <definedName name="VRN" localSheetId="9">'3-Rekapitulace'!$H$20</definedName>
    <definedName name="VRN" localSheetId="11">'3-Rekapitulace'!$H$20</definedName>
    <definedName name="VRN" localSheetId="10">'3-Rekapitulace'!$H$20</definedName>
    <definedName name="VRN" localSheetId="12">#REF!</definedName>
    <definedName name="VRN" localSheetId="14">#REF!</definedName>
    <definedName name="VRN" localSheetId="13">#REF!</definedName>
    <definedName name="VRN" localSheetId="5">#REF!</definedName>
    <definedName name="VRN" localSheetId="0">#REF!</definedName>
    <definedName name="VRN" localSheetId="4">#REF!</definedName>
    <definedName name="VRN">#REF!</definedName>
    <definedName name="VRN_6" localSheetId="1">#REF!</definedName>
    <definedName name="VRN_6" localSheetId="3">#REF!</definedName>
    <definedName name="VRN_6" localSheetId="2">#REF!</definedName>
    <definedName name="VRN_6" localSheetId="12">#REF!</definedName>
    <definedName name="VRN_6" localSheetId="14">#REF!</definedName>
    <definedName name="VRN_6" localSheetId="13">#REF!</definedName>
    <definedName name="VRN_6" localSheetId="5">#REF!</definedName>
    <definedName name="VRN_6" localSheetId="0">#REF!</definedName>
    <definedName name="VRN_6">#REF!</definedName>
    <definedName name="VRNKc" localSheetId="1">#REF!</definedName>
    <definedName name="VRNKc" localSheetId="3">#REF!</definedName>
    <definedName name="VRNKc" localSheetId="2">#REF!</definedName>
    <definedName name="VRNKc" localSheetId="6">'2-Rekapitulace'!#REF!</definedName>
    <definedName name="VRNKc" localSheetId="8">'2-Rekapitulace'!#REF!</definedName>
    <definedName name="VRNKc" localSheetId="7">'2-Rekapitulace'!#REF!</definedName>
    <definedName name="VRNKc" localSheetId="9">'3-Rekapitulace'!#REF!</definedName>
    <definedName name="VRNKc" localSheetId="11">'3-Rekapitulace'!#REF!</definedName>
    <definedName name="VRNKc" localSheetId="10">'3-Rekapitulace'!#REF!</definedName>
    <definedName name="VRNKc" localSheetId="12">#REF!</definedName>
    <definedName name="VRNKc" localSheetId="14">#REF!</definedName>
    <definedName name="VRNKc" localSheetId="13">#REF!</definedName>
    <definedName name="VRNKc" localSheetId="5">#REF!</definedName>
    <definedName name="VRNKc" localSheetId="0">#REF!</definedName>
    <definedName name="VRNKc" localSheetId="4">#REF!</definedName>
    <definedName name="VRNKc">#REF!</definedName>
    <definedName name="VRNKc_6" localSheetId="1">#REF!</definedName>
    <definedName name="VRNKc_6" localSheetId="3">#REF!</definedName>
    <definedName name="VRNKc_6" localSheetId="2">#REF!</definedName>
    <definedName name="VRNKc_6" localSheetId="12">#REF!</definedName>
    <definedName name="VRNKc_6" localSheetId="14">#REF!</definedName>
    <definedName name="VRNKc_6" localSheetId="13">#REF!</definedName>
    <definedName name="VRNKc_6" localSheetId="5">#REF!</definedName>
    <definedName name="VRNKc_6" localSheetId="0">#REF!</definedName>
    <definedName name="VRNKc_6">#REF!</definedName>
    <definedName name="VRNnazev" localSheetId="1">#REF!</definedName>
    <definedName name="VRNnazev" localSheetId="3">#REF!</definedName>
    <definedName name="VRNnazev" localSheetId="2">#REF!</definedName>
    <definedName name="VRNnazev" localSheetId="6">'2-Rekapitulace'!#REF!</definedName>
    <definedName name="VRNnazev" localSheetId="8">'2-Rekapitulace'!#REF!</definedName>
    <definedName name="VRNnazev" localSheetId="7">'2-Rekapitulace'!#REF!</definedName>
    <definedName name="VRNnazev" localSheetId="9">'3-Rekapitulace'!#REF!</definedName>
    <definedName name="VRNnazev" localSheetId="11">'3-Rekapitulace'!#REF!</definedName>
    <definedName name="VRNnazev" localSheetId="10">'3-Rekapitulace'!#REF!</definedName>
    <definedName name="VRNnazev" localSheetId="12">#REF!</definedName>
    <definedName name="VRNnazev" localSheetId="14">#REF!</definedName>
    <definedName name="VRNnazev" localSheetId="13">#REF!</definedName>
    <definedName name="VRNnazev" localSheetId="5">#REF!</definedName>
    <definedName name="VRNnazev" localSheetId="0">#REF!</definedName>
    <definedName name="VRNnazev" localSheetId="4">#REF!</definedName>
    <definedName name="VRNnazev">#REF!</definedName>
    <definedName name="VRNnazev_6" localSheetId="1">#REF!</definedName>
    <definedName name="VRNnazev_6" localSheetId="3">#REF!</definedName>
    <definedName name="VRNnazev_6" localSheetId="2">#REF!</definedName>
    <definedName name="VRNnazev_6" localSheetId="12">#REF!</definedName>
    <definedName name="VRNnazev_6" localSheetId="14">#REF!</definedName>
    <definedName name="VRNnazev_6" localSheetId="13">#REF!</definedName>
    <definedName name="VRNnazev_6" localSheetId="5">#REF!</definedName>
    <definedName name="VRNnazev_6" localSheetId="0">#REF!</definedName>
    <definedName name="VRNnazev_6">#REF!</definedName>
    <definedName name="VRNproc" localSheetId="1">#REF!</definedName>
    <definedName name="VRNproc" localSheetId="3">#REF!</definedName>
    <definedName name="VRNproc" localSheetId="2">#REF!</definedName>
    <definedName name="VRNproc" localSheetId="6">'2-Rekapitulace'!#REF!</definedName>
    <definedName name="VRNproc" localSheetId="8">'2-Rekapitulace'!#REF!</definedName>
    <definedName name="VRNproc" localSheetId="7">'2-Rekapitulace'!#REF!</definedName>
    <definedName name="VRNproc" localSheetId="9">'3-Rekapitulace'!#REF!</definedName>
    <definedName name="VRNproc" localSheetId="11">'3-Rekapitulace'!#REF!</definedName>
    <definedName name="VRNproc" localSheetId="10">'3-Rekapitulace'!#REF!</definedName>
    <definedName name="VRNproc" localSheetId="12">#REF!</definedName>
    <definedName name="VRNproc" localSheetId="14">#REF!</definedName>
    <definedName name="VRNproc" localSheetId="13">#REF!</definedName>
    <definedName name="VRNproc" localSheetId="5">#REF!</definedName>
    <definedName name="VRNproc" localSheetId="0">#REF!</definedName>
    <definedName name="VRNproc" localSheetId="4">#REF!</definedName>
    <definedName name="VRNproc">#REF!</definedName>
    <definedName name="VRNproc_6" localSheetId="1">#REF!</definedName>
    <definedName name="VRNproc_6" localSheetId="3">#REF!</definedName>
    <definedName name="VRNproc_6" localSheetId="2">#REF!</definedName>
    <definedName name="VRNproc_6" localSheetId="12">#REF!</definedName>
    <definedName name="VRNproc_6" localSheetId="14">#REF!</definedName>
    <definedName name="VRNproc_6" localSheetId="13">#REF!</definedName>
    <definedName name="VRNproc_6" localSheetId="5">#REF!</definedName>
    <definedName name="VRNproc_6" localSheetId="0">#REF!</definedName>
    <definedName name="VRNproc_6">#REF!</definedName>
    <definedName name="VRNzakl" localSheetId="1">#REF!</definedName>
    <definedName name="VRNzakl" localSheetId="3">#REF!</definedName>
    <definedName name="VRNzakl" localSheetId="2">#REF!</definedName>
    <definedName name="VRNzakl" localSheetId="6">'2-Rekapitulace'!#REF!</definedName>
    <definedName name="VRNzakl" localSheetId="8">'2-Rekapitulace'!#REF!</definedName>
    <definedName name="VRNzakl" localSheetId="7">'2-Rekapitulace'!#REF!</definedName>
    <definedName name="VRNzakl" localSheetId="9">'3-Rekapitulace'!#REF!</definedName>
    <definedName name="VRNzakl" localSheetId="11">'3-Rekapitulace'!#REF!</definedName>
    <definedName name="VRNzakl" localSheetId="10">'3-Rekapitulace'!#REF!</definedName>
    <definedName name="VRNzakl" localSheetId="12">#REF!</definedName>
    <definedName name="VRNzakl" localSheetId="14">#REF!</definedName>
    <definedName name="VRNzakl" localSheetId="13">#REF!</definedName>
    <definedName name="VRNzakl" localSheetId="5">#REF!</definedName>
    <definedName name="VRNzakl" localSheetId="0">#REF!</definedName>
    <definedName name="VRNzakl" localSheetId="4">#REF!</definedName>
    <definedName name="VRNzakl">#REF!</definedName>
    <definedName name="VRNzakl_6" localSheetId="1">#REF!</definedName>
    <definedName name="VRNzakl_6" localSheetId="3">#REF!</definedName>
    <definedName name="VRNzakl_6" localSheetId="2">#REF!</definedName>
    <definedName name="VRNzakl_6" localSheetId="12">#REF!</definedName>
    <definedName name="VRNzakl_6" localSheetId="14">#REF!</definedName>
    <definedName name="VRNzakl_6" localSheetId="13">#REF!</definedName>
    <definedName name="VRNzakl_6" localSheetId="5">#REF!</definedName>
    <definedName name="VRNzakl_6" localSheetId="0">#REF!</definedName>
    <definedName name="VRNzakl_6">#REF!</definedName>
    <definedName name="VU___0_1">0</definedName>
    <definedName name="VU___0_2">0</definedName>
    <definedName name="VYPRACOVAL_01" localSheetId="1">#REF!</definedName>
    <definedName name="VYPRACOVAL_01" localSheetId="3">#REF!</definedName>
    <definedName name="VYPRACOVAL_01" localSheetId="2">#REF!</definedName>
    <definedName name="VYPRACOVAL_01" localSheetId="12">#REF!</definedName>
    <definedName name="VYPRACOVAL_01" localSheetId="14">#REF!</definedName>
    <definedName name="VYPRACOVAL_01" localSheetId="13">#REF!</definedName>
    <definedName name="VYPRACOVAL_01" localSheetId="5">#REF!</definedName>
    <definedName name="VYPRACOVAL_01" localSheetId="0">#REF!</definedName>
    <definedName name="VYPRACOVAL_01">#REF!</definedName>
    <definedName name="VYPRACOVAL_02" localSheetId="1">#REF!</definedName>
    <definedName name="VYPRACOVAL_02" localSheetId="3">#REF!</definedName>
    <definedName name="VYPRACOVAL_02" localSheetId="2">#REF!</definedName>
    <definedName name="VYPRACOVAL_02" localSheetId="12">#REF!</definedName>
    <definedName name="VYPRACOVAL_02" localSheetId="14">#REF!</definedName>
    <definedName name="VYPRACOVAL_02" localSheetId="13">#REF!</definedName>
    <definedName name="VYPRACOVAL_02" localSheetId="5">#REF!</definedName>
    <definedName name="VYPRACOVAL_02" localSheetId="0">#REF!</definedName>
    <definedName name="VYPRACOVAL_02">#REF!</definedName>
    <definedName name="VYPRACOVAL_03" localSheetId="5">#REF!</definedName>
    <definedName name="VYPRACOVAL_03" localSheetId="0">#REF!</definedName>
    <definedName name="VYPRACOVAL_03">#REF!</definedName>
    <definedName name="VZT" localSheetId="5">#REF!</definedName>
    <definedName name="VZT" localSheetId="0">#REF!</definedName>
    <definedName name="VZT">#REF!</definedName>
    <definedName name="VZT_1" localSheetId="5">#REF!</definedName>
    <definedName name="VZT_1" localSheetId="0">#REF!</definedName>
    <definedName name="VZT_1">#REF!</definedName>
    <definedName name="VZT_6" localSheetId="5">#REF!</definedName>
    <definedName name="VZT_6" localSheetId="0">#REF!</definedName>
    <definedName name="VZT_6">#REF!</definedName>
    <definedName name="xx" localSheetId="12">#REF!</definedName>
    <definedName name="xx" localSheetId="14">#REF!</definedName>
    <definedName name="xx" localSheetId="13">#REF!</definedName>
    <definedName name="xx" localSheetId="5">#REF!</definedName>
    <definedName name="xx" localSheetId="0">#REF!</definedName>
    <definedName name="xx">#REF!</definedName>
    <definedName name="Z_2C75CF4E_0D06_4721_8E76_BAB145749A3D_.wvu.PrintArea">"$#REF!.$A$3:$#REF!.$C$562"</definedName>
    <definedName name="Z_3FFCA56C_B0D6_4620_9357_B2FC76A8C8D7_.wvu.PrintArea">"$#REF!.$A$3:$#REF!.$C$562"</definedName>
    <definedName name="Z_6AA7A99F_001E_11D6_8899_00A0C944E8FA_.wvu.FilterData">"$#REF!.$A$2:$#REF!.$E$700"</definedName>
    <definedName name="Z_6AA7A99F_001E_11D6_8899_00A0C944E8FA_.wvu.PrintArea">"$#REF!.$A$1:$#REF!.$D$36"</definedName>
    <definedName name="Z_6AA7A99F_001E_11D6_8899_00A0C944E8FA_.wvu.PrintArea___0">"$#REF!.$A$2:$#REF!.$D$230"</definedName>
    <definedName name="Z_6AA7A99F_001E_11D6_8899_00A0C944E8FA_.wvu.PrintArea___0_1">0</definedName>
    <definedName name="Z_6AA7A99F_001E_11D6_8899_00A0C944E8FA_.wvu.PrintArea___0_2">0</definedName>
    <definedName name="Z_6AA7A99F_001E_11D6_8899_00A0C944E8FA_.wvu.PrintTitles">"$#REF!.$#REF!$#REF!:$#REF!.$#REF!$#REF!"</definedName>
    <definedName name="Z_6AA7A99F_001E_11D6_8899_00A0C944E8FA_.wvu.PrintTitles___0">"$#REF!.$#REF!$#REF!:$#REF!.$#REF!$#REF!"</definedName>
    <definedName name="Z_6AA7A99F_001E_11D6_8899_00A0C944E8FA_.wvu.PrintTitles___0_1">0</definedName>
    <definedName name="Z_D5FD3071_1963_4B4D_8E00_24CD3963BC93_.wvu.Cols">"$#REF!.#REF!#REF!:$#REF!.$#REF!$#REF!"</definedName>
    <definedName name="Z_D5FD3071_1963_4B4D_8E00_24CD3963BC93_.wvu.FilterData">"$#REF!.$#REF!$#REF!:$#REF!.$#REF!$#REF!"</definedName>
    <definedName name="Z_D7544732_21F0_4702_835A_11F885FEB961_.wvu.PrintArea">"$#REF!.$A$3:$#REF!.$C$562"</definedName>
    <definedName name="Z_DD8899BF_4FBB_4C8F_97F0_9ABA26F4301A_.wvu.PrintArea">"$#REF!.$A$3:$#REF!.$C$562"</definedName>
    <definedName name="Zakazka" localSheetId="1">#REF!</definedName>
    <definedName name="Zakazka" localSheetId="3">#REF!</definedName>
    <definedName name="Zakazka" localSheetId="2">#REF!</definedName>
    <definedName name="Zakazka" localSheetId="6">'2-Krycí list'!$G$9</definedName>
    <definedName name="Zakazka" localSheetId="8">'2-Krycí list'!$G$9</definedName>
    <definedName name="Zakazka" localSheetId="7">'2-Krycí list'!$G$9</definedName>
    <definedName name="Zakazka" localSheetId="9">'3-Krycí list'!$G$9</definedName>
    <definedName name="Zakazka" localSheetId="11">'3-Krycí list'!$G$9</definedName>
    <definedName name="Zakazka" localSheetId="10">'3-Krycí list'!$G$9</definedName>
    <definedName name="Zakazka" localSheetId="12">#REF!</definedName>
    <definedName name="Zakazka" localSheetId="14">#REF!</definedName>
    <definedName name="Zakazka" localSheetId="13">#REF!</definedName>
    <definedName name="Zakazka" localSheetId="5">#REF!</definedName>
    <definedName name="Zakazka" localSheetId="0">#REF!</definedName>
    <definedName name="Zakazka">#REF!</definedName>
    <definedName name="Zakazka_6" localSheetId="1">#REF!</definedName>
    <definedName name="Zakazka_6" localSheetId="3">#REF!</definedName>
    <definedName name="Zakazka_6" localSheetId="2">#REF!</definedName>
    <definedName name="Zakazka_6" localSheetId="12">#REF!</definedName>
    <definedName name="Zakazka_6" localSheetId="14">#REF!</definedName>
    <definedName name="Zakazka_6" localSheetId="13">#REF!</definedName>
    <definedName name="Zakazka_6" localSheetId="5">#REF!</definedName>
    <definedName name="Zakazka_6" localSheetId="0">#REF!</definedName>
    <definedName name="Zakazka_6">#REF!</definedName>
    <definedName name="ZakHead" localSheetId="1">#REF!</definedName>
    <definedName name="ZakHead" localSheetId="3">#REF!</definedName>
    <definedName name="ZakHead" localSheetId="2">#REF!</definedName>
    <definedName name="ZakHead" localSheetId="12">#REF!</definedName>
    <definedName name="ZakHead" localSheetId="14">#REF!</definedName>
    <definedName name="ZakHead" localSheetId="13">#REF!</definedName>
    <definedName name="ZakHead" localSheetId="5">#REF!</definedName>
    <definedName name="ZakHead" localSheetId="0">#REF!</definedName>
    <definedName name="ZakHead">#REF!</definedName>
    <definedName name="Zaklad22" localSheetId="6">'2-Krycí list'!$F$32</definedName>
    <definedName name="Zaklad22" localSheetId="8">'2-Krycí list'!$F$32</definedName>
    <definedName name="Zaklad22" localSheetId="7">'2-Krycí list'!$F$32</definedName>
    <definedName name="Zaklad22" localSheetId="9">'3-Krycí list'!$F$32</definedName>
    <definedName name="Zaklad22" localSheetId="11">'3-Krycí list'!$F$32</definedName>
    <definedName name="Zaklad22" localSheetId="10">'3-Krycí list'!$F$32</definedName>
    <definedName name="Zaklad22" localSheetId="12">#REF!</definedName>
    <definedName name="Zaklad22" localSheetId="14">#REF!</definedName>
    <definedName name="Zaklad22" localSheetId="13">#REF!</definedName>
    <definedName name="Zaklad22" localSheetId="5">#REF!</definedName>
    <definedName name="Zaklad22" localSheetId="0">#REF!</definedName>
    <definedName name="Zaklad22">#REF!</definedName>
    <definedName name="Zaklad22_6" localSheetId="5">#REF!</definedName>
    <definedName name="Zaklad22_6" localSheetId="0">#REF!</definedName>
    <definedName name="Zaklad22_6">#REF!</definedName>
    <definedName name="Zaklad5" localSheetId="6">'2-Krycí list'!$F$30</definedName>
    <definedName name="Zaklad5" localSheetId="8">'2-Krycí list'!$F$30</definedName>
    <definedName name="Zaklad5" localSheetId="7">'2-Krycí list'!$F$30</definedName>
    <definedName name="Zaklad5" localSheetId="9">'3-Krycí list'!$F$30</definedName>
    <definedName name="Zaklad5" localSheetId="11">'3-Krycí list'!$F$30</definedName>
    <definedName name="Zaklad5" localSheetId="10">'3-Krycí list'!$F$30</definedName>
    <definedName name="Zaklad5" localSheetId="12">#REF!</definedName>
    <definedName name="Zaklad5" localSheetId="14">#REF!</definedName>
    <definedName name="Zaklad5" localSheetId="13">#REF!</definedName>
    <definedName name="Zaklad5" localSheetId="5">#REF!</definedName>
    <definedName name="Zaklad5" localSheetId="0">#REF!</definedName>
    <definedName name="Zaklad5">#REF!</definedName>
    <definedName name="Zaklad5_6" localSheetId="5">#REF!</definedName>
    <definedName name="Zaklad5_6" localSheetId="0">#REF!</definedName>
    <definedName name="Zaklad5_6">#REF!</definedName>
    <definedName name="ZakladDPHSni" localSheetId="12">#REF!</definedName>
    <definedName name="ZakladDPHSni" localSheetId="14">#REF!</definedName>
    <definedName name="ZakladDPHSni" localSheetId="13">#REF!</definedName>
    <definedName name="ZakladDPHSni" localSheetId="5">#REF!</definedName>
    <definedName name="ZakladDPHSni" localSheetId="0">#REF!</definedName>
    <definedName name="ZakladDPHSni">#REF!</definedName>
    <definedName name="ZakladDPHZakl" localSheetId="12">#REF!</definedName>
    <definedName name="ZakladDPHZakl" localSheetId="14">#REF!</definedName>
    <definedName name="ZakladDPHZakl" localSheetId="13">#REF!</definedName>
    <definedName name="ZakladDPHZakl" localSheetId="5">#REF!</definedName>
    <definedName name="ZakladDPHZakl" localSheetId="0">#REF!</definedName>
    <definedName name="ZakladDPHZakl">#REF!</definedName>
    <definedName name="Zaokrouhleni" localSheetId="12">#REF!</definedName>
    <definedName name="Zaokrouhleni" localSheetId="14">#REF!</definedName>
    <definedName name="Zaokrouhleni" localSheetId="13">#REF!</definedName>
    <definedName name="Zaokrouhleni" localSheetId="5">#REF!</definedName>
    <definedName name="Zaokrouhleni" localSheetId="0">#REF!</definedName>
    <definedName name="Zaokrouhleni">#REF!</definedName>
    <definedName name="Zhotovitel" localSheetId="1">#REF!</definedName>
    <definedName name="Zhotovitel" localSheetId="3">#REF!</definedName>
    <definedName name="Zhotovitel" localSheetId="2">#REF!</definedName>
    <definedName name="Zhotovitel" localSheetId="6">'2-Krycí list'!$E$11</definedName>
    <definedName name="Zhotovitel" localSheetId="8">'2-Krycí list'!$E$11</definedName>
    <definedName name="Zhotovitel" localSheetId="7">'2-Krycí list'!$E$11</definedName>
    <definedName name="Zhotovitel" localSheetId="9">'3-Krycí list'!$E$11</definedName>
    <definedName name="Zhotovitel" localSheetId="11">'3-Krycí list'!$E$11</definedName>
    <definedName name="Zhotovitel" localSheetId="10">'3-Krycí list'!$E$11</definedName>
    <definedName name="Zhotovitel" localSheetId="12">#REF!</definedName>
    <definedName name="Zhotovitel" localSheetId="14">#REF!</definedName>
    <definedName name="Zhotovitel" localSheetId="13">#REF!</definedName>
    <definedName name="Zhotovitel" localSheetId="5">#REF!</definedName>
    <definedName name="Zhotovitel" localSheetId="0">#REF!</definedName>
    <definedName name="Zhotovitel">#REF!</definedName>
    <definedName name="Zhotovitel_6" localSheetId="1">#REF!</definedName>
    <definedName name="Zhotovitel_6" localSheetId="3">#REF!</definedName>
    <definedName name="Zhotovitel_6" localSheetId="2">#REF!</definedName>
    <definedName name="Zhotovitel_6" localSheetId="12">#REF!</definedName>
    <definedName name="Zhotovitel_6" localSheetId="14">#REF!</definedName>
    <definedName name="Zhotovitel_6" localSheetId="13">#REF!</definedName>
    <definedName name="Zhotovitel_6" localSheetId="5">#REF!</definedName>
    <definedName name="Zhotovitel_6" localSheetId="0">#REF!</definedName>
    <definedName name="Zhotovitel_6">#REF!</definedName>
    <definedName name="zisk" localSheetId="12">#REF!</definedName>
    <definedName name="zisk" localSheetId="14">#REF!</definedName>
    <definedName name="zisk" localSheetId="13">#REF!</definedName>
    <definedName name="zisk" localSheetId="5">#REF!</definedName>
    <definedName name="zisk" localSheetId="0">#REF!</definedName>
    <definedName name="zisk">#REF!</definedName>
    <definedName name="Zpracovatel" localSheetId="1">#REF!</definedName>
    <definedName name="Zpracovatel" localSheetId="3">#REF!</definedName>
    <definedName name="Zpracovatel" localSheetId="2">#REF!</definedName>
    <definedName name="Zpracovatel" localSheetId="12">#REF!</definedName>
    <definedName name="Zpracovatel" localSheetId="14">#REF!</definedName>
    <definedName name="Zpracovatel" localSheetId="13">#REF!</definedName>
    <definedName name="Zpracovatel" localSheetId="5">#REF!</definedName>
    <definedName name="Zpracovatel" localSheetId="0">#REF!</definedName>
    <definedName name="Zpracovatel">#REF!</definedName>
    <definedName name="ZTI" localSheetId="12">#REF!</definedName>
    <definedName name="ZTI" localSheetId="14">#REF!</definedName>
    <definedName name="ZTI" localSheetId="13">#REF!</definedName>
    <definedName name="ZTI" localSheetId="5">#REF!</definedName>
    <definedName name="ZTI" localSheetId="0">#REF!</definedName>
    <definedName name="ZT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6" l="1"/>
  <c r="D26" i="16"/>
  <c r="C9" i="10" l="1"/>
  <c r="C10" i="10"/>
  <c r="C8" i="10"/>
  <c r="C7" i="10"/>
  <c r="C7" i="7"/>
  <c r="C10" i="7"/>
  <c r="C9" i="7"/>
  <c r="C8" i="7"/>
  <c r="C59" i="17"/>
  <c r="E59" i="17" s="1"/>
  <c r="E25" i="17" l="1"/>
  <c r="E23" i="17"/>
  <c r="E22" i="17"/>
  <c r="E64" i="17"/>
  <c r="E63" i="17"/>
  <c r="E62" i="17"/>
  <c r="E61" i="17"/>
  <c r="E60" i="17"/>
  <c r="E57" i="17"/>
  <c r="E56" i="17"/>
  <c r="E55" i="17"/>
  <c r="E54" i="17"/>
  <c r="E53" i="17"/>
  <c r="E52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A2" i="17"/>
  <c r="A1" i="17"/>
  <c r="E20" i="17"/>
  <c r="E26" i="17"/>
  <c r="D97" i="4"/>
  <c r="C97" i="4"/>
  <c r="G99" i="4"/>
  <c r="G98" i="4" s="1"/>
  <c r="D56" i="4"/>
  <c r="BW98" i="4"/>
  <c r="BD98" i="4"/>
  <c r="AP98" i="4"/>
  <c r="AO98" i="4"/>
  <c r="AL98" i="4"/>
  <c r="AJ98" i="4"/>
  <c r="AH98" i="4"/>
  <c r="AG98" i="4"/>
  <c r="AF98" i="4"/>
  <c r="AE98" i="4"/>
  <c r="AD98" i="4"/>
  <c r="Z98" i="4"/>
  <c r="BW96" i="4"/>
  <c r="BD96" i="4"/>
  <c r="AP96" i="4"/>
  <c r="AO96" i="4"/>
  <c r="AL96" i="4"/>
  <c r="AJ96" i="4"/>
  <c r="AH96" i="4"/>
  <c r="AG96" i="4"/>
  <c r="AF96" i="4"/>
  <c r="AE96" i="4"/>
  <c r="AD96" i="4"/>
  <c r="Z96" i="4"/>
  <c r="G97" i="4" l="1"/>
  <c r="G96" i="4" s="1"/>
  <c r="D12" i="17"/>
  <c r="E66" i="17"/>
  <c r="D13" i="17"/>
  <c r="E13" i="17" s="1"/>
  <c r="D8" i="17"/>
  <c r="E8" i="17" s="1"/>
  <c r="E24" i="17"/>
  <c r="E21" i="17"/>
  <c r="E19" i="17"/>
  <c r="E28" i="17" s="1"/>
  <c r="D9" i="17"/>
  <c r="D10" i="17"/>
  <c r="D11" i="17"/>
  <c r="O98" i="4"/>
  <c r="BF98" i="4" s="1"/>
  <c r="BJ98" i="4"/>
  <c r="AW98" i="4"/>
  <c r="AX98" i="4"/>
  <c r="J98" i="4"/>
  <c r="BH98" i="4"/>
  <c r="AB98" i="4" s="1"/>
  <c r="K98" i="4"/>
  <c r="BI98" i="4"/>
  <c r="AC98" i="4" s="1"/>
  <c r="L98" i="4"/>
  <c r="O96" i="4"/>
  <c r="BF96" i="4" s="1"/>
  <c r="BJ96" i="4"/>
  <c r="L96" i="4"/>
  <c r="BI96" i="4"/>
  <c r="AC96" i="4" s="1"/>
  <c r="K96" i="4"/>
  <c r="J96" i="4"/>
  <c r="BH96" i="4"/>
  <c r="AB96" i="4" s="1"/>
  <c r="AW96" i="4"/>
  <c r="AX96" i="4"/>
  <c r="E10" i="17" l="1"/>
  <c r="E12" i="17"/>
  <c r="E9" i="17"/>
  <c r="E11" i="17"/>
  <c r="M98" i="4"/>
  <c r="AK98" i="4"/>
  <c r="BC98" i="4"/>
  <c r="AV98" i="4"/>
  <c r="M96" i="4"/>
  <c r="AK96" i="4"/>
  <c r="BC96" i="4"/>
  <c r="AV96" i="4"/>
  <c r="E15" i="17" l="1"/>
  <c r="G472" i="4"/>
  <c r="G471" i="4"/>
  <c r="G468" i="4"/>
  <c r="G469" i="4"/>
  <c r="D466" i="4"/>
  <c r="G466" i="4" s="1"/>
  <c r="D465" i="4"/>
  <c r="G465" i="4" s="1"/>
  <c r="G475" i="4"/>
  <c r="G474" i="4"/>
  <c r="E463" i="4"/>
  <c r="E477" i="4"/>
  <c r="D461" i="4"/>
  <c r="BW479" i="4"/>
  <c r="BD479" i="4"/>
  <c r="AP479" i="4"/>
  <c r="AO479" i="4"/>
  <c r="AL479" i="4"/>
  <c r="AJ479" i="4"/>
  <c r="AH479" i="4"/>
  <c r="AG479" i="4"/>
  <c r="AF479" i="4"/>
  <c r="AE479" i="4"/>
  <c r="AD479" i="4"/>
  <c r="AC479" i="4"/>
  <c r="AB479" i="4"/>
  <c r="BF479" i="4"/>
  <c r="BW476" i="4"/>
  <c r="BD476" i="4"/>
  <c r="AP476" i="4"/>
  <c r="AO476" i="4"/>
  <c r="AL476" i="4"/>
  <c r="AJ476" i="4"/>
  <c r="AH476" i="4"/>
  <c r="AG476" i="4"/>
  <c r="AF476" i="4"/>
  <c r="AC476" i="4"/>
  <c r="AB476" i="4"/>
  <c r="Z476" i="4"/>
  <c r="BW473" i="4"/>
  <c r="BD473" i="4"/>
  <c r="AP473" i="4"/>
  <c r="AO473" i="4"/>
  <c r="AL473" i="4"/>
  <c r="AJ473" i="4"/>
  <c r="AH473" i="4"/>
  <c r="AG473" i="4"/>
  <c r="AF473" i="4"/>
  <c r="AC473" i="4"/>
  <c r="AB473" i="4"/>
  <c r="Z473" i="4"/>
  <c r="BW470" i="4"/>
  <c r="BD470" i="4"/>
  <c r="AP470" i="4"/>
  <c r="AO470" i="4"/>
  <c r="AL470" i="4"/>
  <c r="AJ470" i="4"/>
  <c r="AH470" i="4"/>
  <c r="AG470" i="4"/>
  <c r="AF470" i="4"/>
  <c r="AC470" i="4"/>
  <c r="AB470" i="4"/>
  <c r="Z470" i="4"/>
  <c r="BW467" i="4"/>
  <c r="BD467" i="4"/>
  <c r="AP467" i="4"/>
  <c r="AO467" i="4"/>
  <c r="AL467" i="4"/>
  <c r="AJ467" i="4"/>
  <c r="AH467" i="4"/>
  <c r="AG467" i="4"/>
  <c r="AF467" i="4"/>
  <c r="AC467" i="4"/>
  <c r="AB467" i="4"/>
  <c r="Z467" i="4"/>
  <c r="BW464" i="4"/>
  <c r="BD464" i="4"/>
  <c r="AP464" i="4"/>
  <c r="AO464" i="4"/>
  <c r="AL464" i="4"/>
  <c r="AJ464" i="4"/>
  <c r="AH464" i="4"/>
  <c r="AG464" i="4"/>
  <c r="AF464" i="4"/>
  <c r="AC464" i="4"/>
  <c r="AB464" i="4"/>
  <c r="Z464" i="4"/>
  <c r="BW462" i="4"/>
  <c r="BD462" i="4"/>
  <c r="AP462" i="4"/>
  <c r="AO462" i="4"/>
  <c r="AL462" i="4"/>
  <c r="AJ462" i="4"/>
  <c r="AH462" i="4"/>
  <c r="AG462" i="4"/>
  <c r="AF462" i="4"/>
  <c r="AC462" i="4"/>
  <c r="AB462" i="4"/>
  <c r="Z462" i="4"/>
  <c r="D49" i="16"/>
  <c r="E49" i="16"/>
  <c r="E46" i="16"/>
  <c r="D46" i="16"/>
  <c r="G44" i="16"/>
  <c r="E28" i="16"/>
  <c r="E30" i="16"/>
  <c r="G33" i="16"/>
  <c r="G32" i="16" s="1"/>
  <c r="A35" i="16" s="1"/>
  <c r="A38" i="16" s="1"/>
  <c r="E38" i="16"/>
  <c r="D35" i="16"/>
  <c r="E40" i="16"/>
  <c r="E35" i="16"/>
  <c r="BW39" i="16"/>
  <c r="BD39" i="16"/>
  <c r="AP39" i="16"/>
  <c r="AO39" i="16"/>
  <c r="AL39" i="16"/>
  <c r="AJ39" i="16"/>
  <c r="AH39" i="16"/>
  <c r="AG39" i="16"/>
  <c r="AF39" i="16"/>
  <c r="AE39" i="16"/>
  <c r="AD39" i="16"/>
  <c r="Z39" i="16"/>
  <c r="BW37" i="16"/>
  <c r="BD37" i="16"/>
  <c r="AP37" i="16"/>
  <c r="AO37" i="16"/>
  <c r="AL37" i="16"/>
  <c r="AJ37" i="16"/>
  <c r="AH37" i="16"/>
  <c r="AG37" i="16"/>
  <c r="AF37" i="16"/>
  <c r="AE37" i="16"/>
  <c r="AD37" i="16"/>
  <c r="Z37" i="16"/>
  <c r="BW34" i="16"/>
  <c r="BD34" i="16"/>
  <c r="AP34" i="16"/>
  <c r="AO34" i="16"/>
  <c r="AL34" i="16"/>
  <c r="AJ34" i="16"/>
  <c r="AH34" i="16"/>
  <c r="AG34" i="16"/>
  <c r="AF34" i="16"/>
  <c r="AE34" i="16"/>
  <c r="AD34" i="16"/>
  <c r="Z34" i="16"/>
  <c r="BW32" i="16"/>
  <c r="BD32" i="16"/>
  <c r="AP32" i="16"/>
  <c r="AO32" i="16"/>
  <c r="AL32" i="16"/>
  <c r="AJ32" i="16"/>
  <c r="AH32" i="16"/>
  <c r="AG32" i="16"/>
  <c r="AF32" i="16"/>
  <c r="AE32" i="16"/>
  <c r="AD32" i="16"/>
  <c r="Z32" i="16"/>
  <c r="BW29" i="16"/>
  <c r="BD29" i="16"/>
  <c r="AP29" i="16"/>
  <c r="AO29" i="16"/>
  <c r="AL29" i="16"/>
  <c r="AJ29" i="16"/>
  <c r="AH29" i="16"/>
  <c r="AG29" i="16"/>
  <c r="AF29" i="16"/>
  <c r="AE29" i="16"/>
  <c r="AD29" i="16"/>
  <c r="Z29" i="16"/>
  <c r="BW27" i="16"/>
  <c r="BD27" i="16"/>
  <c r="AP27" i="16"/>
  <c r="AO27" i="16"/>
  <c r="AL27" i="16"/>
  <c r="AJ27" i="16"/>
  <c r="AH27" i="16"/>
  <c r="AG27" i="16"/>
  <c r="AF27" i="16"/>
  <c r="AE27" i="16"/>
  <c r="AD27" i="16"/>
  <c r="Z27" i="16"/>
  <c r="BF45" i="16"/>
  <c r="AR45" i="16"/>
  <c r="AQ45" i="16"/>
  <c r="AN45" i="16"/>
  <c r="AL45" i="16"/>
  <c r="AJ45" i="16"/>
  <c r="AI45" i="16"/>
  <c r="AH45" i="16"/>
  <c r="AG45" i="16"/>
  <c r="AF45" i="16"/>
  <c r="AB45" i="16"/>
  <c r="G52" i="16"/>
  <c r="G51" i="16" s="1"/>
  <c r="D50" i="16"/>
  <c r="AV50" i="16"/>
  <c r="AW50" i="16"/>
  <c r="AU50" i="16"/>
  <c r="G15" i="16"/>
  <c r="A14" i="16"/>
  <c r="G14" i="16" s="1"/>
  <c r="D53" i="16"/>
  <c r="B17" i="13"/>
  <c r="D2" i="16"/>
  <c r="D3" i="16"/>
  <c r="D4" i="16"/>
  <c r="H4" i="16"/>
  <c r="D5" i="16"/>
  <c r="H5" i="16"/>
  <c r="D9" i="16"/>
  <c r="L10" i="16"/>
  <c r="L9" i="16" s="1"/>
  <c r="O10" i="16"/>
  <c r="O9" i="16" s="1"/>
  <c r="D12" i="16"/>
  <c r="A13" i="16"/>
  <c r="A17" i="16" s="1"/>
  <c r="A19" i="16" s="1"/>
  <c r="A22" i="16" s="1"/>
  <c r="A24" i="16" s="1"/>
  <c r="A27" i="16" s="1"/>
  <c r="A29" i="16" s="1"/>
  <c r="A32" i="16" s="1"/>
  <c r="A34" i="16" s="1"/>
  <c r="A37" i="16" s="1"/>
  <c r="A39" i="16" s="1"/>
  <c r="A43" i="16" s="1"/>
  <c r="AB13" i="16"/>
  <c r="AF13" i="16"/>
  <c r="AG13" i="16"/>
  <c r="AH13" i="16"/>
  <c r="AI13" i="16"/>
  <c r="AJ13" i="16"/>
  <c r="AL13" i="16"/>
  <c r="AN13" i="16"/>
  <c r="AQ13" i="16"/>
  <c r="AR13" i="16"/>
  <c r="BF13" i="16"/>
  <c r="D16" i="16"/>
  <c r="AB17" i="16"/>
  <c r="AF17" i="16"/>
  <c r="AG17" i="16"/>
  <c r="AH17" i="16"/>
  <c r="AI17" i="16"/>
  <c r="AJ17" i="16"/>
  <c r="AL17" i="16"/>
  <c r="AN17" i="16"/>
  <c r="AQ17" i="16"/>
  <c r="AR17" i="16"/>
  <c r="BF17" i="16"/>
  <c r="E20" i="16"/>
  <c r="D21" i="16"/>
  <c r="E23" i="16"/>
  <c r="AB24" i="16"/>
  <c r="AF24" i="16"/>
  <c r="AG24" i="16"/>
  <c r="AH24" i="16"/>
  <c r="AI24" i="16"/>
  <c r="AJ24" i="16"/>
  <c r="AL24" i="16"/>
  <c r="AN24" i="16"/>
  <c r="AQ24" i="16"/>
  <c r="AR24" i="16"/>
  <c r="BF24" i="16"/>
  <c r="E25" i="16"/>
  <c r="D42" i="16"/>
  <c r="AB54" i="16"/>
  <c r="AC54" i="16"/>
  <c r="AD54" i="16"/>
  <c r="AE54" i="16"/>
  <c r="AF54" i="16"/>
  <c r="AG54" i="16"/>
  <c r="AH54" i="16"/>
  <c r="AJ54" i="16"/>
  <c r="AL54" i="16"/>
  <c r="AO54" i="16"/>
  <c r="AP54" i="16"/>
  <c r="BD54" i="16"/>
  <c r="BW54" i="16"/>
  <c r="C2" i="15"/>
  <c r="C3" i="15"/>
  <c r="C4" i="15"/>
  <c r="F4" i="15"/>
  <c r="C5" i="15"/>
  <c r="F5" i="15"/>
  <c r="J25" i="14"/>
  <c r="P29" i="14"/>
  <c r="G470" i="4" l="1"/>
  <c r="O470" i="4" s="1"/>
  <c r="BF470" i="4" s="1"/>
  <c r="E30" i="17"/>
  <c r="F45" i="3" s="1"/>
  <c r="E67" i="17"/>
  <c r="G467" i="4"/>
  <c r="BJ467" i="4" s="1"/>
  <c r="L470" i="4"/>
  <c r="AK470" i="4" s="1"/>
  <c r="BJ470" i="4"/>
  <c r="BH470" i="4"/>
  <c r="AD470" i="4" s="1"/>
  <c r="BI470" i="4"/>
  <c r="AE470" i="4" s="1"/>
  <c r="L467" i="4"/>
  <c r="AK467" i="4" s="1"/>
  <c r="O467" i="4"/>
  <c r="BF467" i="4" s="1"/>
  <c r="G464" i="4"/>
  <c r="BI464" i="4" s="1"/>
  <c r="AE464" i="4" s="1"/>
  <c r="BH467" i="4"/>
  <c r="AD467" i="4" s="1"/>
  <c r="G473" i="4"/>
  <c r="G477" i="4" s="1"/>
  <c r="A478" i="4" s="1"/>
  <c r="G478" i="4" s="1"/>
  <c r="G476" i="4" s="1"/>
  <c r="BH476" i="4" s="1"/>
  <c r="AD476" i="4" s="1"/>
  <c r="M470" i="4"/>
  <c r="K467" i="4"/>
  <c r="AU461" i="4"/>
  <c r="AW467" i="4"/>
  <c r="AS461" i="4"/>
  <c r="AW470" i="4"/>
  <c r="J467" i="4"/>
  <c r="AX470" i="4"/>
  <c r="J470" i="4"/>
  <c r="K470" i="4"/>
  <c r="G30" i="16"/>
  <c r="AX32" i="16"/>
  <c r="J32" i="16"/>
  <c r="L32" i="16"/>
  <c r="AK32" i="16" s="1"/>
  <c r="O32" i="16"/>
  <c r="BF32" i="16" s="1"/>
  <c r="BJ32" i="16"/>
  <c r="K32" i="16"/>
  <c r="G35" i="16"/>
  <c r="A36" i="16" s="1"/>
  <c r="G36" i="16" s="1"/>
  <c r="G34" i="16" s="1"/>
  <c r="G38" i="16" s="1"/>
  <c r="G37" i="16" s="1"/>
  <c r="AX37" i="16" s="1"/>
  <c r="AU26" i="16"/>
  <c r="AW32" i="16"/>
  <c r="BH32" i="16"/>
  <c r="AB32" i="16" s="1"/>
  <c r="BI32" i="16"/>
  <c r="AC32" i="16" s="1"/>
  <c r="AS26" i="16"/>
  <c r="AS31" i="16"/>
  <c r="AU31" i="16"/>
  <c r="A45" i="16"/>
  <c r="A48" i="16" s="1"/>
  <c r="A51" i="16" s="1"/>
  <c r="A54" i="16" s="1"/>
  <c r="P11" i="14" s="1"/>
  <c r="O51" i="16"/>
  <c r="L51" i="16"/>
  <c r="M51" i="16" s="1"/>
  <c r="K51" i="16"/>
  <c r="J51" i="16"/>
  <c r="G13" i="16"/>
  <c r="J13" i="16" s="1"/>
  <c r="F8" i="15"/>
  <c r="BI467" i="4" l="1"/>
  <c r="AE467" i="4" s="1"/>
  <c r="AX467" i="4"/>
  <c r="AV467" i="4"/>
  <c r="BI473" i="4"/>
  <c r="AE473" i="4" s="1"/>
  <c r="K473" i="4"/>
  <c r="BJ473" i="4"/>
  <c r="L473" i="4"/>
  <c r="AK473" i="4" s="1"/>
  <c r="AX473" i="4"/>
  <c r="M467" i="4"/>
  <c r="J473" i="4"/>
  <c r="BH473" i="4"/>
  <c r="AD473" i="4" s="1"/>
  <c r="AW473" i="4"/>
  <c r="AV473" i="4" s="1"/>
  <c r="O473" i="4"/>
  <c r="BF473" i="4" s="1"/>
  <c r="AX464" i="4"/>
  <c r="BH464" i="4"/>
  <c r="AD464" i="4" s="1"/>
  <c r="K464" i="4"/>
  <c r="AW464" i="4"/>
  <c r="O464" i="4"/>
  <c r="BF464" i="4" s="1"/>
  <c r="J464" i="4"/>
  <c r="BJ464" i="4"/>
  <c r="L464" i="4"/>
  <c r="G463" i="4"/>
  <c r="G462" i="4" s="1"/>
  <c r="BH462" i="4" s="1"/>
  <c r="AD462" i="4" s="1"/>
  <c r="BI462" i="4"/>
  <c r="AE462" i="4" s="1"/>
  <c r="J476" i="4"/>
  <c r="BI476" i="4"/>
  <c r="AE476" i="4" s="1"/>
  <c r="AW476" i="4"/>
  <c r="AX476" i="4"/>
  <c r="BJ476" i="4"/>
  <c r="O476" i="4"/>
  <c r="BF476" i="4" s="1"/>
  <c r="L476" i="4"/>
  <c r="K476" i="4"/>
  <c r="M473" i="4"/>
  <c r="BC467" i="4"/>
  <c r="BC470" i="4"/>
  <c r="AV470" i="4"/>
  <c r="BC32" i="16"/>
  <c r="G29" i="16"/>
  <c r="M32" i="16"/>
  <c r="K37" i="16"/>
  <c r="J37" i="16"/>
  <c r="A40" i="16"/>
  <c r="G40" i="16" s="1"/>
  <c r="BJ37" i="16"/>
  <c r="O37" i="16"/>
  <c r="BF37" i="16" s="1"/>
  <c r="L37" i="16"/>
  <c r="AW37" i="16"/>
  <c r="BC37" i="16" s="1"/>
  <c r="BI37" i="16"/>
  <c r="AC37" i="16" s="1"/>
  <c r="BH37" i="16"/>
  <c r="AB37" i="16" s="1"/>
  <c r="AV32" i="16"/>
  <c r="BJ34" i="16"/>
  <c r="L34" i="16"/>
  <c r="K34" i="16"/>
  <c r="O34" i="16"/>
  <c r="BF34" i="16" s="1"/>
  <c r="AX34" i="16"/>
  <c r="J34" i="16"/>
  <c r="BI34" i="16"/>
  <c r="AC34" i="16" s="1"/>
  <c r="BH34" i="16"/>
  <c r="AB34" i="16" s="1"/>
  <c r="AW34" i="16"/>
  <c r="L13" i="16"/>
  <c r="L12" i="16" s="1"/>
  <c r="AY13" i="16"/>
  <c r="O13" i="16"/>
  <c r="BH13" i="16" s="1"/>
  <c r="BJ13" i="16"/>
  <c r="AD13" i="16" s="1"/>
  <c r="AZ13" i="16"/>
  <c r="BL13" i="16"/>
  <c r="K13" i="16"/>
  <c r="BK13" i="16"/>
  <c r="AE13" i="16" s="1"/>
  <c r="G18" i="16"/>
  <c r="G17" i="16" s="1"/>
  <c r="AZ17" i="16" s="1"/>
  <c r="BC473" i="4" l="1"/>
  <c r="L462" i="4"/>
  <c r="AK462" i="4" s="1"/>
  <c r="AV464" i="4"/>
  <c r="BC464" i="4"/>
  <c r="AK464" i="4"/>
  <c r="M464" i="4"/>
  <c r="BJ462" i="4"/>
  <c r="AW462" i="4"/>
  <c r="AX462" i="4"/>
  <c r="J462" i="4"/>
  <c r="O462" i="4"/>
  <c r="BF462" i="4" s="1"/>
  <c r="K462" i="4"/>
  <c r="AK476" i="4"/>
  <c r="M476" i="4"/>
  <c r="AV476" i="4"/>
  <c r="BC476" i="4"/>
  <c r="BJ29" i="16"/>
  <c r="G28" i="16"/>
  <c r="G27" i="16" s="1"/>
  <c r="AX29" i="16"/>
  <c r="AW29" i="16"/>
  <c r="K29" i="16"/>
  <c r="BH29" i="16"/>
  <c r="AB29" i="16" s="1"/>
  <c r="L29" i="16"/>
  <c r="BI29" i="16"/>
  <c r="AC29" i="16" s="1"/>
  <c r="O29" i="16"/>
  <c r="J29" i="16"/>
  <c r="AV37" i="16"/>
  <c r="AK37" i="16"/>
  <c r="M37" i="16"/>
  <c r="A41" i="16"/>
  <c r="G41" i="16" s="1"/>
  <c r="G39" i="16" s="1"/>
  <c r="AV34" i="16"/>
  <c r="BC34" i="16"/>
  <c r="AK34" i="16"/>
  <c r="M34" i="16"/>
  <c r="M13" i="16"/>
  <c r="AY17" i="16"/>
  <c r="AX17" i="16" s="1"/>
  <c r="AM13" i="16"/>
  <c r="BE13" i="16"/>
  <c r="G25" i="16"/>
  <c r="BK17" i="16"/>
  <c r="AE17" i="16" s="1"/>
  <c r="AX13" i="16"/>
  <c r="O17" i="16"/>
  <c r="BH17" i="16" s="1"/>
  <c r="BL17" i="16"/>
  <c r="L17" i="16"/>
  <c r="AM17" i="16" s="1"/>
  <c r="K17" i="16"/>
  <c r="BJ17" i="16"/>
  <c r="AD17" i="16" s="1"/>
  <c r="J17" i="16"/>
  <c r="F9" i="15"/>
  <c r="M462" i="4" l="1"/>
  <c r="O461" i="4"/>
  <c r="G479" i="4" s="1"/>
  <c r="BC462" i="4"/>
  <c r="AV462" i="4"/>
  <c r="BJ27" i="16"/>
  <c r="BH27" i="16"/>
  <c r="AB27" i="16" s="1"/>
  <c r="K27" i="16"/>
  <c r="K26" i="16" s="1"/>
  <c r="BI27" i="16"/>
  <c r="AC27" i="16" s="1"/>
  <c r="L27" i="16"/>
  <c r="O27" i="16"/>
  <c r="BF27" i="16" s="1"/>
  <c r="J27" i="16"/>
  <c r="J26" i="16" s="1"/>
  <c r="AW27" i="16"/>
  <c r="AX27" i="16"/>
  <c r="BF29" i="16"/>
  <c r="AK29" i="16"/>
  <c r="M29" i="16"/>
  <c r="AV29" i="16"/>
  <c r="BC29" i="16"/>
  <c r="G24" i="16"/>
  <c r="K24" i="16" s="1"/>
  <c r="BE17" i="16"/>
  <c r="AW39" i="16"/>
  <c r="BH39" i="16"/>
  <c r="AB39" i="16" s="1"/>
  <c r="AX39" i="16"/>
  <c r="BJ39" i="16"/>
  <c r="O39" i="16"/>
  <c r="BI39" i="16"/>
  <c r="AC39" i="16" s="1"/>
  <c r="L39" i="16"/>
  <c r="K39" i="16"/>
  <c r="K31" i="16" s="1"/>
  <c r="J39" i="16"/>
  <c r="J31" i="16" s="1"/>
  <c r="J24" i="16"/>
  <c r="BK24" i="16"/>
  <c r="AE24" i="16" s="1"/>
  <c r="O24" i="16"/>
  <c r="BH24" i="16" s="1"/>
  <c r="M17" i="16"/>
  <c r="G43" i="16"/>
  <c r="A46" i="16" l="1"/>
  <c r="G46" i="16" s="1"/>
  <c r="A49" i="16"/>
  <c r="G49" i="16" s="1"/>
  <c r="G48" i="16" s="1"/>
  <c r="BJ479" i="4"/>
  <c r="Z479" i="4" s="1"/>
  <c r="L479" i="4"/>
  <c r="J479" i="4"/>
  <c r="J461" i="4" s="1"/>
  <c r="AW479" i="4"/>
  <c r="AX479" i="4"/>
  <c r="BH479" i="4"/>
  <c r="BI479" i="4"/>
  <c r="K479" i="4"/>
  <c r="K461" i="4" s="1"/>
  <c r="BC27" i="16"/>
  <c r="AV27" i="16"/>
  <c r="AK27" i="16"/>
  <c r="AT26" i="16" s="1"/>
  <c r="M27" i="16"/>
  <c r="M26" i="16" s="1"/>
  <c r="L26" i="16"/>
  <c r="F13" i="15" s="1"/>
  <c r="O26" i="16"/>
  <c r="AY24" i="16"/>
  <c r="AZ24" i="16"/>
  <c r="AX24" i="16" s="1"/>
  <c r="BJ24" i="16"/>
  <c r="AD24" i="16" s="1"/>
  <c r="G23" i="16"/>
  <c r="G22" i="16" s="1"/>
  <c r="L24" i="16"/>
  <c r="BL24" i="16"/>
  <c r="BF39" i="16"/>
  <c r="O31" i="16"/>
  <c r="AK39" i="16"/>
  <c r="AT31" i="16" s="1"/>
  <c r="L31" i="16"/>
  <c r="F14" i="15" s="1"/>
  <c r="E12" i="15" s="1"/>
  <c r="M39" i="16"/>
  <c r="M31" i="16" s="1"/>
  <c r="AV39" i="16"/>
  <c r="BC39" i="16"/>
  <c r="K43" i="16"/>
  <c r="L43" i="16"/>
  <c r="J43" i="16"/>
  <c r="O43" i="16"/>
  <c r="O48" i="16" l="1"/>
  <c r="J48" i="16"/>
  <c r="K48" i="16"/>
  <c r="L48" i="16"/>
  <c r="M48" i="16" s="1"/>
  <c r="A47" i="16"/>
  <c r="G47" i="16" s="1"/>
  <c r="G45" i="16" s="1"/>
  <c r="M43" i="16"/>
  <c r="BC479" i="4"/>
  <c r="AV479" i="4"/>
  <c r="AK479" i="4"/>
  <c r="AT461" i="4" s="1"/>
  <c r="M479" i="4"/>
  <c r="M461" i="4" s="1"/>
  <c r="L461" i="4"/>
  <c r="E34" i="3" s="1"/>
  <c r="BE24" i="16"/>
  <c r="AM24" i="16"/>
  <c r="M24" i="16"/>
  <c r="G20" i="16"/>
  <c r="G19" i="16" s="1"/>
  <c r="K19" i="16" s="1"/>
  <c r="L22" i="16"/>
  <c r="L21" i="16" s="1"/>
  <c r="F11" i="15" s="1"/>
  <c r="O22" i="16"/>
  <c r="O21" i="16" s="1"/>
  <c r="J19" i="16"/>
  <c r="O19" i="16"/>
  <c r="O16" i="16" s="1"/>
  <c r="L50" i="16"/>
  <c r="F17" i="15" s="1"/>
  <c r="O50" i="16"/>
  <c r="L45" i="16" l="1"/>
  <c r="J45" i="16"/>
  <c r="K45" i="16"/>
  <c r="BJ45" i="16"/>
  <c r="AD45" i="16" s="1"/>
  <c r="O45" i="16"/>
  <c r="BK45" i="16"/>
  <c r="AE45" i="16" s="1"/>
  <c r="BL45" i="16"/>
  <c r="AZ45" i="16"/>
  <c r="AY45" i="16"/>
  <c r="L19" i="16"/>
  <c r="L16" i="16" s="1"/>
  <c r="M19" i="16"/>
  <c r="F10" i="15"/>
  <c r="BE45" i="16" l="1"/>
  <c r="AX45" i="16"/>
  <c r="BH45" i="16"/>
  <c r="O42" i="16"/>
  <c r="G55" i="16" s="1"/>
  <c r="G54" i="16" s="1"/>
  <c r="M45" i="16"/>
  <c r="AM45" i="16"/>
  <c r="L42" i="16"/>
  <c r="F16" i="15" s="1"/>
  <c r="E7" i="15"/>
  <c r="C497" i="4"/>
  <c r="G497" i="4" s="1"/>
  <c r="C499" i="4"/>
  <c r="C498" i="4"/>
  <c r="C496" i="4"/>
  <c r="G496" i="4" s="1"/>
  <c r="D499" i="4"/>
  <c r="D498" i="4"/>
  <c r="E490" i="4"/>
  <c r="E488" i="4"/>
  <c r="E486" i="4"/>
  <c r="G445" i="4"/>
  <c r="E452" i="4"/>
  <c r="E450" i="4"/>
  <c r="BW449" i="4"/>
  <c r="BD449" i="4"/>
  <c r="AP449" i="4"/>
  <c r="AO449" i="4"/>
  <c r="AL449" i="4"/>
  <c r="AJ449" i="4"/>
  <c r="AH449" i="4"/>
  <c r="AG449" i="4"/>
  <c r="AF449" i="4"/>
  <c r="AC449" i="4"/>
  <c r="AB449" i="4"/>
  <c r="Z449" i="4"/>
  <c r="E447" i="4"/>
  <c r="G444" i="4"/>
  <c r="G443" i="4"/>
  <c r="A440" i="4" s="1"/>
  <c r="G440" i="4" s="1"/>
  <c r="G456" i="4"/>
  <c r="E456" i="4"/>
  <c r="E445" i="4" s="1"/>
  <c r="G455" i="4"/>
  <c r="E455" i="4"/>
  <c r="G454" i="4"/>
  <c r="E454" i="4"/>
  <c r="E458" i="4"/>
  <c r="E441" i="4"/>
  <c r="E440" i="4"/>
  <c r="D438" i="4"/>
  <c r="D480" i="4"/>
  <c r="BW489" i="4"/>
  <c r="BD489" i="4"/>
  <c r="AP489" i="4"/>
  <c r="AO489" i="4"/>
  <c r="AL489" i="4"/>
  <c r="AJ489" i="4"/>
  <c r="AH489" i="4"/>
  <c r="AG489" i="4"/>
  <c r="AF489" i="4"/>
  <c r="AC489" i="4"/>
  <c r="AB489" i="4"/>
  <c r="Z489" i="4"/>
  <c r="BW487" i="4"/>
  <c r="BD487" i="4"/>
  <c r="AP487" i="4"/>
  <c r="AO487" i="4"/>
  <c r="AL487" i="4"/>
  <c r="AJ487" i="4"/>
  <c r="AH487" i="4"/>
  <c r="AG487" i="4"/>
  <c r="AF487" i="4"/>
  <c r="AC487" i="4"/>
  <c r="AB487" i="4"/>
  <c r="Z487" i="4"/>
  <c r="BW485" i="4"/>
  <c r="BD485" i="4"/>
  <c r="AP485" i="4"/>
  <c r="AO485" i="4"/>
  <c r="AL485" i="4"/>
  <c r="AJ485" i="4"/>
  <c r="AH485" i="4"/>
  <c r="AG485" i="4"/>
  <c r="AF485" i="4"/>
  <c r="AC485" i="4"/>
  <c r="AB485" i="4"/>
  <c r="Z485" i="4"/>
  <c r="BW481" i="4"/>
  <c r="BD481" i="4"/>
  <c r="AP481" i="4"/>
  <c r="AO481" i="4"/>
  <c r="AL481" i="4"/>
  <c r="AJ481" i="4"/>
  <c r="AH481" i="4"/>
  <c r="AG481" i="4"/>
  <c r="AF481" i="4"/>
  <c r="AC481" i="4"/>
  <c r="AB481" i="4"/>
  <c r="Z481" i="4"/>
  <c r="BW460" i="4"/>
  <c r="BD460" i="4"/>
  <c r="AP460" i="4"/>
  <c r="AO460" i="4"/>
  <c r="AL460" i="4"/>
  <c r="AJ460" i="4"/>
  <c r="AH460" i="4"/>
  <c r="AG460" i="4"/>
  <c r="AF460" i="4"/>
  <c r="AE460" i="4"/>
  <c r="AD460" i="4"/>
  <c r="AC460" i="4"/>
  <c r="AB460" i="4"/>
  <c r="BF460" i="4"/>
  <c r="BW457" i="4"/>
  <c r="BD457" i="4"/>
  <c r="AP457" i="4"/>
  <c r="AO457" i="4"/>
  <c r="AL457" i="4"/>
  <c r="AJ457" i="4"/>
  <c r="AH457" i="4"/>
  <c r="AG457" i="4"/>
  <c r="AF457" i="4"/>
  <c r="AC457" i="4"/>
  <c r="AB457" i="4"/>
  <c r="Z457" i="4"/>
  <c r="BW446" i="4"/>
  <c r="BD446" i="4"/>
  <c r="AP446" i="4"/>
  <c r="AO446" i="4"/>
  <c r="AL446" i="4"/>
  <c r="AJ446" i="4"/>
  <c r="AH446" i="4"/>
  <c r="AG446" i="4"/>
  <c r="AF446" i="4"/>
  <c r="AC446" i="4"/>
  <c r="AB446" i="4"/>
  <c r="Z446" i="4"/>
  <c r="BW442" i="4"/>
  <c r="BD442" i="4"/>
  <c r="AP442" i="4"/>
  <c r="AO442" i="4"/>
  <c r="AL442" i="4"/>
  <c r="AJ442" i="4"/>
  <c r="AH442" i="4"/>
  <c r="AG442" i="4"/>
  <c r="AF442" i="4"/>
  <c r="AC442" i="4"/>
  <c r="AB442" i="4"/>
  <c r="Z442" i="4"/>
  <c r="BW453" i="4"/>
  <c r="BD453" i="4"/>
  <c r="AP453" i="4"/>
  <c r="AO453" i="4"/>
  <c r="AL453" i="4"/>
  <c r="AJ453" i="4"/>
  <c r="AH453" i="4"/>
  <c r="AG453" i="4"/>
  <c r="AF453" i="4"/>
  <c r="AC453" i="4"/>
  <c r="AB453" i="4"/>
  <c r="Z453" i="4"/>
  <c r="BW451" i="4"/>
  <c r="BD451" i="4"/>
  <c r="AP451" i="4"/>
  <c r="AO451" i="4"/>
  <c r="AL451" i="4"/>
  <c r="AJ451" i="4"/>
  <c r="AH451" i="4"/>
  <c r="AG451" i="4"/>
  <c r="AF451" i="4"/>
  <c r="AC451" i="4"/>
  <c r="AB451" i="4"/>
  <c r="Z451" i="4"/>
  <c r="BW439" i="4"/>
  <c r="BD439" i="4"/>
  <c r="AP439" i="4"/>
  <c r="AO439" i="4"/>
  <c r="AL439" i="4"/>
  <c r="AJ439" i="4"/>
  <c r="AH439" i="4"/>
  <c r="AG439" i="4"/>
  <c r="AF439" i="4"/>
  <c r="AC439" i="4"/>
  <c r="AB439" i="4"/>
  <c r="Z439" i="4"/>
  <c r="AW54" i="16" l="1"/>
  <c r="BH54" i="16"/>
  <c r="BJ54" i="16"/>
  <c r="Z54" i="16" s="1"/>
  <c r="O54" i="16"/>
  <c r="BF54" i="16" s="1"/>
  <c r="L54" i="16"/>
  <c r="AX54" i="16"/>
  <c r="BI54" i="16"/>
  <c r="J54" i="16"/>
  <c r="K54" i="16"/>
  <c r="E443" i="4"/>
  <c r="E474" i="4"/>
  <c r="E471" i="4" s="1"/>
  <c r="E444" i="4"/>
  <c r="E475" i="4"/>
  <c r="E472" i="4" s="1"/>
  <c r="G498" i="4"/>
  <c r="G499" i="4"/>
  <c r="L53" i="16"/>
  <c r="F18" i="15" s="1"/>
  <c r="G442" i="4"/>
  <c r="BH442" i="4" s="1"/>
  <c r="AD442" i="4" s="1"/>
  <c r="G453" i="4"/>
  <c r="AS480" i="4"/>
  <c r="AU480" i="4"/>
  <c r="AS438" i="4"/>
  <c r="AU438" i="4"/>
  <c r="M54" i="16" l="1"/>
  <c r="AK54" i="16"/>
  <c r="BC54" i="16"/>
  <c r="AV54" i="16"/>
  <c r="D500" i="4"/>
  <c r="G500" i="4" s="1"/>
  <c r="E466" i="4"/>
  <c r="E469" i="4"/>
  <c r="E465" i="4"/>
  <c r="E468" i="4"/>
  <c r="L56" i="16"/>
  <c r="H20" i="15" s="1"/>
  <c r="G495" i="4"/>
  <c r="G458" i="4"/>
  <c r="A452" i="4"/>
  <c r="G452" i="4" s="1"/>
  <c r="G451" i="4" s="1"/>
  <c r="AX442" i="4"/>
  <c r="BJ442" i="4"/>
  <c r="G447" i="4"/>
  <c r="G450" i="4" s="1"/>
  <c r="AW442" i="4"/>
  <c r="K442" i="4"/>
  <c r="J442" i="4"/>
  <c r="BJ453" i="4"/>
  <c r="G441" i="4"/>
  <c r="G439" i="4" s="1"/>
  <c r="BH439" i="4" s="1"/>
  <c r="AD439" i="4" s="1"/>
  <c r="O442" i="4"/>
  <c r="BF442" i="4" s="1"/>
  <c r="BI442" i="4"/>
  <c r="AE442" i="4" s="1"/>
  <c r="L442" i="4"/>
  <c r="AX453" i="4"/>
  <c r="AW453" i="4"/>
  <c r="K453" i="4"/>
  <c r="BI453" i="4"/>
  <c r="AE453" i="4" s="1"/>
  <c r="BH453" i="4"/>
  <c r="AD453" i="4" s="1"/>
  <c r="J453" i="4"/>
  <c r="L453" i="4"/>
  <c r="O453" i="4"/>
  <c r="BF453" i="4" s="1"/>
  <c r="E15" i="15" l="1"/>
  <c r="F20" i="15"/>
  <c r="A459" i="4"/>
  <c r="G459" i="4" s="1"/>
  <c r="G457" i="4" s="1"/>
  <c r="AW457" i="4" s="1"/>
  <c r="BJ451" i="4"/>
  <c r="AX451" i="4"/>
  <c r="BH451" i="4"/>
  <c r="AD451" i="4" s="1"/>
  <c r="L451" i="4"/>
  <c r="O451" i="4"/>
  <c r="BF451" i="4" s="1"/>
  <c r="J451" i="4"/>
  <c r="K451" i="4"/>
  <c r="BI451" i="4"/>
  <c r="AE451" i="4" s="1"/>
  <c r="AW451" i="4"/>
  <c r="AV442" i="4"/>
  <c r="BC453" i="4"/>
  <c r="G448" i="4"/>
  <c r="G446" i="4" s="1"/>
  <c r="AV453" i="4"/>
  <c r="BC442" i="4"/>
  <c r="AK442" i="4"/>
  <c r="M442" i="4"/>
  <c r="BI439" i="4"/>
  <c r="AE439" i="4" s="1"/>
  <c r="J439" i="4"/>
  <c r="BJ439" i="4"/>
  <c r="O439" i="4"/>
  <c r="BF439" i="4" s="1"/>
  <c r="K439" i="4"/>
  <c r="AK453" i="4"/>
  <c r="M453" i="4"/>
  <c r="L439" i="4"/>
  <c r="AK439" i="4" s="1"/>
  <c r="AX439" i="4"/>
  <c r="AW439" i="4"/>
  <c r="I20" i="15" l="1"/>
  <c r="L57" i="16" s="1"/>
  <c r="E19" i="14"/>
  <c r="E25" i="14" s="1"/>
  <c r="R25" i="14"/>
  <c r="BC451" i="4"/>
  <c r="AV451" i="4"/>
  <c r="AK451" i="4"/>
  <c r="M451" i="4"/>
  <c r="G449" i="4"/>
  <c r="L457" i="4"/>
  <c r="K457" i="4"/>
  <c r="AX457" i="4"/>
  <c r="AV457" i="4" s="1"/>
  <c r="BH457" i="4"/>
  <c r="AD457" i="4" s="1"/>
  <c r="BI457" i="4"/>
  <c r="AE457" i="4" s="1"/>
  <c r="BJ446" i="4"/>
  <c r="L446" i="4"/>
  <c r="AX446" i="4"/>
  <c r="BI446" i="4"/>
  <c r="AE446" i="4" s="1"/>
  <c r="BH446" i="4"/>
  <c r="AD446" i="4" s="1"/>
  <c r="O446" i="4"/>
  <c r="BF446" i="4" s="1"/>
  <c r="AW446" i="4"/>
  <c r="K446" i="4"/>
  <c r="J446" i="4"/>
  <c r="O457" i="4"/>
  <c r="BF457" i="4" s="1"/>
  <c r="BJ457" i="4"/>
  <c r="J457" i="4"/>
  <c r="AV439" i="4"/>
  <c r="BC439" i="4"/>
  <c r="M439" i="4"/>
  <c r="P23" i="14" l="1"/>
  <c r="G20" i="15"/>
  <c r="P19" i="14"/>
  <c r="P22" i="14"/>
  <c r="P21" i="14"/>
  <c r="P20" i="14"/>
  <c r="BC457" i="4"/>
  <c r="O449" i="4"/>
  <c r="BF449" i="4" s="1"/>
  <c r="BJ449" i="4"/>
  <c r="L449" i="4"/>
  <c r="BI449" i="4"/>
  <c r="AE449" i="4" s="1"/>
  <c r="K449" i="4"/>
  <c r="BH449" i="4"/>
  <c r="AD449" i="4" s="1"/>
  <c r="J449" i="4"/>
  <c r="AX449" i="4"/>
  <c r="AW449" i="4"/>
  <c r="M457" i="4"/>
  <c r="AK457" i="4"/>
  <c r="BC446" i="4"/>
  <c r="AV446" i="4"/>
  <c r="AK446" i="4"/>
  <c r="M446" i="4"/>
  <c r="G514" i="4"/>
  <c r="G512" i="4" s="1"/>
  <c r="E361" i="4"/>
  <c r="E359" i="4"/>
  <c r="E356" i="4"/>
  <c r="E354" i="4"/>
  <c r="G349" i="4"/>
  <c r="BJ349" i="4" s="1"/>
  <c r="G347" i="4"/>
  <c r="G348" i="4"/>
  <c r="E343" i="4"/>
  <c r="G341" i="4"/>
  <c r="G340" i="4" s="1"/>
  <c r="G339" i="4"/>
  <c r="G338" i="4" s="1"/>
  <c r="E334" i="4"/>
  <c r="D332" i="4"/>
  <c r="A332" i="4"/>
  <c r="BW333" i="4"/>
  <c r="BD333" i="4"/>
  <c r="AP333" i="4"/>
  <c r="AO333" i="4"/>
  <c r="AL333" i="4"/>
  <c r="AJ333" i="4"/>
  <c r="AH333" i="4"/>
  <c r="AG333" i="4"/>
  <c r="AF333" i="4"/>
  <c r="AC333" i="4"/>
  <c r="AB333" i="4"/>
  <c r="Z333" i="4"/>
  <c r="BW331" i="4"/>
  <c r="BD331" i="4"/>
  <c r="AP331" i="4"/>
  <c r="AO331" i="4"/>
  <c r="AL331" i="4"/>
  <c r="AJ331" i="4"/>
  <c r="AH331" i="4"/>
  <c r="AG331" i="4"/>
  <c r="AF331" i="4"/>
  <c r="AC331" i="4"/>
  <c r="AB331" i="4"/>
  <c r="Z331" i="4"/>
  <c r="BW340" i="4"/>
  <c r="BD340" i="4"/>
  <c r="AP340" i="4"/>
  <c r="AO340" i="4"/>
  <c r="AL340" i="4"/>
  <c r="AJ340" i="4"/>
  <c r="AH340" i="4"/>
  <c r="AG340" i="4"/>
  <c r="AF340" i="4"/>
  <c r="AC340" i="4"/>
  <c r="AB340" i="4"/>
  <c r="Z340" i="4"/>
  <c r="G336" i="4"/>
  <c r="G337" i="4"/>
  <c r="D330" i="4"/>
  <c r="D321" i="4"/>
  <c r="D328" i="4"/>
  <c r="G344" i="4"/>
  <c r="BJ344" i="4" s="1"/>
  <c r="G351" i="4"/>
  <c r="BJ351" i="4" s="1"/>
  <c r="BW351" i="4"/>
  <c r="BD351" i="4"/>
  <c r="AP351" i="4"/>
  <c r="AO351" i="4"/>
  <c r="AL351" i="4"/>
  <c r="AJ351" i="4"/>
  <c r="AH351" i="4"/>
  <c r="AG351" i="4"/>
  <c r="AF351" i="4"/>
  <c r="AC351" i="4"/>
  <c r="AB351" i="4"/>
  <c r="Z351" i="4"/>
  <c r="BW353" i="4"/>
  <c r="BD353" i="4"/>
  <c r="AP353" i="4"/>
  <c r="AO353" i="4"/>
  <c r="AL353" i="4"/>
  <c r="AJ353" i="4"/>
  <c r="AH353" i="4"/>
  <c r="AG353" i="4"/>
  <c r="AF353" i="4"/>
  <c r="AC353" i="4"/>
  <c r="AB353" i="4"/>
  <c r="Z353" i="4"/>
  <c r="BW355" i="4"/>
  <c r="BD355" i="4"/>
  <c r="AP355" i="4"/>
  <c r="AO355" i="4"/>
  <c r="AL355" i="4"/>
  <c r="AJ355" i="4"/>
  <c r="AH355" i="4"/>
  <c r="AG355" i="4"/>
  <c r="AF355" i="4"/>
  <c r="AC355" i="4"/>
  <c r="AB355" i="4"/>
  <c r="Z355" i="4"/>
  <c r="BW363" i="4"/>
  <c r="BD363" i="4"/>
  <c r="AP363" i="4"/>
  <c r="AO363" i="4"/>
  <c r="AL363" i="4"/>
  <c r="AJ363" i="4"/>
  <c r="AH363" i="4"/>
  <c r="AG363" i="4"/>
  <c r="AF363" i="4"/>
  <c r="AE363" i="4"/>
  <c r="AD363" i="4"/>
  <c r="AC363" i="4"/>
  <c r="AB363" i="4"/>
  <c r="BF363" i="4"/>
  <c r="BW360" i="4"/>
  <c r="BD360" i="4"/>
  <c r="AP360" i="4"/>
  <c r="AO360" i="4"/>
  <c r="AL360" i="4"/>
  <c r="AJ360" i="4"/>
  <c r="AH360" i="4"/>
  <c r="AG360" i="4"/>
  <c r="AF360" i="4"/>
  <c r="AC360" i="4"/>
  <c r="AB360" i="4"/>
  <c r="Z360" i="4"/>
  <c r="BW358" i="4"/>
  <c r="BD358" i="4"/>
  <c r="AP358" i="4"/>
  <c r="AO358" i="4"/>
  <c r="AL358" i="4"/>
  <c r="AJ358" i="4"/>
  <c r="AH358" i="4"/>
  <c r="AG358" i="4"/>
  <c r="AF358" i="4"/>
  <c r="AC358" i="4"/>
  <c r="AB358" i="4"/>
  <c r="Z358" i="4"/>
  <c r="BW344" i="4"/>
  <c r="BD344" i="4"/>
  <c r="AP344" i="4"/>
  <c r="AO344" i="4"/>
  <c r="AL344" i="4"/>
  <c r="AJ344" i="4"/>
  <c r="AH344" i="4"/>
  <c r="AG344" i="4"/>
  <c r="AF344" i="4"/>
  <c r="AC344" i="4"/>
  <c r="AB344" i="4"/>
  <c r="Z344" i="4"/>
  <c r="BW349" i="4"/>
  <c r="BD349" i="4"/>
  <c r="AP349" i="4"/>
  <c r="AO349" i="4"/>
  <c r="AL349" i="4"/>
  <c r="AJ349" i="4"/>
  <c r="AH349" i="4"/>
  <c r="AG349" i="4"/>
  <c r="AF349" i="4"/>
  <c r="AC349" i="4"/>
  <c r="AB349" i="4"/>
  <c r="Z349" i="4"/>
  <c r="BW346" i="4"/>
  <c r="BD346" i="4"/>
  <c r="AP346" i="4"/>
  <c r="AO346" i="4"/>
  <c r="AL346" i="4"/>
  <c r="AJ346" i="4"/>
  <c r="AH346" i="4"/>
  <c r="AG346" i="4"/>
  <c r="AF346" i="4"/>
  <c r="AC346" i="4"/>
  <c r="AB346" i="4"/>
  <c r="Z346" i="4"/>
  <c r="BW342" i="4"/>
  <c r="BD342" i="4"/>
  <c r="AP342" i="4"/>
  <c r="AO342" i="4"/>
  <c r="AL342" i="4"/>
  <c r="AJ342" i="4"/>
  <c r="AH342" i="4"/>
  <c r="AG342" i="4"/>
  <c r="AF342" i="4"/>
  <c r="AC342" i="4"/>
  <c r="AB342" i="4"/>
  <c r="Z342" i="4"/>
  <c r="BW338" i="4"/>
  <c r="BD338" i="4"/>
  <c r="AP338" i="4"/>
  <c r="AO338" i="4"/>
  <c r="AL338" i="4"/>
  <c r="AJ338" i="4"/>
  <c r="AH338" i="4"/>
  <c r="AG338" i="4"/>
  <c r="AF338" i="4"/>
  <c r="AC338" i="4"/>
  <c r="AB338" i="4"/>
  <c r="Z338" i="4"/>
  <c r="BW335" i="4"/>
  <c r="BD335" i="4"/>
  <c r="AP335" i="4"/>
  <c r="AO335" i="4"/>
  <c r="AL335" i="4"/>
  <c r="AJ335" i="4"/>
  <c r="AH335" i="4"/>
  <c r="AG335" i="4"/>
  <c r="AF335" i="4"/>
  <c r="AC335" i="4"/>
  <c r="AB335" i="4"/>
  <c r="Z335" i="4"/>
  <c r="BW329" i="4"/>
  <c r="BD329" i="4"/>
  <c r="AP329" i="4"/>
  <c r="AO329" i="4"/>
  <c r="AL329" i="4"/>
  <c r="AJ329" i="4"/>
  <c r="AH329" i="4"/>
  <c r="AG329" i="4"/>
  <c r="AF329" i="4"/>
  <c r="AC329" i="4"/>
  <c r="AB329" i="4"/>
  <c r="Z329" i="4"/>
  <c r="P25" i="14" l="1"/>
  <c r="P28" i="14" s="1"/>
  <c r="L349" i="4"/>
  <c r="AK349" i="4" s="1"/>
  <c r="AV449" i="4"/>
  <c r="BC449" i="4"/>
  <c r="O438" i="4"/>
  <c r="G460" i="4" s="1"/>
  <c r="M449" i="4"/>
  <c r="AK449" i="4"/>
  <c r="O349" i="4"/>
  <c r="BF349" i="4" s="1"/>
  <c r="AW349" i="4"/>
  <c r="BI349" i="4"/>
  <c r="AE349" i="4" s="1"/>
  <c r="G330" i="4"/>
  <c r="G329" i="4" s="1"/>
  <c r="O329" i="4" s="1"/>
  <c r="BF329" i="4" s="1"/>
  <c r="L514" i="4"/>
  <c r="O514" i="4"/>
  <c r="G346" i="4"/>
  <c r="BJ346" i="4" s="1"/>
  <c r="G335" i="4"/>
  <c r="J335" i="4" s="1"/>
  <c r="BJ338" i="4"/>
  <c r="O338" i="4"/>
  <c r="BF338" i="4" s="1"/>
  <c r="L338" i="4"/>
  <c r="AK338" i="4" s="1"/>
  <c r="BJ340" i="4"/>
  <c r="L340" i="4"/>
  <c r="AK340" i="4" s="1"/>
  <c r="BI338" i="4"/>
  <c r="AE338" i="4" s="1"/>
  <c r="AW338" i="4"/>
  <c r="BH340" i="4"/>
  <c r="AD340" i="4" s="1"/>
  <c r="K340" i="4"/>
  <c r="BI340" i="4"/>
  <c r="AE340" i="4" s="1"/>
  <c r="O340" i="4"/>
  <c r="BF340" i="4" s="1"/>
  <c r="J340" i="4"/>
  <c r="G332" i="4"/>
  <c r="G331" i="4" s="1"/>
  <c r="BH331" i="4" s="1"/>
  <c r="AD331" i="4" s="1"/>
  <c r="AX340" i="4"/>
  <c r="AW340" i="4"/>
  <c r="J349" i="4"/>
  <c r="BH344" i="4"/>
  <c r="AD344" i="4" s="1"/>
  <c r="BI344" i="4"/>
  <c r="AE344" i="4" s="1"/>
  <c r="L344" i="4"/>
  <c r="M344" i="4" s="1"/>
  <c r="O344" i="4"/>
  <c r="BF344" i="4" s="1"/>
  <c r="BH351" i="4"/>
  <c r="AD351" i="4" s="1"/>
  <c r="BI351" i="4"/>
  <c r="AE351" i="4" s="1"/>
  <c r="L351" i="4"/>
  <c r="AK351" i="4" s="1"/>
  <c r="O351" i="4"/>
  <c r="BF351" i="4" s="1"/>
  <c r="AW351" i="4"/>
  <c r="AX351" i="4"/>
  <c r="J351" i="4"/>
  <c r="K351" i="4"/>
  <c r="AX349" i="4"/>
  <c r="J338" i="4"/>
  <c r="AX338" i="4"/>
  <c r="K344" i="4"/>
  <c r="AW344" i="4"/>
  <c r="AX344" i="4"/>
  <c r="AS328" i="4"/>
  <c r="AU328" i="4"/>
  <c r="BH338" i="4"/>
  <c r="AD338" i="4" s="1"/>
  <c r="BH349" i="4"/>
  <c r="AD349" i="4" s="1"/>
  <c r="K338" i="4"/>
  <c r="K349" i="4"/>
  <c r="J344" i="4"/>
  <c r="D135" i="4"/>
  <c r="D129" i="4"/>
  <c r="E150" i="4"/>
  <c r="E148" i="4"/>
  <c r="E153" i="4" s="1"/>
  <c r="A121" i="4"/>
  <c r="G121" i="4" s="1"/>
  <c r="G120" i="4" s="1"/>
  <c r="D72" i="4"/>
  <c r="E119" i="4"/>
  <c r="G123" i="4"/>
  <c r="G122" i="4" s="1"/>
  <c r="BJ122" i="4" s="1"/>
  <c r="G117" i="4"/>
  <c r="G116" i="4" s="1"/>
  <c r="BJ116" i="4" s="1"/>
  <c r="E133" i="4"/>
  <c r="E131" i="4"/>
  <c r="E146" i="4"/>
  <c r="E138" i="4"/>
  <c r="E143" i="4" s="1"/>
  <c r="BW142" i="4"/>
  <c r="BD142" i="4"/>
  <c r="AP142" i="4"/>
  <c r="AO142" i="4"/>
  <c r="AL142" i="4"/>
  <c r="AJ142" i="4"/>
  <c r="AH142" i="4"/>
  <c r="AG142" i="4"/>
  <c r="AF142" i="4"/>
  <c r="AC142" i="4"/>
  <c r="AB142" i="4"/>
  <c r="Z142" i="4"/>
  <c r="E137" i="4"/>
  <c r="E140" i="4" s="1"/>
  <c r="D124" i="4"/>
  <c r="D115" i="4"/>
  <c r="BW154" i="4"/>
  <c r="BD154" i="4"/>
  <c r="AP154" i="4"/>
  <c r="AO154" i="4"/>
  <c r="AL154" i="4"/>
  <c r="AJ154" i="4"/>
  <c r="AH154" i="4"/>
  <c r="AG154" i="4"/>
  <c r="AF154" i="4"/>
  <c r="AE154" i="4"/>
  <c r="AD154" i="4"/>
  <c r="AC154" i="4"/>
  <c r="AB154" i="4"/>
  <c r="BF154" i="4"/>
  <c r="BW152" i="4"/>
  <c r="BD152" i="4"/>
  <c r="AP152" i="4"/>
  <c r="AO152" i="4"/>
  <c r="AL152" i="4"/>
  <c r="AJ152" i="4"/>
  <c r="AH152" i="4"/>
  <c r="AG152" i="4"/>
  <c r="AF152" i="4"/>
  <c r="AC152" i="4"/>
  <c r="AB152" i="4"/>
  <c r="Z152" i="4"/>
  <c r="BW149" i="4"/>
  <c r="BD149" i="4"/>
  <c r="AP149" i="4"/>
  <c r="AO149" i="4"/>
  <c r="AL149" i="4"/>
  <c r="AJ149" i="4"/>
  <c r="AH149" i="4"/>
  <c r="AG149" i="4"/>
  <c r="AF149" i="4"/>
  <c r="AC149" i="4"/>
  <c r="AB149" i="4"/>
  <c r="Z149" i="4"/>
  <c r="BW147" i="4"/>
  <c r="BD147" i="4"/>
  <c r="AP147" i="4"/>
  <c r="AO147" i="4"/>
  <c r="AL147" i="4"/>
  <c r="AJ147" i="4"/>
  <c r="AH147" i="4"/>
  <c r="AG147" i="4"/>
  <c r="AF147" i="4"/>
  <c r="AC147" i="4"/>
  <c r="AB147" i="4"/>
  <c r="Z147" i="4"/>
  <c r="BW145" i="4"/>
  <c r="BD145" i="4"/>
  <c r="AP145" i="4"/>
  <c r="AO145" i="4"/>
  <c r="AL145" i="4"/>
  <c r="AJ145" i="4"/>
  <c r="AH145" i="4"/>
  <c r="AG145" i="4"/>
  <c r="AF145" i="4"/>
  <c r="AC145" i="4"/>
  <c r="AB145" i="4"/>
  <c r="Z145" i="4"/>
  <c r="BW139" i="4"/>
  <c r="BD139" i="4"/>
  <c r="AP139" i="4"/>
  <c r="AO139" i="4"/>
  <c r="AL139" i="4"/>
  <c r="AJ139" i="4"/>
  <c r="AG139" i="4"/>
  <c r="AF139" i="4"/>
  <c r="AE139" i="4"/>
  <c r="AD139" i="4"/>
  <c r="AC139" i="4"/>
  <c r="AB139" i="4"/>
  <c r="Z139" i="4"/>
  <c r="BW136" i="4"/>
  <c r="BD136" i="4"/>
  <c r="AP136" i="4"/>
  <c r="AO136" i="4"/>
  <c r="AL136" i="4"/>
  <c r="AJ136" i="4"/>
  <c r="AH136" i="4"/>
  <c r="AG136" i="4"/>
  <c r="AF136" i="4"/>
  <c r="AC136" i="4"/>
  <c r="AB136" i="4"/>
  <c r="Z136" i="4"/>
  <c r="BW134" i="4"/>
  <c r="BD134" i="4"/>
  <c r="AP134" i="4"/>
  <c r="AO134" i="4"/>
  <c r="AL134" i="4"/>
  <c r="AJ134" i="4"/>
  <c r="AH134" i="4"/>
  <c r="AG134" i="4"/>
  <c r="AF134" i="4"/>
  <c r="AE134" i="4"/>
  <c r="AD134" i="4"/>
  <c r="AC134" i="4"/>
  <c r="AB134" i="4"/>
  <c r="BF134" i="4"/>
  <c r="BW132" i="4"/>
  <c r="BD132" i="4"/>
  <c r="AP132" i="4"/>
  <c r="AO132" i="4"/>
  <c r="AL132" i="4"/>
  <c r="AJ132" i="4"/>
  <c r="AH132" i="4"/>
  <c r="AG132" i="4"/>
  <c r="AF132" i="4"/>
  <c r="AC132" i="4"/>
  <c r="AB132" i="4"/>
  <c r="Z132" i="4"/>
  <c r="BW130" i="4"/>
  <c r="BD130" i="4"/>
  <c r="AP130" i="4"/>
  <c r="AO130" i="4"/>
  <c r="AL130" i="4"/>
  <c r="AJ130" i="4"/>
  <c r="AH130" i="4"/>
  <c r="AG130" i="4"/>
  <c r="AF130" i="4"/>
  <c r="AC130" i="4"/>
  <c r="AB130" i="4"/>
  <c r="Z130" i="4"/>
  <c r="BW125" i="4"/>
  <c r="BD125" i="4"/>
  <c r="AP125" i="4"/>
  <c r="AO125" i="4"/>
  <c r="AL125" i="4"/>
  <c r="AU124" i="4" s="1"/>
  <c r="AJ125" i="4"/>
  <c r="AS124" i="4" s="1"/>
  <c r="AH125" i="4"/>
  <c r="AG125" i="4"/>
  <c r="AF125" i="4"/>
  <c r="AE125" i="4"/>
  <c r="AD125" i="4"/>
  <c r="Z125" i="4"/>
  <c r="BW122" i="4"/>
  <c r="BD122" i="4"/>
  <c r="AP122" i="4"/>
  <c r="AO122" i="4"/>
  <c r="AL122" i="4"/>
  <c r="AJ122" i="4"/>
  <c r="AH122" i="4"/>
  <c r="AG122" i="4"/>
  <c r="AF122" i="4"/>
  <c r="AE122" i="4"/>
  <c r="AD122" i="4"/>
  <c r="Z122" i="4"/>
  <c r="BW120" i="4"/>
  <c r="BD120" i="4"/>
  <c r="AP120" i="4"/>
  <c r="AO120" i="4"/>
  <c r="AL120" i="4"/>
  <c r="AJ120" i="4"/>
  <c r="AH120" i="4"/>
  <c r="AG120" i="4"/>
  <c r="AF120" i="4"/>
  <c r="AE120" i="4"/>
  <c r="AD120" i="4"/>
  <c r="Z120" i="4"/>
  <c r="BW118" i="4"/>
  <c r="BD118" i="4"/>
  <c r="AP118" i="4"/>
  <c r="AO118" i="4"/>
  <c r="AL118" i="4"/>
  <c r="AJ118" i="4"/>
  <c r="AH118" i="4"/>
  <c r="AG118" i="4"/>
  <c r="AF118" i="4"/>
  <c r="AE118" i="4"/>
  <c r="AD118" i="4"/>
  <c r="Z118" i="4"/>
  <c r="BW116" i="4"/>
  <c r="BD116" i="4"/>
  <c r="AP116" i="4"/>
  <c r="AO116" i="4"/>
  <c r="AL116" i="4"/>
  <c r="AJ116" i="4"/>
  <c r="AH116" i="4"/>
  <c r="AG116" i="4"/>
  <c r="AF116" i="4"/>
  <c r="AE116" i="4"/>
  <c r="AD116" i="4"/>
  <c r="Z116" i="4"/>
  <c r="CZ43" i="9"/>
  <c r="CZ42" i="9"/>
  <c r="CZ41" i="9"/>
  <c r="CZ40" i="9"/>
  <c r="CZ39" i="9"/>
  <c r="CZ38" i="9"/>
  <c r="CZ37" i="9"/>
  <c r="CZ36" i="9"/>
  <c r="CZ35" i="9"/>
  <c r="CZ34" i="9"/>
  <c r="CZ33" i="9"/>
  <c r="CZ17" i="9"/>
  <c r="CZ58" i="9" s="1"/>
  <c r="CZ26" i="9"/>
  <c r="CZ25" i="9"/>
  <c r="CZ35" i="12"/>
  <c r="CZ25" i="12"/>
  <c r="CZ24" i="12"/>
  <c r="CZ23" i="12"/>
  <c r="CZ10" i="12"/>
  <c r="CZ40" i="12" s="1"/>
  <c r="E41" i="12" s="1"/>
  <c r="AW460" i="4" l="1"/>
  <c r="N30" i="14"/>
  <c r="P30" i="14" s="1"/>
  <c r="P31" i="14" s="1"/>
  <c r="Q17" i="13"/>
  <c r="AV349" i="4"/>
  <c r="M349" i="4"/>
  <c r="AX460" i="4"/>
  <c r="BC460" i="4" s="1"/>
  <c r="L460" i="4"/>
  <c r="K460" i="4"/>
  <c r="K438" i="4" s="1"/>
  <c r="BJ460" i="4"/>
  <c r="Z460" i="4" s="1"/>
  <c r="BI460" i="4"/>
  <c r="J460" i="4"/>
  <c r="J438" i="4" s="1"/>
  <c r="BH460" i="4"/>
  <c r="BI335" i="4"/>
  <c r="AE335" i="4" s="1"/>
  <c r="AX335" i="4"/>
  <c r="BJ329" i="4"/>
  <c r="BH329" i="4"/>
  <c r="AD329" i="4" s="1"/>
  <c r="L329" i="4"/>
  <c r="AK329" i="4" s="1"/>
  <c r="K329" i="4"/>
  <c r="BI329" i="4"/>
  <c r="AE329" i="4" s="1"/>
  <c r="J329" i="4"/>
  <c r="AX329" i="4"/>
  <c r="AW329" i="4"/>
  <c r="BC338" i="4"/>
  <c r="M340" i="4"/>
  <c r="BH335" i="4"/>
  <c r="AD335" i="4" s="1"/>
  <c r="AX346" i="4"/>
  <c r="BI346" i="4"/>
  <c r="AE346" i="4" s="1"/>
  <c r="BH346" i="4"/>
  <c r="AD346" i="4" s="1"/>
  <c r="AW335" i="4"/>
  <c r="AW346" i="4"/>
  <c r="J346" i="4"/>
  <c r="K346" i="4"/>
  <c r="L346" i="4"/>
  <c r="O346" i="4"/>
  <c r="BF346" i="4" s="1"/>
  <c r="O335" i="4"/>
  <c r="BF335" i="4" s="1"/>
  <c r="L335" i="4"/>
  <c r="AK335" i="4" s="1"/>
  <c r="BJ335" i="4"/>
  <c r="K335" i="4"/>
  <c r="M338" i="4"/>
  <c r="O331" i="4"/>
  <c r="BF331" i="4" s="1"/>
  <c r="BJ331" i="4"/>
  <c r="AX331" i="4"/>
  <c r="L331" i="4"/>
  <c r="AW331" i="4"/>
  <c r="J331" i="4"/>
  <c r="G334" i="4"/>
  <c r="G333" i="4" s="1"/>
  <c r="BI331" i="4"/>
  <c r="AE331" i="4" s="1"/>
  <c r="K331" i="4"/>
  <c r="AK344" i="4"/>
  <c r="BC340" i="4"/>
  <c r="AV340" i="4"/>
  <c r="M351" i="4"/>
  <c r="BC351" i="4"/>
  <c r="AV351" i="4"/>
  <c r="BC349" i="4"/>
  <c r="AV338" i="4"/>
  <c r="BC344" i="4"/>
  <c r="AV344" i="4"/>
  <c r="L120" i="4"/>
  <c r="M120" i="4" s="1"/>
  <c r="BJ120" i="4"/>
  <c r="O120" i="4"/>
  <c r="BF120" i="4" s="1"/>
  <c r="BI120" i="4"/>
  <c r="AC120" i="4" s="1"/>
  <c r="BH120" i="4"/>
  <c r="AB120" i="4" s="1"/>
  <c r="J116" i="4"/>
  <c r="AX116" i="4"/>
  <c r="G119" i="4"/>
  <c r="L116" i="4"/>
  <c r="AK116" i="4" s="1"/>
  <c r="O116" i="4"/>
  <c r="BF116" i="4" s="1"/>
  <c r="G131" i="4"/>
  <c r="G130" i="4" s="1"/>
  <c r="BJ130" i="4" s="1"/>
  <c r="BH122" i="4"/>
  <c r="AB122" i="4" s="1"/>
  <c r="AX122" i="4"/>
  <c r="L122" i="4"/>
  <c r="AK122" i="4" s="1"/>
  <c r="O122" i="4"/>
  <c r="BF122" i="4" s="1"/>
  <c r="AU115" i="4"/>
  <c r="AW116" i="4"/>
  <c r="BH116" i="4"/>
  <c r="AB116" i="4" s="1"/>
  <c r="AS115" i="4"/>
  <c r="AU129" i="4"/>
  <c r="J122" i="4"/>
  <c r="AU135" i="4"/>
  <c r="AS135" i="4"/>
  <c r="AS129" i="4"/>
  <c r="AW122" i="4"/>
  <c r="K116" i="4"/>
  <c r="BI116" i="4"/>
  <c r="AC116" i="4" s="1"/>
  <c r="K122" i="4"/>
  <c r="BI122" i="4"/>
  <c r="AC122" i="4" s="1"/>
  <c r="AW120" i="4"/>
  <c r="AX120" i="4"/>
  <c r="J120" i="4"/>
  <c r="K120" i="4"/>
  <c r="E114" i="4"/>
  <c r="BW162" i="4"/>
  <c r="BD162" i="4"/>
  <c r="AP162" i="4"/>
  <c r="AO162" i="4"/>
  <c r="AL162" i="4"/>
  <c r="AJ162" i="4"/>
  <c r="AH162" i="4"/>
  <c r="AG162" i="4"/>
  <c r="AF162" i="4"/>
  <c r="AC162" i="4"/>
  <c r="AB162" i="4"/>
  <c r="Z162" i="4"/>
  <c r="G162" i="4"/>
  <c r="BJ162" i="4" s="1"/>
  <c r="AV460" i="4" l="1"/>
  <c r="L438" i="4"/>
  <c r="E32" i="3" s="1"/>
  <c r="F31" i="3" s="1"/>
  <c r="M460" i="4"/>
  <c r="M438" i="4" s="1"/>
  <c r="AK460" i="4"/>
  <c r="AT438" i="4" s="1"/>
  <c r="BC335" i="4"/>
  <c r="BC329" i="4"/>
  <c r="AV329" i="4"/>
  <c r="AV335" i="4"/>
  <c r="M329" i="4"/>
  <c r="AV346" i="4"/>
  <c r="BC346" i="4"/>
  <c r="AK346" i="4"/>
  <c r="M346" i="4"/>
  <c r="M335" i="4"/>
  <c r="BC331" i="4"/>
  <c r="AV331" i="4"/>
  <c r="AK331" i="4"/>
  <c r="M331" i="4"/>
  <c r="BJ333" i="4"/>
  <c r="BH333" i="4"/>
  <c r="AD333" i="4" s="1"/>
  <c r="AW333" i="4"/>
  <c r="K333" i="4"/>
  <c r="AX333" i="4"/>
  <c r="BI333" i="4"/>
  <c r="AE333" i="4" s="1"/>
  <c r="L333" i="4"/>
  <c r="O333" i="4"/>
  <c r="J333" i="4"/>
  <c r="G118" i="4"/>
  <c r="AW118" i="4" s="1"/>
  <c r="AV116" i="4"/>
  <c r="K130" i="4"/>
  <c r="AK120" i="4"/>
  <c r="BI130" i="4"/>
  <c r="AE130" i="4" s="1"/>
  <c r="M122" i="4"/>
  <c r="J130" i="4"/>
  <c r="L130" i="4"/>
  <c r="M130" i="4" s="1"/>
  <c r="AW130" i="4"/>
  <c r="G133" i="4"/>
  <c r="G132" i="4" s="1"/>
  <c r="AX130" i="4"/>
  <c r="O130" i="4"/>
  <c r="BH130" i="4"/>
  <c r="AD130" i="4" s="1"/>
  <c r="M116" i="4"/>
  <c r="BC122" i="4"/>
  <c r="BC116" i="4"/>
  <c r="AV122" i="4"/>
  <c r="BC120" i="4"/>
  <c r="AV120" i="4"/>
  <c r="J162" i="4"/>
  <c r="O162" i="4"/>
  <c r="BF162" i="4" s="1"/>
  <c r="AW162" i="4"/>
  <c r="AX162" i="4"/>
  <c r="BH162" i="4"/>
  <c r="AD162" i="4" s="1"/>
  <c r="K162" i="4"/>
  <c r="BI162" i="4"/>
  <c r="AE162" i="4" s="1"/>
  <c r="L162" i="4"/>
  <c r="BF333" i="4" l="1"/>
  <c r="AK333" i="4"/>
  <c r="M333" i="4"/>
  <c r="BC333" i="4"/>
  <c r="AV333" i="4"/>
  <c r="AX118" i="4"/>
  <c r="BC118" i="4" s="1"/>
  <c r="L118" i="4"/>
  <c r="L115" i="4" s="1"/>
  <c r="F18" i="3" s="1"/>
  <c r="BJ118" i="4"/>
  <c r="BI118" i="4"/>
  <c r="AC118" i="4" s="1"/>
  <c r="O118" i="4"/>
  <c r="BF118" i="4" s="1"/>
  <c r="J118" i="4"/>
  <c r="J115" i="4" s="1"/>
  <c r="K118" i="4"/>
  <c r="K115" i="4" s="1"/>
  <c r="BH118" i="4"/>
  <c r="AB118" i="4" s="1"/>
  <c r="AV130" i="4"/>
  <c r="AK130" i="4"/>
  <c r="BF130" i="4"/>
  <c r="L132" i="4"/>
  <c r="BJ132" i="4"/>
  <c r="O132" i="4"/>
  <c r="BF132" i="4" s="1"/>
  <c r="AW132" i="4"/>
  <c r="J132" i="4"/>
  <c r="AX132" i="4"/>
  <c r="K132" i="4"/>
  <c r="BH132" i="4"/>
  <c r="AD132" i="4" s="1"/>
  <c r="BI132" i="4"/>
  <c r="AE132" i="4" s="1"/>
  <c r="BC130" i="4"/>
  <c r="BC162" i="4"/>
  <c r="AV162" i="4"/>
  <c r="M162" i="4"/>
  <c r="AK162" i="4"/>
  <c r="M118" i="4" l="1"/>
  <c r="M115" i="4" s="1"/>
  <c r="O115" i="4"/>
  <c r="AV118" i="4"/>
  <c r="AK118" i="4"/>
  <c r="AT115" i="4" s="1"/>
  <c r="AK132" i="4"/>
  <c r="M132" i="4"/>
  <c r="AV132" i="4"/>
  <c r="BC132" i="4"/>
  <c r="O129" i="4"/>
  <c r="G134" i="4" s="1"/>
  <c r="A161" i="4"/>
  <c r="D161" i="4"/>
  <c r="D160" i="4"/>
  <c r="G160" i="4" s="1"/>
  <c r="E161" i="4"/>
  <c r="E160" i="4"/>
  <c r="G156" i="4"/>
  <c r="D242" i="4"/>
  <c r="C242" i="4"/>
  <c r="E244" i="4"/>
  <c r="G229" i="4"/>
  <c r="G228" i="4"/>
  <c r="E231" i="4"/>
  <c r="C234" i="4"/>
  <c r="G234" i="4" s="1"/>
  <c r="G233" i="4"/>
  <c r="A235" i="4"/>
  <c r="G235" i="4" s="1"/>
  <c r="E223" i="4"/>
  <c r="E222" i="4"/>
  <c r="E221" i="4"/>
  <c r="E239" i="4"/>
  <c r="E238" i="4"/>
  <c r="E225" i="4"/>
  <c r="BJ134" i="4" l="1"/>
  <c r="Z134" i="4" s="1"/>
  <c r="L134" i="4"/>
  <c r="K134" i="4"/>
  <c r="K129" i="4" s="1"/>
  <c r="AX134" i="4"/>
  <c r="J134" i="4"/>
  <c r="J129" i="4" s="1"/>
  <c r="BH134" i="4"/>
  <c r="BI134" i="4"/>
  <c r="AW134" i="4"/>
  <c r="G161" i="4"/>
  <c r="G159" i="4" s="1"/>
  <c r="G242" i="4"/>
  <c r="G230" i="4"/>
  <c r="G236" i="4"/>
  <c r="G232" i="4" s="1"/>
  <c r="A239" i="4" s="1"/>
  <c r="G239" i="4" s="1"/>
  <c r="BE33" i="12"/>
  <c r="BD33" i="12"/>
  <c r="BC33" i="12"/>
  <c r="BA33" i="12"/>
  <c r="G33" i="12"/>
  <c r="BB33" i="12" s="1"/>
  <c r="E36" i="12"/>
  <c r="E18" i="12"/>
  <c r="G18" i="12" s="1"/>
  <c r="BA18" i="12" s="1"/>
  <c r="BE18" i="12"/>
  <c r="BD18" i="12"/>
  <c r="BC18" i="12"/>
  <c r="BB18" i="12"/>
  <c r="B16" i="13"/>
  <c r="B15" i="13"/>
  <c r="B14" i="13"/>
  <c r="Q20" i="13"/>
  <c r="G241" i="4" l="1"/>
  <c r="G244" i="4" s="1"/>
  <c r="BC134" i="4"/>
  <c r="AV134" i="4"/>
  <c r="M134" i="4"/>
  <c r="M129" i="4" s="1"/>
  <c r="AK134" i="4"/>
  <c r="AT129" i="4" s="1"/>
  <c r="L129" i="4"/>
  <c r="E23" i="3" s="1"/>
  <c r="C3" i="12"/>
  <c r="F3" i="12"/>
  <c r="C4" i="12"/>
  <c r="G8" i="12"/>
  <c r="BA8" i="12" s="1"/>
  <c r="BB8" i="12"/>
  <c r="BC8" i="12"/>
  <c r="BD8" i="12"/>
  <c r="BE8" i="12"/>
  <c r="G9" i="12"/>
  <c r="BB9" i="12"/>
  <c r="BC9" i="12"/>
  <c r="BD9" i="12"/>
  <c r="BE9" i="12"/>
  <c r="G10" i="12"/>
  <c r="BA10" i="12" s="1"/>
  <c r="BB10" i="12"/>
  <c r="BC10" i="12"/>
  <c r="BD10" i="12"/>
  <c r="BE10" i="12"/>
  <c r="G11" i="12"/>
  <c r="BA11" i="12" s="1"/>
  <c r="BB11" i="12"/>
  <c r="BC11" i="12"/>
  <c r="BD11" i="12"/>
  <c r="BE11" i="12"/>
  <c r="G12" i="12"/>
  <c r="BA12" i="12" s="1"/>
  <c r="BB12" i="12"/>
  <c r="BC12" i="12"/>
  <c r="BD12" i="12"/>
  <c r="BE12" i="12"/>
  <c r="G13" i="12"/>
  <c r="BA13" i="12" s="1"/>
  <c r="BB13" i="12"/>
  <c r="BC13" i="12"/>
  <c r="BD13" i="12"/>
  <c r="BE13" i="12"/>
  <c r="G14" i="12"/>
  <c r="BA14" i="12" s="1"/>
  <c r="BB14" i="12"/>
  <c r="BC14" i="12"/>
  <c r="BD14" i="12"/>
  <c r="BE14" i="12"/>
  <c r="G15" i="12"/>
  <c r="BA15" i="12" s="1"/>
  <c r="BB15" i="12"/>
  <c r="BC15" i="12"/>
  <c r="BD15" i="12"/>
  <c r="BE15" i="12"/>
  <c r="G16" i="12"/>
  <c r="BA16" i="12"/>
  <c r="BB16" i="12"/>
  <c r="BC16" i="12"/>
  <c r="BD16" i="12"/>
  <c r="BE16" i="12"/>
  <c r="G17" i="12"/>
  <c r="BA17" i="12" s="1"/>
  <c r="BB17" i="12"/>
  <c r="BC17" i="12"/>
  <c r="BD17" i="12"/>
  <c r="BE17" i="12"/>
  <c r="G19" i="12"/>
  <c r="BA19" i="12" s="1"/>
  <c r="BB19" i="12"/>
  <c r="BC19" i="12"/>
  <c r="BD19" i="12"/>
  <c r="BE19" i="12"/>
  <c r="G20" i="12"/>
  <c r="BA20" i="12" s="1"/>
  <c r="BB20" i="12"/>
  <c r="BC20" i="12"/>
  <c r="BD20" i="12"/>
  <c r="BE20" i="12"/>
  <c r="C21" i="12"/>
  <c r="G23" i="12"/>
  <c r="BA23" i="12" s="1"/>
  <c r="BB23" i="12"/>
  <c r="BC23" i="12"/>
  <c r="BD23" i="12"/>
  <c r="BE23" i="12"/>
  <c r="G24" i="12"/>
  <c r="BA24" i="12" s="1"/>
  <c r="BB24" i="12"/>
  <c r="BC24" i="12"/>
  <c r="BD24" i="12"/>
  <c r="BE24" i="12"/>
  <c r="G25" i="12"/>
  <c r="BA25" i="12" s="1"/>
  <c r="BB25" i="12"/>
  <c r="BC25" i="12"/>
  <c r="BD25" i="12"/>
  <c r="BE25" i="12"/>
  <c r="C26" i="12"/>
  <c r="G28" i="12"/>
  <c r="BA28" i="12" s="1"/>
  <c r="BB28" i="12"/>
  <c r="BC28" i="12"/>
  <c r="BD28" i="12"/>
  <c r="BE28" i="12"/>
  <c r="G29" i="12"/>
  <c r="BA29" i="12" s="1"/>
  <c r="BB29" i="12"/>
  <c r="BC29" i="12"/>
  <c r="BD29" i="12"/>
  <c r="BE29" i="12"/>
  <c r="G30" i="12"/>
  <c r="BA30" i="12" s="1"/>
  <c r="BB30" i="12"/>
  <c r="BC30" i="12"/>
  <c r="BD30" i="12"/>
  <c r="BE30" i="12"/>
  <c r="G31" i="12"/>
  <c r="BA31" i="12" s="1"/>
  <c r="BB31" i="12"/>
  <c r="BC31" i="12"/>
  <c r="BD31" i="12"/>
  <c r="BE31" i="12"/>
  <c r="G32" i="12"/>
  <c r="BA32" i="12" s="1"/>
  <c r="BB32" i="12"/>
  <c r="BC32" i="12"/>
  <c r="BD32" i="12"/>
  <c r="BE32" i="12"/>
  <c r="G34" i="12"/>
  <c r="BA34" i="12" s="1"/>
  <c r="BB34" i="12"/>
  <c r="BC34" i="12"/>
  <c r="BD34" i="12"/>
  <c r="BE34" i="12"/>
  <c r="G35" i="12"/>
  <c r="BA35" i="12" s="1"/>
  <c r="BB35" i="12"/>
  <c r="BC35" i="12"/>
  <c r="BD35" i="12"/>
  <c r="BE35" i="12"/>
  <c r="G36" i="12"/>
  <c r="BA36" i="12" s="1"/>
  <c r="BB36" i="12"/>
  <c r="BC36" i="12"/>
  <c r="BD36" i="12"/>
  <c r="BE36" i="12"/>
  <c r="G37" i="12"/>
  <c r="BA37" i="12" s="1"/>
  <c r="BB37" i="12"/>
  <c r="BC37" i="12"/>
  <c r="BD37" i="12"/>
  <c r="BE37" i="12"/>
  <c r="G38" i="12"/>
  <c r="BA38" i="12" s="1"/>
  <c r="BB38" i="12"/>
  <c r="BC38" i="12"/>
  <c r="BD38" i="12"/>
  <c r="BE38" i="12"/>
  <c r="C39" i="12"/>
  <c r="G41" i="12"/>
  <c r="BA41" i="12" s="1"/>
  <c r="BA42" i="12" s="1"/>
  <c r="E10" i="11" s="1"/>
  <c r="BB41" i="12"/>
  <c r="BB42" i="12" s="1"/>
  <c r="F10" i="11" s="1"/>
  <c r="BC41" i="12"/>
  <c r="BC42" i="12" s="1"/>
  <c r="G10" i="11" s="1"/>
  <c r="BD41" i="12"/>
  <c r="BD42" i="12" s="1"/>
  <c r="H10" i="11" s="1"/>
  <c r="BE41" i="12"/>
  <c r="BE42" i="12" s="1"/>
  <c r="I10" i="11" s="1"/>
  <c r="C42" i="12"/>
  <c r="C1" i="11"/>
  <c r="C2" i="11"/>
  <c r="A7" i="11"/>
  <c r="B7" i="11"/>
  <c r="A8" i="11"/>
  <c r="B8" i="11"/>
  <c r="A9" i="11"/>
  <c r="B9" i="11"/>
  <c r="A10" i="11"/>
  <c r="B10" i="11"/>
  <c r="G8" i="10"/>
  <c r="D14" i="10"/>
  <c r="D15" i="10"/>
  <c r="D16" i="10"/>
  <c r="D17" i="10"/>
  <c r="F31" i="10"/>
  <c r="C3" i="9"/>
  <c r="F3" i="9"/>
  <c r="C4" i="9"/>
  <c r="G8" i="9"/>
  <c r="BA8" i="9"/>
  <c r="BB8" i="9"/>
  <c r="BC8" i="9"/>
  <c r="BD8" i="9"/>
  <c r="BE8" i="9"/>
  <c r="G9" i="9"/>
  <c r="BA9" i="9"/>
  <c r="BB9" i="9"/>
  <c r="BC9" i="9"/>
  <c r="BD9" i="9"/>
  <c r="BE9" i="9"/>
  <c r="G10" i="9"/>
  <c r="BA10" i="9" s="1"/>
  <c r="BB10" i="9"/>
  <c r="BC10" i="9"/>
  <c r="BD10" i="9"/>
  <c r="BE10" i="9"/>
  <c r="G11" i="9"/>
  <c r="BA11" i="9" s="1"/>
  <c r="BB11" i="9"/>
  <c r="BC11" i="9"/>
  <c r="BD11" i="9"/>
  <c r="BE11" i="9"/>
  <c r="G12" i="9"/>
  <c r="BA12" i="9" s="1"/>
  <c r="BB12" i="9"/>
  <c r="BC12" i="9"/>
  <c r="BD12" i="9"/>
  <c r="BE12" i="9"/>
  <c r="G13" i="9"/>
  <c r="BA13" i="9"/>
  <c r="BB13" i="9"/>
  <c r="BC13" i="9"/>
  <c r="BD13" i="9"/>
  <c r="BE13" i="9"/>
  <c r="G14" i="9"/>
  <c r="BA14" i="9" s="1"/>
  <c r="BB14" i="9"/>
  <c r="BC14" i="9"/>
  <c r="BD14" i="9"/>
  <c r="BE14" i="9"/>
  <c r="G15" i="9"/>
  <c r="BA15" i="9" s="1"/>
  <c r="BB15" i="9"/>
  <c r="BC15" i="9"/>
  <c r="BD15" i="9"/>
  <c r="BE15" i="9"/>
  <c r="G16" i="9"/>
  <c r="BA16" i="9" s="1"/>
  <c r="BB16" i="9"/>
  <c r="BC16" i="9"/>
  <c r="BD16" i="9"/>
  <c r="BE16" i="9"/>
  <c r="G17" i="9"/>
  <c r="BA17" i="9" s="1"/>
  <c r="BB17" i="9"/>
  <c r="BC17" i="9"/>
  <c r="BD17" i="9"/>
  <c r="BE17" i="9"/>
  <c r="G18" i="9"/>
  <c r="BA18" i="9" s="1"/>
  <c r="BB18" i="9"/>
  <c r="BC18" i="9"/>
  <c r="BD18" i="9"/>
  <c r="BE18" i="9"/>
  <c r="G19" i="9"/>
  <c r="BA19" i="9" s="1"/>
  <c r="BB19" i="9"/>
  <c r="BC19" i="9"/>
  <c r="BD19" i="9"/>
  <c r="BE19" i="9"/>
  <c r="G20" i="9"/>
  <c r="BA20" i="9" s="1"/>
  <c r="BB20" i="9"/>
  <c r="BC20" i="9"/>
  <c r="BD20" i="9"/>
  <c r="BE20" i="9"/>
  <c r="G21" i="9"/>
  <c r="BA21" i="9" s="1"/>
  <c r="BB21" i="9"/>
  <c r="BC21" i="9"/>
  <c r="BD21" i="9"/>
  <c r="BE21" i="9"/>
  <c r="G22" i="9"/>
  <c r="BA22" i="9" s="1"/>
  <c r="BB22" i="9"/>
  <c r="BC22" i="9"/>
  <c r="BD22" i="9"/>
  <c r="BE22" i="9"/>
  <c r="C23" i="9"/>
  <c r="G25" i="9"/>
  <c r="BA25" i="9" s="1"/>
  <c r="BB25" i="9"/>
  <c r="BC25" i="9"/>
  <c r="BD25" i="9"/>
  <c r="BE25" i="9"/>
  <c r="G26" i="9"/>
  <c r="BA26" i="9" s="1"/>
  <c r="BB26" i="9"/>
  <c r="BC26" i="9"/>
  <c r="BD26" i="9"/>
  <c r="BD27" i="9" s="1"/>
  <c r="H8" i="8" s="1"/>
  <c r="BE26" i="9"/>
  <c r="C27" i="9"/>
  <c r="G29" i="9"/>
  <c r="BA29" i="9" s="1"/>
  <c r="BB29" i="9"/>
  <c r="BC29" i="9"/>
  <c r="BD29" i="9"/>
  <c r="BE29" i="9"/>
  <c r="G30" i="9"/>
  <c r="BA30" i="9" s="1"/>
  <c r="BB30" i="9"/>
  <c r="BC30" i="9"/>
  <c r="BD30" i="9"/>
  <c r="BE30" i="9"/>
  <c r="G31" i="9"/>
  <c r="BA31" i="9" s="1"/>
  <c r="BB31" i="9"/>
  <c r="BC31" i="9"/>
  <c r="BD31" i="9"/>
  <c r="BE31" i="9"/>
  <c r="G32" i="9"/>
  <c r="BA32" i="9" s="1"/>
  <c r="BB32" i="9"/>
  <c r="BC32" i="9"/>
  <c r="BD32" i="9"/>
  <c r="BE32" i="9"/>
  <c r="G33" i="9"/>
  <c r="BA33" i="9" s="1"/>
  <c r="BB33" i="9"/>
  <c r="BC33" i="9"/>
  <c r="BD33" i="9"/>
  <c r="BE33" i="9"/>
  <c r="G34" i="9"/>
  <c r="BA34" i="9" s="1"/>
  <c r="BB34" i="9"/>
  <c r="BC34" i="9"/>
  <c r="BD34" i="9"/>
  <c r="BE34" i="9"/>
  <c r="G35" i="9"/>
  <c r="BA35" i="9" s="1"/>
  <c r="BB35" i="9"/>
  <c r="BC35" i="9"/>
  <c r="BD35" i="9"/>
  <c r="BE35" i="9"/>
  <c r="G36" i="9"/>
  <c r="BA36" i="9" s="1"/>
  <c r="BB36" i="9"/>
  <c r="BC36" i="9"/>
  <c r="BD36" i="9"/>
  <c r="BE36" i="9"/>
  <c r="G37" i="9"/>
  <c r="BA37" i="9" s="1"/>
  <c r="BB37" i="9"/>
  <c r="BC37" i="9"/>
  <c r="BD37" i="9"/>
  <c r="BE37" i="9"/>
  <c r="G38" i="9"/>
  <c r="BA38" i="9" s="1"/>
  <c r="BB38" i="9"/>
  <c r="BC38" i="9"/>
  <c r="BD38" i="9"/>
  <c r="BE38" i="9"/>
  <c r="G39" i="9"/>
  <c r="BA39" i="9" s="1"/>
  <c r="BB39" i="9"/>
  <c r="BC39" i="9"/>
  <c r="BD39" i="9"/>
  <c r="BE39" i="9"/>
  <c r="G40" i="9"/>
  <c r="BA40" i="9" s="1"/>
  <c r="BB40" i="9"/>
  <c r="BC40" i="9"/>
  <c r="BD40" i="9"/>
  <c r="BE40" i="9"/>
  <c r="G41" i="9"/>
  <c r="BA41" i="9" s="1"/>
  <c r="BB41" i="9"/>
  <c r="BC41" i="9"/>
  <c r="BD41" i="9"/>
  <c r="BE41" i="9"/>
  <c r="G42" i="9"/>
  <c r="BA42" i="9"/>
  <c r="BB42" i="9"/>
  <c r="BC42" i="9"/>
  <c r="BD42" i="9"/>
  <c r="BE42" i="9"/>
  <c r="G43" i="9"/>
  <c r="BA43" i="9" s="1"/>
  <c r="BB43" i="9"/>
  <c r="BC43" i="9"/>
  <c r="BD43" i="9"/>
  <c r="BE43" i="9"/>
  <c r="C44" i="9"/>
  <c r="G46" i="9"/>
  <c r="BA46" i="9" s="1"/>
  <c r="BA47" i="9" s="1"/>
  <c r="E10" i="8" s="1"/>
  <c r="BB46" i="9"/>
  <c r="BB47" i="9" s="1"/>
  <c r="F10" i="8" s="1"/>
  <c r="BC46" i="9"/>
  <c r="BC47" i="9" s="1"/>
  <c r="G10" i="8" s="1"/>
  <c r="BD46" i="9"/>
  <c r="BD47" i="9" s="1"/>
  <c r="H10" i="8" s="1"/>
  <c r="BE46" i="9"/>
  <c r="BE47" i="9" s="1"/>
  <c r="I10" i="8" s="1"/>
  <c r="C47" i="9"/>
  <c r="G49" i="9"/>
  <c r="G50" i="9" s="1"/>
  <c r="BB49" i="9"/>
  <c r="BB50" i="9" s="1"/>
  <c r="F11" i="8" s="1"/>
  <c r="BC49" i="9"/>
  <c r="BD49" i="9"/>
  <c r="BE49" i="9"/>
  <c r="BE50" i="9" s="1"/>
  <c r="I11" i="8" s="1"/>
  <c r="C50" i="9"/>
  <c r="BC50" i="9"/>
  <c r="G11" i="8" s="1"/>
  <c r="BD50" i="9"/>
  <c r="H11" i="8" s="1"/>
  <c r="G52" i="9"/>
  <c r="BB52" i="9" s="1"/>
  <c r="BA52" i="9"/>
  <c r="BC52" i="9"/>
  <c r="BD52" i="9"/>
  <c r="BE52" i="9"/>
  <c r="G53" i="9"/>
  <c r="BB53" i="9" s="1"/>
  <c r="BA53" i="9"/>
  <c r="BC53" i="9"/>
  <c r="BD53" i="9"/>
  <c r="BE53" i="9"/>
  <c r="G54" i="9"/>
  <c r="BB54" i="9" s="1"/>
  <c r="BA54" i="9"/>
  <c r="BC54" i="9"/>
  <c r="BD54" i="9"/>
  <c r="BE54" i="9"/>
  <c r="G55" i="9"/>
  <c r="BB55" i="9" s="1"/>
  <c r="BA55" i="9"/>
  <c r="BC55" i="9"/>
  <c r="BD55" i="9"/>
  <c r="BE55" i="9"/>
  <c r="G56" i="9"/>
  <c r="BB56" i="9" s="1"/>
  <c r="BA56" i="9"/>
  <c r="BC56" i="9"/>
  <c r="BD56" i="9"/>
  <c r="BE56" i="9"/>
  <c r="C57" i="9"/>
  <c r="C1" i="8"/>
  <c r="C2" i="8"/>
  <c r="A7" i="8"/>
  <c r="B7" i="8"/>
  <c r="A8" i="8"/>
  <c r="B8" i="8"/>
  <c r="A9" i="8"/>
  <c r="B9" i="8"/>
  <c r="A10" i="8"/>
  <c r="B10" i="8"/>
  <c r="A11" i="8"/>
  <c r="B11" i="8"/>
  <c r="A12" i="8"/>
  <c r="B12" i="8"/>
  <c r="G8" i="7"/>
  <c r="D14" i="7"/>
  <c r="D15" i="7"/>
  <c r="D16" i="7"/>
  <c r="D17" i="7"/>
  <c r="F31" i="7"/>
  <c r="G23" i="9" l="1"/>
  <c r="O241" i="4"/>
  <c r="G223" i="4"/>
  <c r="L241" i="4"/>
  <c r="A231" i="4"/>
  <c r="G231" i="4" s="1"/>
  <c r="G27" i="9"/>
  <c r="BE44" i="9"/>
  <c r="I9" i="8" s="1"/>
  <c r="BD44" i="9"/>
  <c r="H9" i="8" s="1"/>
  <c r="BB44" i="9"/>
  <c r="F9" i="8" s="1"/>
  <c r="BE57" i="9"/>
  <c r="I12" i="8" s="1"/>
  <c r="A245" i="4"/>
  <c r="G245" i="4" s="1"/>
  <c r="G243" i="4" s="1"/>
  <c r="BD26" i="12"/>
  <c r="H8" i="11" s="1"/>
  <c r="BE26" i="12"/>
  <c r="I8" i="11" s="1"/>
  <c r="BD39" i="12"/>
  <c r="H9" i="11" s="1"/>
  <c r="G42" i="12"/>
  <c r="BC26" i="12"/>
  <c r="G8" i="11" s="1"/>
  <c r="BB39" i="12"/>
  <c r="F9" i="11" s="1"/>
  <c r="G21" i="12"/>
  <c r="BD23" i="9"/>
  <c r="H7" i="8" s="1"/>
  <c r="BB23" i="9"/>
  <c r="F7" i="8" s="1"/>
  <c r="BA23" i="9"/>
  <c r="E7" i="8" s="1"/>
  <c r="BA39" i="12"/>
  <c r="E9" i="11" s="1"/>
  <c r="BA9" i="12"/>
  <c r="BA21" i="12" s="1"/>
  <c r="E7" i="11" s="1"/>
  <c r="BE21" i="12"/>
  <c r="I7" i="11" s="1"/>
  <c r="BB21" i="12"/>
  <c r="F7" i="11" s="1"/>
  <c r="BB26" i="12"/>
  <c r="F8" i="11" s="1"/>
  <c r="BC21" i="12"/>
  <c r="G7" i="11" s="1"/>
  <c r="BE39" i="12"/>
  <c r="I9" i="11" s="1"/>
  <c r="G26" i="12"/>
  <c r="BC39" i="12"/>
  <c r="G9" i="11" s="1"/>
  <c r="G39" i="12"/>
  <c r="BD21" i="12"/>
  <c r="H7" i="11" s="1"/>
  <c r="BA26" i="12"/>
  <c r="E8" i="11" s="1"/>
  <c r="BA27" i="9"/>
  <c r="E8" i="8" s="1"/>
  <c r="BE27" i="9"/>
  <c r="I8" i="8" s="1"/>
  <c r="BC23" i="9"/>
  <c r="G7" i="8" s="1"/>
  <c r="BC57" i="9"/>
  <c r="G12" i="8" s="1"/>
  <c r="BA57" i="9"/>
  <c r="E12" i="8" s="1"/>
  <c r="BC44" i="9"/>
  <c r="G9" i="8" s="1"/>
  <c r="BC27" i="9"/>
  <c r="G8" i="8" s="1"/>
  <c r="BB27" i="9"/>
  <c r="F8" i="8" s="1"/>
  <c r="BB57" i="9"/>
  <c r="F12" i="8" s="1"/>
  <c r="BA44" i="9"/>
  <c r="E9" i="8" s="1"/>
  <c r="BE23" i="9"/>
  <c r="I7" i="8" s="1"/>
  <c r="BD57" i="9"/>
  <c r="H12" i="8" s="1"/>
  <c r="BA49" i="9"/>
  <c r="BA50" i="9" s="1"/>
  <c r="E11" i="8" s="1"/>
  <c r="G57" i="9"/>
  <c r="G47" i="9"/>
  <c r="G44" i="9"/>
  <c r="CZ72" i="6"/>
  <c r="E71" i="6" s="1"/>
  <c r="G71" i="6" s="1"/>
  <c r="BB71" i="6" s="1"/>
  <c r="BE70" i="6"/>
  <c r="BD70" i="6"/>
  <c r="BC70" i="6"/>
  <c r="BA70" i="6"/>
  <c r="G15" i="6"/>
  <c r="BB15" i="6" s="1"/>
  <c r="BA15" i="6"/>
  <c r="BC15" i="6"/>
  <c r="BD15" i="6"/>
  <c r="BE15" i="6"/>
  <c r="G16" i="6"/>
  <c r="BA16" i="6"/>
  <c r="BC16" i="6"/>
  <c r="BD16" i="6"/>
  <c r="BE16" i="6"/>
  <c r="G17" i="6"/>
  <c r="BB17" i="6" s="1"/>
  <c r="BA17" i="6"/>
  <c r="BC17" i="6"/>
  <c r="BD17" i="6"/>
  <c r="BE17" i="6"/>
  <c r="G18" i="6"/>
  <c r="BB18" i="6" s="1"/>
  <c r="BA18" i="6"/>
  <c r="BC18" i="6"/>
  <c r="BD18" i="6"/>
  <c r="BE18" i="6"/>
  <c r="G19" i="6"/>
  <c r="BB19" i="6" s="1"/>
  <c r="BA19" i="6"/>
  <c r="BC19" i="6"/>
  <c r="BD19" i="6"/>
  <c r="BE19" i="6"/>
  <c r="G20" i="6"/>
  <c r="BB20" i="6" s="1"/>
  <c r="BA20" i="6"/>
  <c r="BC20" i="6"/>
  <c r="BD20" i="6"/>
  <c r="BE20" i="6"/>
  <c r="G21" i="6"/>
  <c r="BB21" i="6" s="1"/>
  <c r="BA21" i="6"/>
  <c r="BC21" i="6"/>
  <c r="BD21" i="6"/>
  <c r="BE21" i="6"/>
  <c r="G22" i="6"/>
  <c r="BB22" i="6" s="1"/>
  <c r="BA22" i="6"/>
  <c r="BC22" i="6"/>
  <c r="BD22" i="6"/>
  <c r="BE22" i="6"/>
  <c r="G23" i="6"/>
  <c r="BB23" i="6" s="1"/>
  <c r="BA23" i="6"/>
  <c r="BC23" i="6"/>
  <c r="BD23" i="6"/>
  <c r="BE23" i="6"/>
  <c r="G24" i="6"/>
  <c r="BB24" i="6" s="1"/>
  <c r="BA24" i="6"/>
  <c r="BC24" i="6"/>
  <c r="BD24" i="6"/>
  <c r="BE24" i="6"/>
  <c r="G25" i="6"/>
  <c r="BB25" i="6" s="1"/>
  <c r="BA25" i="6"/>
  <c r="BC25" i="6"/>
  <c r="BD25" i="6"/>
  <c r="BE25" i="6"/>
  <c r="G26" i="6"/>
  <c r="BB26" i="6" s="1"/>
  <c r="BA26" i="6"/>
  <c r="BC26" i="6"/>
  <c r="BD26" i="6"/>
  <c r="BE26" i="6"/>
  <c r="G27" i="6"/>
  <c r="BB27" i="6" s="1"/>
  <c r="BA27" i="6"/>
  <c r="BC27" i="6"/>
  <c r="BD27" i="6"/>
  <c r="BE27" i="6"/>
  <c r="G28" i="6"/>
  <c r="BB28" i="6" s="1"/>
  <c r="BA28" i="6"/>
  <c r="BC28" i="6"/>
  <c r="BD28" i="6"/>
  <c r="BE28" i="6"/>
  <c r="G29" i="6"/>
  <c r="BB29" i="6" s="1"/>
  <c r="BA29" i="6"/>
  <c r="BC29" i="6"/>
  <c r="BD29" i="6"/>
  <c r="BE29" i="6"/>
  <c r="G30" i="6"/>
  <c r="BB30" i="6" s="1"/>
  <c r="BA30" i="6"/>
  <c r="BC30" i="6"/>
  <c r="BD30" i="6"/>
  <c r="BE30" i="6"/>
  <c r="C31" i="6"/>
  <c r="G33" i="6"/>
  <c r="BB33" i="6" s="1"/>
  <c r="BA33" i="6"/>
  <c r="BC33" i="6"/>
  <c r="BD33" i="6"/>
  <c r="BE33" i="6"/>
  <c r="G34" i="6"/>
  <c r="BB34" i="6" s="1"/>
  <c r="BA34" i="6"/>
  <c r="BC34" i="6"/>
  <c r="BD34" i="6"/>
  <c r="BE34" i="6"/>
  <c r="G35" i="6"/>
  <c r="BB35" i="6" s="1"/>
  <c r="BA35" i="6"/>
  <c r="BC35" i="6"/>
  <c r="BD35" i="6"/>
  <c r="BE35" i="6"/>
  <c r="G36" i="6"/>
  <c r="BB36" i="6" s="1"/>
  <c r="BA36" i="6"/>
  <c r="BC36" i="6"/>
  <c r="BD36" i="6"/>
  <c r="BE36" i="6"/>
  <c r="G37" i="6"/>
  <c r="BB37" i="6" s="1"/>
  <c r="BA37" i="6"/>
  <c r="BC37" i="6"/>
  <c r="BD37" i="6"/>
  <c r="BE37" i="6"/>
  <c r="G38" i="6"/>
  <c r="BB38" i="6" s="1"/>
  <c r="BA38" i="6"/>
  <c r="BC38" i="6"/>
  <c r="BD38" i="6"/>
  <c r="BE38" i="6"/>
  <c r="G39" i="6"/>
  <c r="BB39" i="6" s="1"/>
  <c r="BA39" i="6"/>
  <c r="BC39" i="6"/>
  <c r="BD39" i="6"/>
  <c r="BE39" i="6"/>
  <c r="G40" i="6"/>
  <c r="BB40" i="6" s="1"/>
  <c r="BA40" i="6"/>
  <c r="BC40" i="6"/>
  <c r="BD40" i="6"/>
  <c r="BE40" i="6"/>
  <c r="G41" i="6"/>
  <c r="BB41" i="6" s="1"/>
  <c r="BA41" i="6"/>
  <c r="BC41" i="6"/>
  <c r="BD41" i="6"/>
  <c r="BE41" i="6"/>
  <c r="G42" i="6"/>
  <c r="BB42" i="6" s="1"/>
  <c r="BA42" i="6"/>
  <c r="BC42" i="6"/>
  <c r="BD42" i="6"/>
  <c r="BE42" i="6"/>
  <c r="G43" i="6"/>
  <c r="BB43" i="6" s="1"/>
  <c r="BA43" i="6"/>
  <c r="BC43" i="6"/>
  <c r="BD43" i="6"/>
  <c r="BE43" i="6"/>
  <c r="G44" i="6"/>
  <c r="BB44" i="6" s="1"/>
  <c r="BA44" i="6"/>
  <c r="BC44" i="6"/>
  <c r="BD44" i="6"/>
  <c r="BE44" i="6"/>
  <c r="G45" i="6"/>
  <c r="BB45" i="6" s="1"/>
  <c r="BA45" i="6"/>
  <c r="BC45" i="6"/>
  <c r="BD45" i="6"/>
  <c r="BE45" i="6"/>
  <c r="G46" i="6"/>
  <c r="BB46" i="6" s="1"/>
  <c r="BA46" i="6"/>
  <c r="BC46" i="6"/>
  <c r="BD46" i="6"/>
  <c r="BE46" i="6"/>
  <c r="G47" i="6"/>
  <c r="BB47" i="6" s="1"/>
  <c r="BA47" i="6"/>
  <c r="BC47" i="6"/>
  <c r="BD47" i="6"/>
  <c r="BE47" i="6"/>
  <c r="G48" i="6"/>
  <c r="BB48" i="6" s="1"/>
  <c r="BA48" i="6"/>
  <c r="BC48" i="6"/>
  <c r="BD48" i="6"/>
  <c r="BE48" i="6"/>
  <c r="G49" i="6"/>
  <c r="BB49" i="6" s="1"/>
  <c r="BA49" i="6"/>
  <c r="BC49" i="6"/>
  <c r="BD49" i="6"/>
  <c r="BE49" i="6"/>
  <c r="G50" i="6"/>
  <c r="BB50" i="6" s="1"/>
  <c r="BA50" i="6"/>
  <c r="BC50" i="6"/>
  <c r="BD50" i="6"/>
  <c r="BE50" i="6"/>
  <c r="G51" i="6"/>
  <c r="BB51" i="6" s="1"/>
  <c r="BA51" i="6"/>
  <c r="BC51" i="6"/>
  <c r="BD51" i="6"/>
  <c r="BE51" i="6"/>
  <c r="G52" i="6"/>
  <c r="BB52" i="6" s="1"/>
  <c r="BA52" i="6"/>
  <c r="BC52" i="6"/>
  <c r="BD52" i="6"/>
  <c r="BE52" i="6"/>
  <c r="G53" i="6"/>
  <c r="BB53" i="6" s="1"/>
  <c r="BA53" i="6"/>
  <c r="BC53" i="6"/>
  <c r="BD53" i="6"/>
  <c r="BE53" i="6"/>
  <c r="G54" i="6"/>
  <c r="BB54" i="6" s="1"/>
  <c r="BA54" i="6"/>
  <c r="BC54" i="6"/>
  <c r="BD54" i="6"/>
  <c r="BE54" i="6"/>
  <c r="C55" i="6"/>
  <c r="G57" i="6"/>
  <c r="BA57" i="6"/>
  <c r="BC57" i="6"/>
  <c r="BD57" i="6"/>
  <c r="BE57" i="6"/>
  <c r="G58" i="6"/>
  <c r="BB58" i="6" s="1"/>
  <c r="BA58" i="6"/>
  <c r="BC58" i="6"/>
  <c r="BD58" i="6"/>
  <c r="BE58" i="6"/>
  <c r="G59" i="6"/>
  <c r="BB59" i="6" s="1"/>
  <c r="BA59" i="6"/>
  <c r="BC59" i="6"/>
  <c r="BD59" i="6"/>
  <c r="BE59" i="6"/>
  <c r="BA71" i="6"/>
  <c r="BC71" i="6"/>
  <c r="BD71" i="6"/>
  <c r="BE71" i="6"/>
  <c r="C72" i="6"/>
  <c r="G60" i="6"/>
  <c r="BA60" i="6" s="1"/>
  <c r="BB60" i="6"/>
  <c r="BC60" i="6"/>
  <c r="BD60" i="6"/>
  <c r="BE60" i="6"/>
  <c r="G61" i="6"/>
  <c r="BA61" i="6" s="1"/>
  <c r="BB61" i="6"/>
  <c r="BC61" i="6"/>
  <c r="BD61" i="6"/>
  <c r="BE61" i="6"/>
  <c r="G62" i="6"/>
  <c r="BA62" i="6" s="1"/>
  <c r="BB62" i="6"/>
  <c r="BC62" i="6"/>
  <c r="BD62" i="6"/>
  <c r="BE62" i="6"/>
  <c r="G63" i="6"/>
  <c r="BA63" i="6" s="1"/>
  <c r="BB63" i="6"/>
  <c r="BC63" i="6"/>
  <c r="BD63" i="6"/>
  <c r="BE63" i="6"/>
  <c r="G64" i="6"/>
  <c r="BA64" i="6" s="1"/>
  <c r="BB64" i="6"/>
  <c r="BC64" i="6"/>
  <c r="BD64" i="6"/>
  <c r="BE64" i="6"/>
  <c r="G65" i="6"/>
  <c r="BA65" i="6" s="1"/>
  <c r="BB65" i="6"/>
  <c r="BC65" i="6"/>
  <c r="BD65" i="6"/>
  <c r="BE65" i="6"/>
  <c r="G66" i="6"/>
  <c r="BA66" i="6" s="1"/>
  <c r="BB66" i="6"/>
  <c r="BC66" i="6"/>
  <c r="BD66" i="6"/>
  <c r="BE66" i="6"/>
  <c r="G67" i="6"/>
  <c r="BA67" i="6" s="1"/>
  <c r="BB67" i="6"/>
  <c r="BC67" i="6"/>
  <c r="BD67" i="6"/>
  <c r="BE67" i="6"/>
  <c r="G68" i="6"/>
  <c r="BA68" i="6" s="1"/>
  <c r="BB68" i="6"/>
  <c r="BC68" i="6"/>
  <c r="BD68" i="6"/>
  <c r="BE68" i="6"/>
  <c r="G69" i="6"/>
  <c r="BA69" i="6" s="1"/>
  <c r="BB69" i="6"/>
  <c r="BC69" i="6"/>
  <c r="BD69" i="6"/>
  <c r="BE69" i="6"/>
  <c r="B8" i="6"/>
  <c r="C8" i="6"/>
  <c r="B9" i="6"/>
  <c r="C9" i="6"/>
  <c r="B10" i="6"/>
  <c r="C10" i="6"/>
  <c r="G44" i="12" l="1"/>
  <c r="G59" i="9"/>
  <c r="F13" i="8"/>
  <c r="C17" i="7" s="1"/>
  <c r="E13" i="8"/>
  <c r="G60" i="9" s="1"/>
  <c r="H13" i="8"/>
  <c r="C15" i="7" s="1"/>
  <c r="G13" i="8"/>
  <c r="C14" i="7" s="1"/>
  <c r="I13" i="8"/>
  <c r="C20" i="7" s="1"/>
  <c r="BB57" i="6"/>
  <c r="O243" i="4"/>
  <c r="L243" i="4"/>
  <c r="I11" i="11"/>
  <c r="C20" i="10" s="1"/>
  <c r="H11" i="11"/>
  <c r="C15" i="10" s="1"/>
  <c r="F11" i="11"/>
  <c r="C17" i="10" s="1"/>
  <c r="G11" i="11"/>
  <c r="C14" i="10" s="1"/>
  <c r="E11" i="11"/>
  <c r="G55" i="6"/>
  <c r="G9" i="6" s="1"/>
  <c r="BD55" i="6"/>
  <c r="H9" i="6" s="1"/>
  <c r="G70" i="6"/>
  <c r="BB70" i="6" s="1"/>
  <c r="BE31" i="6"/>
  <c r="I8" i="6" s="1"/>
  <c r="BA72" i="6"/>
  <c r="BC55" i="6"/>
  <c r="BE72" i="6"/>
  <c r="I10" i="6" s="1"/>
  <c r="BC72" i="6"/>
  <c r="BD72" i="6"/>
  <c r="H10" i="6" s="1"/>
  <c r="BC31" i="6"/>
  <c r="G31" i="6"/>
  <c r="G8" i="6" s="1"/>
  <c r="BA31" i="6"/>
  <c r="E8" i="6" s="1"/>
  <c r="BB55" i="6"/>
  <c r="BD31" i="6"/>
  <c r="H8" i="6" s="1"/>
  <c r="BA55" i="6"/>
  <c r="E9" i="6" s="1"/>
  <c r="BE55" i="6"/>
  <c r="I9" i="6" s="1"/>
  <c r="BB16" i="6"/>
  <c r="BB31" i="6" s="1"/>
  <c r="BB72" i="6" l="1"/>
  <c r="G16" i="11"/>
  <c r="G21" i="8"/>
  <c r="I21" i="8" s="1"/>
  <c r="G17" i="7" s="1"/>
  <c r="C16" i="7"/>
  <c r="C18" i="7" s="1"/>
  <c r="C21" i="7" s="1"/>
  <c r="G18" i="8"/>
  <c r="I18" i="8" s="1"/>
  <c r="G14" i="7" s="1"/>
  <c r="G20" i="8"/>
  <c r="I20" i="8" s="1"/>
  <c r="G16" i="7" s="1"/>
  <c r="G19" i="8"/>
  <c r="I19" i="8" s="1"/>
  <c r="G15" i="7" s="1"/>
  <c r="G72" i="6"/>
  <c r="G10" i="6" s="1"/>
  <c r="G11" i="6" s="1"/>
  <c r="F44" i="3" s="1"/>
  <c r="E43" i="3" s="1"/>
  <c r="C16" i="10"/>
  <c r="C18" i="10" s="1"/>
  <c r="C21" i="10" s="1"/>
  <c r="G19" i="11"/>
  <c r="I19" i="11" s="1"/>
  <c r="G17" i="10" s="1"/>
  <c r="G18" i="11"/>
  <c r="I18" i="11" s="1"/>
  <c r="G16" i="10" s="1"/>
  <c r="G17" i="11"/>
  <c r="I17" i="11" s="1"/>
  <c r="G15" i="10" s="1"/>
  <c r="H11" i="6"/>
  <c r="I11" i="6"/>
  <c r="I16" i="11" l="1"/>
  <c r="H20" i="11" s="1"/>
  <c r="G22" i="10" s="1"/>
  <c r="G45" i="12"/>
  <c r="H22" i="8"/>
  <c r="G22" i="7" s="1"/>
  <c r="G21" i="7" s="1"/>
  <c r="E23" i="2"/>
  <c r="D364" i="4"/>
  <c r="D249" i="4"/>
  <c r="D155" i="4"/>
  <c r="D100" i="4"/>
  <c r="D518" i="4"/>
  <c r="D513" i="4"/>
  <c r="C326" i="4"/>
  <c r="G326" i="4" s="1"/>
  <c r="G325" i="4" s="1"/>
  <c r="AD519" i="4"/>
  <c r="AE519" i="4"/>
  <c r="AF519" i="4"/>
  <c r="AG519" i="4"/>
  <c r="AH519" i="4"/>
  <c r="AI519" i="4"/>
  <c r="AJ519" i="4"/>
  <c r="AL519" i="4"/>
  <c r="AN519" i="4"/>
  <c r="AQ519" i="4"/>
  <c r="AR519" i="4"/>
  <c r="BF519" i="4"/>
  <c r="G425" i="4"/>
  <c r="BJ425" i="4" s="1"/>
  <c r="E428" i="4"/>
  <c r="E423" i="4"/>
  <c r="E422" i="4"/>
  <c r="E420" i="4"/>
  <c r="E418" i="4"/>
  <c r="E417" i="4"/>
  <c r="E397" i="4"/>
  <c r="G398" i="4"/>
  <c r="L398" i="4" s="1"/>
  <c r="BW427" i="4"/>
  <c r="BD427" i="4"/>
  <c r="AP427" i="4"/>
  <c r="AO427" i="4"/>
  <c r="AL427" i="4"/>
  <c r="AJ427" i="4"/>
  <c r="AH427" i="4"/>
  <c r="AG427" i="4"/>
  <c r="AF427" i="4"/>
  <c r="AC427" i="4"/>
  <c r="AB427" i="4"/>
  <c r="Z427" i="4"/>
  <c r="BW425" i="4"/>
  <c r="BD425" i="4"/>
  <c r="AP425" i="4"/>
  <c r="AO425" i="4"/>
  <c r="AL425" i="4"/>
  <c r="AJ425" i="4"/>
  <c r="AH425" i="4"/>
  <c r="AG425" i="4"/>
  <c r="AF425" i="4"/>
  <c r="AC425" i="4"/>
  <c r="AB425" i="4"/>
  <c r="Z425" i="4"/>
  <c r="BW421" i="4"/>
  <c r="BD421" i="4"/>
  <c r="AP421" i="4"/>
  <c r="AO421" i="4"/>
  <c r="AL421" i="4"/>
  <c r="AJ421" i="4"/>
  <c r="AH421" i="4"/>
  <c r="AG421" i="4"/>
  <c r="AF421" i="4"/>
  <c r="AC421" i="4"/>
  <c r="AB421" i="4"/>
  <c r="Z421" i="4"/>
  <c r="BW419" i="4"/>
  <c r="BD419" i="4"/>
  <c r="AP419" i="4"/>
  <c r="AO419" i="4"/>
  <c r="AL419" i="4"/>
  <c r="AJ419" i="4"/>
  <c r="AH419" i="4"/>
  <c r="AG419" i="4"/>
  <c r="AF419" i="4"/>
  <c r="AC419" i="4"/>
  <c r="AB419" i="4"/>
  <c r="Z419" i="4"/>
  <c r="BW416" i="4"/>
  <c r="BD416" i="4"/>
  <c r="AP416" i="4"/>
  <c r="AO416" i="4"/>
  <c r="AL416" i="4"/>
  <c r="AJ416" i="4"/>
  <c r="AH416" i="4"/>
  <c r="AG416" i="4"/>
  <c r="AF416" i="4"/>
  <c r="AC416" i="4"/>
  <c r="AB416" i="4"/>
  <c r="Z416" i="4"/>
  <c r="BW325" i="4"/>
  <c r="BD325" i="4"/>
  <c r="AP325" i="4"/>
  <c r="AO325" i="4"/>
  <c r="AL325" i="4"/>
  <c r="AJ325" i="4"/>
  <c r="AH325" i="4"/>
  <c r="AG325" i="4"/>
  <c r="AF325" i="4"/>
  <c r="AC325" i="4"/>
  <c r="AB325" i="4"/>
  <c r="Z325" i="4"/>
  <c r="D383" i="4"/>
  <c r="C383" i="4"/>
  <c r="C380" i="4"/>
  <c r="G380" i="4" s="1"/>
  <c r="C377" i="4"/>
  <c r="G377" i="4" s="1"/>
  <c r="G417" i="4" s="1"/>
  <c r="C379" i="4"/>
  <c r="G379" i="4" s="1"/>
  <c r="A375" i="4"/>
  <c r="A374" i="4"/>
  <c r="A373" i="4"/>
  <c r="D372" i="4"/>
  <c r="D375" i="4" s="1"/>
  <c r="D371" i="4"/>
  <c r="G371" i="4" s="1"/>
  <c r="G370" i="4"/>
  <c r="C375" i="4"/>
  <c r="C374" i="4"/>
  <c r="C373" i="4"/>
  <c r="BW369" i="4"/>
  <c r="BD369" i="4"/>
  <c r="AP369" i="4"/>
  <c r="AO369" i="4"/>
  <c r="AL369" i="4"/>
  <c r="AJ369" i="4"/>
  <c r="AH369" i="4"/>
  <c r="AG369" i="4"/>
  <c r="AF369" i="4"/>
  <c r="AC369" i="4"/>
  <c r="AB369" i="4"/>
  <c r="Z369" i="4"/>
  <c r="G435" i="4"/>
  <c r="BJ435" i="4" s="1"/>
  <c r="G433" i="4"/>
  <c r="BJ433" i="4" s="1"/>
  <c r="G431" i="4"/>
  <c r="BJ431" i="4" s="1"/>
  <c r="BW435" i="4"/>
  <c r="BD435" i="4"/>
  <c r="AP435" i="4"/>
  <c r="AO435" i="4"/>
  <c r="AL435" i="4"/>
  <c r="AJ435" i="4"/>
  <c r="AH435" i="4"/>
  <c r="AG435" i="4"/>
  <c r="AF435" i="4"/>
  <c r="AC435" i="4"/>
  <c r="AB435" i="4"/>
  <c r="Z435" i="4"/>
  <c r="D388" i="4"/>
  <c r="D391" i="4" s="1"/>
  <c r="D395" i="4" s="1"/>
  <c r="D387" i="4"/>
  <c r="D390" i="4" s="1"/>
  <c r="D394" i="4" s="1"/>
  <c r="E395" i="4"/>
  <c r="E394" i="4"/>
  <c r="E393" i="4"/>
  <c r="C391" i="4"/>
  <c r="C390" i="4"/>
  <c r="C389" i="4"/>
  <c r="D386" i="4"/>
  <c r="D389" i="4" s="1"/>
  <c r="E404" i="4"/>
  <c r="E403" i="4"/>
  <c r="E409" i="4"/>
  <c r="E408" i="4"/>
  <c r="E407" i="4"/>
  <c r="E368" i="4"/>
  <c r="E367" i="4"/>
  <c r="E366" i="4"/>
  <c r="E414" i="4"/>
  <c r="E413" i="4"/>
  <c r="E412" i="4"/>
  <c r="G429" i="4"/>
  <c r="L429" i="4" s="1"/>
  <c r="AK429" i="4" s="1"/>
  <c r="BW392" i="4"/>
  <c r="BD392" i="4"/>
  <c r="AP392" i="4"/>
  <c r="AO392" i="4"/>
  <c r="AL392" i="4"/>
  <c r="AJ392" i="4"/>
  <c r="AH392" i="4"/>
  <c r="AG392" i="4"/>
  <c r="AF392" i="4"/>
  <c r="AC392" i="4"/>
  <c r="AB392" i="4"/>
  <c r="Z392" i="4"/>
  <c r="BW433" i="4"/>
  <c r="BD433" i="4"/>
  <c r="AP433" i="4"/>
  <c r="AO433" i="4"/>
  <c r="AL433" i="4"/>
  <c r="AJ433" i="4"/>
  <c r="AH433" i="4"/>
  <c r="AG433" i="4"/>
  <c r="AF433" i="4"/>
  <c r="AC433" i="4"/>
  <c r="AB433" i="4"/>
  <c r="Z433" i="4"/>
  <c r="BW431" i="4"/>
  <c r="BD431" i="4"/>
  <c r="AP431" i="4"/>
  <c r="AO431" i="4"/>
  <c r="AL431" i="4"/>
  <c r="AJ431" i="4"/>
  <c r="AH431" i="4"/>
  <c r="AG431" i="4"/>
  <c r="AF431" i="4"/>
  <c r="AC431" i="4"/>
  <c r="AB431" i="4"/>
  <c r="Z431" i="4"/>
  <c r="BW429" i="4"/>
  <c r="BD429" i="4"/>
  <c r="AP429" i="4"/>
  <c r="AO429" i="4"/>
  <c r="AL429" i="4"/>
  <c r="AJ429" i="4"/>
  <c r="AH429" i="4"/>
  <c r="AG429" i="4"/>
  <c r="AF429" i="4"/>
  <c r="AC429" i="4"/>
  <c r="AB429" i="4"/>
  <c r="Z429" i="4"/>
  <c r="BW437" i="4"/>
  <c r="BD437" i="4"/>
  <c r="AP437" i="4"/>
  <c r="AO437" i="4"/>
  <c r="AL437" i="4"/>
  <c r="AJ437" i="4"/>
  <c r="AH437" i="4"/>
  <c r="AG437" i="4"/>
  <c r="AF437" i="4"/>
  <c r="AE437" i="4"/>
  <c r="AD437" i="4"/>
  <c r="AC437" i="4"/>
  <c r="AB437" i="4"/>
  <c r="BF437" i="4"/>
  <c r="BW411" i="4"/>
  <c r="BD411" i="4"/>
  <c r="AP411" i="4"/>
  <c r="AO411" i="4"/>
  <c r="AL411" i="4"/>
  <c r="AJ411" i="4"/>
  <c r="AH411" i="4"/>
  <c r="AG411" i="4"/>
  <c r="AF411" i="4"/>
  <c r="AC411" i="4"/>
  <c r="AB411" i="4"/>
  <c r="Z411" i="4"/>
  <c r="BW406" i="4"/>
  <c r="BD406" i="4"/>
  <c r="AP406" i="4"/>
  <c r="AO406" i="4"/>
  <c r="AL406" i="4"/>
  <c r="AJ406" i="4"/>
  <c r="AH406" i="4"/>
  <c r="AG406" i="4"/>
  <c r="AF406" i="4"/>
  <c r="AC406" i="4"/>
  <c r="AB406" i="4"/>
  <c r="Z406" i="4"/>
  <c r="BW402" i="4"/>
  <c r="BD402" i="4"/>
  <c r="AP402" i="4"/>
  <c r="AO402" i="4"/>
  <c r="AL402" i="4"/>
  <c r="AJ402" i="4"/>
  <c r="AH402" i="4"/>
  <c r="AG402" i="4"/>
  <c r="AF402" i="4"/>
  <c r="AC402" i="4"/>
  <c r="AB402" i="4"/>
  <c r="Z402" i="4"/>
  <c r="BW398" i="4"/>
  <c r="BD398" i="4"/>
  <c r="AP398" i="4"/>
  <c r="AO398" i="4"/>
  <c r="AL398" i="4"/>
  <c r="AJ398" i="4"/>
  <c r="AH398" i="4"/>
  <c r="AG398" i="4"/>
  <c r="AF398" i="4"/>
  <c r="AC398" i="4"/>
  <c r="AB398" i="4"/>
  <c r="Z398" i="4"/>
  <c r="BW396" i="4"/>
  <c r="BD396" i="4"/>
  <c r="AP396" i="4"/>
  <c r="AO396" i="4"/>
  <c r="AL396" i="4"/>
  <c r="AJ396" i="4"/>
  <c r="AH396" i="4"/>
  <c r="AG396" i="4"/>
  <c r="AF396" i="4"/>
  <c r="AC396" i="4"/>
  <c r="AB396" i="4"/>
  <c r="Z396" i="4"/>
  <c r="BW385" i="4"/>
  <c r="BD385" i="4"/>
  <c r="AP385" i="4"/>
  <c r="AO385" i="4"/>
  <c r="AL385" i="4"/>
  <c r="AJ385" i="4"/>
  <c r="AH385" i="4"/>
  <c r="AG385" i="4"/>
  <c r="AF385" i="4"/>
  <c r="AC385" i="4"/>
  <c r="AB385" i="4"/>
  <c r="Z385" i="4"/>
  <c r="BW382" i="4"/>
  <c r="BD382" i="4"/>
  <c r="AP382" i="4"/>
  <c r="AO382" i="4"/>
  <c r="AL382" i="4"/>
  <c r="AJ382" i="4"/>
  <c r="AH382" i="4"/>
  <c r="AG382" i="4"/>
  <c r="AF382" i="4"/>
  <c r="AC382" i="4"/>
  <c r="AB382" i="4"/>
  <c r="Z382" i="4"/>
  <c r="BW376" i="4"/>
  <c r="BD376" i="4"/>
  <c r="AP376" i="4"/>
  <c r="AO376" i="4"/>
  <c r="AL376" i="4"/>
  <c r="AJ376" i="4"/>
  <c r="AH376" i="4"/>
  <c r="AG376" i="4"/>
  <c r="AF376" i="4"/>
  <c r="AC376" i="4"/>
  <c r="AB376" i="4"/>
  <c r="Z376" i="4"/>
  <c r="BW365" i="4"/>
  <c r="BD365" i="4"/>
  <c r="AP365" i="4"/>
  <c r="AO365" i="4"/>
  <c r="AL365" i="4"/>
  <c r="AJ365" i="4"/>
  <c r="AH365" i="4"/>
  <c r="AG365" i="4"/>
  <c r="AF365" i="4"/>
  <c r="AC365" i="4"/>
  <c r="AB365" i="4"/>
  <c r="Z365" i="4"/>
  <c r="E323" i="4"/>
  <c r="BW322" i="4"/>
  <c r="BD322" i="4"/>
  <c r="AP322" i="4"/>
  <c r="AO322" i="4"/>
  <c r="AL322" i="4"/>
  <c r="AJ322" i="4"/>
  <c r="AH322" i="4"/>
  <c r="AG322" i="4"/>
  <c r="AF322" i="4"/>
  <c r="AC322" i="4"/>
  <c r="AB322" i="4"/>
  <c r="Z322" i="4"/>
  <c r="E282" i="4"/>
  <c r="D282" i="4"/>
  <c r="A282" i="4"/>
  <c r="E281" i="4"/>
  <c r="D281" i="4"/>
  <c r="A281" i="4"/>
  <c r="E280" i="4"/>
  <c r="D280" i="4"/>
  <c r="A280" i="4"/>
  <c r="E279" i="4"/>
  <c r="D279" i="4"/>
  <c r="A279" i="4"/>
  <c r="E278" i="4"/>
  <c r="D278" i="4"/>
  <c r="A278" i="4"/>
  <c r="E277" i="4"/>
  <c r="D277" i="4"/>
  <c r="A277" i="4"/>
  <c r="E276" i="4"/>
  <c r="D276" i="4"/>
  <c r="A276" i="4"/>
  <c r="E275" i="4"/>
  <c r="D275" i="4"/>
  <c r="A275" i="4"/>
  <c r="E274" i="4"/>
  <c r="D274" i="4"/>
  <c r="A274" i="4"/>
  <c r="E273" i="4"/>
  <c r="D273" i="4"/>
  <c r="E272" i="4"/>
  <c r="D272" i="4"/>
  <c r="A272" i="4"/>
  <c r="E271" i="4"/>
  <c r="D271" i="4"/>
  <c r="E270" i="4"/>
  <c r="D270" i="4"/>
  <c r="A270" i="4"/>
  <c r="E269" i="4"/>
  <c r="D269" i="4"/>
  <c r="A269" i="4"/>
  <c r="E268" i="4"/>
  <c r="D268" i="4"/>
  <c r="A268" i="4"/>
  <c r="E267" i="4"/>
  <c r="D267" i="4"/>
  <c r="A267" i="4"/>
  <c r="E266" i="4"/>
  <c r="D266" i="4"/>
  <c r="E265" i="4"/>
  <c r="D265" i="4"/>
  <c r="A265" i="4"/>
  <c r="E264" i="4"/>
  <c r="D264" i="4"/>
  <c r="A264" i="4"/>
  <c r="E263" i="4"/>
  <c r="D263" i="4"/>
  <c r="E262" i="4"/>
  <c r="D262" i="4"/>
  <c r="A262" i="4"/>
  <c r="E261" i="4"/>
  <c r="D261" i="4"/>
  <c r="A261" i="4"/>
  <c r="E260" i="4"/>
  <c r="D260" i="4"/>
  <c r="A260" i="4"/>
  <c r="E259" i="4"/>
  <c r="D259" i="4"/>
  <c r="A259" i="4"/>
  <c r="E258" i="4"/>
  <c r="D258" i="4"/>
  <c r="A258" i="4"/>
  <c r="E257" i="4"/>
  <c r="D257" i="4"/>
  <c r="A257" i="4"/>
  <c r="E256" i="4"/>
  <c r="D256" i="4"/>
  <c r="A256" i="4"/>
  <c r="E255" i="4"/>
  <c r="D255" i="4"/>
  <c r="A255" i="4"/>
  <c r="E254" i="4"/>
  <c r="D254" i="4"/>
  <c r="A254" i="4"/>
  <c r="E253" i="4"/>
  <c r="D253" i="4"/>
  <c r="A253" i="4"/>
  <c r="E252" i="4"/>
  <c r="D252" i="4"/>
  <c r="A252" i="4"/>
  <c r="E251" i="4"/>
  <c r="D251" i="4"/>
  <c r="A251" i="4"/>
  <c r="A318" i="4"/>
  <c r="G318" i="4" s="1"/>
  <c r="A317" i="4"/>
  <c r="G317" i="4" s="1"/>
  <c r="A316" i="4"/>
  <c r="G316" i="4" s="1"/>
  <c r="A315" i="4"/>
  <c r="G315" i="4" s="1"/>
  <c r="A314" i="4"/>
  <c r="G314" i="4" s="1"/>
  <c r="A313" i="4"/>
  <c r="G313" i="4" s="1"/>
  <c r="A312" i="4"/>
  <c r="G312" i="4" s="1"/>
  <c r="A311" i="4"/>
  <c r="G311" i="4" s="1"/>
  <c r="C309" i="4"/>
  <c r="A273" i="4" s="1"/>
  <c r="A310" i="4"/>
  <c r="G310" i="4" s="1"/>
  <c r="A309" i="4"/>
  <c r="A308" i="4"/>
  <c r="G308" i="4" s="1"/>
  <c r="C307" i="4"/>
  <c r="A271" i="4" s="1"/>
  <c r="A307" i="4"/>
  <c r="A306" i="4"/>
  <c r="G306" i="4" s="1"/>
  <c r="A305" i="4"/>
  <c r="G305" i="4" s="1"/>
  <c r="A304" i="4"/>
  <c r="G304" i="4" s="1"/>
  <c r="A303" i="4"/>
  <c r="G303" i="4" s="1"/>
  <c r="C302" i="4"/>
  <c r="A266" i="4" s="1"/>
  <c r="A302" i="4"/>
  <c r="A301" i="4"/>
  <c r="G301" i="4" s="1"/>
  <c r="A300" i="4"/>
  <c r="G300" i="4" s="1"/>
  <c r="C299" i="4"/>
  <c r="A263" i="4" s="1"/>
  <c r="A299" i="4"/>
  <c r="A298" i="4"/>
  <c r="G298" i="4" s="1"/>
  <c r="A297" i="4"/>
  <c r="G297" i="4" s="1"/>
  <c r="A296" i="4"/>
  <c r="G296" i="4" s="1"/>
  <c r="A295" i="4"/>
  <c r="G295" i="4" s="1"/>
  <c r="A294" i="4"/>
  <c r="G294" i="4" s="1"/>
  <c r="A293" i="4"/>
  <c r="G293" i="4" s="1"/>
  <c r="A292" i="4"/>
  <c r="G292" i="4" s="1"/>
  <c r="A291" i="4"/>
  <c r="G291" i="4" s="1"/>
  <c r="A290" i="4"/>
  <c r="G290" i="4" s="1"/>
  <c r="A289" i="4"/>
  <c r="G289" i="4" s="1"/>
  <c r="A288" i="4"/>
  <c r="G288" i="4" s="1"/>
  <c r="A287" i="4"/>
  <c r="G287" i="4" s="1"/>
  <c r="E284" i="4"/>
  <c r="D284" i="4"/>
  <c r="C286" i="4"/>
  <c r="A284" i="4" s="1"/>
  <c r="A286" i="4"/>
  <c r="BW285" i="4"/>
  <c r="BD285" i="4"/>
  <c r="AP285" i="4"/>
  <c r="AO285" i="4"/>
  <c r="AL285" i="4"/>
  <c r="AJ285" i="4"/>
  <c r="AG285" i="4"/>
  <c r="AF285" i="4"/>
  <c r="AE285" i="4"/>
  <c r="AD285" i="4"/>
  <c r="AC285" i="4"/>
  <c r="AB285" i="4"/>
  <c r="Z285" i="4"/>
  <c r="BW327" i="4"/>
  <c r="BD327" i="4"/>
  <c r="AP327" i="4"/>
  <c r="AO327" i="4"/>
  <c r="AL327" i="4"/>
  <c r="AJ327" i="4"/>
  <c r="AH327" i="4"/>
  <c r="AG327" i="4"/>
  <c r="AF327" i="4"/>
  <c r="AE327" i="4"/>
  <c r="AD327" i="4"/>
  <c r="AC327" i="4"/>
  <c r="AB327" i="4"/>
  <c r="BW320" i="4"/>
  <c r="BD320" i="4"/>
  <c r="AP320" i="4"/>
  <c r="AO320" i="4"/>
  <c r="AL320" i="4"/>
  <c r="AJ320" i="4"/>
  <c r="AH320" i="4"/>
  <c r="AG320" i="4"/>
  <c r="AF320" i="4"/>
  <c r="AC320" i="4"/>
  <c r="AB320" i="4"/>
  <c r="Z320" i="4"/>
  <c r="BW283" i="4"/>
  <c r="BD283" i="4"/>
  <c r="AP283" i="4"/>
  <c r="AO283" i="4"/>
  <c r="AL283" i="4"/>
  <c r="AJ283" i="4"/>
  <c r="AH283" i="4"/>
  <c r="AG283" i="4"/>
  <c r="AF283" i="4"/>
  <c r="AC283" i="4"/>
  <c r="AB283" i="4"/>
  <c r="Z283" i="4"/>
  <c r="BW250" i="4"/>
  <c r="BD250" i="4"/>
  <c r="AP250" i="4"/>
  <c r="AO250" i="4"/>
  <c r="AL250" i="4"/>
  <c r="AJ250" i="4"/>
  <c r="AH250" i="4"/>
  <c r="AG250" i="4"/>
  <c r="AF250" i="4"/>
  <c r="AC250" i="4"/>
  <c r="AB250" i="4"/>
  <c r="Z250" i="4"/>
  <c r="BW191" i="4"/>
  <c r="BD191" i="4"/>
  <c r="AP191" i="4"/>
  <c r="AO191" i="4"/>
  <c r="AL191" i="4"/>
  <c r="AJ191" i="4"/>
  <c r="AH191" i="4"/>
  <c r="AG191" i="4"/>
  <c r="AF191" i="4"/>
  <c r="AC191" i="4"/>
  <c r="AB191" i="4"/>
  <c r="Z191" i="4"/>
  <c r="BW184" i="4"/>
  <c r="BD184" i="4"/>
  <c r="AP184" i="4"/>
  <c r="AO184" i="4"/>
  <c r="AL184" i="4"/>
  <c r="AJ184" i="4"/>
  <c r="AH184" i="4"/>
  <c r="AG184" i="4"/>
  <c r="AF184" i="4"/>
  <c r="AC184" i="4"/>
  <c r="AB184" i="4"/>
  <c r="Z184" i="4"/>
  <c r="A171" i="4"/>
  <c r="D171" i="4"/>
  <c r="E171" i="4"/>
  <c r="A172" i="4"/>
  <c r="D172" i="4"/>
  <c r="E172" i="4"/>
  <c r="A173" i="4"/>
  <c r="D173" i="4"/>
  <c r="E173" i="4"/>
  <c r="E170" i="4"/>
  <c r="D170" i="4"/>
  <c r="A170" i="4"/>
  <c r="E169" i="4"/>
  <c r="D169" i="4"/>
  <c r="A169" i="4"/>
  <c r="E183" i="4"/>
  <c r="D183" i="4"/>
  <c r="E168" i="4"/>
  <c r="D168" i="4"/>
  <c r="E182" i="4"/>
  <c r="D182" i="4"/>
  <c r="E190" i="4"/>
  <c r="D190" i="4"/>
  <c r="A190" i="4"/>
  <c r="E181" i="4"/>
  <c r="D181" i="4"/>
  <c r="A181" i="4"/>
  <c r="E189" i="4"/>
  <c r="D189" i="4"/>
  <c r="A189" i="4"/>
  <c r="E180" i="4"/>
  <c r="D180" i="4"/>
  <c r="E167" i="4"/>
  <c r="D167" i="4"/>
  <c r="A167" i="4"/>
  <c r="E179" i="4"/>
  <c r="D179" i="4"/>
  <c r="E188" i="4"/>
  <c r="D188" i="4"/>
  <c r="A188" i="4"/>
  <c r="E166" i="4"/>
  <c r="D166" i="4"/>
  <c r="E178" i="4"/>
  <c r="D178" i="4"/>
  <c r="E177" i="4"/>
  <c r="D177" i="4"/>
  <c r="A177" i="4"/>
  <c r="E187" i="4"/>
  <c r="D187" i="4"/>
  <c r="A187" i="4"/>
  <c r="E176" i="4"/>
  <c r="D176" i="4"/>
  <c r="E165" i="4"/>
  <c r="D165" i="4"/>
  <c r="A165" i="4"/>
  <c r="E186" i="4"/>
  <c r="D186" i="4"/>
  <c r="A186" i="4"/>
  <c r="E185" i="4"/>
  <c r="D185" i="4"/>
  <c r="A185" i="4"/>
  <c r="E192" i="4"/>
  <c r="D192" i="4"/>
  <c r="A192" i="4"/>
  <c r="A175" i="4"/>
  <c r="D175" i="4"/>
  <c r="E175" i="4"/>
  <c r="A218" i="4"/>
  <c r="G218" i="4" s="1"/>
  <c r="A217" i="4"/>
  <c r="G217" i="4" s="1"/>
  <c r="A216" i="4"/>
  <c r="G216" i="4" s="1"/>
  <c r="A215" i="4"/>
  <c r="G215" i="4" s="1"/>
  <c r="A214" i="4"/>
  <c r="G214" i="4" s="1"/>
  <c r="C213" i="4"/>
  <c r="A183" i="4" s="1"/>
  <c r="A213" i="4"/>
  <c r="C212" i="4"/>
  <c r="A168" i="4" s="1"/>
  <c r="A212" i="4"/>
  <c r="C211" i="4"/>
  <c r="A182" i="4" s="1"/>
  <c r="A211" i="4"/>
  <c r="A210" i="4"/>
  <c r="G210" i="4" s="1"/>
  <c r="A209" i="4"/>
  <c r="G209" i="4" s="1"/>
  <c r="A208" i="4"/>
  <c r="G208" i="4" s="1"/>
  <c r="C207" i="4"/>
  <c r="A180" i="4" s="1"/>
  <c r="A207" i="4"/>
  <c r="A206" i="4"/>
  <c r="G206" i="4" s="1"/>
  <c r="C205" i="4"/>
  <c r="A179" i="4" s="1"/>
  <c r="A205" i="4"/>
  <c r="A204" i="4"/>
  <c r="G204" i="4" s="1"/>
  <c r="C203" i="4"/>
  <c r="A166" i="4" s="1"/>
  <c r="A203" i="4"/>
  <c r="C202" i="4"/>
  <c r="A178" i="4" s="1"/>
  <c r="A202" i="4"/>
  <c r="A201" i="4"/>
  <c r="G201" i="4" s="1"/>
  <c r="A200" i="4"/>
  <c r="G200" i="4" s="1"/>
  <c r="C199" i="4"/>
  <c r="A176" i="4" s="1"/>
  <c r="A199" i="4"/>
  <c r="A198" i="4"/>
  <c r="G198" i="4" s="1"/>
  <c r="A197" i="4"/>
  <c r="G197" i="4" s="1"/>
  <c r="A196" i="4"/>
  <c r="G196" i="4" s="1"/>
  <c r="A195" i="4"/>
  <c r="G195" i="4" s="1"/>
  <c r="A194" i="4"/>
  <c r="G194" i="4" s="1"/>
  <c r="BW237" i="4"/>
  <c r="BD237" i="4"/>
  <c r="AP237" i="4"/>
  <c r="AO237" i="4"/>
  <c r="AL237" i="4"/>
  <c r="AJ237" i="4"/>
  <c r="AG237" i="4"/>
  <c r="AF237" i="4"/>
  <c r="AE237" i="4"/>
  <c r="AD237" i="4"/>
  <c r="AC237" i="4"/>
  <c r="AB237" i="4"/>
  <c r="Z237" i="4"/>
  <c r="BW224" i="4"/>
  <c r="BD224" i="4"/>
  <c r="AP224" i="4"/>
  <c r="AO224" i="4"/>
  <c r="AL224" i="4"/>
  <c r="AJ224" i="4"/>
  <c r="AG224" i="4"/>
  <c r="AF224" i="4"/>
  <c r="AE224" i="4"/>
  <c r="AD224" i="4"/>
  <c r="AC224" i="4"/>
  <c r="AB224" i="4"/>
  <c r="Z224" i="4"/>
  <c r="BW246" i="4"/>
  <c r="BD246" i="4"/>
  <c r="AP246" i="4"/>
  <c r="AO246" i="4"/>
  <c r="AL246" i="4"/>
  <c r="AJ246" i="4"/>
  <c r="AH246" i="4"/>
  <c r="AG246" i="4"/>
  <c r="AF246" i="4"/>
  <c r="AC246" i="4"/>
  <c r="AB246" i="4"/>
  <c r="Z246" i="4"/>
  <c r="BW248" i="4"/>
  <c r="BD248" i="4"/>
  <c r="AP248" i="4"/>
  <c r="AO248" i="4"/>
  <c r="AL248" i="4"/>
  <c r="AJ248" i="4"/>
  <c r="AH248" i="4"/>
  <c r="AG248" i="4"/>
  <c r="AF248" i="4"/>
  <c r="AE248" i="4"/>
  <c r="AD248" i="4"/>
  <c r="AC248" i="4"/>
  <c r="AB248" i="4"/>
  <c r="BF248" i="4"/>
  <c r="BW243" i="4"/>
  <c r="M243" i="4" s="1"/>
  <c r="BJ243" i="4"/>
  <c r="AH243" i="4" s="1"/>
  <c r="BD243" i="4"/>
  <c r="AP243" i="4"/>
  <c r="AO243" i="4"/>
  <c r="AL243" i="4"/>
  <c r="AJ243" i="4"/>
  <c r="AG243" i="4"/>
  <c r="AF243" i="4"/>
  <c r="AE243" i="4"/>
  <c r="AD243" i="4"/>
  <c r="AC243" i="4"/>
  <c r="AB243" i="4"/>
  <c r="Z243" i="4"/>
  <c r="BF243" i="4"/>
  <c r="AK243" i="4"/>
  <c r="BW241" i="4"/>
  <c r="M241" i="4" s="1"/>
  <c r="BJ241" i="4"/>
  <c r="AH241" i="4" s="1"/>
  <c r="BD241" i="4"/>
  <c r="AP241" i="4"/>
  <c r="AO241" i="4"/>
  <c r="AL241" i="4"/>
  <c r="AJ241" i="4"/>
  <c r="AG241" i="4"/>
  <c r="AF241" i="4"/>
  <c r="AE241" i="4"/>
  <c r="AD241" i="4"/>
  <c r="AC241" i="4"/>
  <c r="AB241" i="4"/>
  <c r="Z241" i="4"/>
  <c r="BF241" i="4"/>
  <c r="AK241" i="4"/>
  <c r="BW193" i="4"/>
  <c r="BD193" i="4"/>
  <c r="AP193" i="4"/>
  <c r="AO193" i="4"/>
  <c r="AL193" i="4"/>
  <c r="AJ193" i="4"/>
  <c r="AG193" i="4"/>
  <c r="AF193" i="4"/>
  <c r="AE193" i="4"/>
  <c r="AD193" i="4"/>
  <c r="AC193" i="4"/>
  <c r="AB193" i="4"/>
  <c r="Z193" i="4"/>
  <c r="BW232" i="4"/>
  <c r="BD232" i="4"/>
  <c r="AP232" i="4"/>
  <c r="AO232" i="4"/>
  <c r="AL232" i="4"/>
  <c r="AJ232" i="4"/>
  <c r="AH232" i="4"/>
  <c r="AG232" i="4"/>
  <c r="AF232" i="4"/>
  <c r="AC232" i="4"/>
  <c r="AB232" i="4"/>
  <c r="Z232" i="4"/>
  <c r="BW227" i="4"/>
  <c r="BD227" i="4"/>
  <c r="AP227" i="4"/>
  <c r="AO227" i="4"/>
  <c r="AL227" i="4"/>
  <c r="AJ227" i="4"/>
  <c r="AH227" i="4"/>
  <c r="AG227" i="4"/>
  <c r="AF227" i="4"/>
  <c r="AC227" i="4"/>
  <c r="AB227" i="4"/>
  <c r="Z227" i="4"/>
  <c r="BW220" i="4"/>
  <c r="BD220" i="4"/>
  <c r="AP220" i="4"/>
  <c r="AO220" i="4"/>
  <c r="AL220" i="4"/>
  <c r="AJ220" i="4"/>
  <c r="AH220" i="4"/>
  <c r="AG220" i="4"/>
  <c r="AF220" i="4"/>
  <c r="AC220" i="4"/>
  <c r="AB220" i="4"/>
  <c r="Z220" i="4"/>
  <c r="BW174" i="4"/>
  <c r="BD174" i="4"/>
  <c r="AP174" i="4"/>
  <c r="AO174" i="4"/>
  <c r="AL174" i="4"/>
  <c r="AJ174" i="4"/>
  <c r="AH174" i="4"/>
  <c r="AG174" i="4"/>
  <c r="AF174" i="4"/>
  <c r="AC174" i="4"/>
  <c r="AB174" i="4"/>
  <c r="Z174" i="4"/>
  <c r="BW164" i="4"/>
  <c r="BD164" i="4"/>
  <c r="AP164" i="4"/>
  <c r="AO164" i="4"/>
  <c r="AL164" i="4"/>
  <c r="AJ164" i="4"/>
  <c r="AH164" i="4"/>
  <c r="AG164" i="4"/>
  <c r="AF164" i="4"/>
  <c r="AC164" i="4"/>
  <c r="AB164" i="4"/>
  <c r="Z164" i="4"/>
  <c r="BW159" i="4"/>
  <c r="BJ159" i="4"/>
  <c r="BD159" i="4"/>
  <c r="AP159" i="4"/>
  <c r="BI159" i="4" s="1"/>
  <c r="AE159" i="4" s="1"/>
  <c r="AO159" i="4"/>
  <c r="BH159" i="4" s="1"/>
  <c r="AD159" i="4" s="1"/>
  <c r="AL159" i="4"/>
  <c r="AJ159" i="4"/>
  <c r="AH159" i="4"/>
  <c r="AG159" i="4"/>
  <c r="AF159" i="4"/>
  <c r="AC159" i="4"/>
  <c r="AB159" i="4"/>
  <c r="Z159" i="4"/>
  <c r="O159" i="4"/>
  <c r="BF159" i="4" s="1"/>
  <c r="L159" i="4"/>
  <c r="AK159" i="4" s="1"/>
  <c r="BW156" i="4"/>
  <c r="BJ156" i="4"/>
  <c r="BD156" i="4"/>
  <c r="AP156" i="4"/>
  <c r="K156" i="4" s="1"/>
  <c r="AO156" i="4"/>
  <c r="BH156" i="4" s="1"/>
  <c r="AD156" i="4" s="1"/>
  <c r="AL156" i="4"/>
  <c r="AJ156" i="4"/>
  <c r="AH156" i="4"/>
  <c r="AG156" i="4"/>
  <c r="AF156" i="4"/>
  <c r="AC156" i="4"/>
  <c r="AB156" i="4"/>
  <c r="Z156" i="4"/>
  <c r="O156" i="4"/>
  <c r="L156" i="4"/>
  <c r="G14" i="10" l="1"/>
  <c r="G192" i="4"/>
  <c r="A393" i="4"/>
  <c r="G126" i="4"/>
  <c r="A394" i="4"/>
  <c r="G394" i="4" s="1"/>
  <c r="G127" i="4"/>
  <c r="A395" i="4"/>
  <c r="G395" i="4" s="1"/>
  <c r="G128" i="4"/>
  <c r="G381" i="4"/>
  <c r="G138" i="4"/>
  <c r="G143" i="4" s="1"/>
  <c r="C22" i="7"/>
  <c r="F32" i="7" s="1"/>
  <c r="F33" i="7" s="1"/>
  <c r="F34" i="7" s="1"/>
  <c r="BI243" i="4"/>
  <c r="K243" i="4"/>
  <c r="BH243" i="4"/>
  <c r="J243" i="4"/>
  <c r="BH241" i="4"/>
  <c r="J241" i="4"/>
  <c r="BI241" i="4"/>
  <c r="K241" i="4"/>
  <c r="G409" i="4"/>
  <c r="G273" i="4"/>
  <c r="G21" i="10"/>
  <c r="C22" i="10"/>
  <c r="F32" i="10" s="1"/>
  <c r="BI398" i="4"/>
  <c r="AE398" i="4" s="1"/>
  <c r="O398" i="4"/>
  <c r="BF398" i="4" s="1"/>
  <c r="BJ398" i="4"/>
  <c r="G428" i="4"/>
  <c r="G427" i="4" s="1"/>
  <c r="BJ427" i="4" s="1"/>
  <c r="L325" i="4"/>
  <c r="AK325" i="4" s="1"/>
  <c r="BJ325" i="4"/>
  <c r="O325" i="4"/>
  <c r="BF325" i="4" s="1"/>
  <c r="BH325" i="4"/>
  <c r="AD325" i="4" s="1"/>
  <c r="BI325" i="4"/>
  <c r="AE325" i="4" s="1"/>
  <c r="BH425" i="4"/>
  <c r="AD425" i="4" s="1"/>
  <c r="BI425" i="4"/>
  <c r="AE425" i="4" s="1"/>
  <c r="L425" i="4"/>
  <c r="AK425" i="4" s="1"/>
  <c r="O425" i="4"/>
  <c r="BF425" i="4" s="1"/>
  <c r="G420" i="4"/>
  <c r="G419" i="4" s="1"/>
  <c r="J325" i="4"/>
  <c r="A397" i="4"/>
  <c r="K425" i="4"/>
  <c r="BH398" i="4"/>
  <c r="AD398" i="4" s="1"/>
  <c r="AW425" i="4"/>
  <c r="AX425" i="4"/>
  <c r="J425" i="4"/>
  <c r="AW325" i="4"/>
  <c r="AX325" i="4"/>
  <c r="K325" i="4"/>
  <c r="G383" i="4"/>
  <c r="AX429" i="4"/>
  <c r="BH431" i="4"/>
  <c r="AD431" i="4" s="1"/>
  <c r="BI431" i="4"/>
  <c r="AE431" i="4" s="1"/>
  <c r="L431" i="4"/>
  <c r="AK431" i="4" s="1"/>
  <c r="O431" i="4"/>
  <c r="BF431" i="4" s="1"/>
  <c r="O435" i="4"/>
  <c r="BF435" i="4" s="1"/>
  <c r="G375" i="4"/>
  <c r="D374" i="4"/>
  <c r="G374" i="4" s="1"/>
  <c r="G372" i="4"/>
  <c r="A378" i="4" s="1"/>
  <c r="G378" i="4" s="1"/>
  <c r="BH433" i="4"/>
  <c r="AD433" i="4" s="1"/>
  <c r="D373" i="4"/>
  <c r="G373" i="4" s="1"/>
  <c r="L433" i="4"/>
  <c r="AK433" i="4" s="1"/>
  <c r="L435" i="4"/>
  <c r="AK435" i="4" s="1"/>
  <c r="AW435" i="4"/>
  <c r="BI435" i="4"/>
  <c r="AE435" i="4" s="1"/>
  <c r="BH435" i="4"/>
  <c r="AD435" i="4" s="1"/>
  <c r="BI433" i="4"/>
  <c r="AE433" i="4" s="1"/>
  <c r="O433" i="4"/>
  <c r="BF433" i="4" s="1"/>
  <c r="J435" i="4"/>
  <c r="G389" i="4"/>
  <c r="AX435" i="4"/>
  <c r="K435" i="4"/>
  <c r="G387" i="4"/>
  <c r="D393" i="4"/>
  <c r="G391" i="4"/>
  <c r="G390" i="4"/>
  <c r="G386" i="4"/>
  <c r="G388" i="4"/>
  <c r="O429" i="4"/>
  <c r="BF429" i="4" s="1"/>
  <c r="BJ429" i="4"/>
  <c r="J429" i="4"/>
  <c r="AW429" i="4"/>
  <c r="BH429" i="4"/>
  <c r="AD429" i="4" s="1"/>
  <c r="M429" i="4"/>
  <c r="AW433" i="4"/>
  <c r="AX433" i="4"/>
  <c r="J433" i="4"/>
  <c r="K433" i="4"/>
  <c r="AW431" i="4"/>
  <c r="K429" i="4"/>
  <c r="BI429" i="4"/>
  <c r="AE429" i="4" s="1"/>
  <c r="AX431" i="4"/>
  <c r="J431" i="4"/>
  <c r="K431" i="4"/>
  <c r="G255" i="4"/>
  <c r="M398" i="4"/>
  <c r="AU364" i="4"/>
  <c r="AX398" i="4"/>
  <c r="AS364" i="4"/>
  <c r="AW398" i="4"/>
  <c r="J398" i="4"/>
  <c r="K398" i="4"/>
  <c r="AK398" i="4"/>
  <c r="G281" i="4"/>
  <c r="G266" i="4"/>
  <c r="G275" i="4"/>
  <c r="G264" i="4"/>
  <c r="G277" i="4"/>
  <c r="G274" i="4"/>
  <c r="G252" i="4"/>
  <c r="G256" i="4"/>
  <c r="G257" i="4"/>
  <c r="G261" i="4"/>
  <c r="G282" i="4"/>
  <c r="G260" i="4"/>
  <c r="G278" i="4"/>
  <c r="G254" i="4"/>
  <c r="G271" i="4"/>
  <c r="G263" i="4"/>
  <c r="G272" i="4"/>
  <c r="G276" i="4"/>
  <c r="G269" i="4"/>
  <c r="G280" i="4"/>
  <c r="G270" i="4"/>
  <c r="G262" i="4"/>
  <c r="G279" i="4"/>
  <c r="G268" i="4"/>
  <c r="G265" i="4"/>
  <c r="G258" i="4"/>
  <c r="G259" i="4"/>
  <c r="G267" i="4"/>
  <c r="G253" i="4"/>
  <c r="G179" i="4"/>
  <c r="G251" i="4"/>
  <c r="G309" i="4"/>
  <c r="G302" i="4"/>
  <c r="G307" i="4"/>
  <c r="G299" i="4"/>
  <c r="G284" i="4"/>
  <c r="G286" i="4"/>
  <c r="AS249" i="4"/>
  <c r="AU249" i="4"/>
  <c r="G180" i="4"/>
  <c r="G176" i="4"/>
  <c r="G186" i="4"/>
  <c r="G182" i="4"/>
  <c r="G168" i="4"/>
  <c r="G170" i="4"/>
  <c r="G183" i="4"/>
  <c r="G171" i="4"/>
  <c r="G166" i="4"/>
  <c r="G173" i="4"/>
  <c r="G178" i="4"/>
  <c r="G181" i="4"/>
  <c r="G172" i="4"/>
  <c r="G177" i="4"/>
  <c r="G185" i="4"/>
  <c r="G187" i="4"/>
  <c r="G188" i="4"/>
  <c r="G189" i="4"/>
  <c r="G165" i="4"/>
  <c r="G167" i="4"/>
  <c r="G190" i="4"/>
  <c r="G169" i="4"/>
  <c r="G175" i="4"/>
  <c r="G213" i="4"/>
  <c r="G212" i="4"/>
  <c r="G211" i="4"/>
  <c r="G207" i="4"/>
  <c r="G205" i="4"/>
  <c r="G202" i="4"/>
  <c r="G199" i="4"/>
  <c r="G203" i="4"/>
  <c r="AW241" i="4"/>
  <c r="AU155" i="4"/>
  <c r="AX241" i="4"/>
  <c r="AW243" i="4"/>
  <c r="AX243" i="4"/>
  <c r="M159" i="4"/>
  <c r="AS155" i="4"/>
  <c r="M156" i="4"/>
  <c r="AW156" i="4"/>
  <c r="AX156" i="4"/>
  <c r="BF156" i="4"/>
  <c r="BI156" i="4"/>
  <c r="AE156" i="4" s="1"/>
  <c r="J156" i="4"/>
  <c r="AW159" i="4"/>
  <c r="AX159" i="4"/>
  <c r="AK156" i="4"/>
  <c r="J159" i="4"/>
  <c r="K159" i="4"/>
  <c r="G125" i="4" l="1"/>
  <c r="G393" i="4"/>
  <c r="G392" i="4" s="1"/>
  <c r="O392" i="4" s="1"/>
  <c r="BF392" i="4" s="1"/>
  <c r="G423" i="4"/>
  <c r="G148" i="4"/>
  <c r="Q15" i="13"/>
  <c r="Q16" i="13"/>
  <c r="F33" i="10"/>
  <c r="F34" i="10" s="1"/>
  <c r="D225" i="4"/>
  <c r="G191" i="4"/>
  <c r="K191" i="4" s="1"/>
  <c r="K427" i="4"/>
  <c r="O427" i="4"/>
  <c r="BF427" i="4" s="1"/>
  <c r="BH427" i="4"/>
  <c r="AD427" i="4" s="1"/>
  <c r="AW427" i="4"/>
  <c r="J427" i="4"/>
  <c r="L427" i="4"/>
  <c r="BI427" i="4"/>
  <c r="AE427" i="4" s="1"/>
  <c r="AX427" i="4"/>
  <c r="BH419" i="4"/>
  <c r="AD419" i="4" s="1"/>
  <c r="K419" i="4"/>
  <c r="J419" i="4"/>
  <c r="M325" i="4"/>
  <c r="M425" i="4"/>
  <c r="AX419" i="4"/>
  <c r="AW419" i="4"/>
  <c r="L419" i="4"/>
  <c r="AK419" i="4" s="1"/>
  <c r="BI419" i="4"/>
  <c r="AE419" i="4" s="1"/>
  <c r="O419" i="4"/>
  <c r="BF419" i="4" s="1"/>
  <c r="BJ419" i="4"/>
  <c r="G376" i="4"/>
  <c r="A366" i="4" s="1"/>
  <c r="G418" i="4"/>
  <c r="G416" i="4" s="1"/>
  <c r="BC425" i="4"/>
  <c r="AV425" i="4"/>
  <c r="BC325" i="4"/>
  <c r="AV325" i="4"/>
  <c r="A384" i="4"/>
  <c r="AV429" i="4"/>
  <c r="M435" i="4"/>
  <c r="M431" i="4"/>
  <c r="G369" i="4"/>
  <c r="BJ369" i="4" s="1"/>
  <c r="M433" i="4"/>
  <c r="BC435" i="4"/>
  <c r="AV435" i="4"/>
  <c r="A408" i="4"/>
  <c r="G385" i="4"/>
  <c r="A368" i="4" s="1"/>
  <c r="D367" i="4"/>
  <c r="G367" i="4" s="1"/>
  <c r="BC429" i="4"/>
  <c r="BC433" i="4"/>
  <c r="AV433" i="4"/>
  <c r="BC431" i="4"/>
  <c r="AV431" i="4"/>
  <c r="BC398" i="4"/>
  <c r="AV398" i="4"/>
  <c r="G250" i="4"/>
  <c r="G283" i="4"/>
  <c r="A319" i="4"/>
  <c r="G319" i="4" s="1"/>
  <c r="G164" i="4"/>
  <c r="G184" i="4"/>
  <c r="G174" i="4"/>
  <c r="A219" i="4"/>
  <c r="G219" i="4" s="1"/>
  <c r="G193" i="4" s="1"/>
  <c r="BC241" i="4"/>
  <c r="AV241" i="4"/>
  <c r="BC156" i="4"/>
  <c r="BC243" i="4"/>
  <c r="AV243" i="4"/>
  <c r="AV156" i="4"/>
  <c r="BC159" i="4"/>
  <c r="AV159" i="4"/>
  <c r="BJ125" i="4" l="1"/>
  <c r="BI125" i="4"/>
  <c r="AC125" i="4" s="1"/>
  <c r="BH125" i="4"/>
  <c r="AB125" i="4" s="1"/>
  <c r="J125" i="4"/>
  <c r="J124" i="4" s="1"/>
  <c r="L125" i="4"/>
  <c r="O125" i="4"/>
  <c r="AW125" i="4"/>
  <c r="AX125" i="4"/>
  <c r="K125" i="4"/>
  <c r="K124" i="4" s="1"/>
  <c r="G153" i="4"/>
  <c r="G152" i="4" s="1"/>
  <c r="G147" i="4"/>
  <c r="G422" i="4"/>
  <c r="G137" i="4"/>
  <c r="G384" i="4"/>
  <c r="G382" i="4" s="1"/>
  <c r="G146" i="4" s="1"/>
  <c r="G145" i="4" s="1"/>
  <c r="G225" i="4"/>
  <c r="J191" i="4"/>
  <c r="BH191" i="4"/>
  <c r="AD191" i="4" s="1"/>
  <c r="BI191" i="4"/>
  <c r="AE191" i="4" s="1"/>
  <c r="AX191" i="4"/>
  <c r="AW191" i="4"/>
  <c r="L191" i="4"/>
  <c r="M191" i="4" s="1"/>
  <c r="BJ191" i="4"/>
  <c r="O191" i="4"/>
  <c r="BF191" i="4" s="1"/>
  <c r="BC427" i="4"/>
  <c r="AK427" i="4"/>
  <c r="M427" i="4"/>
  <c r="AV427" i="4"/>
  <c r="BC419" i="4"/>
  <c r="AV419" i="4"/>
  <c r="M419" i="4"/>
  <c r="L416" i="4"/>
  <c r="O416" i="4"/>
  <c r="BF416" i="4" s="1"/>
  <c r="BJ416" i="4"/>
  <c r="AW416" i="4"/>
  <c r="BH416" i="4"/>
  <c r="AD416" i="4" s="1"/>
  <c r="BI416" i="4"/>
  <c r="AE416" i="4" s="1"/>
  <c r="K416" i="4"/>
  <c r="AX416" i="4"/>
  <c r="J416" i="4"/>
  <c r="BH369" i="4"/>
  <c r="AD369" i="4" s="1"/>
  <c r="J369" i="4"/>
  <c r="K369" i="4"/>
  <c r="L369" i="4"/>
  <c r="AK369" i="4" s="1"/>
  <c r="BI369" i="4"/>
  <c r="AE369" i="4" s="1"/>
  <c r="O369" i="4"/>
  <c r="BF369" i="4" s="1"/>
  <c r="AX369" i="4"/>
  <c r="AW369" i="4"/>
  <c r="L392" i="4"/>
  <c r="M392" i="4" s="1"/>
  <c r="J392" i="4"/>
  <c r="BH392" i="4"/>
  <c r="AD392" i="4" s="1"/>
  <c r="AW392" i="4"/>
  <c r="BI392" i="4"/>
  <c r="AE392" i="4" s="1"/>
  <c r="AX392" i="4"/>
  <c r="K392" i="4"/>
  <c r="A414" i="4"/>
  <c r="G414" i="4" s="1"/>
  <c r="G397" i="4" s="1"/>
  <c r="G396" i="4" s="1"/>
  <c r="BJ392" i="4"/>
  <c r="K283" i="4"/>
  <c r="A321" i="4"/>
  <c r="G321" i="4" s="1"/>
  <c r="G320" i="4" s="1"/>
  <c r="G285" i="4"/>
  <c r="BJ250" i="4"/>
  <c r="O250" i="4"/>
  <c r="J250" i="4"/>
  <c r="K250" i="4"/>
  <c r="L250" i="4"/>
  <c r="BH250" i="4"/>
  <c r="AD250" i="4" s="1"/>
  <c r="BI250" i="4"/>
  <c r="AE250" i="4" s="1"/>
  <c r="AW250" i="4"/>
  <c r="AX250" i="4"/>
  <c r="L283" i="4"/>
  <c r="M283" i="4" s="1"/>
  <c r="BH283" i="4"/>
  <c r="AD283" i="4" s="1"/>
  <c r="O283" i="4"/>
  <c r="BF283" i="4" s="1"/>
  <c r="BJ283" i="4"/>
  <c r="J283" i="4"/>
  <c r="AW283" i="4"/>
  <c r="AX283" i="4"/>
  <c r="BI283" i="4"/>
  <c r="AE283" i="4" s="1"/>
  <c r="BJ184" i="4"/>
  <c r="AW184" i="4"/>
  <c r="K184" i="4"/>
  <c r="BI184" i="4"/>
  <c r="AE184" i="4" s="1"/>
  <c r="L184" i="4"/>
  <c r="O184" i="4"/>
  <c r="BF184" i="4" s="1"/>
  <c r="AX184" i="4"/>
  <c r="J184" i="4"/>
  <c r="BH184" i="4"/>
  <c r="AD184" i="4" s="1"/>
  <c r="L174" i="4"/>
  <c r="BJ174" i="4"/>
  <c r="O174" i="4"/>
  <c r="BF174" i="4" s="1"/>
  <c r="BH174" i="4"/>
  <c r="AD174" i="4" s="1"/>
  <c r="J174" i="4"/>
  <c r="AX174" i="4"/>
  <c r="AW174" i="4"/>
  <c r="K174" i="4"/>
  <c r="BI174" i="4"/>
  <c r="AE174" i="4" s="1"/>
  <c r="L164" i="4"/>
  <c r="BJ164" i="4"/>
  <c r="O164" i="4"/>
  <c r="BF164" i="4" s="1"/>
  <c r="BH164" i="4"/>
  <c r="AD164" i="4" s="1"/>
  <c r="AW164" i="4"/>
  <c r="AX164" i="4"/>
  <c r="J164" i="4"/>
  <c r="BI164" i="4"/>
  <c r="AE164" i="4" s="1"/>
  <c r="K164" i="4"/>
  <c r="L193" i="4"/>
  <c r="O193" i="4"/>
  <c r="BJ193" i="4"/>
  <c r="AH193" i="4" s="1"/>
  <c r="J193" i="4"/>
  <c r="BH193" i="4"/>
  <c r="BI193" i="4"/>
  <c r="AW193" i="4"/>
  <c r="K193" i="4"/>
  <c r="AX193" i="4"/>
  <c r="L285" i="4" l="1"/>
  <c r="M285" i="4" s="1"/>
  <c r="G483" i="4"/>
  <c r="AV125" i="4"/>
  <c r="BC125" i="4"/>
  <c r="O124" i="4"/>
  <c r="BF125" i="4"/>
  <c r="AK125" i="4"/>
  <c r="AT124" i="4" s="1"/>
  <c r="M125" i="4"/>
  <c r="M124" i="4" s="1"/>
  <c r="L124" i="4"/>
  <c r="F19" i="3" s="1"/>
  <c r="BJ152" i="4"/>
  <c r="L152" i="4"/>
  <c r="BH152" i="4"/>
  <c r="AD152" i="4" s="1"/>
  <c r="K152" i="4"/>
  <c r="O152" i="4"/>
  <c r="BF152" i="4" s="1"/>
  <c r="AW152" i="4"/>
  <c r="AX152" i="4"/>
  <c r="BI152" i="4"/>
  <c r="AE152" i="4" s="1"/>
  <c r="J152" i="4"/>
  <c r="G150" i="4"/>
  <c r="A151" i="4" s="1"/>
  <c r="G151" i="4" s="1"/>
  <c r="G149" i="4" s="1"/>
  <c r="O147" i="4"/>
  <c r="BF147" i="4" s="1"/>
  <c r="BH147" i="4"/>
  <c r="AD147" i="4" s="1"/>
  <c r="BI147" i="4"/>
  <c r="AE147" i="4" s="1"/>
  <c r="J147" i="4"/>
  <c r="L147" i="4"/>
  <c r="BJ147" i="4"/>
  <c r="K147" i="4"/>
  <c r="AW147" i="4"/>
  <c r="AX147" i="4"/>
  <c r="BJ145" i="4"/>
  <c r="O145" i="4"/>
  <c r="BF145" i="4" s="1"/>
  <c r="L145" i="4"/>
  <c r="BH145" i="4"/>
  <c r="AD145" i="4" s="1"/>
  <c r="K145" i="4"/>
  <c r="J145" i="4"/>
  <c r="BI145" i="4"/>
  <c r="AE145" i="4" s="1"/>
  <c r="AW145" i="4"/>
  <c r="AX145" i="4"/>
  <c r="G140" i="4"/>
  <c r="A141" i="4" s="1"/>
  <c r="G141" i="4" s="1"/>
  <c r="G136" i="4"/>
  <c r="A144" i="4"/>
  <c r="G144" i="4" s="1"/>
  <c r="G142" i="4" s="1"/>
  <c r="AX382" i="4"/>
  <c r="L382" i="4"/>
  <c r="M382" i="4" s="1"/>
  <c r="O382" i="4"/>
  <c r="BF382" i="4" s="1"/>
  <c r="J382" i="4"/>
  <c r="AW382" i="4"/>
  <c r="BJ382" i="4"/>
  <c r="K382" i="4"/>
  <c r="AK191" i="4"/>
  <c r="BI382" i="4"/>
  <c r="AE382" i="4" s="1"/>
  <c r="BH382" i="4"/>
  <c r="AD382" i="4" s="1"/>
  <c r="AV191" i="4"/>
  <c r="BC191" i="4"/>
  <c r="A226" i="4"/>
  <c r="G226" i="4" s="1"/>
  <c r="G224" i="4" s="1"/>
  <c r="O224" i="4" s="1"/>
  <c r="BF224" i="4" s="1"/>
  <c r="BC416" i="4"/>
  <c r="AV416" i="4"/>
  <c r="AK416" i="4"/>
  <c r="M416" i="4"/>
  <c r="G404" i="4"/>
  <c r="K396" i="4"/>
  <c r="BJ396" i="4"/>
  <c r="O396" i="4"/>
  <c r="BF396" i="4" s="1"/>
  <c r="L396" i="4"/>
  <c r="AX396" i="4"/>
  <c r="BI396" i="4"/>
  <c r="AE396" i="4" s="1"/>
  <c r="BH396" i="4"/>
  <c r="AD396" i="4" s="1"/>
  <c r="AW396" i="4"/>
  <c r="J396" i="4"/>
  <c r="BF250" i="4"/>
  <c r="M369" i="4"/>
  <c r="BC369" i="4"/>
  <c r="AV369" i="4"/>
  <c r="BC392" i="4"/>
  <c r="AV392" i="4"/>
  <c r="AK392" i="4"/>
  <c r="BI285" i="4"/>
  <c r="BH285" i="4"/>
  <c r="BJ320" i="4"/>
  <c r="O320" i="4"/>
  <c r="BF320" i="4" s="1"/>
  <c r="K320" i="4"/>
  <c r="AW320" i="4"/>
  <c r="BI320" i="4"/>
  <c r="AE320" i="4" s="1"/>
  <c r="BH320" i="4"/>
  <c r="AD320" i="4" s="1"/>
  <c r="J320" i="4"/>
  <c r="L320" i="4"/>
  <c r="G323" i="4"/>
  <c r="A324" i="4" s="1"/>
  <c r="G324" i="4" s="1"/>
  <c r="G322" i="4" s="1"/>
  <c r="L322" i="4" s="1"/>
  <c r="AX320" i="4"/>
  <c r="AW285" i="4"/>
  <c r="K285" i="4"/>
  <c r="O285" i="4"/>
  <c r="BF285" i="4" s="1"/>
  <c r="J285" i="4"/>
  <c r="BJ285" i="4"/>
  <c r="AH285" i="4" s="1"/>
  <c r="AX285" i="4"/>
  <c r="AV283" i="4"/>
  <c r="AK283" i="4"/>
  <c r="M250" i="4"/>
  <c r="AK250" i="4"/>
  <c r="BC250" i="4"/>
  <c r="AV250" i="4"/>
  <c r="BC283" i="4"/>
  <c r="BC184" i="4"/>
  <c r="AV184" i="4"/>
  <c r="AK174" i="4"/>
  <c r="M174" i="4"/>
  <c r="AV174" i="4"/>
  <c r="BC174" i="4"/>
  <c r="AK184" i="4"/>
  <c r="M184" i="4"/>
  <c r="AK164" i="4"/>
  <c r="M164" i="4"/>
  <c r="AV164" i="4"/>
  <c r="BC164" i="4"/>
  <c r="BF193" i="4"/>
  <c r="BC193" i="4"/>
  <c r="AV193" i="4"/>
  <c r="AK193" i="4"/>
  <c r="M193" i="4"/>
  <c r="AK285" i="4" l="1"/>
  <c r="BC152" i="4"/>
  <c r="AV152" i="4"/>
  <c r="AK152" i="4"/>
  <c r="M152" i="4"/>
  <c r="BC147" i="4"/>
  <c r="AV147" i="4"/>
  <c r="M147" i="4"/>
  <c r="AK147" i="4"/>
  <c r="BH149" i="4"/>
  <c r="AD149" i="4" s="1"/>
  <c r="BJ149" i="4"/>
  <c r="BI149" i="4"/>
  <c r="AE149" i="4" s="1"/>
  <c r="L149" i="4"/>
  <c r="J149" i="4"/>
  <c r="K149" i="4"/>
  <c r="AX149" i="4"/>
  <c r="O149" i="4"/>
  <c r="BF149" i="4" s="1"/>
  <c r="AW149" i="4"/>
  <c r="AV145" i="4"/>
  <c r="BC145" i="4"/>
  <c r="AK145" i="4"/>
  <c r="M145" i="4"/>
  <c r="BJ142" i="4"/>
  <c r="AW142" i="4"/>
  <c r="BH142" i="4"/>
  <c r="AD142" i="4" s="1"/>
  <c r="K142" i="4"/>
  <c r="J142" i="4"/>
  <c r="BI142" i="4"/>
  <c r="AE142" i="4" s="1"/>
  <c r="L142" i="4"/>
  <c r="O142" i="4"/>
  <c r="BF142" i="4" s="1"/>
  <c r="AX142" i="4"/>
  <c r="L136" i="4"/>
  <c r="O136" i="4"/>
  <c r="BJ136" i="4"/>
  <c r="BH136" i="4"/>
  <c r="AD136" i="4" s="1"/>
  <c r="J136" i="4"/>
  <c r="BI136" i="4"/>
  <c r="AE136" i="4" s="1"/>
  <c r="AX136" i="4"/>
  <c r="K136" i="4"/>
  <c r="AW136" i="4"/>
  <c r="G139" i="4"/>
  <c r="AV382" i="4"/>
  <c r="BC382" i="4"/>
  <c r="BH224" i="4"/>
  <c r="AK382" i="4"/>
  <c r="L224" i="4"/>
  <c r="M224" i="4" s="1"/>
  <c r="AX224" i="4"/>
  <c r="J224" i="4"/>
  <c r="K224" i="4"/>
  <c r="BI224" i="4"/>
  <c r="AW224" i="4"/>
  <c r="BJ224" i="4"/>
  <c r="AH224" i="4" s="1"/>
  <c r="AV396" i="4"/>
  <c r="BC396" i="4"/>
  <c r="AK396" i="4"/>
  <c r="M396" i="4"/>
  <c r="G407" i="4"/>
  <c r="L376" i="4"/>
  <c r="O376" i="4"/>
  <c r="BF376" i="4" s="1"/>
  <c r="G366" i="4"/>
  <c r="G412" i="4"/>
  <c r="BJ376" i="4"/>
  <c r="BI376" i="4"/>
  <c r="AE376" i="4" s="1"/>
  <c r="AW376" i="4"/>
  <c r="J376" i="4"/>
  <c r="AX376" i="4"/>
  <c r="BH376" i="4"/>
  <c r="AD376" i="4" s="1"/>
  <c r="K376" i="4"/>
  <c r="G408" i="4"/>
  <c r="A413" i="4"/>
  <c r="G413" i="4" s="1"/>
  <c r="AV285" i="4"/>
  <c r="BH322" i="4"/>
  <c r="AD322" i="4" s="1"/>
  <c r="J322" i="4"/>
  <c r="O322" i="4"/>
  <c r="BF322" i="4" s="1"/>
  <c r="BJ322" i="4"/>
  <c r="AW322" i="4"/>
  <c r="AX322" i="4"/>
  <c r="K322" i="4"/>
  <c r="BI322" i="4"/>
  <c r="AE322" i="4" s="1"/>
  <c r="AK320" i="4"/>
  <c r="M320" i="4"/>
  <c r="BC320" i="4"/>
  <c r="AV320" i="4"/>
  <c r="M322" i="4"/>
  <c r="AK322" i="4"/>
  <c r="BC285" i="4"/>
  <c r="AV224" i="4" l="1"/>
  <c r="BC224" i="4"/>
  <c r="AK149" i="4"/>
  <c r="M149" i="4"/>
  <c r="BC149" i="4"/>
  <c r="AV149" i="4"/>
  <c r="BJ139" i="4"/>
  <c r="AH139" i="4" s="1"/>
  <c r="O139" i="4"/>
  <c r="BF139" i="4" s="1"/>
  <c r="L139" i="4"/>
  <c r="J139" i="4"/>
  <c r="BH139" i="4"/>
  <c r="AX139" i="4"/>
  <c r="K139" i="4"/>
  <c r="BI139" i="4"/>
  <c r="AW139" i="4"/>
  <c r="AK142" i="4"/>
  <c r="M142" i="4"/>
  <c r="BF136" i="4"/>
  <c r="AK136" i="4"/>
  <c r="M136" i="4"/>
  <c r="BC136" i="4"/>
  <c r="AV136" i="4"/>
  <c r="BC142" i="4"/>
  <c r="AV142" i="4"/>
  <c r="AK224" i="4"/>
  <c r="O249" i="4"/>
  <c r="G327" i="4" s="1"/>
  <c r="A410" i="4"/>
  <c r="G410" i="4" s="1"/>
  <c r="G406" i="4" s="1"/>
  <c r="L406" i="4" s="1"/>
  <c r="A415" i="4"/>
  <c r="G415" i="4" s="1"/>
  <c r="BC376" i="4"/>
  <c r="AV376" i="4"/>
  <c r="AK376" i="4"/>
  <c r="M376" i="4"/>
  <c r="G368" i="4"/>
  <c r="G365" i="4" s="1"/>
  <c r="O385" i="4"/>
  <c r="BF385" i="4" s="1"/>
  <c r="L385" i="4"/>
  <c r="J385" i="4"/>
  <c r="AW385" i="4"/>
  <c r="BI385" i="4"/>
  <c r="AE385" i="4" s="1"/>
  <c r="BH385" i="4"/>
  <c r="AD385" i="4" s="1"/>
  <c r="BJ385" i="4"/>
  <c r="AX385" i="4"/>
  <c r="K385" i="4"/>
  <c r="AV322" i="4"/>
  <c r="BC322" i="4"/>
  <c r="O135" i="4" l="1"/>
  <c r="AV139" i="4"/>
  <c r="BC139" i="4"/>
  <c r="AK139" i="4"/>
  <c r="M139" i="4"/>
  <c r="BI406" i="4"/>
  <c r="AE406" i="4" s="1"/>
  <c r="K406" i="4"/>
  <c r="BJ406" i="4"/>
  <c r="AW406" i="4"/>
  <c r="J406" i="4"/>
  <c r="BH406" i="4"/>
  <c r="AD406" i="4" s="1"/>
  <c r="O406" i="4"/>
  <c r="BF406" i="4" s="1"/>
  <c r="AX406" i="4"/>
  <c r="BC385" i="4"/>
  <c r="M385" i="4"/>
  <c r="AK385" i="4"/>
  <c r="AK406" i="4"/>
  <c r="M406" i="4"/>
  <c r="AV385" i="4"/>
  <c r="G403" i="4"/>
  <c r="J365" i="4"/>
  <c r="BJ365" i="4"/>
  <c r="O365" i="4"/>
  <c r="BF365" i="4" s="1"/>
  <c r="L365" i="4"/>
  <c r="BI365" i="4"/>
  <c r="AE365" i="4" s="1"/>
  <c r="BH365" i="4"/>
  <c r="AD365" i="4" s="1"/>
  <c r="AW365" i="4"/>
  <c r="K365" i="4"/>
  <c r="AX365" i="4"/>
  <c r="G154" i="4" l="1"/>
  <c r="L154" i="4" s="1"/>
  <c r="L135" i="4" s="1"/>
  <c r="E24" i="3" s="1"/>
  <c r="F22" i="3" s="1"/>
  <c r="AV406" i="4"/>
  <c r="BC406" i="4"/>
  <c r="A405" i="4"/>
  <c r="G405" i="4" s="1"/>
  <c r="G402" i="4" s="1"/>
  <c r="AK365" i="4"/>
  <c r="M365" i="4"/>
  <c r="BC365" i="4"/>
  <c r="AV365" i="4"/>
  <c r="A424" i="4" l="1"/>
  <c r="G424" i="4" s="1"/>
  <c r="G421" i="4" s="1"/>
  <c r="BH421" i="4" s="1"/>
  <c r="AD421" i="4" s="1"/>
  <c r="D484" i="4"/>
  <c r="K154" i="4"/>
  <c r="K135" i="4" s="1"/>
  <c r="AX154" i="4"/>
  <c r="BJ154" i="4"/>
  <c r="Z154" i="4" s="1"/>
  <c r="BI154" i="4"/>
  <c r="BH154" i="4"/>
  <c r="J154" i="4"/>
  <c r="J135" i="4" s="1"/>
  <c r="AW154" i="4"/>
  <c r="M154" i="4"/>
  <c r="M135" i="4" s="1"/>
  <c r="AK154" i="4"/>
  <c r="AT135" i="4" s="1"/>
  <c r="BJ402" i="4"/>
  <c r="O402" i="4"/>
  <c r="BF402" i="4" s="1"/>
  <c r="L402" i="4"/>
  <c r="AW402" i="4"/>
  <c r="K402" i="4"/>
  <c r="BI402" i="4"/>
  <c r="AE402" i="4" s="1"/>
  <c r="AX402" i="4"/>
  <c r="BH402" i="4"/>
  <c r="AD402" i="4" s="1"/>
  <c r="J402" i="4"/>
  <c r="L421" i="4" l="1"/>
  <c r="M421" i="4" s="1"/>
  <c r="BJ421" i="4"/>
  <c r="K421" i="4"/>
  <c r="AW421" i="4"/>
  <c r="AX421" i="4"/>
  <c r="AV421" i="4" s="1"/>
  <c r="BI421" i="4"/>
  <c r="AE421" i="4" s="1"/>
  <c r="O421" i="4"/>
  <c r="BF421" i="4" s="1"/>
  <c r="J421" i="4"/>
  <c r="AV154" i="4"/>
  <c r="BC154" i="4"/>
  <c r="BC421" i="4"/>
  <c r="AK421" i="4"/>
  <c r="BC402" i="4"/>
  <c r="M402" i="4"/>
  <c r="AK402" i="4"/>
  <c r="AV402" i="4"/>
  <c r="E47" i="4" l="1"/>
  <c r="E46" i="4"/>
  <c r="E45" i="4"/>
  <c r="E44" i="4"/>
  <c r="E37" i="4"/>
  <c r="C106" i="4"/>
  <c r="C104" i="4"/>
  <c r="C105" i="4"/>
  <c r="D105" i="4"/>
  <c r="D104" i="4"/>
  <c r="D114" i="4"/>
  <c r="G114" i="4" s="1"/>
  <c r="E113" i="4"/>
  <c r="E112" i="4"/>
  <c r="E111" i="4"/>
  <c r="E110" i="4"/>
  <c r="D109" i="4"/>
  <c r="G109" i="4" s="1"/>
  <c r="E109" i="4"/>
  <c r="BW108" i="4"/>
  <c r="BD108" i="4"/>
  <c r="AP108" i="4"/>
  <c r="AO108" i="4"/>
  <c r="AL108" i="4"/>
  <c r="AJ108" i="4"/>
  <c r="AH108" i="4"/>
  <c r="AG108" i="4"/>
  <c r="AF108" i="4"/>
  <c r="AE108" i="4"/>
  <c r="AD108" i="4"/>
  <c r="Z108" i="4"/>
  <c r="G56" i="4"/>
  <c r="G55" i="4" s="1"/>
  <c r="E56" i="4"/>
  <c r="BW55" i="4"/>
  <c r="BD55" i="4"/>
  <c r="AP55" i="4"/>
  <c r="AO55" i="4"/>
  <c r="AL55" i="4"/>
  <c r="AJ55" i="4"/>
  <c r="AH55" i="4"/>
  <c r="AG55" i="4"/>
  <c r="AF55" i="4"/>
  <c r="AE55" i="4"/>
  <c r="AD55" i="4"/>
  <c r="Z55" i="4"/>
  <c r="C62" i="4"/>
  <c r="C64" i="4"/>
  <c r="C63" i="4"/>
  <c r="C60" i="4"/>
  <c r="C59" i="4"/>
  <c r="C58" i="4"/>
  <c r="D64" i="4"/>
  <c r="A64" i="4"/>
  <c r="D63" i="4"/>
  <c r="A63" i="4"/>
  <c r="D62" i="4"/>
  <c r="A62" i="4"/>
  <c r="D61" i="4"/>
  <c r="C61" i="4"/>
  <c r="A61" i="4"/>
  <c r="A60" i="4"/>
  <c r="D59" i="4"/>
  <c r="A59" i="4"/>
  <c r="D58" i="4"/>
  <c r="A58" i="4"/>
  <c r="G54" i="4"/>
  <c r="G53" i="4" s="1"/>
  <c r="E95" i="4"/>
  <c r="E93" i="4"/>
  <c r="D93" i="4"/>
  <c r="E92" i="4"/>
  <c r="D92" i="4"/>
  <c r="E91" i="4"/>
  <c r="E90" i="4"/>
  <c r="D90" i="4"/>
  <c r="E89" i="4"/>
  <c r="E88" i="4"/>
  <c r="D88" i="4"/>
  <c r="E87" i="4"/>
  <c r="D87" i="4"/>
  <c r="E86" i="4"/>
  <c r="E85" i="4"/>
  <c r="D78" i="4"/>
  <c r="D89" i="4" s="1"/>
  <c r="D80" i="4"/>
  <c r="D91" i="4" s="1"/>
  <c r="A82" i="4"/>
  <c r="A93" i="4" s="1"/>
  <c r="A81" i="4"/>
  <c r="A92" i="4" s="1"/>
  <c r="A80" i="4"/>
  <c r="A91" i="4" s="1"/>
  <c r="A79" i="4"/>
  <c r="A90" i="4" s="1"/>
  <c r="A78" i="4"/>
  <c r="A89" i="4" s="1"/>
  <c r="A77" i="4"/>
  <c r="A88" i="4" s="1"/>
  <c r="A76" i="4"/>
  <c r="A87" i="4" s="1"/>
  <c r="G88" i="4" l="1"/>
  <c r="G90" i="4"/>
  <c r="BJ55" i="4"/>
  <c r="L55" i="4"/>
  <c r="AK55" i="4" s="1"/>
  <c r="K55" i="4"/>
  <c r="AW55" i="4"/>
  <c r="AX55" i="4"/>
  <c r="O55" i="4"/>
  <c r="BF55" i="4" s="1"/>
  <c r="J55" i="4"/>
  <c r="BH55" i="4"/>
  <c r="AB55" i="4" s="1"/>
  <c r="BI55" i="4"/>
  <c r="AC55" i="4" s="1"/>
  <c r="G63" i="4"/>
  <c r="G59" i="4"/>
  <c r="G93" i="4"/>
  <c r="G60" i="4"/>
  <c r="G64" i="4"/>
  <c r="G62" i="4"/>
  <c r="G61" i="4"/>
  <c r="G58" i="4"/>
  <c r="G92" i="4"/>
  <c r="G87" i="4"/>
  <c r="G89" i="4"/>
  <c r="G91" i="4"/>
  <c r="A72" i="4"/>
  <c r="G72" i="4" s="1"/>
  <c r="G71" i="4" s="1"/>
  <c r="D75" i="4"/>
  <c r="D86" i="4" s="1"/>
  <c r="A75" i="4"/>
  <c r="A86" i="4" s="1"/>
  <c r="D74" i="4"/>
  <c r="D85" i="4" s="1"/>
  <c r="D19" i="4"/>
  <c r="G67" i="4"/>
  <c r="G68" i="4"/>
  <c r="A74" i="4"/>
  <c r="A85" i="4" s="1"/>
  <c r="G107" i="4"/>
  <c r="G102" i="4"/>
  <c r="E83" i="4"/>
  <c r="D52" i="4"/>
  <c r="BW101" i="4"/>
  <c r="BD101" i="4"/>
  <c r="AP101" i="4"/>
  <c r="AO101" i="4"/>
  <c r="AL101" i="4"/>
  <c r="AU100" i="4" s="1"/>
  <c r="AJ101" i="4"/>
  <c r="AS100" i="4" s="1"/>
  <c r="AH101" i="4"/>
  <c r="AG101" i="4"/>
  <c r="AF101" i="4"/>
  <c r="AE101" i="4"/>
  <c r="AD101" i="4"/>
  <c r="Z101" i="4"/>
  <c r="G104" i="4" l="1"/>
  <c r="D111" i="4"/>
  <c r="G111" i="4" s="1"/>
  <c r="G105" i="4"/>
  <c r="D112" i="4"/>
  <c r="G112" i="4" s="1"/>
  <c r="G106" i="4"/>
  <c r="D113" i="4"/>
  <c r="G103" i="4"/>
  <c r="D110" i="4"/>
  <c r="G110" i="4" s="1"/>
  <c r="BC55" i="4"/>
  <c r="M55" i="4"/>
  <c r="AV55" i="4"/>
  <c r="G57" i="4"/>
  <c r="A45" i="4" s="1"/>
  <c r="G45" i="4" s="1"/>
  <c r="G86" i="4"/>
  <c r="G85" i="4"/>
  <c r="G81" i="4"/>
  <c r="G78" i="4"/>
  <c r="G82" i="4"/>
  <c r="G74" i="4"/>
  <c r="G76" i="4"/>
  <c r="G80" i="4"/>
  <c r="G77" i="4"/>
  <c r="G79" i="4"/>
  <c r="G75" i="4"/>
  <c r="E17" i="3"/>
  <c r="G113" i="4" l="1"/>
  <c r="G108" i="4" s="1"/>
  <c r="BJ108" i="4" s="1"/>
  <c r="G84" i="4"/>
  <c r="G95" i="4" s="1"/>
  <c r="G94" i="4" s="1"/>
  <c r="G101" i="4"/>
  <c r="A83" i="4" l="1"/>
  <c r="G83" i="4" s="1"/>
  <c r="G73" i="4" s="1"/>
  <c r="A46" i="4" s="1"/>
  <c r="G46" i="4" s="1"/>
  <c r="A47" i="4"/>
  <c r="G47" i="4" s="1"/>
  <c r="K108" i="4"/>
  <c r="L108" i="4"/>
  <c r="M108" i="4" s="1"/>
  <c r="BI108" i="4"/>
  <c r="AC108" i="4" s="1"/>
  <c r="J108" i="4"/>
  <c r="AX108" i="4"/>
  <c r="AW108" i="4"/>
  <c r="O108" i="4"/>
  <c r="BF108" i="4" s="1"/>
  <c r="BH108" i="4"/>
  <c r="AB108" i="4" s="1"/>
  <c r="J101" i="4"/>
  <c r="J100" i="4" s="1"/>
  <c r="K101" i="4"/>
  <c r="K100" i="4" s="1"/>
  <c r="O101" i="4"/>
  <c r="BJ101" i="4"/>
  <c r="BI101" i="4"/>
  <c r="AC101" i="4" s="1"/>
  <c r="L101" i="4"/>
  <c r="L100" i="4" s="1"/>
  <c r="F16" i="3" s="1"/>
  <c r="E15" i="3" s="1"/>
  <c r="BH101" i="4"/>
  <c r="AB101" i="4" s="1"/>
  <c r="AW101" i="4"/>
  <c r="AX101" i="4"/>
  <c r="E31" i="4"/>
  <c r="C29" i="4"/>
  <c r="A29" i="4"/>
  <c r="A28" i="4"/>
  <c r="C27" i="4"/>
  <c r="A27" i="4"/>
  <c r="A26" i="4"/>
  <c r="C28" i="4"/>
  <c r="C26" i="4"/>
  <c r="D25" i="4"/>
  <c r="D23" i="4"/>
  <c r="D24" i="4"/>
  <c r="A25" i="4"/>
  <c r="C25" i="4"/>
  <c r="A24" i="4"/>
  <c r="C24" i="4"/>
  <c r="C23" i="4"/>
  <c r="A23" i="4"/>
  <c r="D22" i="4"/>
  <c r="A22" i="4"/>
  <c r="C22" i="4"/>
  <c r="A21" i="4"/>
  <c r="C21" i="4"/>
  <c r="D20" i="4"/>
  <c r="D66" i="4" s="1"/>
  <c r="C20" i="4"/>
  <c r="A20" i="4"/>
  <c r="D42" i="4"/>
  <c r="BW94" i="4"/>
  <c r="BJ94" i="4"/>
  <c r="BD94" i="4"/>
  <c r="AP94" i="4"/>
  <c r="BI94" i="4" s="1"/>
  <c r="AC94" i="4" s="1"/>
  <c r="AO94" i="4"/>
  <c r="BH94" i="4" s="1"/>
  <c r="AB94" i="4" s="1"/>
  <c r="AL94" i="4"/>
  <c r="AJ94" i="4"/>
  <c r="AH94" i="4"/>
  <c r="AG94" i="4"/>
  <c r="AF94" i="4"/>
  <c r="AE94" i="4"/>
  <c r="AD94" i="4"/>
  <c r="Z94" i="4"/>
  <c r="O94" i="4"/>
  <c r="BF94" i="4" s="1"/>
  <c r="L94" i="4"/>
  <c r="AK94" i="4" s="1"/>
  <c r="BW84" i="4"/>
  <c r="BJ84" i="4"/>
  <c r="BD84" i="4"/>
  <c r="AP84" i="4"/>
  <c r="AX84" i="4" s="1"/>
  <c r="AO84" i="4"/>
  <c r="AW84" i="4" s="1"/>
  <c r="AL84" i="4"/>
  <c r="AJ84" i="4"/>
  <c r="AH84" i="4"/>
  <c r="AG84" i="4"/>
  <c r="AF84" i="4"/>
  <c r="AE84" i="4"/>
  <c r="AD84" i="4"/>
  <c r="Z84" i="4"/>
  <c r="O84" i="4"/>
  <c r="BF84" i="4" s="1"/>
  <c r="L84" i="4"/>
  <c r="AK84" i="4" s="1"/>
  <c r="BW73" i="4"/>
  <c r="BD73" i="4"/>
  <c r="AP73" i="4"/>
  <c r="AO73" i="4"/>
  <c r="AL73" i="4"/>
  <c r="AJ73" i="4"/>
  <c r="AH73" i="4"/>
  <c r="AG73" i="4"/>
  <c r="AF73" i="4"/>
  <c r="AE73" i="4"/>
  <c r="AD73" i="4"/>
  <c r="Z73" i="4"/>
  <c r="BW71" i="4"/>
  <c r="BJ71" i="4"/>
  <c r="BD71" i="4"/>
  <c r="AP71" i="4"/>
  <c r="BI71" i="4" s="1"/>
  <c r="AC71" i="4" s="1"/>
  <c r="AO71" i="4"/>
  <c r="BH71" i="4" s="1"/>
  <c r="AB71" i="4" s="1"/>
  <c r="AL71" i="4"/>
  <c r="AJ71" i="4"/>
  <c r="AH71" i="4"/>
  <c r="AG71" i="4"/>
  <c r="AF71" i="4"/>
  <c r="AE71" i="4"/>
  <c r="AD71" i="4"/>
  <c r="Z71" i="4"/>
  <c r="O71" i="4"/>
  <c r="BF71" i="4" s="1"/>
  <c r="L71" i="4"/>
  <c r="AK71" i="4" s="1"/>
  <c r="BW69" i="4"/>
  <c r="BD69" i="4"/>
  <c r="AP69" i="4"/>
  <c r="AO69" i="4"/>
  <c r="AL69" i="4"/>
  <c r="AJ69" i="4"/>
  <c r="AH69" i="4"/>
  <c r="AG69" i="4"/>
  <c r="AF69" i="4"/>
  <c r="AE69" i="4"/>
  <c r="AD69" i="4"/>
  <c r="Z69" i="4"/>
  <c r="BW65" i="4"/>
  <c r="BD65" i="4"/>
  <c r="AP65" i="4"/>
  <c r="AO65" i="4"/>
  <c r="AL65" i="4"/>
  <c r="AJ65" i="4"/>
  <c r="AH65" i="4"/>
  <c r="AG65" i="4"/>
  <c r="AF65" i="4"/>
  <c r="AE65" i="4"/>
  <c r="AD65" i="4"/>
  <c r="Z65" i="4"/>
  <c r="BW57" i="4"/>
  <c r="BJ57" i="4"/>
  <c r="BD57" i="4"/>
  <c r="AP57" i="4"/>
  <c r="BI57" i="4" s="1"/>
  <c r="AC57" i="4" s="1"/>
  <c r="AO57" i="4"/>
  <c r="BH57" i="4" s="1"/>
  <c r="AB57" i="4" s="1"/>
  <c r="AL57" i="4"/>
  <c r="AJ57" i="4"/>
  <c r="AH57" i="4"/>
  <c r="AG57" i="4"/>
  <c r="AF57" i="4"/>
  <c r="AE57" i="4"/>
  <c r="AD57" i="4"/>
  <c r="Z57" i="4"/>
  <c r="O57" i="4"/>
  <c r="BF57" i="4" s="1"/>
  <c r="L57" i="4"/>
  <c r="AK57" i="4" s="1"/>
  <c r="BW53" i="4"/>
  <c r="BJ53" i="4"/>
  <c r="BD53" i="4"/>
  <c r="AP53" i="4"/>
  <c r="BI53" i="4" s="1"/>
  <c r="AC53" i="4" s="1"/>
  <c r="AO53" i="4"/>
  <c r="AW53" i="4" s="1"/>
  <c r="AL53" i="4"/>
  <c r="AJ53" i="4"/>
  <c r="AH53" i="4"/>
  <c r="AG53" i="4"/>
  <c r="AF53" i="4"/>
  <c r="AE53" i="4"/>
  <c r="AD53" i="4"/>
  <c r="Z53" i="4"/>
  <c r="O53" i="4"/>
  <c r="L53" i="4"/>
  <c r="C19" i="4"/>
  <c r="A19" i="4"/>
  <c r="G16" i="4"/>
  <c r="G14" i="4"/>
  <c r="G15" i="4"/>
  <c r="A13" i="4"/>
  <c r="O73" i="4" l="1"/>
  <c r="BF73" i="4" s="1"/>
  <c r="BJ73" i="4"/>
  <c r="L73" i="4"/>
  <c r="AK73" i="4" s="1"/>
  <c r="AX73" i="4"/>
  <c r="AW73" i="4"/>
  <c r="BC108" i="4"/>
  <c r="AK108" i="4"/>
  <c r="AV108" i="4"/>
  <c r="O100" i="4"/>
  <c r="BF101" i="4"/>
  <c r="AV101" i="4"/>
  <c r="AK101" i="4"/>
  <c r="AT100" i="4" s="1"/>
  <c r="M101" i="4"/>
  <c r="BC101" i="4"/>
  <c r="K73" i="4"/>
  <c r="K53" i="4"/>
  <c r="G13" i="4"/>
  <c r="A39" i="4" s="1"/>
  <c r="G70" i="4"/>
  <c r="G69" i="4" s="1"/>
  <c r="K69" i="4" s="1"/>
  <c r="J53" i="4"/>
  <c r="G21" i="4"/>
  <c r="G27" i="4"/>
  <c r="G28" i="4"/>
  <c r="BH53" i="4"/>
  <c r="AB53" i="4" s="1"/>
  <c r="G29" i="4"/>
  <c r="G26" i="4"/>
  <c r="J84" i="4"/>
  <c r="G22" i="4"/>
  <c r="G25" i="4"/>
  <c r="G24" i="4"/>
  <c r="G23" i="4"/>
  <c r="G20" i="4"/>
  <c r="K84" i="4"/>
  <c r="AS52" i="4"/>
  <c r="BH84" i="4"/>
  <c r="AB84" i="4" s="1"/>
  <c r="BI84" i="4"/>
  <c r="AC84" i="4" s="1"/>
  <c r="AX53" i="4"/>
  <c r="BC53" i="4" s="1"/>
  <c r="AU52" i="4"/>
  <c r="AV84" i="4"/>
  <c r="BC84" i="4"/>
  <c r="BF53" i="4"/>
  <c r="BI73" i="4"/>
  <c r="AC73" i="4" s="1"/>
  <c r="G19" i="4"/>
  <c r="M94" i="4"/>
  <c r="AW94" i="4"/>
  <c r="AX94" i="4"/>
  <c r="M71" i="4"/>
  <c r="AW71" i="4"/>
  <c r="M57" i="4"/>
  <c r="AW57" i="4"/>
  <c r="AX71" i="4"/>
  <c r="AX57" i="4"/>
  <c r="J73" i="4"/>
  <c r="BH73" i="4"/>
  <c r="AB73" i="4" s="1"/>
  <c r="M84" i="4"/>
  <c r="J57" i="4"/>
  <c r="J71" i="4"/>
  <c r="J94" i="4"/>
  <c r="M53" i="4"/>
  <c r="K57" i="4"/>
  <c r="K71" i="4"/>
  <c r="K94" i="4"/>
  <c r="AK53" i="4"/>
  <c r="C2" i="3"/>
  <c r="C3" i="3"/>
  <c r="D2" i="4"/>
  <c r="D3" i="4"/>
  <c r="D4" i="4"/>
  <c r="H4" i="4"/>
  <c r="D5" i="4"/>
  <c r="H5" i="4"/>
  <c r="D9" i="4"/>
  <c r="L10" i="4"/>
  <c r="O10" i="4"/>
  <c r="A18" i="4"/>
  <c r="A30" i="4" s="1"/>
  <c r="A32" i="4" s="1"/>
  <c r="A35" i="4" s="1"/>
  <c r="D12" i="4"/>
  <c r="AB13" i="4"/>
  <c r="AF13" i="4"/>
  <c r="AG13" i="4"/>
  <c r="AH13" i="4"/>
  <c r="AI13" i="4"/>
  <c r="AJ13" i="4"/>
  <c r="AL13" i="4"/>
  <c r="AN13" i="4"/>
  <c r="AQ13" i="4"/>
  <c r="AR13" i="4"/>
  <c r="BF13" i="4"/>
  <c r="D17" i="4"/>
  <c r="AB18" i="4"/>
  <c r="AF18" i="4"/>
  <c r="AG18" i="4"/>
  <c r="AH18" i="4"/>
  <c r="AI18" i="4"/>
  <c r="AJ18" i="4"/>
  <c r="AL18" i="4"/>
  <c r="AN18" i="4"/>
  <c r="AQ18" i="4"/>
  <c r="AR18" i="4"/>
  <c r="BF18" i="4"/>
  <c r="Z30" i="4"/>
  <c r="AD30" i="4"/>
  <c r="AE30" i="4"/>
  <c r="AF30" i="4"/>
  <c r="AG30" i="4"/>
  <c r="AH30" i="4"/>
  <c r="AJ30" i="4"/>
  <c r="AL30" i="4"/>
  <c r="AO30" i="4"/>
  <c r="AP30" i="4"/>
  <c r="BD30" i="4"/>
  <c r="BW30" i="4"/>
  <c r="Z32" i="4"/>
  <c r="AD32" i="4"/>
  <c r="AE32" i="4"/>
  <c r="AF32" i="4"/>
  <c r="AG32" i="4"/>
  <c r="AH32" i="4"/>
  <c r="AJ32" i="4"/>
  <c r="AL32" i="4"/>
  <c r="AO32" i="4"/>
  <c r="AP32" i="4"/>
  <c r="BD32" i="4"/>
  <c r="BW32" i="4"/>
  <c r="E33" i="4"/>
  <c r="D34" i="4"/>
  <c r="AB38" i="4"/>
  <c r="AF38" i="4"/>
  <c r="AG38" i="4"/>
  <c r="AH38" i="4"/>
  <c r="AI38" i="4"/>
  <c r="AJ38" i="4"/>
  <c r="AL38" i="4"/>
  <c r="AN38" i="4"/>
  <c r="AQ38" i="4"/>
  <c r="AR38" i="4"/>
  <c r="BF38" i="4"/>
  <c r="E41" i="4"/>
  <c r="Z43" i="4"/>
  <c r="AD43" i="4"/>
  <c r="AE43" i="4"/>
  <c r="AF43" i="4"/>
  <c r="AG43" i="4"/>
  <c r="AH43" i="4"/>
  <c r="AJ43" i="4"/>
  <c r="AL43" i="4"/>
  <c r="AO43" i="4"/>
  <c r="AP43" i="4"/>
  <c r="BD43" i="4"/>
  <c r="BW43" i="4"/>
  <c r="E49" i="4"/>
  <c r="AB50" i="4"/>
  <c r="AF50" i="4"/>
  <c r="AG50" i="4"/>
  <c r="AH50" i="4"/>
  <c r="AI50" i="4"/>
  <c r="AJ50" i="4"/>
  <c r="AL50" i="4"/>
  <c r="AN50" i="4"/>
  <c r="AQ50" i="4"/>
  <c r="AR50" i="4"/>
  <c r="BF50" i="4"/>
  <c r="E51" i="4"/>
  <c r="D491" i="4"/>
  <c r="G492" i="4"/>
  <c r="O492" i="4" s="1"/>
  <c r="O491" i="4" s="1"/>
  <c r="D494" i="4"/>
  <c r="E502" i="4"/>
  <c r="E504" i="4"/>
  <c r="E510" i="4" s="1"/>
  <c r="E506" i="4"/>
  <c r="A508" i="4"/>
  <c r="E508" i="4"/>
  <c r="E512" i="4"/>
  <c r="G511" i="4"/>
  <c r="C4" i="3"/>
  <c r="F4" i="3"/>
  <c r="C5" i="3"/>
  <c r="F5" i="3"/>
  <c r="J25" i="2"/>
  <c r="P29" i="2"/>
  <c r="M73" i="4" l="1"/>
  <c r="AV73" i="4"/>
  <c r="BC73" i="4"/>
  <c r="G18" i="4"/>
  <c r="G66" i="4"/>
  <c r="G65" i="4" s="1"/>
  <c r="BH65" i="4" s="1"/>
  <c r="AB65" i="4" s="1"/>
  <c r="AX69" i="4"/>
  <c r="BI69" i="4"/>
  <c r="AC69" i="4" s="1"/>
  <c r="BJ69" i="4"/>
  <c r="O69" i="4"/>
  <c r="BF69" i="4" s="1"/>
  <c r="L69" i="4"/>
  <c r="J69" i="4"/>
  <c r="BH69" i="4"/>
  <c r="AB69" i="4" s="1"/>
  <c r="AW69" i="4"/>
  <c r="AV71" i="4"/>
  <c r="AV53" i="4"/>
  <c r="BC57" i="4"/>
  <c r="BC94" i="4"/>
  <c r="AV94" i="4"/>
  <c r="AV57" i="4"/>
  <c r="BC71" i="4"/>
  <c r="A38" i="4"/>
  <c r="A40" i="4" s="1"/>
  <c r="A43" i="4" s="1"/>
  <c r="A48" i="4" s="1"/>
  <c r="A50" i="4" s="1"/>
  <c r="A53" i="4" s="1"/>
  <c r="A57" i="4" s="1"/>
  <c r="A65" i="4" s="1"/>
  <c r="A69" i="4" s="1"/>
  <c r="A71" i="4" s="1"/>
  <c r="A73" i="4" s="1"/>
  <c r="A84" i="4" s="1"/>
  <c r="A94" i="4" s="1"/>
  <c r="L492" i="4"/>
  <c r="L491" i="4" s="1"/>
  <c r="F38" i="3" s="1"/>
  <c r="L511" i="4"/>
  <c r="O511" i="4"/>
  <c r="A96" i="4" l="1"/>
  <c r="A98" i="4" s="1"/>
  <c r="A101" i="4" s="1"/>
  <c r="A108" i="4"/>
  <c r="A116" i="4" s="1"/>
  <c r="A118" i="4" s="1"/>
  <c r="A120" i="4" s="1"/>
  <c r="A122" i="4" s="1"/>
  <c r="A125" i="4" s="1"/>
  <c r="A130" i="4" s="1"/>
  <c r="A132" i="4" s="1"/>
  <c r="A134" i="4" s="1"/>
  <c r="A136" i="4" s="1"/>
  <c r="A139" i="4" s="1"/>
  <c r="A142" i="4" s="1"/>
  <c r="A145" i="4" s="1"/>
  <c r="A147" i="4" s="1"/>
  <c r="A149" i="4" s="1"/>
  <c r="A152" i="4" s="1"/>
  <c r="A154" i="4" s="1"/>
  <c r="A156" i="4" s="1"/>
  <c r="A159" i="4" s="1"/>
  <c r="A162" i="4" s="1"/>
  <c r="A164" i="4" s="1"/>
  <c r="A174" i="4" s="1"/>
  <c r="G31" i="4"/>
  <c r="G30" i="4" s="1"/>
  <c r="A33" i="4" s="1"/>
  <c r="G33" i="4" s="1"/>
  <c r="G44" i="4"/>
  <c r="G43" i="4" s="1"/>
  <c r="G37" i="4" s="1"/>
  <c r="D39" i="4" s="1"/>
  <c r="K65" i="4"/>
  <c r="K52" i="4" s="1"/>
  <c r="BI65" i="4"/>
  <c r="AC65" i="4" s="1"/>
  <c r="BJ65" i="4"/>
  <c r="AW65" i="4"/>
  <c r="AX65" i="4"/>
  <c r="AV69" i="4"/>
  <c r="BC69" i="4"/>
  <c r="J65" i="4"/>
  <c r="J52" i="4" s="1"/>
  <c r="AK69" i="4"/>
  <c r="M69" i="4"/>
  <c r="L65" i="4"/>
  <c r="L52" i="4" s="1"/>
  <c r="O65" i="4"/>
  <c r="O18" i="4"/>
  <c r="J18" i="4"/>
  <c r="L18" i="4"/>
  <c r="M18" i="4" s="1"/>
  <c r="K18" i="4"/>
  <c r="AY18" i="4"/>
  <c r="AZ18" i="4"/>
  <c r="BJ18" i="4"/>
  <c r="AD18" i="4" s="1"/>
  <c r="BK18" i="4"/>
  <c r="AE18" i="4" s="1"/>
  <c r="BL18" i="4"/>
  <c r="BF65" i="4" l="1"/>
  <c r="O52" i="4"/>
  <c r="F14" i="3"/>
  <c r="E13" i="3" s="1"/>
  <c r="L30" i="4"/>
  <c r="M30" i="4" s="1"/>
  <c r="O30" i="4"/>
  <c r="K30" i="4"/>
  <c r="J30" i="4"/>
  <c r="A184" i="4"/>
  <c r="A191" i="4" s="1"/>
  <c r="A193" i="4" s="1"/>
  <c r="A220" i="4" s="1"/>
  <c r="A224" i="4" s="1"/>
  <c r="A227" i="4" s="1"/>
  <c r="A232" i="4" s="1"/>
  <c r="A237" i="4" s="1"/>
  <c r="A241" i="4" s="1"/>
  <c r="A243" i="4" s="1"/>
  <c r="A246" i="4" s="1"/>
  <c r="AV65" i="4"/>
  <c r="AK65" i="4"/>
  <c r="AT52" i="4" s="1"/>
  <c r="BC65" i="4"/>
  <c r="M65" i="4"/>
  <c r="M52" i="4" s="1"/>
  <c r="BJ30" i="4"/>
  <c r="O43" i="4"/>
  <c r="AM18" i="4"/>
  <c r="AX18" i="4"/>
  <c r="BE18" i="4"/>
  <c r="O513" i="4"/>
  <c r="BH18" i="4"/>
  <c r="A248" i="4" l="1"/>
  <c r="A250" i="4" s="1"/>
  <c r="O13" i="4"/>
  <c r="BH13" i="4" s="1"/>
  <c r="J13" i="4"/>
  <c r="L13" i="4"/>
  <c r="M13" i="4" s="1"/>
  <c r="K13" i="4"/>
  <c r="BF30" i="4"/>
  <c r="BJ43" i="4"/>
  <c r="AK30" i="4"/>
  <c r="BI30" i="4"/>
  <c r="AC30" i="4" s="1"/>
  <c r="BH30" i="4"/>
  <c r="AB30" i="4" s="1"/>
  <c r="AX30" i="4"/>
  <c r="AW30" i="4"/>
  <c r="D36" i="4"/>
  <c r="O9" i="4"/>
  <c r="BH43" i="4"/>
  <c r="AB43" i="4" s="1"/>
  <c r="BI43" i="4"/>
  <c r="AC43" i="4" s="1"/>
  <c r="K43" i="4"/>
  <c r="J43" i="4"/>
  <c r="L43" i="4"/>
  <c r="AK43" i="4" s="1"/>
  <c r="AX43" i="4"/>
  <c r="AW43" i="4"/>
  <c r="L9" i="4"/>
  <c r="L513" i="4"/>
  <c r="F40" i="3" s="1"/>
  <c r="BF43" i="4"/>
  <c r="BJ13" i="4"/>
  <c r="AD13" i="4" s="1"/>
  <c r="BK13" i="4"/>
  <c r="AE13" i="4" s="1"/>
  <c r="BL13" i="4"/>
  <c r="A36" i="4"/>
  <c r="AY13" i="4"/>
  <c r="AZ13" i="4"/>
  <c r="A283" i="4" l="1"/>
  <c r="A320" i="4" s="1"/>
  <c r="A322" i="4" s="1"/>
  <c r="A325" i="4" s="1"/>
  <c r="A327" i="4" s="1"/>
  <c r="A285" i="4"/>
  <c r="G32" i="4"/>
  <c r="AX32" i="4" s="1"/>
  <c r="BC30" i="4"/>
  <c r="AV30" i="4"/>
  <c r="G36" i="4"/>
  <c r="G35" i="4" s="1"/>
  <c r="M43" i="4"/>
  <c r="AV43" i="4"/>
  <c r="BC43" i="4"/>
  <c r="F8" i="3"/>
  <c r="AX13" i="4"/>
  <c r="BE13" i="4"/>
  <c r="L12" i="4"/>
  <c r="F9" i="3" s="1"/>
  <c r="AM13" i="4"/>
  <c r="A329" i="4" l="1"/>
  <c r="BH32" i="4"/>
  <c r="AB32" i="4" s="1"/>
  <c r="BJ32" i="4"/>
  <c r="AW32" i="4"/>
  <c r="BC32" i="4" s="1"/>
  <c r="BI32" i="4"/>
  <c r="AC32" i="4" s="1"/>
  <c r="O32" i="4"/>
  <c r="BF32" i="4" s="1"/>
  <c r="L32" i="4"/>
  <c r="M32" i="4" s="1"/>
  <c r="K32" i="4"/>
  <c r="J32" i="4"/>
  <c r="C39" i="4"/>
  <c r="L35" i="4"/>
  <c r="O35" i="4"/>
  <c r="A331" i="4" l="1"/>
  <c r="A333" i="4" s="1"/>
  <c r="A335" i="4" s="1"/>
  <c r="A338" i="4" s="1"/>
  <c r="A340" i="4" s="1"/>
  <c r="A342" i="4" s="1"/>
  <c r="A344" i="4" s="1"/>
  <c r="A346" i="4" s="1"/>
  <c r="A349" i="4" s="1"/>
  <c r="A351" i="4" s="1"/>
  <c r="A353" i="4" s="1"/>
  <c r="A355" i="4" s="1"/>
  <c r="A358" i="4" s="1"/>
  <c r="A360" i="4" s="1"/>
  <c r="A363" i="4" s="1"/>
  <c r="A365" i="4" s="1"/>
  <c r="A369" i="4" s="1"/>
  <c r="A376" i="4" s="1"/>
  <c r="A382" i="4" s="1"/>
  <c r="A385" i="4" s="1"/>
  <c r="A392" i="4" s="1"/>
  <c r="A396" i="4" s="1"/>
  <c r="A398" i="4" s="1"/>
  <c r="A402" i="4" s="1"/>
  <c r="A406" i="4" s="1"/>
  <c r="A411" i="4" s="1"/>
  <c r="A416" i="4" s="1"/>
  <c r="A419" i="4" s="1"/>
  <c r="A421" i="4" s="1"/>
  <c r="A425" i="4" s="1"/>
  <c r="A427" i="4" s="1"/>
  <c r="A429" i="4" s="1"/>
  <c r="A431" i="4" s="1"/>
  <c r="A433" i="4" s="1"/>
  <c r="A435" i="4" s="1"/>
  <c r="A437" i="4" s="1"/>
  <c r="A439" i="4" s="1"/>
  <c r="A442" i="4" s="1"/>
  <c r="A446" i="4" s="1"/>
  <c r="L17" i="4"/>
  <c r="G39" i="4"/>
  <c r="G38" i="4" s="1"/>
  <c r="AV32" i="4"/>
  <c r="O17" i="4"/>
  <c r="AK32" i="4"/>
  <c r="A449" i="4" l="1"/>
  <c r="A451" i="4" s="1"/>
  <c r="A453" i="4" s="1"/>
  <c r="A457" i="4" s="1"/>
  <c r="A460" i="4" s="1"/>
  <c r="F10" i="3"/>
  <c r="AZ38" i="4"/>
  <c r="BK38" i="4"/>
  <c r="AE38" i="4" s="1"/>
  <c r="J38" i="4"/>
  <c r="BL38" i="4"/>
  <c r="K38" i="4"/>
  <c r="G51" i="4"/>
  <c r="G50" i="4" s="1"/>
  <c r="BK50" i="4" s="1"/>
  <c r="AE50" i="4" s="1"/>
  <c r="AY38" i="4"/>
  <c r="L38" i="4"/>
  <c r="M38" i="4" s="1"/>
  <c r="BJ38" i="4"/>
  <c r="AD38" i="4" s="1"/>
  <c r="O38" i="4"/>
  <c r="BH38" i="4" s="1"/>
  <c r="G504" i="4"/>
  <c r="O495" i="4"/>
  <c r="G502" i="4"/>
  <c r="G501" i="4" s="1"/>
  <c r="G506" i="4"/>
  <c r="G505" i="4" s="1"/>
  <c r="L495" i="4"/>
  <c r="A462" i="4" l="1"/>
  <c r="A464" i="4" s="1"/>
  <c r="A467" i="4" s="1"/>
  <c r="A470" i="4" s="1"/>
  <c r="A473" i="4" s="1"/>
  <c r="A476" i="4" s="1"/>
  <c r="A479" i="4" s="1"/>
  <c r="A481" i="4" s="1"/>
  <c r="A485" i="4" s="1"/>
  <c r="A487" i="4" s="1"/>
  <c r="A489" i="4" s="1"/>
  <c r="A492" i="4" s="1"/>
  <c r="A495" i="4" s="1"/>
  <c r="A501" i="4" s="1"/>
  <c r="A503" i="4" s="1"/>
  <c r="A505" i="4" s="1"/>
  <c r="A507" i="4" s="1"/>
  <c r="A509" i="4" s="1"/>
  <c r="A511" i="4" s="1"/>
  <c r="A514" i="4" s="1"/>
  <c r="A519" i="4" s="1"/>
  <c r="P11" i="2" s="1"/>
  <c r="AM38" i="4"/>
  <c r="BE38" i="4"/>
  <c r="AX38" i="4"/>
  <c r="AY50" i="4"/>
  <c r="G49" i="4"/>
  <c r="G48" i="4" s="1"/>
  <c r="L48" i="4" s="1"/>
  <c r="BL50" i="4"/>
  <c r="AZ50" i="4"/>
  <c r="L50" i="4"/>
  <c r="M50" i="4" s="1"/>
  <c r="J50" i="4"/>
  <c r="O50" i="4"/>
  <c r="BH50" i="4" s="1"/>
  <c r="K50" i="4"/>
  <c r="BJ50" i="4"/>
  <c r="AD50" i="4" s="1"/>
  <c r="G508" i="4"/>
  <c r="G507" i="4" s="1"/>
  <c r="L505" i="4"/>
  <c r="O505" i="4"/>
  <c r="L501" i="4"/>
  <c r="O501" i="4"/>
  <c r="G503" i="4"/>
  <c r="G510" i="4"/>
  <c r="G509" i="4" s="1"/>
  <c r="AM50" i="4" l="1"/>
  <c r="AX50" i="4"/>
  <c r="L42" i="4"/>
  <c r="F12" i="3" s="1"/>
  <c r="G41" i="4"/>
  <c r="G40" i="4" s="1"/>
  <c r="K40" i="4" s="1"/>
  <c r="O48" i="4"/>
  <c r="O42" i="4" s="1"/>
  <c r="BE50" i="4"/>
  <c r="O507" i="4"/>
  <c r="L507" i="4"/>
  <c r="O509" i="4"/>
  <c r="L509" i="4"/>
  <c r="O503" i="4"/>
  <c r="L503" i="4"/>
  <c r="J40" i="4" l="1"/>
  <c r="L40" i="4"/>
  <c r="M40" i="4" s="1"/>
  <c r="O40" i="4"/>
  <c r="O34" i="4" s="1"/>
  <c r="O494" i="4"/>
  <c r="L494" i="4"/>
  <c r="F39" i="3" s="1"/>
  <c r="G520" i="4" l="1"/>
  <c r="G519" i="4" s="1"/>
  <c r="O519" i="4" s="1"/>
  <c r="BH519" i="4" s="1"/>
  <c r="L34" i="4"/>
  <c r="BK519" i="4" l="1"/>
  <c r="AZ519" i="4"/>
  <c r="BL519" i="4"/>
  <c r="AB519" i="4" s="1"/>
  <c r="AY519" i="4"/>
  <c r="BJ519" i="4"/>
  <c r="L519" i="4"/>
  <c r="L518" i="4" s="1"/>
  <c r="F41" i="3" s="1"/>
  <c r="E37" i="3" s="1"/>
  <c r="J519" i="4"/>
  <c r="K519" i="4"/>
  <c r="F11" i="3"/>
  <c r="E7" i="3" s="1"/>
  <c r="BE519" i="4"/>
  <c r="AX519" i="4"/>
  <c r="G411" i="4"/>
  <c r="M519" i="4" l="1"/>
  <c r="G486" i="4"/>
  <c r="G485" i="4" s="1"/>
  <c r="A484" i="4"/>
  <c r="G484" i="4" s="1"/>
  <c r="AM519" i="4"/>
  <c r="O411" i="4"/>
  <c r="O364" i="4" s="1"/>
  <c r="G437" i="4" s="1"/>
  <c r="AW411" i="4"/>
  <c r="L411" i="4"/>
  <c r="BH411" i="4"/>
  <c r="AD411" i="4" s="1"/>
  <c r="K411" i="4"/>
  <c r="AX411" i="4"/>
  <c r="J411" i="4"/>
  <c r="BI411" i="4"/>
  <c r="AE411" i="4" s="1"/>
  <c r="BJ411" i="4"/>
  <c r="BJ485" i="4" l="1"/>
  <c r="G488" i="4"/>
  <c r="G487" i="4" s="1"/>
  <c r="BH485" i="4"/>
  <c r="AD485" i="4" s="1"/>
  <c r="AX485" i="4"/>
  <c r="L485" i="4"/>
  <c r="O485" i="4"/>
  <c r="BF485" i="4" s="1"/>
  <c r="AW485" i="4"/>
  <c r="J485" i="4"/>
  <c r="BI485" i="4"/>
  <c r="AE485" i="4" s="1"/>
  <c r="K485" i="4"/>
  <c r="BF411" i="4"/>
  <c r="M411" i="4"/>
  <c r="AK411" i="4"/>
  <c r="BC411" i="4"/>
  <c r="AV411" i="4"/>
  <c r="AW437" i="4"/>
  <c r="L437" i="4"/>
  <c r="BH437" i="4"/>
  <c r="BJ437" i="4"/>
  <c r="Z437" i="4" s="1"/>
  <c r="BI437" i="4"/>
  <c r="J437" i="4"/>
  <c r="J364" i="4" s="1"/>
  <c r="AX437" i="4"/>
  <c r="K437" i="4"/>
  <c r="K364" i="4" s="1"/>
  <c r="L487" i="4" l="1"/>
  <c r="G490" i="4"/>
  <c r="G489" i="4" s="1"/>
  <c r="BJ487" i="4"/>
  <c r="O487" i="4"/>
  <c r="BF487" i="4" s="1"/>
  <c r="BI487" i="4"/>
  <c r="AE487" i="4" s="1"/>
  <c r="AX487" i="4"/>
  <c r="AW487" i="4"/>
  <c r="K487" i="4"/>
  <c r="J487" i="4"/>
  <c r="BH487" i="4"/>
  <c r="AD487" i="4" s="1"/>
  <c r="BC485" i="4"/>
  <c r="AV485" i="4"/>
  <c r="AK485" i="4"/>
  <c r="M485" i="4"/>
  <c r="L364" i="4"/>
  <c r="E29" i="3" s="1"/>
  <c r="AV437" i="4"/>
  <c r="BC437" i="4"/>
  <c r="AK437" i="4"/>
  <c r="AT364" i="4" s="1"/>
  <c r="M437" i="4"/>
  <c r="M364" i="4" s="1"/>
  <c r="BF327" i="4"/>
  <c r="BC487" i="4" l="1"/>
  <c r="AV487" i="4"/>
  <c r="L489" i="4"/>
  <c r="BJ489" i="4"/>
  <c r="O489" i="4"/>
  <c r="BF489" i="4" s="1"/>
  <c r="BH489" i="4"/>
  <c r="AD489" i="4" s="1"/>
  <c r="BI489" i="4"/>
  <c r="AE489" i="4" s="1"/>
  <c r="AW489" i="4"/>
  <c r="J489" i="4"/>
  <c r="K489" i="4"/>
  <c r="AX489" i="4"/>
  <c r="AK487" i="4"/>
  <c r="M487" i="4"/>
  <c r="L327" i="4"/>
  <c r="BJ327" i="4"/>
  <c r="Z327" i="4" s="1"/>
  <c r="K327" i="4"/>
  <c r="K249" i="4" s="1"/>
  <c r="AW327" i="4"/>
  <c r="AX327" i="4"/>
  <c r="J327" i="4"/>
  <c r="J249" i="4" s="1"/>
  <c r="BI327" i="4"/>
  <c r="BH327" i="4"/>
  <c r="AV489" i="4" l="1"/>
  <c r="BC489" i="4"/>
  <c r="AK489" i="4"/>
  <c r="M489" i="4"/>
  <c r="BC327" i="4"/>
  <c r="AV327" i="4"/>
  <c r="AK327" i="4"/>
  <c r="AT249" i="4" s="1"/>
  <c r="L249" i="4"/>
  <c r="M327" i="4"/>
  <c r="M249" i="4" s="1"/>
  <c r="E27" i="3" l="1"/>
  <c r="AW232" i="4"/>
  <c r="O232" i="4" l="1"/>
  <c r="BF232" i="4" s="1"/>
  <c r="J232" i="4"/>
  <c r="G222" i="4"/>
  <c r="AX232" i="4"/>
  <c r="BC232" i="4" s="1"/>
  <c r="BJ232" i="4"/>
  <c r="BI232" i="4"/>
  <c r="AE232" i="4" s="1"/>
  <c r="BH232" i="4"/>
  <c r="AD232" i="4" s="1"/>
  <c r="L232" i="4"/>
  <c r="K232" i="4"/>
  <c r="AV232" i="4" l="1"/>
  <c r="AK232" i="4"/>
  <c r="M232" i="4"/>
  <c r="G227" i="4"/>
  <c r="K227" i="4" l="1"/>
  <c r="A238" i="4"/>
  <c r="G238" i="4" s="1"/>
  <c r="BH227" i="4"/>
  <c r="AD227" i="4" s="1"/>
  <c r="O227" i="4"/>
  <c r="BF227" i="4" s="1"/>
  <c r="BI227" i="4"/>
  <c r="AE227" i="4" s="1"/>
  <c r="G221" i="4"/>
  <c r="G220" i="4" s="1"/>
  <c r="L227" i="4"/>
  <c r="AW227" i="4"/>
  <c r="J227" i="4"/>
  <c r="BJ227" i="4"/>
  <c r="AX227" i="4"/>
  <c r="BJ220" i="4" l="1"/>
  <c r="G343" i="4"/>
  <c r="G342" i="4" s="1"/>
  <c r="G354" i="4" s="1"/>
  <c r="G353" i="4" s="1"/>
  <c r="G359" i="4" s="1"/>
  <c r="G358" i="4" s="1"/>
  <c r="K220" i="4"/>
  <c r="BH220" i="4"/>
  <c r="AD220" i="4" s="1"/>
  <c r="AX220" i="4"/>
  <c r="O220" i="4"/>
  <c r="BF220" i="4" s="1"/>
  <c r="AW220" i="4"/>
  <c r="J220" i="4"/>
  <c r="BI220" i="4"/>
  <c r="AE220" i="4" s="1"/>
  <c r="L220" i="4"/>
  <c r="AK220" i="4" s="1"/>
  <c r="A240" i="4"/>
  <c r="G240" i="4" s="1"/>
  <c r="G237" i="4" s="1"/>
  <c r="G247" i="4" s="1"/>
  <c r="AK227" i="4"/>
  <c r="M227" i="4"/>
  <c r="BC227" i="4"/>
  <c r="AV227" i="4"/>
  <c r="G246" i="4" l="1"/>
  <c r="BI246" i="4" s="1"/>
  <c r="AE246" i="4" s="1"/>
  <c r="G482" i="4"/>
  <c r="G481" i="4" s="1"/>
  <c r="G361" i="4"/>
  <c r="BJ358" i="4"/>
  <c r="O358" i="4"/>
  <c r="BF358" i="4" s="1"/>
  <c r="L358" i="4"/>
  <c r="BI358" i="4"/>
  <c r="AE358" i="4" s="1"/>
  <c r="BH358" i="4"/>
  <c r="AD358" i="4" s="1"/>
  <c r="K358" i="4"/>
  <c r="AW358" i="4"/>
  <c r="J358" i="4"/>
  <c r="AX358" i="4"/>
  <c r="BJ353" i="4"/>
  <c r="O353" i="4"/>
  <c r="BF353" i="4" s="1"/>
  <c r="G356" i="4"/>
  <c r="L353" i="4"/>
  <c r="K353" i="4"/>
  <c r="AX353" i="4"/>
  <c r="BH353" i="4"/>
  <c r="AD353" i="4" s="1"/>
  <c r="BI353" i="4"/>
  <c r="AE353" i="4" s="1"/>
  <c r="AW353" i="4"/>
  <c r="J353" i="4"/>
  <c r="O342" i="4"/>
  <c r="BJ342" i="4"/>
  <c r="L342" i="4"/>
  <c r="BH342" i="4"/>
  <c r="AD342" i="4" s="1"/>
  <c r="BI342" i="4"/>
  <c r="AE342" i="4" s="1"/>
  <c r="AW342" i="4"/>
  <c r="AX342" i="4"/>
  <c r="J342" i="4"/>
  <c r="K342" i="4"/>
  <c r="AV220" i="4"/>
  <c r="BJ246" i="4"/>
  <c r="O246" i="4"/>
  <c r="BF246" i="4" s="1"/>
  <c r="L246" i="4"/>
  <c r="K246" i="4"/>
  <c r="BH246" i="4"/>
  <c r="AD246" i="4" s="1"/>
  <c r="BC220" i="4"/>
  <c r="M220" i="4"/>
  <c r="BI237" i="4"/>
  <c r="AX237" i="4"/>
  <c r="BJ237" i="4"/>
  <c r="AH237" i="4" s="1"/>
  <c r="O237" i="4"/>
  <c r="BH237" i="4"/>
  <c r="J237" i="4"/>
  <c r="L237" i="4"/>
  <c r="AW237" i="4"/>
  <c r="K237" i="4"/>
  <c r="J246" i="4" l="1"/>
  <c r="AX246" i="4"/>
  <c r="AV246" i="4" s="1"/>
  <c r="AW246" i="4"/>
  <c r="BJ481" i="4"/>
  <c r="O481" i="4"/>
  <c r="BH481" i="4"/>
  <c r="AD481" i="4" s="1"/>
  <c r="BI481" i="4"/>
  <c r="AE481" i="4" s="1"/>
  <c r="J481" i="4"/>
  <c r="J480" i="4" s="1"/>
  <c r="L481" i="4"/>
  <c r="K481" i="4"/>
  <c r="K480" i="4" s="1"/>
  <c r="AW481" i="4"/>
  <c r="AX481" i="4"/>
  <c r="A362" i="4"/>
  <c r="G362" i="4" s="1"/>
  <c r="G360" i="4" s="1"/>
  <c r="AV358" i="4"/>
  <c r="BC358" i="4"/>
  <c r="AK358" i="4"/>
  <c r="M358" i="4"/>
  <c r="A357" i="4"/>
  <c r="G357" i="4" s="1"/>
  <c r="G355" i="4" s="1"/>
  <c r="BC353" i="4"/>
  <c r="AV353" i="4"/>
  <c r="AK353" i="4"/>
  <c r="M353" i="4"/>
  <c r="BC342" i="4"/>
  <c r="AV342" i="4"/>
  <c r="M342" i="4"/>
  <c r="AK342" i="4"/>
  <c r="BF342" i="4"/>
  <c r="BC246" i="4"/>
  <c r="AK246" i="4"/>
  <c r="M246" i="4"/>
  <c r="AV237" i="4"/>
  <c r="BC237" i="4"/>
  <c r="AK237" i="4"/>
  <c r="M237" i="4"/>
  <c r="BF237" i="4"/>
  <c r="O155" i="4"/>
  <c r="G248" i="4" s="1"/>
  <c r="AV481" i="4" l="1"/>
  <c r="BC481" i="4"/>
  <c r="AK481" i="4"/>
  <c r="AT480" i="4" s="1"/>
  <c r="M481" i="4"/>
  <c r="M480" i="4" s="1"/>
  <c r="L480" i="4"/>
  <c r="E35" i="3" s="1"/>
  <c r="F33" i="3" s="1"/>
  <c r="BF481" i="4"/>
  <c r="O480" i="4"/>
  <c r="BJ360" i="4"/>
  <c r="O360" i="4"/>
  <c r="BF360" i="4" s="1"/>
  <c r="L360" i="4"/>
  <c r="BH360" i="4"/>
  <c r="AD360" i="4" s="1"/>
  <c r="BI360" i="4"/>
  <c r="AE360" i="4" s="1"/>
  <c r="AX360" i="4"/>
  <c r="J360" i="4"/>
  <c r="AW360" i="4"/>
  <c r="K360" i="4"/>
  <c r="L355" i="4"/>
  <c r="BJ355" i="4"/>
  <c r="O355" i="4"/>
  <c r="BH355" i="4"/>
  <c r="AD355" i="4" s="1"/>
  <c r="AX355" i="4"/>
  <c r="AW355" i="4"/>
  <c r="BI355" i="4"/>
  <c r="AE355" i="4" s="1"/>
  <c r="K355" i="4"/>
  <c r="J355" i="4"/>
  <c r="BJ248" i="4"/>
  <c r="Z248" i="4" s="1"/>
  <c r="L248" i="4"/>
  <c r="BI248" i="4"/>
  <c r="AW248" i="4"/>
  <c r="AX248" i="4"/>
  <c r="K248" i="4"/>
  <c r="K155" i="4" s="1"/>
  <c r="J248" i="4"/>
  <c r="J155" i="4" s="1"/>
  <c r="BH248" i="4"/>
  <c r="M360" i="4" l="1"/>
  <c r="AK360" i="4"/>
  <c r="BC360" i="4"/>
  <c r="AV360" i="4"/>
  <c r="BF355" i="4"/>
  <c r="O328" i="4"/>
  <c r="G363" i="4" s="1"/>
  <c r="BC355" i="4"/>
  <c r="AV355" i="4"/>
  <c r="AK355" i="4"/>
  <c r="M355" i="4"/>
  <c r="BC248" i="4"/>
  <c r="AV248" i="4"/>
  <c r="AK248" i="4"/>
  <c r="AT155" i="4" s="1"/>
  <c r="M248" i="4"/>
  <c r="M155" i="4" s="1"/>
  <c r="L155" i="4"/>
  <c r="AW363" i="4" l="1"/>
  <c r="AX363" i="4"/>
  <c r="BI363" i="4"/>
  <c r="K363" i="4"/>
  <c r="K328" i="4" s="1"/>
  <c r="BJ363" i="4"/>
  <c r="Z363" i="4" s="1"/>
  <c r="BH363" i="4"/>
  <c r="L363" i="4"/>
  <c r="J363" i="4"/>
  <c r="J328" i="4" s="1"/>
  <c r="E26" i="3"/>
  <c r="M363" i="4" l="1"/>
  <c r="M328" i="4" s="1"/>
  <c r="AK363" i="4"/>
  <c r="AT328" i="4" s="1"/>
  <c r="L328" i="4"/>
  <c r="L521" i="4" s="1"/>
  <c r="AV363" i="4"/>
  <c r="BC363" i="4"/>
  <c r="E28" i="3" l="1"/>
  <c r="F25" i="3" s="1"/>
  <c r="H47" i="3"/>
  <c r="E21" i="3" l="1"/>
  <c r="E21" i="2" s="1"/>
  <c r="F47" i="3"/>
  <c r="I47" i="3" s="1"/>
  <c r="R25" i="2" l="1"/>
  <c r="E19" i="2"/>
  <c r="E25" i="2" s="1"/>
  <c r="L522" i="4"/>
  <c r="P23" i="2" l="1"/>
  <c r="P22" i="2"/>
  <c r="P20" i="2"/>
  <c r="P21" i="2"/>
  <c r="G47" i="3"/>
  <c r="P19" i="2"/>
  <c r="P25" i="2" l="1"/>
  <c r="P28" i="2" s="1"/>
  <c r="N30" i="2" s="1"/>
  <c r="P30" i="2" s="1"/>
  <c r="P31" i="2" s="1"/>
  <c r="Q14" i="13" l="1"/>
  <c r="Q19" i="13" s="1"/>
  <c r="O21" i="13" s="1"/>
  <c r="Q21" i="13" s="1"/>
  <c r="Q22" i="13" s="1"/>
</calcChain>
</file>

<file path=xl/sharedStrings.xml><?xml version="1.0" encoding="utf-8"?>
<sst xmlns="http://schemas.openxmlformats.org/spreadsheetml/2006/main" count="3592" uniqueCount="1043">
  <si>
    <t>Cena s DPH (ř.26-28)</t>
  </si>
  <si>
    <t>Razítko</t>
  </si>
  <si>
    <t>Datum a podpis</t>
  </si>
  <si>
    <t>Klouzavá doložka</t>
  </si>
  <si>
    <t>Zhotovitel</t>
  </si>
  <si>
    <t>Přípočty a odpočty</t>
  </si>
  <si>
    <t>E</t>
  </si>
  <si>
    <t>Cena s DPH (ř.23-25)</t>
  </si>
  <si>
    <t>DPH</t>
  </si>
  <si>
    <t>Objednávatel</t>
  </si>
  <si>
    <t>Součet 7, 12, 19-22</t>
  </si>
  <si>
    <t>Celkové náklady</t>
  </si>
  <si>
    <t>D</t>
  </si>
  <si>
    <t>Projektant</t>
  </si>
  <si>
    <t>Ostatní náklady</t>
  </si>
  <si>
    <t>Kompl. činnost</t>
  </si>
  <si>
    <t>HZS</t>
  </si>
  <si>
    <t>NUS ( ř. 13-18 )</t>
  </si>
  <si>
    <t>DN ( ř. 8-11 )</t>
  </si>
  <si>
    <t>ZRN ( ř. 1-6 )</t>
  </si>
  <si>
    <t>NUS z rozpočtu</t>
  </si>
  <si>
    <t>Montáž</t>
  </si>
  <si>
    <t>Ostatní</t>
  </si>
  <si>
    <t>Dodávky</t>
  </si>
  <si>
    <t>"M"</t>
  </si>
  <si>
    <t>Provozní vlivy</t>
  </si>
  <si>
    <t>Územní vlivy</t>
  </si>
  <si>
    <t>Kulturní památka</t>
  </si>
  <si>
    <t>PSV</t>
  </si>
  <si>
    <t>Mimostav. doprava</t>
  </si>
  <si>
    <t>Bez pevné podl.</t>
  </si>
  <si>
    <t>Zařízení staveniště</t>
  </si>
  <si>
    <t>Práce přesčas</t>
  </si>
  <si>
    <t>HSV</t>
  </si>
  <si>
    <t>Náklady na umístění stavby</t>
  </si>
  <si>
    <t>C</t>
  </si>
  <si>
    <t>Doplňkové náklady</t>
  </si>
  <si>
    <t>B</t>
  </si>
  <si>
    <t>Základní rozp. náklady</t>
  </si>
  <si>
    <t>A</t>
  </si>
  <si>
    <t>Rozpočtové náklady v  Kč</t>
  </si>
  <si>
    <t>Náklady / 1 m.j.</t>
  </si>
  <si>
    <t>Počet</t>
  </si>
  <si>
    <t/>
  </si>
  <si>
    <t>Měrné a účelové jednotky</t>
  </si>
  <si>
    <t>Položek</t>
  </si>
  <si>
    <t>Dne</t>
  </si>
  <si>
    <t>Zpracoval</t>
  </si>
  <si>
    <t>Rozpočet číslo</t>
  </si>
  <si>
    <t xml:space="preserve"> </t>
  </si>
  <si>
    <t xml:space="preserve"> - dle výběrového řízení</t>
  </si>
  <si>
    <t>Objednatel</t>
  </si>
  <si>
    <t>DRČ</t>
  </si>
  <si>
    <t>IČO</t>
  </si>
  <si>
    <t>Místo</t>
  </si>
  <si>
    <t>Název části</t>
  </si>
  <si>
    <t>EČO</t>
  </si>
  <si>
    <t>Název objektu</t>
  </si>
  <si>
    <t>JKSO</t>
  </si>
  <si>
    <t>Název stavby</t>
  </si>
  <si>
    <t>KRYCÍ LIST ROZPOČTU</t>
  </si>
  <si>
    <t>Součet  bez  DPH</t>
  </si>
  <si>
    <t>99 : přesun hmot</t>
  </si>
  <si>
    <t>95 : různé dokončovací konstrukce a práce pozemních staveb</t>
  </si>
  <si>
    <t>94 : lešení, systémové bednění a stavební výtahy</t>
  </si>
  <si>
    <t>90 : hodinové zúčtovací sazby (HZS)</t>
  </si>
  <si>
    <t>9 : Ostatní konstrukce a práce, bourání</t>
  </si>
  <si>
    <t>17 : konstrukce ze zemin</t>
  </si>
  <si>
    <t>16 : přemístění výkopku</t>
  </si>
  <si>
    <t>13 : hloubené vykopávky</t>
  </si>
  <si>
    <t>12 : odkopávky a prokopávky</t>
  </si>
  <si>
    <t>11 : přípravné a přidružené práce</t>
  </si>
  <si>
    <t>1 : Zemní práce</t>
  </si>
  <si>
    <t xml:space="preserve">Datum : </t>
  </si>
  <si>
    <t xml:space="preserve">Zhotovitel : </t>
  </si>
  <si>
    <t xml:space="preserve">Zpracoval : </t>
  </si>
  <si>
    <t xml:space="preserve">Objednavatel : </t>
  </si>
  <si>
    <t xml:space="preserve">JKSO : </t>
  </si>
  <si>
    <t xml:space="preserve">Objekt : </t>
  </si>
  <si>
    <t xml:space="preserve">Stavba : </t>
  </si>
  <si>
    <t>Stavební rozpočet</t>
  </si>
  <si>
    <t>RTS II / 2023</t>
  </si>
  <si>
    <t>t</t>
  </si>
  <si>
    <t>S</t>
  </si>
  <si>
    <t>P</t>
  </si>
  <si>
    <t>_</t>
  </si>
  <si>
    <t>9_</t>
  </si>
  <si>
    <t>S_</t>
  </si>
  <si>
    <t>5</t>
  </si>
  <si>
    <t>viz pol. :</t>
  </si>
  <si>
    <t>viz pol.:</t>
  </si>
  <si>
    <t>1</t>
  </si>
  <si>
    <t>m2</t>
  </si>
  <si>
    <t>7</t>
  </si>
  <si>
    <t>m3</t>
  </si>
  <si>
    <t>12</t>
  </si>
  <si>
    <t>K.DL.</t>
  </si>
  <si>
    <t>1NP</t>
  </si>
  <si>
    <t>Lešení lehké pomocné, výška podlahy do 1,2 m</t>
  </si>
  <si>
    <t>941955001R00</t>
  </si>
  <si>
    <t>Demontáž ochranné sítě z umělých vláken</t>
  </si>
  <si>
    <t>944944081R00</t>
  </si>
  <si>
    <t>Příplatek za každý měsíc použití sítí k pol. 4011</t>
  </si>
  <si>
    <t>944944031R00</t>
  </si>
  <si>
    <t>Montáž ochranné sítě z umělých vláken</t>
  </si>
  <si>
    <t>944944011R00</t>
  </si>
  <si>
    <t>Demontáž lešení leh.řad.s podlahami,š.1,5 m,H 10 m</t>
  </si>
  <si>
    <t>941941851R00</t>
  </si>
  <si>
    <t>Příplatek za každý měsíc použití lešení k pol.1051</t>
  </si>
  <si>
    <t>941941391R00</t>
  </si>
  <si>
    <t xml:space="preserve"> dtto,ale rohy a přesahy</t>
  </si>
  <si>
    <t>Montáž lešení leh.řad.s podlahami,š.1,5 m, H 10 m</t>
  </si>
  <si>
    <t>941941051R00</t>
  </si>
  <si>
    <t>h</t>
  </si>
  <si>
    <t>předpoklad-ostatní půzkumy</t>
  </si>
  <si>
    <t>Hzs-předběžná obhlídka a revize</t>
  </si>
  <si>
    <t>910      R00</t>
  </si>
  <si>
    <t>1_</t>
  </si>
  <si>
    <t>16_</t>
  </si>
  <si>
    <t>Poplatek za skládku horniny 1- 4, č. dle katal. odpadů 17 05 04</t>
  </si>
  <si>
    <t>199000002R00</t>
  </si>
  <si>
    <t>Uložení sypaniny na skl.-sypanina na výšku přes 2m</t>
  </si>
  <si>
    <t>171201201R00</t>
  </si>
  <si>
    <t>17_</t>
  </si>
  <si>
    <t>Obsyp objektu bez prohození sypaniny</t>
  </si>
  <si>
    <t>175101201R00</t>
  </si>
  <si>
    <t>Nakládání výkopku z hor.1-4 v množství do 100 m3</t>
  </si>
  <si>
    <t>167101101R00</t>
  </si>
  <si>
    <t>výkopek</t>
  </si>
  <si>
    <t>Vodorovné přemístění výkopku z hor.1-4 do 10000 m</t>
  </si>
  <si>
    <t>162701105R00</t>
  </si>
  <si>
    <t>Vodorovné přemístění výkopku z hor.1-4 do 20 m</t>
  </si>
  <si>
    <t>162201101R00</t>
  </si>
  <si>
    <t>13_</t>
  </si>
  <si>
    <t>12_</t>
  </si>
  <si>
    <t>kpl</t>
  </si>
  <si>
    <t>Přípravné a přidružené práce</t>
  </si>
  <si>
    <t>119000001R00</t>
  </si>
  <si>
    <t>Celkem</t>
  </si>
  <si>
    <t>Jednot.</t>
  </si>
  <si>
    <t>Hmotnost (t)</t>
  </si>
  <si>
    <t>Cena celkem</t>
  </si>
  <si>
    <t>Cena jednotková</t>
  </si>
  <si>
    <t>Množství</t>
  </si>
  <si>
    <t>MJ</t>
  </si>
  <si>
    <t>Popis</t>
  </si>
  <si>
    <t>Položka</t>
  </si>
  <si>
    <t>KCN</t>
  </si>
  <si>
    <t>P.Č.</t>
  </si>
  <si>
    <t>odpočet viz pol.:</t>
  </si>
  <si>
    <t xml:space="preserve"> Hřbitovní domek,  p.p.č. 2687, k.ú. Smržovka </t>
  </si>
  <si>
    <t xml:space="preserve"> Novostavba hřbitovního domku vč.přípojek </t>
  </si>
  <si>
    <t xml:space="preserve"> Smržovka</t>
  </si>
  <si>
    <t xml:space="preserve"> Město Smržovka,nám.T.G.Masaryka 600, 468 51 Smržovka</t>
  </si>
  <si>
    <t xml:space="preserve"> 00262579 </t>
  </si>
  <si>
    <t xml:space="preserve"> Ing. Vít Lhota, Smetanova 1809/82, 466 01 Jablonec n/N</t>
  </si>
  <si>
    <t>12045357</t>
  </si>
  <si>
    <t xml:space="preserve">  - doplnit</t>
  </si>
  <si>
    <t xml:space="preserve"> CZ</t>
  </si>
  <si>
    <t xml:space="preserve"> - doplnit</t>
  </si>
  <si>
    <t xml:space="preserve"> Stavební část</t>
  </si>
  <si>
    <t>předpoklad (vytyčení stavby, inženýrských sítí,…)</t>
  </si>
  <si>
    <t>122201101R00</t>
  </si>
  <si>
    <t>Odkopávky nezapažené v hor. 3 do 100 m3</t>
  </si>
  <si>
    <t>kamenný sokl (rozebráno pro zpětné použití) jižní část</t>
  </si>
  <si>
    <t>kamenný sokl (rozebráno pro zpětné použití) západní část</t>
  </si>
  <si>
    <t>kamenný sokl (rozebráno pro zpětné použití) severní část</t>
  </si>
  <si>
    <t>kamenný sokl (rozebráno pro zpětné použití) východní část</t>
  </si>
  <si>
    <t>132201211R00</t>
  </si>
  <si>
    <t>Hloubení rýh š.do 200 cm hor.3 do 100 m3,STROJNĚ</t>
  </si>
  <si>
    <t>132201219R00</t>
  </si>
  <si>
    <t>Přípl.za lepivost,hloubení rýh 200cm,hor.3,STROJNĚ</t>
  </si>
  <si>
    <t>plocha staveniště - stavba</t>
  </si>
  <si>
    <t xml:space="preserve">plocha staveniště - opěrka mezi soklem a náhrobkem </t>
  </si>
  <si>
    <t>plocha staveniště - opěrka roh východní část</t>
  </si>
  <si>
    <t>základ pro kamenný sokl na kótě -1,620</t>
  </si>
  <si>
    <t>271531113R00</t>
  </si>
  <si>
    <t>Polštář základu z kameniva hr. drceného 16-32 mm</t>
  </si>
  <si>
    <t>27_</t>
  </si>
  <si>
    <t>2_</t>
  </si>
  <si>
    <t>271571111R00</t>
  </si>
  <si>
    <t>Polštář základu ze štěrkopísku tříděného</t>
  </si>
  <si>
    <t>271313511R00</t>
  </si>
  <si>
    <t>Beton podkladní pod základové konstrukce, prostý</t>
  </si>
  <si>
    <t>273321321R00</t>
  </si>
  <si>
    <t>Železobeton základových desek C 20/25</t>
  </si>
  <si>
    <t>273361921RT5</t>
  </si>
  <si>
    <t>Výztuž základových desek ze svařovaných sítí drát d 6,0 mm, oko 150 x 150 mm</t>
  </si>
  <si>
    <t>274313621R00</t>
  </si>
  <si>
    <t>Beton základových pasů prostý C 20/25</t>
  </si>
  <si>
    <t>274351215R00</t>
  </si>
  <si>
    <t>Bednění stěn základových pasů - zřízení</t>
  </si>
  <si>
    <t>274351216R00</t>
  </si>
  <si>
    <t>Bednění stěn základových pasů - odstranění</t>
  </si>
  <si>
    <t>2 : Základy</t>
  </si>
  <si>
    <t>27 : Základy</t>
  </si>
  <si>
    <t>základ pro kamenný sokl na kótě -1,820</t>
  </si>
  <si>
    <t>základ pro kamenný sokl na kótě -2,020</t>
  </si>
  <si>
    <t>základ pro kamenný sokl na kótě -2,220</t>
  </si>
  <si>
    <t>základ pro kamenný sokl na kótě -2,730</t>
  </si>
  <si>
    <t>základ pro kamenný sokl na kótě -3,230</t>
  </si>
  <si>
    <t>základ pro kamenný sokl na kótě -3,830</t>
  </si>
  <si>
    <t>základ pro opěrku roh východní část na kótě -1,030</t>
  </si>
  <si>
    <t>základ pro opěrku roh východní část na kótě -2,030</t>
  </si>
  <si>
    <t>základ pro opěrku roh východní část na kótě -2,530</t>
  </si>
  <si>
    <t>základ - opěrka mezi soklem a náhrobkem na kótě -3,300</t>
  </si>
  <si>
    <t>130001101R00</t>
  </si>
  <si>
    <t>3 : Svislé a kompletní konstrukce</t>
  </si>
  <si>
    <t>6 : Úpravy povrchů, podlahy a osazovaní výplní</t>
  </si>
  <si>
    <t>63 : podlahy a podlahové konstrukce</t>
  </si>
  <si>
    <t>64 : osazování výplní otvorů</t>
  </si>
  <si>
    <t>7 : Konstrukce a práce PSV</t>
  </si>
  <si>
    <t>71 : izolace :</t>
  </si>
  <si>
    <t>711 : Izolace proti vodě</t>
  </si>
  <si>
    <t>713 : Izolace tepelné</t>
  </si>
  <si>
    <t>76 : konstrukce :</t>
  </si>
  <si>
    <t>762 : Konstrukce tesařské</t>
  </si>
  <si>
    <t>763 : Dřevostavby</t>
  </si>
  <si>
    <t>764 : Konstrukce klempířské</t>
  </si>
  <si>
    <t>766 : Konstrukce truhlářské</t>
  </si>
  <si>
    <t>767 : Konstrukce doplňkové stavební-zámečnické</t>
  </si>
  <si>
    <t>77 : podlahy :</t>
  </si>
  <si>
    <t>771 : Podlahy z dlaždic</t>
  </si>
  <si>
    <t>78 : dokončovací práce :</t>
  </si>
  <si>
    <t>781 : Obklady keramické</t>
  </si>
  <si>
    <t>783 : Nátěry</t>
  </si>
  <si>
    <t>327213239R00</t>
  </si>
  <si>
    <t>Zdivo nadzákl.z lom.kam., obkladní bez dodávky kamene</t>
  </si>
  <si>
    <t>32_</t>
  </si>
  <si>
    <t>3_</t>
  </si>
  <si>
    <t>32 : zdi přehradní a opěrné</t>
  </si>
  <si>
    <t>základ pro kamenný sokl na kótě -1,520</t>
  </si>
  <si>
    <t>základ pro kamenný sokl na kótě -1,720</t>
  </si>
  <si>
    <t>plocha pod základy - stavba</t>
  </si>
  <si>
    <t xml:space="preserve">plocha pod základy - opěrka mezi soklem a náhrobkem </t>
  </si>
  <si>
    <t>plocha pod základy - opěrka roh východní část</t>
  </si>
  <si>
    <t>plocha pod základ.deskou - stavba</t>
  </si>
  <si>
    <t>základ pro kamenný sokl na kótě -1,920</t>
  </si>
  <si>
    <t>základ pro kamenný sokl na kótě -2,120</t>
  </si>
  <si>
    <t>základ pro kamenný sokl na kótě -2,630</t>
  </si>
  <si>
    <t>základ pro kamenný sokl na kótě -3,130</t>
  </si>
  <si>
    <t>základ pro kamenný sokl na kótě -3,730</t>
  </si>
  <si>
    <t>základ - opěrka mezi soklem a náhrobkem na kótě -3,200</t>
  </si>
  <si>
    <t>základ pro opěrku roh východní část na kótě -2,430</t>
  </si>
  <si>
    <t>plocha pod základ.deskou - mimo pasy</t>
  </si>
  <si>
    <t>vnitřní obsyp základu pro kamenný sokl na kótě -1,620</t>
  </si>
  <si>
    <t>vnitřní obsyp základu pro kamenný sokl na kótě -1,820</t>
  </si>
  <si>
    <t>vnitřní obsyp základu pro kamenný sokl na kótě -2,020</t>
  </si>
  <si>
    <t>vnitřní obsyp základu pro kamenný sokl na kótě -2,220</t>
  </si>
  <si>
    <t>vnitřní obsyp základu pro kamenný sokl na kótě -2,730</t>
  </si>
  <si>
    <t>vnitřní obsyp základu pro kamenný sokl na kótě -3,230</t>
  </si>
  <si>
    <t>vnitřní obsyp základu pro kamenný sokl na kótě -3,830</t>
  </si>
  <si>
    <t>289970111R00</t>
  </si>
  <si>
    <t>Vrstva geotextilie Geofiltex 300g/m2</t>
  </si>
  <si>
    <t>28_</t>
  </si>
  <si>
    <t>Příplatek za ztížené hloubení v blízkosti vedení,základů,hrobek,…</t>
  </si>
  <si>
    <t>Vrstva geotextilie filtex 300g/m2</t>
  </si>
  <si>
    <t>627458111R00</t>
  </si>
  <si>
    <t>Spárování do hl. 70 mm MCs zdí z lomového kamene</t>
  </si>
  <si>
    <t>62_</t>
  </si>
  <si>
    <t>6_</t>
  </si>
  <si>
    <t>kamenný stupeň a opěrka východní část</t>
  </si>
  <si>
    <t>kamenná opěrka mezi soklem a náhrobkem severní část</t>
  </si>
  <si>
    <t>762083120R00</t>
  </si>
  <si>
    <t>Profilování zhlaví trámů do 160 cm2</t>
  </si>
  <si>
    <t>kus</t>
  </si>
  <si>
    <t>762_</t>
  </si>
  <si>
    <t>76_</t>
  </si>
  <si>
    <t>762085153R00</t>
  </si>
  <si>
    <t>Hoblování tesařských prvků - ručně</t>
  </si>
  <si>
    <t>762333110R00</t>
  </si>
  <si>
    <t>Montáž vázaných krovů nepravidelných do 120 cm2</t>
  </si>
  <si>
    <t>m</t>
  </si>
  <si>
    <t>762333120R00</t>
  </si>
  <si>
    <t>Montáž vázaných krovů nepravidelných do 224 cm2</t>
  </si>
  <si>
    <t>762342206R00</t>
  </si>
  <si>
    <t>Montáž kontralatí na vruty, s těsnicí páskou</t>
  </si>
  <si>
    <t>762341210R00</t>
  </si>
  <si>
    <t>Montáž bednění střech rovných, prkna hrubá na sraz</t>
  </si>
  <si>
    <t>762341610R00</t>
  </si>
  <si>
    <t>Montáž bednění okapových říms z prken hrubých</t>
  </si>
  <si>
    <t>762395000R00</t>
  </si>
  <si>
    <t>Spojovací a ochranné prostředky pro střechy</t>
  </si>
  <si>
    <t>60515862</t>
  </si>
  <si>
    <t>Hranol konstrukční KVH NSi, SM, 100 x 100 - 140 x 160 mm, 4 - 6 m</t>
  </si>
  <si>
    <t>0</t>
  </si>
  <si>
    <t>Z99999_</t>
  </si>
  <si>
    <t>Z_</t>
  </si>
  <si>
    <t>60510062</t>
  </si>
  <si>
    <t>Lať impregnovaná SM jakost I-II 40 x 60 mm</t>
  </si>
  <si>
    <t>60512521</t>
  </si>
  <si>
    <t>Prkno prizmované SM/JD/BO jakost I-II tl. 23 - 24 mm, š. 150 mm, 4 m</t>
  </si>
  <si>
    <t>998762102R00</t>
  </si>
  <si>
    <t>Přesun hmot pro tesařské konstrukce, výšky do 12 m</t>
  </si>
  <si>
    <t>H762_</t>
  </si>
  <si>
    <t>poz.č.:1 profil: 80/180</t>
  </si>
  <si>
    <t>poz.č.:2-3 profil: 160/240</t>
  </si>
  <si>
    <t>poz.č.:4 profil: 140/200</t>
  </si>
  <si>
    <t>poz.č.:5-8 profil: 160/160</t>
  </si>
  <si>
    <t>poz.č.:9-10 profil: 100/100</t>
  </si>
  <si>
    <t>poz.č.:11-13 profil: 120/180</t>
  </si>
  <si>
    <t>poz.č.:14;18 profil: 140/180</t>
  </si>
  <si>
    <t>poz.č.:15-17 profil: 120/180</t>
  </si>
  <si>
    <t>poz.č.:19-21 profil: 120/180</t>
  </si>
  <si>
    <t>poz.č.:22-23 profil: 160/60</t>
  </si>
  <si>
    <t>poz.č.:24 profil: 160/180</t>
  </si>
  <si>
    <t>poz.č.:25-30 profil: 120/180</t>
  </si>
  <si>
    <t>poz.č.:31 profil: 160/60</t>
  </si>
  <si>
    <t>poz.č.:32-34 profil: 120/180</t>
  </si>
  <si>
    <t>poz.č.:35 profil: 140/180</t>
  </si>
  <si>
    <t>poz.č.:36-38 profil: 120/180</t>
  </si>
  <si>
    <t>poz.č.:39 profil: 140/180</t>
  </si>
  <si>
    <t>poz.č.:40-42 profil: 120/180</t>
  </si>
  <si>
    <t>poz.č.:43-44 profil: 160/60</t>
  </si>
  <si>
    <t>poz.č.:45-50 profil: 120/180</t>
  </si>
  <si>
    <t>poz.č.:51 profil: 160/60</t>
  </si>
  <si>
    <t>poz.č.:52;54;56;58;60;62;64;66 profil: 60/120</t>
  </si>
  <si>
    <t>poz.č.:53;55;57;59;61;63;65;67 profil: 100/100</t>
  </si>
  <si>
    <t>poz.č.:140;143;146;149;152;155;158;161 profil: 100/100</t>
  </si>
  <si>
    <t>poz.č.:141-163 profil: 100/100</t>
  </si>
  <si>
    <t>prořez-ztratné</t>
  </si>
  <si>
    <t>762333130R00</t>
  </si>
  <si>
    <t>Montáž vázaných krovů nepravidelných do 288 cm2</t>
  </si>
  <si>
    <t>762333140R00</t>
  </si>
  <si>
    <t>Montáž vázaných krovů nepravidelných do 450 cm2</t>
  </si>
  <si>
    <t>763712211R00</t>
  </si>
  <si>
    <t>Montáž sloupů plnostěnných pl. do150 cm2</t>
  </si>
  <si>
    <t>763_</t>
  </si>
  <si>
    <t>763713103R00</t>
  </si>
  <si>
    <t>Výroba + montáž základ. a věncového rámu</t>
  </si>
  <si>
    <t>763793111R00</t>
  </si>
  <si>
    <t>Montáž spoj.prostředků ocelových,kotevních želez</t>
  </si>
  <si>
    <t>kg</t>
  </si>
  <si>
    <t>998763101R00</t>
  </si>
  <si>
    <t>Přesun hmot pro dřevostavby, výšky do 12 m</t>
  </si>
  <si>
    <t>Hranol konstrukční KVH, 4 - 6 m</t>
  </si>
  <si>
    <t>Montáž sloupů, rámů stěn pl.do 150 cm2</t>
  </si>
  <si>
    <t>poz.č.:76 profil: 160/60</t>
  </si>
  <si>
    <t>poz.č.:77;79 profil: 60/160</t>
  </si>
  <si>
    <t>poz.č.:78;80 profil: 60/160</t>
  </si>
  <si>
    <t>poz.č.:81-82 profil: 60/160</t>
  </si>
  <si>
    <t>poz.č.:83-84;89 profil: 60/160</t>
  </si>
  <si>
    <t>poz.č.:85;88 profil: 60/160</t>
  </si>
  <si>
    <t>poz.č.:86 profil: 60/160</t>
  </si>
  <si>
    <t>poz.č.:87 profil: 60/160</t>
  </si>
  <si>
    <t>poz.č.:90 profil: 120/40</t>
  </si>
  <si>
    <t>poz.č.:91-92 profil: 60/160</t>
  </si>
  <si>
    <t>poz.č.:93;95 profil: 60/160</t>
  </si>
  <si>
    <t>poz.č.:94 profil: 160/60</t>
  </si>
  <si>
    <t>poz.č.:96-101 profil: 60/160</t>
  </si>
  <si>
    <t>poz.č.:102-103 profil: 60/160</t>
  </si>
  <si>
    <t>poz.č.:104 profil: 160/60</t>
  </si>
  <si>
    <t>poz.č.:105-106 profil: 60/160</t>
  </si>
  <si>
    <t>poz.č.:107 profil: 160/60</t>
  </si>
  <si>
    <t>poz.č.:108 profil: 160/60</t>
  </si>
  <si>
    <t>poz.č.:109-110;115 profil: 60/160</t>
  </si>
  <si>
    <t>poz.č.:111-112;114;116;118 profil: 60/160</t>
  </si>
  <si>
    <t>poz.č.:113;117 profil: 60/160</t>
  </si>
  <si>
    <t>poz.č.:119 profil: 160/60</t>
  </si>
  <si>
    <t>poz.č.:120-122 profil: 60/160</t>
  </si>
  <si>
    <t>poz.č.:123-124 profil: 60/160</t>
  </si>
  <si>
    <t>poz.č.:125 profil: 160/60</t>
  </si>
  <si>
    <t>poz.č.:126 profil: 60/160</t>
  </si>
  <si>
    <t>poz.č.:127 profil: 120/40</t>
  </si>
  <si>
    <t>poz.č.:128;130;134-135 profil: 60/160</t>
  </si>
  <si>
    <t>poz.č.:129 profil: 160/60</t>
  </si>
  <si>
    <t>poz.č.:131;133;136;139 profil: 60/160</t>
  </si>
  <si>
    <t>poz.č.:132 profil: 60/160</t>
  </si>
  <si>
    <t>poz.č.:137-138 profil: 60/160</t>
  </si>
  <si>
    <t>Výroba + montáž základového věncového rámu</t>
  </si>
  <si>
    <t>poz.č.:68-75 profil: 160/60 (statika…Založení obvodových stěn na základové desce)</t>
  </si>
  <si>
    <t>55399994</t>
  </si>
  <si>
    <t>Kotvy, úhelníky apod.atypické výrobky</t>
  </si>
  <si>
    <t>766_</t>
  </si>
  <si>
    <t>pro montáž stěn</t>
  </si>
  <si>
    <t>766417111R00</t>
  </si>
  <si>
    <t>Podkladový rošt pod obložení stěn</t>
  </si>
  <si>
    <t>766416112R00</t>
  </si>
  <si>
    <t>Obložení stěn nad 5 m2 panely SM, pl. do 1,5 m2</t>
  </si>
  <si>
    <t>766412123R00</t>
  </si>
  <si>
    <t>Obložení stěn nad 1 m2 palubkami MD, š. do 10 cm</t>
  </si>
  <si>
    <t>766492100R00</t>
  </si>
  <si>
    <t>Montáž obložení ostění</t>
  </si>
  <si>
    <t>766427112R00</t>
  </si>
  <si>
    <t>Podkladový rošt pro obložení podhledů</t>
  </si>
  <si>
    <t>766423342R00</t>
  </si>
  <si>
    <t>Obložení podhledů složit., aglom. desky do 1,5 m2</t>
  </si>
  <si>
    <t>595920326</t>
  </si>
  <si>
    <t>Deska sádrovláknitá Rigidur Hsd, 2750 x 1249 x 12,5 mm</t>
  </si>
  <si>
    <t>61191689.A</t>
  </si>
  <si>
    <t>Palubka obkladová MD, tl. 24 mm, šířka 121 mm</t>
  </si>
  <si>
    <t>998766101R00</t>
  </si>
  <si>
    <t>Přesun hmot pro truhlářské konstr., výšky do 6 m</t>
  </si>
  <si>
    <t>Deska finální vnitřní interiérová sádrovláknitá tl. 12,5 mm</t>
  </si>
  <si>
    <t>Prkno SM/JD/BO jakost I-II tl. 23 - 24 mm, š. 150 mm, 4 m</t>
  </si>
  <si>
    <t>766-SPC-nab</t>
  </si>
  <si>
    <t>766496090R00</t>
  </si>
  <si>
    <t>Výroba a osazení obložky otvorů (prkenné šambrány)</t>
  </si>
  <si>
    <t xml:space="preserve">Dveře vchod. rozměr: 1030/2090mm , jednokřídlové, dřevěné, masiv </t>
  </si>
  <si>
    <t>Dveře vchod. rozměr: 2030/2090mm , dvoukřídlové, dřevěné, masiv</t>
  </si>
  <si>
    <t xml:space="preserve"> Výplně otvorů se předpokládají dřevěné se zasklením izolačním dvojsklem s dělením</t>
  </si>
  <si>
    <t xml:space="preserve">Okno dřevěné,dvojsklo, rozměr: 780/1075mm  </t>
  </si>
  <si>
    <t>Obložení stěn sádrovlákn.deskami</t>
  </si>
  <si>
    <t>Výroba a osazení vnější obložky otvorů (prkenné šambrány)</t>
  </si>
  <si>
    <t>obložení ostění sádrovlákn.deskami - okna</t>
  </si>
  <si>
    <t>obložení ostění vnějšího palubkami - okna</t>
  </si>
  <si>
    <t>obložení ostění sádrovlákn.deskami - dveře</t>
  </si>
  <si>
    <t>obložení ostění sádrovlákn.deskami - dveře,vrata</t>
  </si>
  <si>
    <t>obložení ostění vnějšího palubkami - dveře,vrata</t>
  </si>
  <si>
    <t>obložení ostění vnějšího palubkami - dveře</t>
  </si>
  <si>
    <t>Montáž obložení ostění, patapetu</t>
  </si>
  <si>
    <t xml:space="preserve">odpočet </t>
  </si>
  <si>
    <t xml:space="preserve">Okno dřevěné,žaluzie, rozměr: 580/475mm  </t>
  </si>
  <si>
    <t xml:space="preserve"> Výplně otvorů se předpokládají dřevěné s oplechováním</t>
  </si>
  <si>
    <t xml:space="preserve"> Výplně otvorů se předpokládají dřevěné masivní s rámovou zárubní</t>
  </si>
  <si>
    <t>766495110R00</t>
  </si>
  <si>
    <t>Zhotovení otvorů pro instal. dvířka do 1,5 m2</t>
  </si>
  <si>
    <t>Zhotovení otvorů pro výplně otvorů</t>
  </si>
  <si>
    <t>obložení sádrovlákn.deskami - okna</t>
  </si>
  <si>
    <t>obložení sádrovlákn.deskami - dveře</t>
  </si>
  <si>
    <t>obložení sádrovlákn.deskami - dveře,vrata</t>
  </si>
  <si>
    <t>obložení palubkami - okna</t>
  </si>
  <si>
    <t>obložení palubkami - dveře</t>
  </si>
  <si>
    <t>obložení palubkami - dveře,vrata</t>
  </si>
  <si>
    <t>otvory</t>
  </si>
  <si>
    <t>WC instalační předstěny vnitřní</t>
  </si>
  <si>
    <t>obvodové stěny vnitřní část</t>
  </si>
  <si>
    <t>dtto, ale 2 strana</t>
  </si>
  <si>
    <t>obvodové stěny vnější část</t>
  </si>
  <si>
    <t>Obložení stěn palubkami MD, š. do 10 cm</t>
  </si>
  <si>
    <t>763614212RW6</t>
  </si>
  <si>
    <t>Montáž podlahy z desek OSB 3 4PD tl. 22 mm,vč. dodávky</t>
  </si>
  <si>
    <t>766416143R00</t>
  </si>
  <si>
    <t>Obložení stěn nad 5 m2, aglomer. desky nad 1,5 m2</t>
  </si>
  <si>
    <t>766423343R00</t>
  </si>
  <si>
    <t>Obložení podhledů složit., aglom. desky nad 1,5 m2</t>
  </si>
  <si>
    <t>60726143</t>
  </si>
  <si>
    <t>Deska dřevoštěpková OSB 4, EGGER TOP nebroušená 4PD tl. 15 mm</t>
  </si>
  <si>
    <t>766231111R00</t>
  </si>
  <si>
    <t>Montáž stahovacích půdních schodů</t>
  </si>
  <si>
    <t>61250023</t>
  </si>
  <si>
    <t>Schody skládací dřevěné LUX EI 15 THERM 1100 x 700 mm</t>
  </si>
  <si>
    <t>Obložení stěn aglomer. desky nad 1,5 m2</t>
  </si>
  <si>
    <t>Obložení podhledů aglom. desky nad 1,5 m2</t>
  </si>
  <si>
    <t>Schody skládací dřevěné EI 15 THERM 900 x 700 mm</t>
  </si>
  <si>
    <t>stěny vnitřní příčky</t>
  </si>
  <si>
    <t>1.01  sklad</t>
  </si>
  <si>
    <t>1.02  WC</t>
  </si>
  <si>
    <t>1.03  kancelář</t>
  </si>
  <si>
    <t>Obložení podhledů aglom. desky do 1,5 m2</t>
  </si>
  <si>
    <t>Deska dřevoštěpková OSB 4PD tl. 15 mm</t>
  </si>
  <si>
    <t>půdní výlez pro výšku 2,9m</t>
  </si>
  <si>
    <t>půda</t>
  </si>
  <si>
    <t>CELKEM VRN</t>
  </si>
  <si>
    <t>Kč</t>
  </si>
  <si>
    <t>Základna</t>
  </si>
  <si>
    <t>%</t>
  </si>
  <si>
    <t>Název VRN</t>
  </si>
  <si>
    <t>VEDLEJŠÍ ROZPOČTOVÉ  NÁKLADY</t>
  </si>
  <si>
    <t>CELKEM  OBJEKT</t>
  </si>
  <si>
    <t>Dodávka</t>
  </si>
  <si>
    <t>Stavební díl</t>
  </si>
  <si>
    <t>REKAPITULACE  STAVEBNÍCH  DÍLŮ</t>
  </si>
  <si>
    <t>Objekt :</t>
  </si>
  <si>
    <t>Stavba :</t>
  </si>
  <si>
    <t>Celkem za</t>
  </si>
  <si>
    <t xml:space="preserve">Zpětný ventil  1" </t>
  </si>
  <si>
    <t xml:space="preserve">Kulový kohout 1" </t>
  </si>
  <si>
    <t>48430004</t>
  </si>
  <si>
    <t xml:space="preserve">Vypouštěcí kohout  1/2" </t>
  </si>
  <si>
    <t>48470002</t>
  </si>
  <si>
    <t xml:space="preserve">Montáž vodovodních armatur 2závity, G 1 </t>
  </si>
  <si>
    <t>722239103R00</t>
  </si>
  <si>
    <t xml:space="preserve">Montáž vodovodních armatur,1závit, G 1/2 </t>
  </si>
  <si>
    <t>722229101R00</t>
  </si>
  <si>
    <t>Vnitřní vodovod</t>
  </si>
  <si>
    <t>722</t>
  </si>
  <si>
    <t>Díl:</t>
  </si>
  <si>
    <t xml:space="preserve">Přesun hmot, trubní vedení plastová, otevř. výkop </t>
  </si>
  <si>
    <t>Staveništní přesun hmot</t>
  </si>
  <si>
    <t>99</t>
  </si>
  <si>
    <t xml:space="preserve">Řezání stávajícího živičného krytu tl. 5 - 10 cm </t>
  </si>
  <si>
    <t>919735112R00</t>
  </si>
  <si>
    <t>Doplňující práce na komunikaci</t>
  </si>
  <si>
    <t>91</t>
  </si>
  <si>
    <t xml:space="preserve">Uliční víčko těžké č.1650 </t>
  </si>
  <si>
    <t xml:space="preserve">Zemní souprava teleskop.č.9601 </t>
  </si>
  <si>
    <t xml:space="preserve">Šoupě pro dom.přípojku -1" </t>
  </si>
  <si>
    <t xml:space="preserve">Navrt.pas 90/1" </t>
  </si>
  <si>
    <t xml:space="preserve">Montáž ventilů hlavních pro přípojky DN 25 </t>
  </si>
  <si>
    <t>891163111R00</t>
  </si>
  <si>
    <t xml:space="preserve">Montáž navrtávacích pasů DN 80 </t>
  </si>
  <si>
    <t>891249111R00</t>
  </si>
  <si>
    <t>ks</t>
  </si>
  <si>
    <t xml:space="preserve">Montáž vodoměrové šachty  1200 mm vč.podkl.bet. </t>
  </si>
  <si>
    <t xml:space="preserve">Vodoměrová plast.šachta ®1200 mm, h=1700 mm </t>
  </si>
  <si>
    <t xml:space="preserve">Signal.folie PVC </t>
  </si>
  <si>
    <t xml:space="preserve">Signal.vodič CY 2,5 mm2 </t>
  </si>
  <si>
    <t xml:space="preserve">Trubka PE HD PE100  SDR 11 ®32/2,9 </t>
  </si>
  <si>
    <t xml:space="preserve">Montáž trubek polyetylenových ve výkopu 50 mm </t>
  </si>
  <si>
    <t>871181121R00</t>
  </si>
  <si>
    <t xml:space="preserve">Tlaková zkouška vodovodního potrubí DN 80 </t>
  </si>
  <si>
    <t>892241111R00</t>
  </si>
  <si>
    <t xml:space="preserve">Desinfekce vodovodního potrubí DN 70 </t>
  </si>
  <si>
    <t>892233111R00</t>
  </si>
  <si>
    <t xml:space="preserve">Příplatek za montáž vodovodních přípojek DN 32-80 </t>
  </si>
  <si>
    <t>879172199R00</t>
  </si>
  <si>
    <t>Trubní vedení</t>
  </si>
  <si>
    <t>8</t>
  </si>
  <si>
    <t xml:space="preserve">Vyspravení podkladu po překopech kam.obal.asfaltem </t>
  </si>
  <si>
    <t>566904111R00</t>
  </si>
  <si>
    <t xml:space="preserve">Vyspravení podkladu po překopech kam.hrubě drceným </t>
  </si>
  <si>
    <t>566903111R00</t>
  </si>
  <si>
    <t>Komunikace</t>
  </si>
  <si>
    <t xml:space="preserve">Úprava pláně v násypech v hor. 1-4, bez zhutnění </t>
  </si>
  <si>
    <t>181201101R00</t>
  </si>
  <si>
    <t xml:space="preserve">Nakládání vybouraných hmot na dopravní prostředky </t>
  </si>
  <si>
    <t xml:space="preserve">Vodorovná doprava vybour. hmot po suchu do 5 km </t>
  </si>
  <si>
    <t xml:space="preserve">Odstranění podkladu pl. 200 m2,kam.drcené tl.30 cm </t>
  </si>
  <si>
    <t xml:space="preserve">Zásyp jam, rýh, šachet se zhutněním </t>
  </si>
  <si>
    <t>174101101R00</t>
  </si>
  <si>
    <t>175101101RT2</t>
  </si>
  <si>
    <t>Uložení sypaniny na skládku včetně poplatku za skládku</t>
  </si>
  <si>
    <t>171201201RT1</t>
  </si>
  <si>
    <t xml:space="preserve">Nakládání výkopku z hor.1-4 v množství do 100 m3 </t>
  </si>
  <si>
    <t xml:space="preserve">Odstranění paženi stěn rýh - příložné - hl. do 2 m </t>
  </si>
  <si>
    <t>151101111R00</t>
  </si>
  <si>
    <t xml:space="preserve">Pažení a rozepření stěn rýh - příložné - hl. do 2m </t>
  </si>
  <si>
    <t>151101101R00</t>
  </si>
  <si>
    <t xml:space="preserve">Vodorovné přemístění výkopku z hor.1-4 do 2000 m </t>
  </si>
  <si>
    <t>162401102R00</t>
  </si>
  <si>
    <t xml:space="preserve">Svislé přemístění výkopku z hor.1-4 do 2,5 m </t>
  </si>
  <si>
    <t>161101101R00</t>
  </si>
  <si>
    <t xml:space="preserve">Příplatek za lepivost - hloubení rýh 60 cm v hor.4 </t>
  </si>
  <si>
    <t xml:space="preserve">Hloubení rýh šířky do 60 cm v hor.4 do 100 m3 </t>
  </si>
  <si>
    <t xml:space="preserve">Dočasné zajištění kabelů - do počtu 3 kabelů </t>
  </si>
  <si>
    <t>119001421R00</t>
  </si>
  <si>
    <t>Zemní práce</t>
  </si>
  <si>
    <t>celkem (Kč)</t>
  </si>
  <si>
    <t>cena / MJ</t>
  </si>
  <si>
    <t>množství</t>
  </si>
  <si>
    <t>Název položky</t>
  </si>
  <si>
    <t>Číslo položky</t>
  </si>
  <si>
    <t>P.č.</t>
  </si>
  <si>
    <t xml:space="preserve">Položkový rozpočet </t>
  </si>
  <si>
    <t>998725101R00</t>
  </si>
  <si>
    <t>soubor</t>
  </si>
  <si>
    <t>725539102R00</t>
  </si>
  <si>
    <t>725219401R00</t>
  </si>
  <si>
    <t>725</t>
  </si>
  <si>
    <t xml:space="preserve">Přesun hmot pro vnitřní vodovod, výšky do 6 m </t>
  </si>
  <si>
    <t xml:space="preserve">Proplach a dezinfekce vodovod.potrubí DN 80 </t>
  </si>
  <si>
    <t>722290234R00</t>
  </si>
  <si>
    <t xml:space="preserve">Zkouška tlaku potrubí závitového DN 50 </t>
  </si>
  <si>
    <t>722290226R00</t>
  </si>
  <si>
    <t xml:space="preserve">Vypouštěcí kohout ART 10 K 1/2" </t>
  </si>
  <si>
    <t xml:space="preserve">Rohový kul.kohout 1/2" </t>
  </si>
  <si>
    <t>725820505</t>
  </si>
  <si>
    <t xml:space="preserve">Pojistný a zpět.ventil T 1847 3/4" </t>
  </si>
  <si>
    <t>48460-031</t>
  </si>
  <si>
    <t xml:space="preserve">Kulový kohout 3/4" </t>
  </si>
  <si>
    <t>48430003</t>
  </si>
  <si>
    <t>pár</t>
  </si>
  <si>
    <t xml:space="preserve">Nástěnka K 247, pro baterii G 1/2 </t>
  </si>
  <si>
    <t>722220121R00</t>
  </si>
  <si>
    <t xml:space="preserve">Nástěnka K 247, pro výtokový ventil G 1/2 </t>
  </si>
  <si>
    <t>722220111R00</t>
  </si>
  <si>
    <t xml:space="preserve">Vyvedení a upevnění výpustek DN 15 </t>
  </si>
  <si>
    <t>722190401R00</t>
  </si>
  <si>
    <t xml:space="preserve">Montáž vodovodních armatur 2závity, G 3/4 </t>
  </si>
  <si>
    <t>722239102R00</t>
  </si>
  <si>
    <t xml:space="preserve">Montáž vodovodních armatur 2závity, G 1/2 </t>
  </si>
  <si>
    <t>722239101R00</t>
  </si>
  <si>
    <t xml:space="preserve">Přípojky vodovodní pro pevné připojení DN 20 </t>
  </si>
  <si>
    <t>722190222R00</t>
  </si>
  <si>
    <t xml:space="preserve">Izol.návleková trubice do DN 25 tl. do 30 mm </t>
  </si>
  <si>
    <t>63151006</t>
  </si>
  <si>
    <t>722182001RT1</t>
  </si>
  <si>
    <t xml:space="preserve">Potrubí z PPR Instaplast, teplá, D 25/4,2 mm </t>
  </si>
  <si>
    <t>722172332R00</t>
  </si>
  <si>
    <t xml:space="preserve">Potrubí z PPR Instaplast, teplá, D 20/3,4 mm </t>
  </si>
  <si>
    <t>722172331R00</t>
  </si>
  <si>
    <t xml:space="preserve">Potrubí z PPR Instaplast, studená, D 25/3,5 mm </t>
  </si>
  <si>
    <t>722172312R00</t>
  </si>
  <si>
    <t xml:space="preserve">Potrubí z PPR Instaplast, studená, D 20/2,8 mm </t>
  </si>
  <si>
    <t>722172311R00</t>
  </si>
  <si>
    <t xml:space="preserve">Přesun hmot pro vnitřní kanalizaci, výšky do 6 m </t>
  </si>
  <si>
    <t xml:space="preserve">Zkouška těsnosti kanalizace kouřem DN 300 </t>
  </si>
  <si>
    <t>721290123R00</t>
  </si>
  <si>
    <t xml:space="preserve">Zkouška těsnosti kanalizace vodou DN 200 </t>
  </si>
  <si>
    <t>721290112R00</t>
  </si>
  <si>
    <t xml:space="preserve">Zkouška těsnosti kanalizace vodou DN 125 </t>
  </si>
  <si>
    <t>721290111R00</t>
  </si>
  <si>
    <t>721273200RT2</t>
  </si>
  <si>
    <t xml:space="preserve">Zápach uzávěrka HL 400 </t>
  </si>
  <si>
    <t>726-00012</t>
  </si>
  <si>
    <t xml:space="preserve">Vyvedení odpadních výpustek D 110 x 2,3 </t>
  </si>
  <si>
    <t>721194109R00</t>
  </si>
  <si>
    <t xml:space="preserve">Vyvedení odpadních výpustek D 40 x 1,8 </t>
  </si>
  <si>
    <t>721194104R00</t>
  </si>
  <si>
    <t xml:space="preserve">Potrubí KG svodné (ležaté) v zemi DN 150 x 4,0 mm </t>
  </si>
  <si>
    <t>721176224R00</t>
  </si>
  <si>
    <t xml:space="preserve">Potrubí KG svodné (ležaté) v zemi DN 125 x 3,2 mm </t>
  </si>
  <si>
    <t>721176223R00</t>
  </si>
  <si>
    <t xml:space="preserve">Potrubí KG svodné (ležaté) v zemi DN 100 x 3,2 mm </t>
  </si>
  <si>
    <t>721176222R00</t>
  </si>
  <si>
    <t xml:space="preserve">Potrubí HT odpadní svislé DN 100 x 2,7 mm </t>
  </si>
  <si>
    <t>721176115R00</t>
  </si>
  <si>
    <t xml:space="preserve">Potrubí HT odpadní svislé DN 70 x 1,9 mm </t>
  </si>
  <si>
    <t>721176114R00</t>
  </si>
  <si>
    <t xml:space="preserve">Potrubí HT připojovací DN 100 x 2,7 mm </t>
  </si>
  <si>
    <t>721176105R00</t>
  </si>
  <si>
    <t xml:space="preserve">Potrubí HT připojovací DN 50 x 1,8 mm </t>
  </si>
  <si>
    <t>721176103R00</t>
  </si>
  <si>
    <t xml:space="preserve">Potrubí HT připojovací DN 40 x 1,8 mm </t>
  </si>
  <si>
    <t>721176102R00</t>
  </si>
  <si>
    <t>Vnitřní kanalizace</t>
  </si>
  <si>
    <t>721</t>
  </si>
  <si>
    <t>Zařizovací předměty-mtž</t>
  </si>
  <si>
    <t>725017123R00</t>
  </si>
  <si>
    <t>Umyvadlo na šrouby CUBITO, 600 x 450 mm, bílé</t>
  </si>
  <si>
    <t>726212311R00</t>
  </si>
  <si>
    <t>Modul pro umyvadlo PRO WASHBASIN SYSTEM</t>
  </si>
  <si>
    <t>725823111R00</t>
  </si>
  <si>
    <t>Baterie umyvadlová stojánková, ruční, bez otvírání odpadu</t>
  </si>
  <si>
    <t>725017153R00</t>
  </si>
  <si>
    <t>Umyvadlo invalidní 640 x 550 mm, bílé</t>
  </si>
  <si>
    <t>726211312R00</t>
  </si>
  <si>
    <t>Modul pro umyvadlo Duofix, ZTP, h. 820/980 mm</t>
  </si>
  <si>
    <t>725823121RT2</t>
  </si>
  <si>
    <t>Baterie umyvadlová stojánková  ruční, včetně otvírání odpadu</t>
  </si>
  <si>
    <t>725119306R00</t>
  </si>
  <si>
    <t>Montáž klozetu závěsného</t>
  </si>
  <si>
    <t>725014141R00</t>
  </si>
  <si>
    <t>Klozet závěsný OLYMP ZTP + sedátko, bílý</t>
  </si>
  <si>
    <t>726211331R00</t>
  </si>
  <si>
    <t>Modul pro WC Duofix, UP320, ZTP, h. 1120 mm</t>
  </si>
  <si>
    <t>725534222R00</t>
  </si>
  <si>
    <t>725291141R00</t>
  </si>
  <si>
    <t>725291146R00</t>
  </si>
  <si>
    <t>Madlo dvojité sklopné nerez Novaservis dl. 852 mm</t>
  </si>
  <si>
    <t>Přesun hmot pro zařizovací předměty, výšky do 6 m</t>
  </si>
  <si>
    <t xml:space="preserve">Montáž umyvadel na šrouby </t>
  </si>
  <si>
    <t>Ohřívač elektrický, zásobníkový, závěsný,30l</t>
  </si>
  <si>
    <t>Montáž elektrických ohřívačů, ostatní typy do 80 l</t>
  </si>
  <si>
    <t>10 : Profese a montážní práce</t>
  </si>
  <si>
    <t>720 :  ZT- zdravotně technické instalace</t>
  </si>
  <si>
    <t>dle samostatné rekapitulace</t>
  </si>
  <si>
    <t>CELKEM  BEZ DPH</t>
  </si>
  <si>
    <t>Madlo dvojité pevné nerez</t>
  </si>
  <si>
    <t>Ventilační střešní souprava souprava větrací hlavice DN 70</t>
  </si>
  <si>
    <t>998 721101R00</t>
  </si>
  <si>
    <t>Montáž izolačních skruží na potrubí DN 25 samolepící spoj</t>
  </si>
  <si>
    <t>998722101R00</t>
  </si>
  <si>
    <t>Poznámka :</t>
  </si>
  <si>
    <t>CENA ZA OBJEKT CELKEM</t>
  </si>
  <si>
    <t>%  činí :</t>
  </si>
  <si>
    <t>Základ pro DPH</t>
  </si>
  <si>
    <t>Podpis :</t>
  </si>
  <si>
    <t>Podpis:</t>
  </si>
  <si>
    <t>Datum :</t>
  </si>
  <si>
    <t>Jméno :</t>
  </si>
  <si>
    <t>Za objednatele</t>
  </si>
  <si>
    <t>Za zhotovitele</t>
  </si>
  <si>
    <t>Vypracoval</t>
  </si>
  <si>
    <t>VRN celkem</t>
  </si>
  <si>
    <t>ZRN+VRN+HZS</t>
  </si>
  <si>
    <t>Ostatní VRN</t>
  </si>
  <si>
    <t>RN II.a III.hlavy</t>
  </si>
  <si>
    <t>ZRN celkem</t>
  </si>
  <si>
    <t>PSV celkem</t>
  </si>
  <si>
    <t>N</t>
  </si>
  <si>
    <t>HSV celkem</t>
  </si>
  <si>
    <t>R</t>
  </si>
  <si>
    <t>Montáž celkem</t>
  </si>
  <si>
    <t>Z</t>
  </si>
  <si>
    <t>Dodávka celkem</t>
  </si>
  <si>
    <t>Vedlejší rozpočtové náklady</t>
  </si>
  <si>
    <t>Rozpočtové náklady II. a III. hlavy</t>
  </si>
  <si>
    <t>ROZPOČTOVÉ NÁKLADY</t>
  </si>
  <si>
    <t>František Vitmajer projektant ZT,ÚT</t>
  </si>
  <si>
    <t>Zhotovitel :</t>
  </si>
  <si>
    <t>Zpracovatel projektu :</t>
  </si>
  <si>
    <t>Zakázkové číslo :</t>
  </si>
  <si>
    <t>Počet listů :</t>
  </si>
  <si>
    <t>Náklady na MJ :</t>
  </si>
  <si>
    <t>Objednatel :</t>
  </si>
  <si>
    <t>Počet měrných jednotek :</t>
  </si>
  <si>
    <t>Projektant :</t>
  </si>
  <si>
    <t xml:space="preserve">Novostavba hřbitovního domku a přípojek  </t>
  </si>
  <si>
    <t>SKP :</t>
  </si>
  <si>
    <t>Název stavby :</t>
  </si>
  <si>
    <t>JKSO :</t>
  </si>
  <si>
    <t>Název objektu :</t>
  </si>
  <si>
    <t>Novostavba hřbitovního domku a přípojek</t>
  </si>
  <si>
    <t>998276101R00</t>
  </si>
  <si>
    <t xml:space="preserve">Zemní filtr PF E2 </t>
  </si>
  <si>
    <t>593-00111</t>
  </si>
  <si>
    <t xml:space="preserve">Biologický septik EKONA SK 2 </t>
  </si>
  <si>
    <t>593-00003</t>
  </si>
  <si>
    <t xml:space="preserve">Geotextilie </t>
  </si>
  <si>
    <t>036531</t>
  </si>
  <si>
    <t>stavební připravenost pro nádrže podkladní desky</t>
  </si>
  <si>
    <t>036515</t>
  </si>
  <si>
    <t>hod</t>
  </si>
  <si>
    <t xml:space="preserve">Osazení plastových objektů na kanalizaci </t>
  </si>
  <si>
    <t>593-00001</t>
  </si>
  <si>
    <t xml:space="preserve">Drenážní trubky PipeLife DN 100 </t>
  </si>
  <si>
    <t>28611055</t>
  </si>
  <si>
    <t xml:space="preserve">Tr.PVC KG DN 100 </t>
  </si>
  <si>
    <t>28611060</t>
  </si>
  <si>
    <t xml:space="preserve">Tr.PVC DN 150 SN8 </t>
  </si>
  <si>
    <t xml:space="preserve">Kladení dren. potrubí do rýhy, tvr. PVC, do 150 mm </t>
  </si>
  <si>
    <t>871228111R00</t>
  </si>
  <si>
    <t xml:space="preserve">Montáž trub z tvrdého PVC, gumový kroužek, DN 150 </t>
  </si>
  <si>
    <t>871313121R00</t>
  </si>
  <si>
    <t xml:space="preserve">filtrační náplň do zem.filtru (štěrk 2-4) </t>
  </si>
  <si>
    <t xml:space="preserve">Lože pod potrubí ze štěrkopísku do 63 mm </t>
  </si>
  <si>
    <t>451573111R00</t>
  </si>
  <si>
    <t>Vodorovné konstrukce</t>
  </si>
  <si>
    <t>4</t>
  </si>
  <si>
    <t xml:space="preserve">Vodorovné přemístění výkopku z hor.1-4 do 3000 m </t>
  </si>
  <si>
    <t>162501102R00</t>
  </si>
  <si>
    <t xml:space="preserve">Hloubení nezapažených jam v hor.4 do 100 m3 </t>
  </si>
  <si>
    <t xml:space="preserve">Příplatek za lepivost - hloubení rýh 200cm v hor.4 </t>
  </si>
  <si>
    <t>132301209R00</t>
  </si>
  <si>
    <t xml:space="preserve">Hloubení rýh šířky do 200 cm v hor.4 do 100 m3 </t>
  </si>
  <si>
    <t xml:space="preserve">Bourání konstrukcí z prostého betonu </t>
  </si>
  <si>
    <t>120901121R00</t>
  </si>
  <si>
    <t xml:space="preserve">Příplatek za ztížení vykopávky v blízkosti vedení </t>
  </si>
  <si>
    <t>120001101R00</t>
  </si>
  <si>
    <t xml:space="preserve"> Součet</t>
  </si>
  <si>
    <t>bez DPH</t>
  </si>
  <si>
    <t xml:space="preserve"> REKAPITULACE OBJEKTU  DLE  ČÁSTÍ</t>
  </si>
  <si>
    <t xml:space="preserve"> 1 - SO 01 Novostavba hřbitovního domku </t>
  </si>
  <si>
    <t xml:space="preserve"> 2 - SO 02 Vodovodní přípojka</t>
  </si>
  <si>
    <t xml:space="preserve"> 3 - SO 03 Splašková kanalizace</t>
  </si>
  <si>
    <t>Obsyp potrubí s dodáním štěrkopísku frakce 0 - 22 mm</t>
  </si>
  <si>
    <t>113107530R00</t>
  </si>
  <si>
    <t>979084216R00</t>
  </si>
  <si>
    <t>979087213R00</t>
  </si>
  <si>
    <t>132301111R00</t>
  </si>
  <si>
    <t>132301119R00</t>
  </si>
  <si>
    <t>132301210R00</t>
  </si>
  <si>
    <t>131301110R00</t>
  </si>
  <si>
    <t>451572111R00</t>
  </si>
  <si>
    <t>451572311R00</t>
  </si>
  <si>
    <t xml:space="preserve">náplň do vsak zářezu i do zem.filtru(štěrk 16-32) </t>
  </si>
  <si>
    <t>Individuální mimostaveništní doprava</t>
  </si>
  <si>
    <t xml:space="preserve">Ostatní </t>
  </si>
  <si>
    <t>M21 : EI - silnoproud,slaboproud,hromosvod</t>
  </si>
  <si>
    <t>Montáž bednění složité z prken hrubých na sraz</t>
  </si>
  <si>
    <t>věžička tělo</t>
  </si>
  <si>
    <t>věžička valby</t>
  </si>
  <si>
    <t>dtto, ale druhá</t>
  </si>
  <si>
    <t>sedlo</t>
  </si>
  <si>
    <t>valba</t>
  </si>
  <si>
    <t>dtto, ale druhé strany</t>
  </si>
  <si>
    <t>762341620R00</t>
  </si>
  <si>
    <t>Montáž bednění okapových říms z palubek pero-drážka</t>
  </si>
  <si>
    <t>61189997</t>
  </si>
  <si>
    <t>Palubka podlahová SM jakost A/B, tl. 24 mm, šířka 146 mm</t>
  </si>
  <si>
    <t>přesah okapu</t>
  </si>
  <si>
    <t>řezivo</t>
  </si>
  <si>
    <t>konce nároží  16/24</t>
  </si>
  <si>
    <t>konce krokví 12/18</t>
  </si>
  <si>
    <t xml:space="preserve"> hrotnice s koulí</t>
  </si>
  <si>
    <t>Doplňkové kotvící konstrukce</t>
  </si>
  <si>
    <t>762309701R00</t>
  </si>
  <si>
    <t>RTS II / 2024</t>
  </si>
  <si>
    <t>55113530.A</t>
  </si>
  <si>
    <t>55113542.A</t>
  </si>
  <si>
    <t>551135723</t>
  </si>
  <si>
    <t>286134701</t>
  </si>
  <si>
    <t>899711122R00</t>
  </si>
  <si>
    <t>899731112R00</t>
  </si>
  <si>
    <t>893153122R00</t>
  </si>
  <si>
    <t>893153122RT3</t>
  </si>
  <si>
    <t>42273300</t>
  </si>
  <si>
    <t>422913332</t>
  </si>
  <si>
    <t>42291353</t>
  </si>
  <si>
    <t>42228100</t>
  </si>
  <si>
    <t>28611260.A</t>
  </si>
  <si>
    <t>631312621R00</t>
  </si>
  <si>
    <t>Mazanina betonová tl. 5 - 8 cm C 20/25</t>
  </si>
  <si>
    <t>63_</t>
  </si>
  <si>
    <t>631319171R00</t>
  </si>
  <si>
    <t>Příplatek za stržení povrchu mazaniny tl. 8 cm</t>
  </si>
  <si>
    <t>631361921RT5</t>
  </si>
  <si>
    <t>Výztuž mazanin svařovanou sítí KH 20, drát d 6,0 mm, oko 150 x 150 mm</t>
  </si>
  <si>
    <t>632451032R00</t>
  </si>
  <si>
    <t>Vyrovnávací potěr MC 15, v ploše, tl. 30 mm</t>
  </si>
  <si>
    <t>641960000R00</t>
  </si>
  <si>
    <t>Těsnění spár otvorových prvků PU pěnou</t>
  </si>
  <si>
    <t>64_</t>
  </si>
  <si>
    <t>711111132RZ2</t>
  </si>
  <si>
    <t>Provedení izolace proti vlhkosti na ploše vodorovné, 2x nátěrem včetně dodávky modifikovaného asfaltového laku</t>
  </si>
  <si>
    <t>711_</t>
  </si>
  <si>
    <t>71_</t>
  </si>
  <si>
    <t>711141559RY1</t>
  </si>
  <si>
    <t>Provedení izolace proti vlhkosti na ploše vodorovné, asfaltovými pásy přitavením 1 vrstva - včetně dod. Elastek 40 special mineral</t>
  </si>
  <si>
    <t>998711101R00</t>
  </si>
  <si>
    <t>Přesun hmot pro izolace proti vodě, výšky do 6 m</t>
  </si>
  <si>
    <t>713131111R00</t>
  </si>
  <si>
    <t>Montáž tepelné izolace stěn přibitím na dřevěnou konstrukci</t>
  </si>
  <si>
    <t>713_</t>
  </si>
  <si>
    <t>631550207</t>
  </si>
  <si>
    <t>Deska fasádní izolační tl. 160 x 600 x 1000 mm dvouvrstvá  pro izolaci provětrávaných fasád</t>
  </si>
  <si>
    <t>713135114RS1</t>
  </si>
  <si>
    <t>Montáž difúzní fólie na stěny, samolepicí spoj včetně dodávky fólie FASSADE</t>
  </si>
  <si>
    <t>713111111R00</t>
  </si>
  <si>
    <t>Montáž tepelné izolace stropů vrchem kladené, volně</t>
  </si>
  <si>
    <t>63152314</t>
  </si>
  <si>
    <t>Rohož izolační tl. 180 x 1200 x 3200 mm</t>
  </si>
  <si>
    <t>713111211RK6</t>
  </si>
  <si>
    <t>Montáž parozábrany, krovů spodem s přelepením spojů</t>
  </si>
  <si>
    <t>998713101R00</t>
  </si>
  <si>
    <t>Přesun hmot pro izolace tepelné, výšky do 6 m</t>
  </si>
  <si>
    <t>Montáž tepelné izolace stěn na dřevěnou konstrukci</t>
  </si>
  <si>
    <t>Deska izolační tl.160 x 600 x 1000mm pro izolaci provětrávaných fasád</t>
  </si>
  <si>
    <t xml:space="preserve">Montáž difúzní fólie na stěny, samolepicí spoj včetně dodávky fólie </t>
  </si>
  <si>
    <t>63152310</t>
  </si>
  <si>
    <t>Rohož izolační tl. 100 x 1200 x 3200 mm</t>
  </si>
  <si>
    <t>plocha základ.desky - stavba</t>
  </si>
  <si>
    <t>plocha nad základ.deskou</t>
  </si>
  <si>
    <t>Izolace proti vlhkosti na ploše vodorovné,2x nátěr vč.dod.asfalt.laku</t>
  </si>
  <si>
    <t>Izolace proti vlhkosti na ploše vodorovné, pás tl.5mm přitavením vč.dod.</t>
  </si>
  <si>
    <t>ostění vnějšího okna</t>
  </si>
  <si>
    <t>ostění vnějších dveří</t>
  </si>
  <si>
    <t>ostění vnějších dveří,vrat</t>
  </si>
  <si>
    <t>764816117R00</t>
  </si>
  <si>
    <t>Oplechování parapetů, lakovaný Pz plech, rš 170 mm</t>
  </si>
  <si>
    <t>764_</t>
  </si>
  <si>
    <t>764815212R00</t>
  </si>
  <si>
    <t>Žlab podokapní půlkruh.z lak.Pz plechu, rš 330 mm</t>
  </si>
  <si>
    <t>764819212R00</t>
  </si>
  <si>
    <t>Odpadní trouby kruhové z lak.Pz plechu, D 100 mm</t>
  </si>
  <si>
    <t>764892310R00</t>
  </si>
  <si>
    <t>Falcované tabule Classic, tl. 0,5 mm, na dřevo</t>
  </si>
  <si>
    <t>764892311R00</t>
  </si>
  <si>
    <t>Classic hřebenáč rovný, tl. 0,5 mm</t>
  </si>
  <si>
    <t>764892324R00</t>
  </si>
  <si>
    <t>Classic komínek odvětrávací, DN 110mm, neizolovaný</t>
  </si>
  <si>
    <t>Classic střešní světlík, rozměr 450 x 550 mm</t>
  </si>
  <si>
    <t>765901001R00</t>
  </si>
  <si>
    <t>Montáž podstřešní fólie</t>
  </si>
  <si>
    <t>Přibití pásů hřebíky vč.dod.rohože pod falcované krytiny</t>
  </si>
  <si>
    <t>67352442</t>
  </si>
  <si>
    <t>Fólie lehkého typu s nakašírovanou strukturovanou rohoží, která nachází uplatnění ve skladbách šikmých střech s hladkou plechovou krytinou montovanou</t>
  </si>
  <si>
    <t>283233158</t>
  </si>
  <si>
    <t>Fólie prodyšná membrána a izolace SuperFOIL SFBB vhodná do konstrukce střech, paropropustná</t>
  </si>
  <si>
    <t>998764101R00</t>
  </si>
  <si>
    <t>Přesun hmot pro klempířské konstr., výšky do 6 m</t>
  </si>
  <si>
    <t>Nároží, hřebenáč rovný, tl. 0,5 mm</t>
  </si>
  <si>
    <t>ZTI komínek odvětrávací, DN 110mm, neizolovaný</t>
  </si>
  <si>
    <t>Příplatek za střešní světlík, věžičku</t>
  </si>
  <si>
    <t>764892329R00</t>
  </si>
  <si>
    <t>Fólie s nakašírovan.strukturov.rohoží, střech s plechovou krytinou</t>
  </si>
  <si>
    <t>764892399RTS</t>
  </si>
  <si>
    <t>Falcované tabule , lakovaný Pz plech tl. 0,5 mm, na dřevo</t>
  </si>
  <si>
    <t>věžička s hrotnicí a s koulí</t>
  </si>
  <si>
    <t>764815810R00</t>
  </si>
  <si>
    <t>Kotlík žlabový oválný z lak. Pz plechu, 330/100 mm</t>
  </si>
  <si>
    <t>764816412R00</t>
  </si>
  <si>
    <t>Okapnice z lakovaného Pz plechu, rš 125 mm</t>
  </si>
  <si>
    <t>765331865R00</t>
  </si>
  <si>
    <t>Větrací pás okapní šířky  80 mm</t>
  </si>
  <si>
    <t>okna</t>
  </si>
  <si>
    <t>Větrací pás okapní pod kontralatí</t>
  </si>
  <si>
    <t>střecha 2 svody</t>
  </si>
  <si>
    <t>sedlo-hřeben</t>
  </si>
  <si>
    <t>valba-nároží</t>
  </si>
  <si>
    <t>ZTI komínek odvětrávací pro kanalizaci</t>
  </si>
  <si>
    <t>Atypické výrobky a prvky</t>
  </si>
  <si>
    <t>Přibití pásů rohože hřebíky pod falcované krytiny</t>
  </si>
  <si>
    <t>712691689RT9</t>
  </si>
  <si>
    <t>Montáž podstřešní fólie - pojistná hydroizolace</t>
  </si>
  <si>
    <t>Fólie a izolace do konstrukce střech, paropropustná</t>
  </si>
  <si>
    <t>998011001R00</t>
  </si>
  <si>
    <t>Přesun hmot pro budovy zděné výšky do 6 m</t>
  </si>
  <si>
    <t>práce HSV , tunáž</t>
  </si>
  <si>
    <t>952901411R00</t>
  </si>
  <si>
    <t>Vyčištění ostatních objektů</t>
  </si>
  <si>
    <t>783616000R00</t>
  </si>
  <si>
    <t>771101210R00</t>
  </si>
  <si>
    <t>Penetrace podkladu pod dlažby</t>
  </si>
  <si>
    <t>771_</t>
  </si>
  <si>
    <t>77_</t>
  </si>
  <si>
    <t>771579792R00</t>
  </si>
  <si>
    <t>Příplatek za podlahy keram.v omezeném prostoru</t>
  </si>
  <si>
    <t>771575109R00</t>
  </si>
  <si>
    <t>Montáž keramické dlažby, hladké, na tmel, 300 x 300 m</t>
  </si>
  <si>
    <t>771475014R00</t>
  </si>
  <si>
    <t>Obklad soklíků keram.rovných, tmel,výška 10 cm</t>
  </si>
  <si>
    <t>771479001R00</t>
  </si>
  <si>
    <t>Řezání dlaždic keramických pro soklíky</t>
  </si>
  <si>
    <t>Dlaždice Taurus Industrial 300 x 300 x 9 mm pro nevidomé</t>
  </si>
  <si>
    <t>998771101R00</t>
  </si>
  <si>
    <t>Přesun hmot pro podlahy z dlaždic, výšky do 6 m</t>
  </si>
  <si>
    <t>762911125R00</t>
  </si>
  <si>
    <t>Impregnace řeziv.tlakovakuová Bochemit FORTE PROFI</t>
  </si>
  <si>
    <t>783_</t>
  </si>
  <si>
    <t>78_</t>
  </si>
  <si>
    <t>Nátěr olejový truhlářských výrobků, napuštění</t>
  </si>
  <si>
    <t>783612110R00</t>
  </si>
  <si>
    <t>Nátěr truhlářských výrobků dvojnásobný vrchní vodoodpudivý</t>
  </si>
  <si>
    <t>783900090RAB</t>
  </si>
  <si>
    <t>Ostatní práce pro nátěry</t>
  </si>
  <si>
    <t>Ostatní práce pro nátěry, příprava podkdladů před napuštěním</t>
  </si>
  <si>
    <t>míst.č.: 1.01 sklad</t>
  </si>
  <si>
    <t>míst.č.: 1.02 WC</t>
  </si>
  <si>
    <t>míst.č.: 1.03 kancelář</t>
  </si>
  <si>
    <t>dtto, ale po obvodu místností</t>
  </si>
  <si>
    <t>771578011R00</t>
  </si>
  <si>
    <t>Spára podlaha - stěna, silikonem</t>
  </si>
  <si>
    <t>Dlaždice slinutá 300 x 300 x 9 mm</t>
  </si>
  <si>
    <t>řezivo oddíl:762</t>
  </si>
  <si>
    <t>řezivo oddíl:763</t>
  </si>
  <si>
    <t>řezivo oddíl:766</t>
  </si>
  <si>
    <t>597643319</t>
  </si>
  <si>
    <t>západní část</t>
  </si>
  <si>
    <t>jižní část</t>
  </si>
  <si>
    <t>severní část</t>
  </si>
  <si>
    <t>východní část</t>
  </si>
  <si>
    <t>Polštář základu zásyp ze štěrkodrti postupně hutněný</t>
  </si>
  <si>
    <t>Výkup kovů - železný šrot tl. do 4 mm</t>
  </si>
  <si>
    <t>Úklid staveniště</t>
  </si>
  <si>
    <t xml:space="preserve"> 4 - SO 04 Zpevněné plochy</t>
  </si>
  <si>
    <t>předpoklad (vytyčení inženýrských sítí,…)</t>
  </si>
  <si>
    <t xml:space="preserve">plocha 540 m2  </t>
  </si>
  <si>
    <t>viz výkr.: C.4</t>
  </si>
  <si>
    <t xml:space="preserve">obruby 111 mb  </t>
  </si>
  <si>
    <t>952902119R00</t>
  </si>
  <si>
    <t>998223011R00</t>
  </si>
  <si>
    <t>Přesun hmot, pozemní komunikace, kryt dlážděný</t>
  </si>
  <si>
    <t>viz PSV tonáže</t>
  </si>
  <si>
    <t>564932111R00</t>
  </si>
  <si>
    <t>Podklad z mechanicky zpevněného kameniva tl. 10 cm</t>
  </si>
  <si>
    <t>56_</t>
  </si>
  <si>
    <t>5_</t>
  </si>
  <si>
    <t>564811111RT3</t>
  </si>
  <si>
    <t>Podklad ze štěrkodrti po zhutnění tloušťky 5 cm</t>
  </si>
  <si>
    <t>Kladení betonových vegetačních tvárnic, lože z kameniva fr.4-8 tl. 30 mm, plocha do 50 m2</t>
  </si>
  <si>
    <t>59_</t>
  </si>
  <si>
    <t>59248302</t>
  </si>
  <si>
    <t>Dlažba betonová zatravňovací 600 x 400 x 80 mm šedá</t>
  </si>
  <si>
    <t>596921191R00</t>
  </si>
  <si>
    <t>Příplatek za výplň otvorů vegetačních tvárnic betonových, bez dodávky výplňového materiálu</t>
  </si>
  <si>
    <t>58333712</t>
  </si>
  <si>
    <t>Kačírek praný 2/8 mm</t>
  </si>
  <si>
    <t>Kačírek praný 2/8 mm, VL</t>
  </si>
  <si>
    <t>916661111R00</t>
  </si>
  <si>
    <t>Osazení park. obrubníků do lože z C 12/15 s opěrou</t>
  </si>
  <si>
    <t>59217510</t>
  </si>
  <si>
    <t>Obrubník parkový BEST LINEA II v. 250 x 80 x 1000 mm přírodní</t>
  </si>
  <si>
    <t>918101111R00</t>
  </si>
  <si>
    <t>Lože pod obrubníky nebo obruby dlažeb z C 12/15</t>
  </si>
  <si>
    <t>91 : doplňující konstrukce a práce na pozemních komunikacích a zpevněných plochách</t>
  </si>
  <si>
    <t>56 : podkladní vrstvy komunikací, letišť a ploch</t>
  </si>
  <si>
    <t>59 : kryty pozemních komunikací, letišť a ploch dlážděných (předlažby)</t>
  </si>
  <si>
    <t>5 : Komunikace a plochy</t>
  </si>
  <si>
    <t>596921113R00</t>
  </si>
  <si>
    <t>Kladení betonových vegetačních tvárnic, lože z kameniva</t>
  </si>
  <si>
    <t xml:space="preserve"> zdravotní technika</t>
  </si>
  <si>
    <t xml:space="preserve"> Novostavba hřbitovního domku </t>
  </si>
  <si>
    <t>781101210R00</t>
  </si>
  <si>
    <t>Penetrace podkladu pod obklady</t>
  </si>
  <si>
    <t>781_</t>
  </si>
  <si>
    <t>781111111R00</t>
  </si>
  <si>
    <t>Řezání obkladaček diamantovým kotoučem</t>
  </si>
  <si>
    <t>781111115R00</t>
  </si>
  <si>
    <t>Otvor v obkladačce diamant.korunkou prům.do 30 mm</t>
  </si>
  <si>
    <t>781111116R00</t>
  </si>
  <si>
    <t>Otvor v obkladačce diamant.korunkou prům.do 90 mm</t>
  </si>
  <si>
    <t>781475116R00</t>
  </si>
  <si>
    <t>Provedení keramického obkladu vnitřních stěn do tmele, do 300 x 300 mm</t>
  </si>
  <si>
    <t>597813720</t>
  </si>
  <si>
    <t>Obkládačka System 200 x 400 mm bílá mat</t>
  </si>
  <si>
    <t>998781101R00</t>
  </si>
  <si>
    <t>Přesun hmot pro obklady keramické, výšky do 6 m</t>
  </si>
  <si>
    <t>Provedení keramického obkladu vnitřních stěn do tmele</t>
  </si>
  <si>
    <t>210220021RT1</t>
  </si>
  <si>
    <t>Vedení uzemňovací v zemi vč.svorek a pásku FeZn 30 x 4 mm</t>
  </si>
  <si>
    <t>zemnící pásek uložen v základech nastojato</t>
  </si>
  <si>
    <t>210220022RT1</t>
  </si>
  <si>
    <t>Vedení uzemňovací v zemi včetně drátu FeZn 10 mm</t>
  </si>
  <si>
    <t>vývody ze země</t>
  </si>
  <si>
    <t>Výsledná cena za elektroinstalaci včetně hromosvodu bez DPH:</t>
  </si>
  <si>
    <t>Celkem za práci:</t>
  </si>
  <si>
    <t>Revize vyhrazeného technického zařízení</t>
  </si>
  <si>
    <t>Instalace a připojení hromosvodu</t>
  </si>
  <si>
    <t>Instalace a zapojení přístrojů</t>
  </si>
  <si>
    <t>Natažení kabelových tras</t>
  </si>
  <si>
    <t>Vytvoření kabelových tras</t>
  </si>
  <si>
    <t>Výroba, montáž rozváděče a svorkovnice MET</t>
  </si>
  <si>
    <t>Instalace a připojení venkovního přívodu</t>
  </si>
  <si>
    <t>Počet MJ</t>
  </si>
  <si>
    <t>PRÁCE</t>
  </si>
  <si>
    <t>Celkem za materiál bez DPH:</t>
  </si>
  <si>
    <t>Hromosvod</t>
  </si>
  <si>
    <t>Rozváděč a jistící přístroje</t>
  </si>
  <si>
    <t>Svítidla včetně žárovek</t>
  </si>
  <si>
    <t>Nástěnné přístroje a spotřební materiál</t>
  </si>
  <si>
    <t>Vnitřní rozvody včetně kabelových tras</t>
  </si>
  <si>
    <t>Venkovní přívod</t>
  </si>
  <si>
    <t>MATERIÁL</t>
  </si>
  <si>
    <t>Rozpočet je včetně materiálu, revize VTZ, hromosvodu</t>
  </si>
  <si>
    <t xml:space="preserve">Zemní práce-lože, zásypy,... </t>
  </si>
  <si>
    <t xml:space="preserve">Materiál rozvody elektro </t>
  </si>
  <si>
    <t>Cena (Kč)</t>
  </si>
  <si>
    <t>Počet (KS/M)</t>
  </si>
  <si>
    <t>Elektroinstalace</t>
  </si>
  <si>
    <t>Krabička zápustná do dřeva</t>
  </si>
  <si>
    <t>Rámeček zásuvka/vypínač hnědý</t>
  </si>
  <si>
    <t>Dvouzásuvka Tango hnědá</t>
  </si>
  <si>
    <t>Zásuvka Tango hnědá</t>
  </si>
  <si>
    <t>Vypínače</t>
  </si>
  <si>
    <t>Spotřební materiál</t>
  </si>
  <si>
    <t>Kabel 3x1,5</t>
  </si>
  <si>
    <t>Kabel 3X2,5</t>
  </si>
  <si>
    <t>Lišty 40x40</t>
  </si>
  <si>
    <t>Výstražná fólie</t>
  </si>
  <si>
    <t>Kabel CYA 1X16</t>
  </si>
  <si>
    <t>Chránička</t>
  </si>
  <si>
    <t>Kabel CYKY-J 5X6</t>
  </si>
  <si>
    <t>Svítidla nástěnná s čidlem</t>
  </si>
  <si>
    <t xml:space="preserve">Svítidlo stropní </t>
  </si>
  <si>
    <t>Žárovky (LED)</t>
  </si>
  <si>
    <t>Výbava Rozváděče</t>
  </si>
  <si>
    <t>Rozváděč + prvky</t>
  </si>
  <si>
    <t>Jističochránič 10 A</t>
  </si>
  <si>
    <t>Jističochránič 16 A</t>
  </si>
  <si>
    <t>Svorkovnice MET</t>
  </si>
  <si>
    <t>Přepěťová ochrana</t>
  </si>
  <si>
    <t>Hlavní vypínač (Jistič 25  A)</t>
  </si>
  <si>
    <t>Drát zemnící 8 AlMgSi</t>
  </si>
  <si>
    <t>Samolepící podpěry</t>
  </si>
  <si>
    <t>Objímky na svod</t>
  </si>
  <si>
    <t xml:space="preserve">Příchydky na dřevo </t>
  </si>
  <si>
    <t>Jímací tyč</t>
  </si>
  <si>
    <t xml:space="preserve">REKAPITULACE  </t>
  </si>
  <si>
    <t>sou</t>
  </si>
  <si>
    <t xml:space="preserve">Cena MJ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</si>
</sst>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Kč&quot;_-;\-* #,##0.00\ &quot;Kč&quot;_-;_-* &quot;-&quot;??\ &quot;Kč&quot;_-;_-@_-"/>
    <numFmt numFmtId="164" formatCode="* _-#,##0.00\ &quot;Kč&quot;;* \-#,##0.00\ &quot;Kč&quot;;* _-&quot;-&quot;??\ &quot;Kč&quot;;@"/>
    <numFmt numFmtId="165" formatCode="* _-#,##0\ &quot;Kč&quot;;* \-#,##0\ &quot;Kč&quot;;* _-&quot;-&quot;??\ &quot;Kč&quot;;@"/>
    <numFmt numFmtId="166" formatCode="_-* #,##0.00\ _K_č_-;\-* #,##0.00\ _K_č_-;_-* &quot;-&quot;??\ _K_č_-;_-@_-"/>
    <numFmt numFmtId="167" formatCode="0.0%"/>
    <numFmt numFmtId="168" formatCode="#,##0.0"/>
    <numFmt numFmtId="169" formatCode="#,##0\ &quot;Kč&quot;"/>
    <numFmt numFmtId="170" formatCode="_-* #,##0\ _K_č_-;\-* #,##0\ _K_č_-;_-* &quot;-&quot;\ _K_č_-;_-@_-"/>
    <numFmt numFmtId="171" formatCode="#"/>
    <numFmt numFmtId="172" formatCode="_-* #,##0\ &quot;Kč&quot;_-;\-* #,##0\ &quot;Kč&quot;_-;_-* &quot;-&quot;??\ &quot;Kč&quot;_-;_-@_-"/>
    <numFmt numFmtId="173" formatCode="0.0000"/>
    <numFmt numFmtId="174" formatCode="#,##0.000"/>
    <numFmt numFmtId="175" formatCode="#,##0.00_ ;\-#,##0.00\ "/>
    <numFmt numFmtId="176" formatCode="0.000"/>
    <numFmt numFmtId="177" formatCode="0.0"/>
    <numFmt numFmtId="178" formatCode="dd/mm/yy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9"/>
      <name val="Arial"/>
      <family val="2"/>
      <charset val="238"/>
    </font>
    <font>
      <sz val="22"/>
      <name val="Arial"/>
      <family val="2"/>
      <charset val="238"/>
    </font>
    <font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indexed="18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8"/>
      <name val="Arial Narrow"/>
      <family val="2"/>
      <charset val="238"/>
    </font>
    <font>
      <sz val="8"/>
      <color theme="0" tint="-0.499984740745262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  <charset val="238"/>
    </font>
    <font>
      <i/>
      <sz val="7"/>
      <name val="Arial Narrow"/>
      <family val="2"/>
      <charset val="238"/>
    </font>
    <font>
      <sz val="7"/>
      <name val="Arial Narrow"/>
      <family val="2"/>
      <charset val="238"/>
    </font>
    <font>
      <sz val="2"/>
      <name val="Arial"/>
      <family val="2"/>
      <charset val="238"/>
    </font>
    <font>
      <sz val="10"/>
      <name val="Helv"/>
    </font>
    <font>
      <sz val="6"/>
      <name val="Helv"/>
    </font>
    <font>
      <sz val="8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sz val="14"/>
      <color indexed="10"/>
      <name val="Arial CE"/>
      <charset val="238"/>
    </font>
    <font>
      <sz val="10"/>
      <name val="Arial Narrow"/>
      <family val="2"/>
      <charset val="238"/>
    </font>
    <font>
      <sz val="6"/>
      <name val="Arial Narrow"/>
      <family val="2"/>
      <charset val="238"/>
    </font>
    <font>
      <b/>
      <sz val="6"/>
      <color theme="0" tint="-0.499984740745262"/>
      <name val="Arial Narrow"/>
      <family val="2"/>
      <charset val="238"/>
    </font>
    <font>
      <b/>
      <sz val="9"/>
      <color theme="0" tint="-0.499984740745262"/>
      <name val="Arial Narrow"/>
      <family val="2"/>
      <charset val="238"/>
    </font>
    <font>
      <sz val="6"/>
      <color indexed="12"/>
      <name val="Arial Narrow"/>
      <family val="2"/>
      <charset val="238"/>
    </font>
    <font>
      <sz val="5"/>
      <color indexed="12"/>
      <name val="Arial Narrow"/>
      <family val="2"/>
      <charset val="238"/>
    </font>
    <font>
      <sz val="4.5"/>
      <color indexed="12"/>
      <name val="Arial Narrow"/>
      <family val="2"/>
      <charset val="238"/>
    </font>
    <font>
      <b/>
      <sz val="6"/>
      <name val="Arial Narrow"/>
      <family val="2"/>
      <charset val="238"/>
    </font>
    <font>
      <b/>
      <sz val="10"/>
      <name val="Arial Narrow"/>
      <family val="2"/>
      <charset val="238"/>
    </font>
    <font>
      <b/>
      <sz val="7"/>
      <name val="Arial Narrow"/>
      <family val="2"/>
      <charset val="238"/>
    </font>
    <font>
      <sz val="4.5"/>
      <color indexed="22"/>
      <name val="Arial Narrow"/>
      <family val="2"/>
      <charset val="238"/>
    </font>
    <font>
      <sz val="4"/>
      <color indexed="12"/>
      <name val="Arial Narrow"/>
      <family val="2"/>
      <charset val="238"/>
    </font>
    <font>
      <sz val="6"/>
      <name val="Helv"/>
      <charset val="238"/>
    </font>
    <font>
      <sz val="6"/>
      <name val="Arial CE"/>
      <charset val="238"/>
    </font>
    <font>
      <sz val="4"/>
      <color theme="0" tint="-0.499984740745262"/>
      <name val="Arial Narrow"/>
      <family val="2"/>
      <charset val="238"/>
    </font>
    <font>
      <sz val="11"/>
      <color rgb="FFFFFF00"/>
      <name val="Calibri"/>
      <family val="2"/>
      <charset val="238"/>
      <scheme val="minor"/>
    </font>
    <font>
      <sz val="1"/>
      <name val="Arial"/>
      <family val="2"/>
      <charset val="238"/>
    </font>
    <font>
      <i/>
      <sz val="8"/>
      <name val="Arial Narrow"/>
      <family val="2"/>
      <charset val="238"/>
    </font>
    <font>
      <sz val="4"/>
      <color indexed="22"/>
      <name val="Arial Narrow"/>
      <family val="2"/>
      <charset val="238"/>
    </font>
    <font>
      <sz val="10"/>
      <name val="Arial CE"/>
    </font>
    <font>
      <i/>
      <sz val="8"/>
      <name val="Arial CE"/>
      <family val="2"/>
      <charset val="238"/>
    </font>
    <font>
      <i/>
      <sz val="9"/>
      <name val="Arial CE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u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1"/>
      <color indexed="10"/>
      <name val="Arial"/>
      <family val="2"/>
      <charset val="238"/>
    </font>
    <font>
      <sz val="11"/>
      <name val="Arial"/>
      <family val="2"/>
      <charset val="238"/>
    </font>
    <font>
      <sz val="13"/>
      <name val="Arial"/>
      <family val="2"/>
      <charset val="238"/>
    </font>
    <font>
      <b/>
      <sz val="22"/>
      <color indexed="18"/>
      <name val="Arial"/>
      <family val="2"/>
      <charset val="238"/>
    </font>
    <font>
      <sz val="1"/>
      <name val="Arial Narrow"/>
      <family val="2"/>
      <charset val="238"/>
    </font>
    <font>
      <sz val="11"/>
      <color theme="0" tint="-0.499984740745262"/>
      <name val="Arial"/>
      <family val="2"/>
      <charset val="238"/>
    </font>
    <font>
      <sz val="9"/>
      <name val="Arial CE"/>
      <charset val="238"/>
    </font>
    <font>
      <sz val="10"/>
      <color theme="0" tint="-0.499984740745262"/>
      <name val="Arial CE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9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</fills>
  <borders count="8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44" fontId="1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54" fillId="0" borderId="0"/>
    <xf numFmtId="0" fontId="11" fillId="0" borderId="0"/>
    <xf numFmtId="0" fontId="3" fillId="0" borderId="0" applyFont="0" applyFill="0" applyBorder="0" applyAlignment="0" applyProtection="0"/>
    <xf numFmtId="0" fontId="1" fillId="0" borderId="0"/>
  </cellStyleXfs>
  <cellXfs count="687">
    <xf numFmtId="0" fontId="0" fillId="0" borderId="0" xfId="0"/>
    <xf numFmtId="0" fontId="2" fillId="0" borderId="0" xfId="1" applyAlignment="1">
      <alignment vertical="center"/>
    </xf>
    <xf numFmtId="165" fontId="4" fillId="2" borderId="1" xfId="2" applyNumberFormat="1" applyFont="1" applyFill="1" applyBorder="1" applyAlignment="1" applyProtection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2" fillId="0" borderId="7" xfId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2" fillId="0" borderId="9" xfId="1" applyBorder="1" applyAlignment="1" applyProtection="1">
      <alignment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166" fontId="2" fillId="0" borderId="0" xfId="1" applyNumberFormat="1" applyAlignment="1">
      <alignment vertical="center"/>
    </xf>
    <xf numFmtId="165" fontId="2" fillId="0" borderId="11" xfId="2" applyNumberFormat="1" applyFont="1" applyFill="1" applyBorder="1" applyAlignment="1" applyProtection="1">
      <alignment vertical="center"/>
    </xf>
    <xf numFmtId="0" fontId="5" fillId="0" borderId="1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2" fillId="0" borderId="0" xfId="1" applyAlignment="1" applyProtection="1">
      <alignment vertical="center"/>
      <protection locked="0"/>
    </xf>
    <xf numFmtId="0" fontId="2" fillId="0" borderId="16" xfId="1" applyBorder="1" applyAlignment="1" applyProtection="1">
      <alignment vertical="center"/>
      <protection locked="0"/>
    </xf>
    <xf numFmtId="0" fontId="2" fillId="0" borderId="17" xfId="1" applyBorder="1" applyAlignment="1" applyProtection="1">
      <alignment vertical="center"/>
      <protection locked="0"/>
    </xf>
    <xf numFmtId="0" fontId="2" fillId="0" borderId="18" xfId="1" applyBorder="1" applyAlignment="1" applyProtection="1">
      <alignment vertical="center"/>
      <protection locked="0"/>
    </xf>
    <xf numFmtId="165" fontId="6" fillId="0" borderId="11" xfId="2" applyNumberFormat="1" applyFont="1" applyFill="1" applyBorder="1" applyAlignment="1" applyProtection="1">
      <alignment vertical="center"/>
    </xf>
    <xf numFmtId="167" fontId="7" fillId="0" borderId="13" xfId="1" applyNumberFormat="1" applyFont="1" applyBorder="1" applyAlignment="1">
      <alignment horizontal="right" vertical="center"/>
    </xf>
    <xf numFmtId="0" fontId="3" fillId="0" borderId="13" xfId="1" applyFont="1" applyBorder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2" fillId="0" borderId="20" xfId="1" applyBorder="1" applyAlignment="1" applyProtection="1">
      <alignment vertical="center"/>
      <protection locked="0"/>
    </xf>
    <xf numFmtId="0" fontId="7" fillId="0" borderId="20" xfId="1" applyFont="1" applyBorder="1" applyAlignment="1" applyProtection="1">
      <alignment vertical="center"/>
      <protection locked="0"/>
    </xf>
    <xf numFmtId="0" fontId="2" fillId="0" borderId="21" xfId="1" applyBorder="1" applyAlignment="1" applyProtection="1">
      <alignment vertical="center"/>
      <protection locked="0"/>
    </xf>
    <xf numFmtId="0" fontId="3" fillId="0" borderId="22" xfId="1" applyFont="1" applyBorder="1" applyAlignment="1" applyProtection="1">
      <alignment vertical="center"/>
      <protection locked="0"/>
    </xf>
    <xf numFmtId="165" fontId="3" fillId="0" borderId="23" xfId="2" applyNumberFormat="1" applyFont="1" applyFill="1" applyBorder="1" applyAlignment="1" applyProtection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8" fillId="0" borderId="24" xfId="1" applyFont="1" applyBorder="1" applyAlignment="1">
      <alignment horizontal="left" vertical="center"/>
    </xf>
    <xf numFmtId="0" fontId="9" fillId="3" borderId="25" xfId="1" applyFont="1" applyFill="1" applyBorder="1" applyAlignment="1">
      <alignment horizontal="left" vertical="center"/>
    </xf>
    <xf numFmtId="0" fontId="10" fillId="3" borderId="26" xfId="1" applyFont="1" applyFill="1" applyBorder="1" applyAlignment="1">
      <alignment horizontal="center" vertical="center"/>
    </xf>
    <xf numFmtId="0" fontId="2" fillId="0" borderId="15" xfId="1" applyBorder="1" applyAlignment="1">
      <alignment vertical="center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18" xfId="1" applyFont="1" applyBorder="1" applyAlignment="1" applyProtection="1">
      <alignment horizontal="left" vertical="center"/>
      <protection locked="0"/>
    </xf>
    <xf numFmtId="168" fontId="7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18" xfId="1" applyFont="1" applyBorder="1" applyAlignment="1" applyProtection="1">
      <alignment vertical="center"/>
      <protection locked="0"/>
    </xf>
    <xf numFmtId="165" fontId="2" fillId="0" borderId="11" xfId="2" applyNumberFormat="1" applyFont="1" applyFill="1" applyBorder="1" applyAlignment="1" applyProtection="1">
      <alignment vertical="center"/>
      <protection locked="0"/>
    </xf>
    <xf numFmtId="9" fontId="5" fillId="0" borderId="27" xfId="1" applyNumberFormat="1" applyFont="1" applyBorder="1" applyAlignment="1">
      <alignment vertical="center"/>
    </xf>
    <xf numFmtId="169" fontId="5" fillId="0" borderId="12" xfId="1" applyNumberFormat="1" applyFont="1" applyBorder="1" applyAlignment="1" applyProtection="1">
      <alignment vertical="center"/>
      <protection locked="0"/>
    </xf>
    <xf numFmtId="9" fontId="5" fillId="0" borderId="27" xfId="3" applyFont="1" applyFill="1" applyBorder="1" applyAlignment="1" applyProtection="1">
      <alignment horizontal="right" vertical="center"/>
      <protection locked="0"/>
    </xf>
    <xf numFmtId="0" fontId="7" fillId="0" borderId="16" xfId="1" applyFont="1" applyBorder="1" applyAlignment="1" applyProtection="1">
      <alignment vertical="center"/>
      <protection locked="0"/>
    </xf>
    <xf numFmtId="0" fontId="3" fillId="0" borderId="18" xfId="1" applyFont="1" applyBorder="1" applyAlignment="1" applyProtection="1">
      <alignment vertical="center"/>
      <protection locked="0"/>
    </xf>
    <xf numFmtId="10" fontId="12" fillId="0" borderId="0" xfId="3" applyNumberFormat="1" applyFont="1" applyAlignment="1">
      <alignment vertical="center"/>
    </xf>
    <xf numFmtId="9" fontId="13" fillId="0" borderId="27" xfId="3" applyFont="1" applyFill="1" applyBorder="1" applyAlignment="1" applyProtection="1">
      <alignment horizontal="right" vertical="center"/>
      <protection locked="0"/>
    </xf>
    <xf numFmtId="0" fontId="2" fillId="0" borderId="28" xfId="1" applyBorder="1" applyAlignment="1">
      <alignment vertical="center"/>
    </xf>
    <xf numFmtId="0" fontId="7" fillId="0" borderId="29" xfId="1" applyFont="1" applyBorder="1" applyAlignment="1" applyProtection="1">
      <alignment vertical="center"/>
      <protection locked="0"/>
    </xf>
    <xf numFmtId="0" fontId="2" fillId="0" borderId="29" xfId="1" applyBorder="1" applyAlignment="1" applyProtection="1">
      <alignment vertical="center"/>
      <protection locked="0"/>
    </xf>
    <xf numFmtId="0" fontId="5" fillId="0" borderId="29" xfId="1" applyFont="1" applyBorder="1" applyAlignment="1" applyProtection="1">
      <alignment horizontal="left" vertical="center"/>
      <protection locked="0"/>
    </xf>
    <xf numFmtId="0" fontId="2" fillId="0" borderId="30" xfId="1" applyBorder="1" applyAlignment="1" applyProtection="1">
      <alignment vertical="center"/>
      <protection locked="0"/>
    </xf>
    <xf numFmtId="0" fontId="5" fillId="0" borderId="31" xfId="1" applyFont="1" applyBorder="1" applyAlignment="1" applyProtection="1">
      <alignment horizontal="left" vertical="center"/>
      <protection locked="0"/>
    </xf>
    <xf numFmtId="170" fontId="2" fillId="0" borderId="0" xfId="4" applyFont="1" applyAlignment="1">
      <alignment vertical="center"/>
    </xf>
    <xf numFmtId="165" fontId="4" fillId="2" borderId="32" xfId="2" applyNumberFormat="1" applyFont="1" applyFill="1" applyBorder="1" applyAlignment="1" applyProtection="1">
      <alignment vertical="center"/>
    </xf>
    <xf numFmtId="168" fontId="2" fillId="0" borderId="15" xfId="1" applyNumberFormat="1" applyBorder="1" applyAlignment="1">
      <alignment vertical="center"/>
    </xf>
    <xf numFmtId="0" fontId="2" fillId="0" borderId="33" xfId="1" applyBorder="1" applyAlignment="1">
      <alignment vertical="center"/>
    </xf>
    <xf numFmtId="0" fontId="7" fillId="0" borderId="34" xfId="1" applyFont="1" applyBorder="1" applyAlignment="1" applyProtection="1">
      <alignment vertical="center"/>
      <protection locked="0"/>
    </xf>
    <xf numFmtId="0" fontId="2" fillId="0" borderId="34" xfId="1" applyBorder="1" applyAlignment="1" applyProtection="1">
      <alignment vertical="center"/>
      <protection locked="0"/>
    </xf>
    <xf numFmtId="0" fontId="7" fillId="0" borderId="35" xfId="1" applyFont="1" applyBorder="1" applyAlignment="1" applyProtection="1">
      <alignment vertical="center"/>
      <protection locked="0"/>
    </xf>
    <xf numFmtId="0" fontId="2" fillId="0" borderId="36" xfId="1" applyBorder="1" applyAlignment="1" applyProtection="1">
      <alignment vertical="center"/>
      <protection locked="0"/>
    </xf>
    <xf numFmtId="0" fontId="3" fillId="0" borderId="37" xfId="1" applyFont="1" applyBorder="1" applyAlignment="1" applyProtection="1">
      <alignment vertical="center"/>
      <protection locked="0"/>
    </xf>
    <xf numFmtId="165" fontId="5" fillId="0" borderId="0" xfId="5" applyNumberFormat="1" applyFont="1" applyAlignment="1">
      <alignment vertical="center"/>
    </xf>
    <xf numFmtId="165" fontId="2" fillId="0" borderId="38" xfId="2" applyNumberFormat="1" applyFont="1" applyFill="1" applyBorder="1" applyAlignment="1" applyProtection="1">
      <alignment vertical="center"/>
    </xf>
    <xf numFmtId="0" fontId="5" fillId="0" borderId="4" xfId="1" applyFont="1" applyBorder="1" applyAlignment="1">
      <alignment vertical="center"/>
    </xf>
    <xf numFmtId="3" fontId="2" fillId="0" borderId="39" xfId="1" applyNumberFormat="1" applyBorder="1" applyAlignment="1">
      <alignment vertical="center"/>
    </xf>
    <xf numFmtId="165" fontId="2" fillId="0" borderId="4" xfId="2" applyNumberFormat="1" applyFont="1" applyFill="1" applyBorder="1" applyAlignment="1" applyProtection="1">
      <alignment vertical="center"/>
    </xf>
    <xf numFmtId="165" fontId="14" fillId="0" borderId="0" xfId="5" applyNumberFormat="1" applyFont="1" applyAlignment="1">
      <alignment vertical="center"/>
    </xf>
    <xf numFmtId="165" fontId="2" fillId="0" borderId="32" xfId="2" applyNumberFormat="1" applyFont="1" applyFill="1" applyBorder="1" applyAlignment="1" applyProtection="1">
      <alignment vertical="center"/>
    </xf>
    <xf numFmtId="0" fontId="13" fillId="0" borderId="13" xfId="1" applyFont="1" applyBorder="1" applyAlignment="1">
      <alignment vertical="center"/>
    </xf>
    <xf numFmtId="3" fontId="2" fillId="0" borderId="40" xfId="1" applyNumberFormat="1" applyBorder="1" applyAlignment="1">
      <alignment vertical="center"/>
    </xf>
    <xf numFmtId="165" fontId="2" fillId="0" borderId="41" xfId="2" applyNumberFormat="1" applyFont="1" applyFill="1" applyBorder="1" applyAlignment="1" applyProtection="1">
      <alignment vertical="center"/>
    </xf>
    <xf numFmtId="0" fontId="5" fillId="0" borderId="42" xfId="1" applyFont="1" applyBorder="1" applyAlignment="1">
      <alignment vertical="center"/>
    </xf>
    <xf numFmtId="3" fontId="2" fillId="0" borderId="43" xfId="1" applyNumberFormat="1" applyBorder="1" applyAlignment="1">
      <alignment vertical="center"/>
    </xf>
    <xf numFmtId="165" fontId="2" fillId="0" borderId="13" xfId="2" applyNumberFormat="1" applyFont="1" applyFill="1" applyBorder="1" applyAlignment="1" applyProtection="1">
      <alignment vertical="center"/>
    </xf>
    <xf numFmtId="165" fontId="2" fillId="0" borderId="6" xfId="2" applyNumberFormat="1" applyFont="1" applyFill="1" applyBorder="1" applyAlignment="1" applyProtection="1">
      <alignment vertical="center"/>
    </xf>
    <xf numFmtId="0" fontId="5" fillId="0" borderId="27" xfId="1" applyFont="1" applyBorder="1" applyAlignment="1">
      <alignment vertical="center"/>
    </xf>
    <xf numFmtId="167" fontId="2" fillId="0" borderId="0" xfId="1" applyNumberFormat="1" applyAlignment="1">
      <alignment vertical="center"/>
    </xf>
    <xf numFmtId="167" fontId="7" fillId="0" borderId="13" xfId="1" applyNumberFormat="1" applyFont="1" applyBorder="1" applyAlignment="1" applyProtection="1">
      <alignment horizontal="right" vertical="center"/>
      <protection locked="0"/>
    </xf>
    <xf numFmtId="171" fontId="5" fillId="0" borderId="13" xfId="1" applyNumberFormat="1" applyFont="1" applyBorder="1" applyAlignment="1">
      <alignment vertical="center"/>
    </xf>
    <xf numFmtId="165" fontId="2" fillId="0" borderId="19" xfId="2" applyNumberFormat="1" applyFont="1" applyFill="1" applyBorder="1" applyAlignment="1" applyProtection="1">
      <alignment vertical="center"/>
    </xf>
    <xf numFmtId="165" fontId="3" fillId="0" borderId="13" xfId="2" applyNumberFormat="1" applyFont="1" applyFill="1" applyBorder="1" applyAlignment="1" applyProtection="1">
      <alignment vertical="center"/>
    </xf>
    <xf numFmtId="4" fontId="5" fillId="0" borderId="42" xfId="1" applyNumberFormat="1" applyFont="1" applyBorder="1" applyAlignment="1">
      <alignment vertical="center"/>
    </xf>
    <xf numFmtId="171" fontId="13" fillId="0" borderId="13" xfId="1" applyNumberFormat="1" applyFont="1" applyBorder="1" applyAlignment="1">
      <alignment vertical="center"/>
    </xf>
    <xf numFmtId="165" fontId="2" fillId="0" borderId="28" xfId="2" applyNumberFormat="1" applyFont="1" applyFill="1" applyBorder="1" applyAlignment="1" applyProtection="1">
      <alignment vertical="center"/>
    </xf>
    <xf numFmtId="0" fontId="3" fillId="0" borderId="23" xfId="1" applyFont="1" applyBorder="1" applyAlignment="1">
      <alignment horizontal="left" vertical="center"/>
    </xf>
    <xf numFmtId="0" fontId="9" fillId="3" borderId="25" xfId="1" applyFont="1" applyFill="1" applyBorder="1" applyAlignment="1">
      <alignment vertical="center"/>
    </xf>
    <xf numFmtId="0" fontId="2" fillId="3" borderId="25" xfId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2" fillId="0" borderId="4" xfId="1" applyBorder="1" applyAlignment="1">
      <alignment vertical="center"/>
    </xf>
    <xf numFmtId="168" fontId="2" fillId="0" borderId="3" xfId="1" applyNumberFormat="1" applyBorder="1" applyAlignment="1">
      <alignment vertical="center"/>
    </xf>
    <xf numFmtId="0" fontId="2" fillId="0" borderId="3" xfId="1" applyBorder="1" applyAlignment="1">
      <alignment vertical="center"/>
    </xf>
    <xf numFmtId="3" fontId="2" fillId="0" borderId="2" xfId="1" applyNumberFormat="1" applyBorder="1" applyAlignment="1">
      <alignment vertical="center"/>
    </xf>
    <xf numFmtId="3" fontId="2" fillId="0" borderId="4" xfId="1" applyNumberFormat="1" applyBorder="1" applyAlignment="1">
      <alignment vertical="center"/>
    </xf>
    <xf numFmtId="168" fontId="2" fillId="0" borderId="2" xfId="1" applyNumberFormat="1" applyBorder="1" applyAlignment="1">
      <alignment vertical="center"/>
    </xf>
    <xf numFmtId="0" fontId="2" fillId="0" borderId="48" xfId="1" applyBorder="1" applyAlignment="1">
      <alignment vertical="center"/>
    </xf>
    <xf numFmtId="0" fontId="2" fillId="0" borderId="43" xfId="1" applyBorder="1" applyAlignment="1">
      <alignment vertical="center"/>
    </xf>
    <xf numFmtId="0" fontId="2" fillId="0" borderId="13" xfId="1" applyBorder="1" applyAlignment="1">
      <alignment vertical="center"/>
    </xf>
    <xf numFmtId="0" fontId="2" fillId="0" borderId="12" xfId="1" applyBorder="1" applyAlignment="1">
      <alignment vertical="center"/>
    </xf>
    <xf numFmtId="0" fontId="2" fillId="0" borderId="42" xfId="1" applyBorder="1" applyAlignment="1">
      <alignment vertical="center"/>
    </xf>
    <xf numFmtId="0" fontId="2" fillId="0" borderId="42" xfId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2" fillId="0" borderId="44" xfId="1" applyBorder="1" applyAlignment="1">
      <alignment horizontal="left" vertical="center"/>
    </xf>
    <xf numFmtId="171" fontId="2" fillId="0" borderId="43" xfId="1" applyNumberFormat="1" applyBorder="1" applyAlignment="1">
      <alignment vertical="center"/>
    </xf>
    <xf numFmtId="171" fontId="2" fillId="0" borderId="12" xfId="1" applyNumberFormat="1" applyBorder="1" applyAlignment="1">
      <alignment vertical="center"/>
    </xf>
    <xf numFmtId="0" fontId="2" fillId="0" borderId="44" xfId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34" xfId="1" applyFont="1" applyBorder="1" applyAlignment="1">
      <alignment vertical="center"/>
    </xf>
    <xf numFmtId="0" fontId="3" fillId="0" borderId="37" xfId="1" applyFont="1" applyBorder="1" applyAlignment="1">
      <alignment vertical="center"/>
    </xf>
    <xf numFmtId="0" fontId="17" fillId="0" borderId="6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10" xfId="1" applyFont="1" applyBorder="1" applyAlignment="1">
      <alignment vertical="center"/>
    </xf>
    <xf numFmtId="3" fontId="17" fillId="0" borderId="11" xfId="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vertical="center"/>
    </xf>
    <xf numFmtId="171" fontId="7" fillId="0" borderId="0" xfId="1" applyNumberFormat="1" applyFont="1" applyAlignment="1">
      <alignment vertical="center"/>
    </xf>
    <xf numFmtId="171" fontId="17" fillId="0" borderId="0" xfId="1" applyNumberFormat="1" applyFont="1" applyAlignment="1">
      <alignment vertical="center"/>
    </xf>
    <xf numFmtId="171" fontId="17" fillId="0" borderId="13" xfId="1" applyNumberFormat="1" applyFont="1" applyBorder="1" applyAlignment="1">
      <alignment vertical="center"/>
    </xf>
    <xf numFmtId="49" fontId="17" fillId="0" borderId="27" xfId="1" applyNumberFormat="1" applyFont="1" applyBorder="1" applyAlignment="1">
      <alignment horizontal="center" vertical="center"/>
    </xf>
    <xf numFmtId="0" fontId="17" fillId="0" borderId="18" xfId="1" applyFont="1" applyBorder="1" applyAlignment="1">
      <alignment vertical="center"/>
    </xf>
    <xf numFmtId="0" fontId="17" fillId="0" borderId="15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17" fillId="0" borderId="43" xfId="1" applyFont="1" applyBorder="1" applyAlignment="1" applyProtection="1">
      <alignment vertical="center"/>
      <protection locked="0"/>
    </xf>
    <xf numFmtId="171" fontId="17" fillId="0" borderId="13" xfId="1" applyNumberFormat="1" applyFont="1" applyBorder="1" applyAlignment="1" applyProtection="1">
      <alignment vertical="center"/>
      <protection locked="0"/>
    </xf>
    <xf numFmtId="171" fontId="7" fillId="0" borderId="0" xfId="1" applyNumberFormat="1" applyFont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17" fillId="2" borderId="30" xfId="1" applyFont="1" applyFill="1" applyBorder="1" applyAlignment="1" applyProtection="1">
      <alignment horizontal="right" vertical="center"/>
      <protection locked="0"/>
    </xf>
    <xf numFmtId="0" fontId="17" fillId="2" borderId="29" xfId="1" applyFont="1" applyFill="1" applyBorder="1" applyAlignment="1" applyProtection="1">
      <alignment vertical="center"/>
      <protection locked="0"/>
    </xf>
    <xf numFmtId="171" fontId="17" fillId="2" borderId="45" xfId="1" applyNumberFormat="1" applyFont="1" applyFill="1" applyBorder="1" applyAlignment="1" applyProtection="1">
      <alignment vertical="center"/>
      <protection locked="0"/>
    </xf>
    <xf numFmtId="0" fontId="17" fillId="0" borderId="43" xfId="1" applyFont="1" applyBorder="1" applyAlignment="1">
      <alignment vertical="center"/>
    </xf>
    <xf numFmtId="0" fontId="17" fillId="2" borderId="17" xfId="1" applyFont="1" applyFill="1" applyBorder="1" applyAlignment="1">
      <alignment horizontal="right" vertical="center"/>
    </xf>
    <xf numFmtId="0" fontId="17" fillId="2" borderId="0" xfId="1" applyFont="1" applyFill="1" applyAlignment="1">
      <alignment vertical="center"/>
    </xf>
    <xf numFmtId="171" fontId="17" fillId="2" borderId="16" xfId="1" applyNumberFormat="1" applyFont="1" applyFill="1" applyBorder="1" applyAlignment="1">
      <alignment vertical="center"/>
    </xf>
    <xf numFmtId="171" fontId="17" fillId="0" borderId="13" xfId="1" applyNumberFormat="1" applyFont="1" applyBorder="1" applyAlignment="1">
      <alignment horizontal="left" vertical="center"/>
    </xf>
    <xf numFmtId="0" fontId="17" fillId="2" borderId="21" xfId="1" applyFont="1" applyFill="1" applyBorder="1" applyAlignment="1">
      <alignment horizontal="right" vertical="center"/>
    </xf>
    <xf numFmtId="0" fontId="17" fillId="2" borderId="20" xfId="1" applyFont="1" applyFill="1" applyBorder="1" applyAlignment="1">
      <alignment vertical="center"/>
    </xf>
    <xf numFmtId="171" fontId="17" fillId="2" borderId="46" xfId="1" applyNumberFormat="1" applyFont="1" applyFill="1" applyBorder="1" applyAlignment="1">
      <alignment horizontal="left" vertical="center"/>
    </xf>
    <xf numFmtId="0" fontId="17" fillId="0" borderId="15" xfId="1" applyFont="1" applyBorder="1" applyAlignment="1">
      <alignment vertical="center"/>
    </xf>
    <xf numFmtId="0" fontId="17" fillId="0" borderId="0" xfId="1" applyFont="1" applyAlignment="1">
      <alignment horizontal="right" vertical="center"/>
    </xf>
    <xf numFmtId="0" fontId="17" fillId="2" borderId="28" xfId="1" applyFont="1" applyFill="1" applyBorder="1" applyAlignment="1">
      <alignment vertical="center"/>
    </xf>
    <xf numFmtId="171" fontId="17" fillId="2" borderId="45" xfId="1" applyNumberFormat="1" applyFont="1" applyFill="1" applyBorder="1" applyAlignment="1">
      <alignment horizontal="left" vertical="center"/>
    </xf>
    <xf numFmtId="0" fontId="17" fillId="2" borderId="30" xfId="1" applyFont="1" applyFill="1" applyBorder="1" applyAlignment="1">
      <alignment horizontal="right" vertical="center"/>
    </xf>
    <xf numFmtId="0" fontId="17" fillId="2" borderId="29" xfId="1" applyFont="1" applyFill="1" applyBorder="1" applyAlignment="1">
      <alignment vertical="center"/>
    </xf>
    <xf numFmtId="171" fontId="17" fillId="2" borderId="45" xfId="1" applyNumberFormat="1" applyFont="1" applyFill="1" applyBorder="1" applyAlignment="1">
      <alignment vertical="center"/>
    </xf>
    <xf numFmtId="0" fontId="17" fillId="2" borderId="15" xfId="1" applyFont="1" applyFill="1" applyBorder="1" applyAlignment="1">
      <alignment vertical="center"/>
    </xf>
    <xf numFmtId="171" fontId="15" fillId="2" borderId="16" xfId="1" applyNumberFormat="1" applyFont="1" applyFill="1" applyBorder="1" applyAlignment="1">
      <alignment vertical="center"/>
    </xf>
    <xf numFmtId="0" fontId="17" fillId="2" borderId="19" xfId="1" applyFont="1" applyFill="1" applyBorder="1" applyAlignment="1">
      <alignment vertical="center"/>
    </xf>
    <xf numFmtId="171" fontId="17" fillId="2" borderId="46" xfId="1" applyNumberFormat="1" applyFont="1" applyFill="1" applyBorder="1" applyAlignment="1">
      <alignment vertical="center"/>
    </xf>
    <xf numFmtId="0" fontId="17" fillId="0" borderId="33" xfId="1" applyFont="1" applyBorder="1" applyAlignment="1">
      <alignment vertical="center"/>
    </xf>
    <xf numFmtId="0" fontId="17" fillId="0" borderId="34" xfId="1" applyFont="1" applyBorder="1" applyAlignment="1">
      <alignment vertical="center"/>
    </xf>
    <xf numFmtId="0" fontId="17" fillId="0" borderId="37" xfId="1" applyFont="1" applyBorder="1" applyAlignment="1">
      <alignment vertical="center"/>
    </xf>
    <xf numFmtId="0" fontId="18" fillId="0" borderId="40" xfId="1" applyFont="1" applyBorder="1" applyAlignment="1">
      <alignment horizontal="left" vertical="center"/>
    </xf>
    <xf numFmtId="0" fontId="18" fillId="0" borderId="47" xfId="1" applyFont="1" applyBorder="1" applyAlignment="1">
      <alignment horizontal="left" vertical="center"/>
    </xf>
    <xf numFmtId="0" fontId="19" fillId="0" borderId="47" xfId="1" applyFont="1" applyBorder="1" applyAlignment="1">
      <alignment horizontal="left" vertical="center"/>
    </xf>
    <xf numFmtId="0" fontId="18" fillId="0" borderId="41" xfId="1" applyFont="1" applyBorder="1" applyAlignment="1">
      <alignment horizontal="left" vertical="center"/>
    </xf>
    <xf numFmtId="0" fontId="2" fillId="0" borderId="0" xfId="6" applyAlignment="1">
      <alignment vertical="center"/>
    </xf>
    <xf numFmtId="172" fontId="2" fillId="0" borderId="0" xfId="7" applyNumberFormat="1" applyFont="1" applyAlignment="1">
      <alignment vertical="center"/>
    </xf>
    <xf numFmtId="172" fontId="17" fillId="0" borderId="0" xfId="7" applyNumberFormat="1" applyFont="1" applyAlignment="1">
      <alignment vertical="center"/>
    </xf>
    <xf numFmtId="0" fontId="2" fillId="0" borderId="0" xfId="6" applyAlignment="1">
      <alignment horizontal="center" vertical="center"/>
    </xf>
    <xf numFmtId="0" fontId="2" fillId="0" borderId="0" xfId="6" applyAlignment="1">
      <alignment horizontal="left" vertical="center" indent="1"/>
    </xf>
    <xf numFmtId="0" fontId="5" fillId="0" borderId="0" xfId="6" applyFont="1" applyAlignment="1">
      <alignment horizontal="center" vertical="center"/>
    </xf>
    <xf numFmtId="0" fontId="20" fillId="0" borderId="0" xfId="6" applyFont="1" applyAlignment="1">
      <alignment vertical="center"/>
    </xf>
    <xf numFmtId="0" fontId="21" fillId="0" borderId="0" xfId="6" applyFont="1" applyAlignment="1">
      <alignment vertical="center"/>
    </xf>
    <xf numFmtId="172" fontId="21" fillId="0" borderId="0" xfId="6" applyNumberFormat="1" applyFont="1" applyAlignment="1">
      <alignment vertical="center"/>
    </xf>
    <xf numFmtId="172" fontId="22" fillId="0" borderId="0" xfId="7" applyNumberFormat="1" applyFont="1" applyAlignment="1">
      <alignment vertical="center"/>
    </xf>
    <xf numFmtId="172" fontId="23" fillId="0" borderId="42" xfId="7" applyNumberFormat="1" applyFont="1" applyBorder="1" applyAlignment="1">
      <alignment vertical="center"/>
    </xf>
    <xf numFmtId="172" fontId="24" fillId="0" borderId="12" xfId="7" applyNumberFormat="1" applyFont="1" applyBorder="1" applyAlignment="1">
      <alignment vertical="center"/>
    </xf>
    <xf numFmtId="0" fontId="24" fillId="0" borderId="12" xfId="6" applyFont="1" applyBorder="1" applyAlignment="1">
      <alignment vertical="center"/>
    </xf>
    <xf numFmtId="0" fontId="24" fillId="0" borderId="12" xfId="6" applyFont="1" applyBorder="1" applyAlignment="1">
      <alignment horizontal="center" vertical="center"/>
    </xf>
    <xf numFmtId="0" fontId="24" fillId="0" borderId="13" xfId="6" applyFont="1" applyBorder="1" applyAlignment="1">
      <alignment horizontal="left" vertical="center" indent="1"/>
    </xf>
    <xf numFmtId="0" fontId="21" fillId="0" borderId="0" xfId="6" applyFont="1" applyAlignment="1">
      <alignment horizontal="center" vertical="center"/>
    </xf>
    <xf numFmtId="0" fontId="25" fillId="0" borderId="0" xfId="6" applyFont="1" applyAlignment="1">
      <alignment vertical="center"/>
    </xf>
    <xf numFmtId="172" fontId="25" fillId="0" borderId="0" xfId="7" applyNumberFormat="1" applyFont="1" applyFill="1" applyAlignment="1">
      <alignment vertical="center"/>
    </xf>
    <xf numFmtId="0" fontId="25" fillId="0" borderId="0" xfId="6" applyFont="1" applyAlignment="1">
      <alignment horizontal="center" vertical="center"/>
    </xf>
    <xf numFmtId="0" fontId="25" fillId="0" borderId="16" xfId="6" applyFont="1" applyBorder="1" applyAlignment="1">
      <alignment horizontal="left" vertical="center" indent="1"/>
    </xf>
    <xf numFmtId="172" fontId="21" fillId="0" borderId="0" xfId="7" applyNumberFormat="1" applyFont="1" applyFill="1" applyAlignment="1">
      <alignment vertical="center"/>
    </xf>
    <xf numFmtId="172" fontId="24" fillId="0" borderId="21" xfId="7" applyNumberFormat="1" applyFont="1" applyFill="1" applyBorder="1" applyAlignment="1">
      <alignment vertical="center"/>
    </xf>
    <xf numFmtId="172" fontId="21" fillId="0" borderId="20" xfId="7" applyNumberFormat="1" applyFont="1" applyFill="1" applyBorder="1" applyAlignment="1">
      <alignment vertical="center"/>
    </xf>
    <xf numFmtId="0" fontId="21" fillId="0" borderId="20" xfId="6" applyFont="1" applyBorder="1" applyAlignment="1">
      <alignment vertical="center"/>
    </xf>
    <xf numFmtId="0" fontId="21" fillId="0" borderId="20" xfId="6" applyFont="1" applyBorder="1" applyAlignment="1">
      <alignment horizontal="center" vertical="center"/>
    </xf>
    <xf numFmtId="0" fontId="21" fillId="0" borderId="46" xfId="6" applyFont="1" applyBorder="1" applyAlignment="1">
      <alignment horizontal="left" vertical="center" indent="1"/>
    </xf>
    <xf numFmtId="172" fontId="23" fillId="0" borderId="17" xfId="7" applyNumberFormat="1" applyFont="1" applyFill="1" applyBorder="1" applyAlignment="1">
      <alignment vertical="center"/>
    </xf>
    <xf numFmtId="172" fontId="25" fillId="0" borderId="0" xfId="7" applyNumberFormat="1" applyFont="1" applyFill="1" applyBorder="1" applyAlignment="1">
      <alignment vertical="center"/>
    </xf>
    <xf numFmtId="172" fontId="21" fillId="0" borderId="20" xfId="7" applyNumberFormat="1" applyFont="1" applyBorder="1" applyAlignment="1">
      <alignment vertical="center"/>
    </xf>
    <xf numFmtId="172" fontId="25" fillId="0" borderId="0" xfId="7" applyNumberFormat="1" applyFont="1" applyAlignment="1">
      <alignment vertical="center"/>
    </xf>
    <xf numFmtId="172" fontId="23" fillId="0" borderId="17" xfId="7" applyNumberFormat="1" applyFont="1" applyBorder="1" applyAlignment="1">
      <alignment vertical="center"/>
    </xf>
    <xf numFmtId="172" fontId="25" fillId="0" borderId="0" xfId="6" applyNumberFormat="1" applyFont="1" applyAlignment="1">
      <alignment vertical="center"/>
    </xf>
    <xf numFmtId="172" fontId="25" fillId="0" borderId="0" xfId="8" applyNumberFormat="1" applyFont="1" applyAlignment="1">
      <alignment vertical="center"/>
    </xf>
    <xf numFmtId="172" fontId="23" fillId="0" borderId="17" xfId="8" applyNumberFormat="1" applyFont="1" applyBorder="1" applyAlignment="1">
      <alignment vertical="center"/>
    </xf>
    <xf numFmtId="172" fontId="23" fillId="0" borderId="21" xfId="7" applyNumberFormat="1" applyFont="1" applyBorder="1" applyAlignment="1">
      <alignment vertical="center"/>
    </xf>
    <xf numFmtId="0" fontId="25" fillId="0" borderId="20" xfId="6" applyFont="1" applyBorder="1" applyAlignment="1">
      <alignment vertical="center"/>
    </xf>
    <xf numFmtId="0" fontId="25" fillId="0" borderId="20" xfId="6" applyFont="1" applyBorder="1" applyAlignment="1">
      <alignment horizontal="center" vertical="center"/>
    </xf>
    <xf numFmtId="0" fontId="28" fillId="0" borderId="0" xfId="6" applyFont="1" applyAlignment="1">
      <alignment vertical="center"/>
    </xf>
    <xf numFmtId="172" fontId="28" fillId="0" borderId="0" xfId="7" applyNumberFormat="1" applyFont="1" applyAlignment="1">
      <alignment vertical="center"/>
    </xf>
    <xf numFmtId="172" fontId="28" fillId="0" borderId="0" xfId="7" applyNumberFormat="1" applyFont="1" applyBorder="1" applyAlignment="1">
      <alignment horizontal="center" vertical="center"/>
    </xf>
    <xf numFmtId="172" fontId="28" fillId="0" borderId="29" xfId="6" applyNumberFormat="1" applyFont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28" fillId="0" borderId="0" xfId="6" applyFont="1" applyAlignment="1">
      <alignment horizontal="left" vertical="center" indent="1"/>
    </xf>
    <xf numFmtId="0" fontId="29" fillId="0" borderId="0" xfId="6" applyFont="1"/>
    <xf numFmtId="0" fontId="30" fillId="0" borderId="0" xfId="6" applyFont="1"/>
    <xf numFmtId="173" fontId="30" fillId="0" borderId="0" xfId="6" applyNumberFormat="1" applyFont="1"/>
    <xf numFmtId="44" fontId="31" fillId="2" borderId="0" xfId="6" applyNumberFormat="1" applyFont="1" applyFill="1" applyAlignment="1">
      <alignment vertical="center"/>
    </xf>
    <xf numFmtId="44" fontId="32" fillId="2" borderId="0" xfId="6" applyNumberFormat="1" applyFont="1" applyFill="1" applyAlignment="1">
      <alignment vertical="center"/>
    </xf>
    <xf numFmtId="14" fontId="31" fillId="2" borderId="0" xfId="9" applyNumberFormat="1" applyFont="1" applyFill="1" applyAlignment="1">
      <alignment horizontal="center" vertical="center"/>
    </xf>
    <xf numFmtId="0" fontId="31" fillId="2" borderId="0" xfId="6" applyFont="1" applyFill="1" applyAlignment="1">
      <alignment horizontal="center" vertical="center"/>
    </xf>
    <xf numFmtId="0" fontId="31" fillId="2" borderId="0" xfId="6" applyFont="1" applyFill="1" applyAlignment="1">
      <alignment vertical="center"/>
    </xf>
    <xf numFmtId="0" fontId="33" fillId="2" borderId="0" xfId="6" applyFont="1" applyFill="1" applyAlignment="1">
      <alignment vertical="center"/>
    </xf>
    <xf numFmtId="0" fontId="32" fillId="2" borderId="0" xfId="6" applyFont="1" applyFill="1" applyAlignment="1">
      <alignment vertical="center"/>
    </xf>
    <xf numFmtId="0" fontId="34" fillId="2" borderId="0" xfId="9" applyFont="1" applyFill="1" applyAlignment="1">
      <alignment vertical="center"/>
    </xf>
    <xf numFmtId="0" fontId="35" fillId="0" borderId="0" xfId="10" applyFont="1" applyAlignment="1">
      <alignment vertical="center"/>
    </xf>
    <xf numFmtId="0" fontId="36" fillId="0" borderId="0" xfId="10" applyFont="1" applyAlignment="1">
      <alignment vertical="center"/>
    </xf>
    <xf numFmtId="174" fontId="36" fillId="0" borderId="0" xfId="10" applyNumberFormat="1" applyFont="1" applyAlignment="1">
      <alignment vertical="center"/>
    </xf>
    <xf numFmtId="173" fontId="36" fillId="0" borderId="0" xfId="10" applyNumberFormat="1" applyFont="1" applyAlignment="1">
      <alignment vertical="center"/>
    </xf>
    <xf numFmtId="4" fontId="36" fillId="0" borderId="0" xfId="11" applyNumberFormat="1" applyFont="1" applyBorder="1" applyAlignment="1" applyProtection="1">
      <alignment vertical="center"/>
    </xf>
    <xf numFmtId="4" fontId="35" fillId="0" borderId="0" xfId="11" applyNumberFormat="1" applyFont="1" applyBorder="1" applyAlignment="1" applyProtection="1">
      <alignment vertical="center"/>
    </xf>
    <xf numFmtId="4" fontId="36" fillId="0" borderId="0" xfId="11" applyNumberFormat="1" applyFont="1" applyBorder="1" applyAlignment="1" applyProtection="1">
      <alignment vertical="center" shrinkToFit="1"/>
    </xf>
    <xf numFmtId="0" fontId="35" fillId="0" borderId="0" xfId="10" applyFont="1" applyAlignment="1">
      <alignment horizontal="center" vertical="center"/>
    </xf>
    <xf numFmtId="2" fontId="35" fillId="0" borderId="0" xfId="10" applyNumberFormat="1" applyFont="1" applyAlignment="1">
      <alignment vertical="center"/>
    </xf>
    <xf numFmtId="0" fontId="27" fillId="0" borderId="0" xfId="10" applyFont="1" applyAlignment="1">
      <alignment vertical="center"/>
    </xf>
    <xf numFmtId="1" fontId="21" fillId="0" borderId="0" xfId="10" applyNumberFormat="1" applyFont="1" applyAlignment="1">
      <alignment vertical="center"/>
    </xf>
    <xf numFmtId="4" fontId="37" fillId="0" borderId="0" xfId="11" applyNumberFormat="1" applyFont="1" applyFill="1" applyBorder="1" applyAlignment="1" applyProtection="1">
      <alignment vertical="center"/>
    </xf>
    <xf numFmtId="4" fontId="38" fillId="0" borderId="0" xfId="11" applyNumberFormat="1" applyFont="1" applyFill="1" applyBorder="1" applyAlignment="1" applyProtection="1">
      <alignment vertical="center"/>
    </xf>
    <xf numFmtId="4" fontId="36" fillId="0" borderId="0" xfId="11" applyNumberFormat="1" applyFont="1" applyFill="1" applyBorder="1" applyAlignment="1" applyProtection="1">
      <alignment vertical="center" shrinkToFit="1"/>
    </xf>
    <xf numFmtId="2" fontId="35" fillId="0" borderId="0" xfId="10" applyNumberFormat="1" applyFont="1" applyAlignment="1">
      <alignment horizontal="center" vertical="center"/>
    </xf>
    <xf numFmtId="2" fontId="36" fillId="0" borderId="0" xfId="10" applyNumberFormat="1" applyFont="1" applyAlignment="1">
      <alignment vertical="center"/>
    </xf>
    <xf numFmtId="4" fontId="37" fillId="0" borderId="0" xfId="11" applyNumberFormat="1" applyFont="1" applyFill="1" applyBorder="1" applyAlignment="1" applyProtection="1">
      <alignment horizontal="right" vertical="center"/>
    </xf>
    <xf numFmtId="4" fontId="38" fillId="0" borderId="0" xfId="11" applyNumberFormat="1" applyFont="1" applyFill="1" applyBorder="1" applyAlignment="1" applyProtection="1">
      <alignment horizontal="right" vertical="center"/>
    </xf>
    <xf numFmtId="0" fontId="39" fillId="0" borderId="0" xfId="10" applyFont="1" applyAlignment="1">
      <alignment vertical="center"/>
    </xf>
    <xf numFmtId="174" fontId="39" fillId="0" borderId="0" xfId="10" applyNumberFormat="1" applyFont="1" applyAlignment="1">
      <alignment horizontal="right" vertical="center"/>
    </xf>
    <xf numFmtId="173" fontId="39" fillId="0" borderId="0" xfId="10" applyNumberFormat="1" applyFont="1" applyAlignment="1">
      <alignment horizontal="right" vertical="center"/>
    </xf>
    <xf numFmtId="4" fontId="36" fillId="0" borderId="0" xfId="11" applyNumberFormat="1" applyFont="1" applyFill="1" applyBorder="1" applyAlignment="1" applyProtection="1">
      <alignment horizontal="right" vertical="center"/>
    </xf>
    <xf numFmtId="4" fontId="39" fillId="0" borderId="0" xfId="11" applyNumberFormat="1" applyFont="1" applyFill="1" applyBorder="1" applyAlignment="1" applyProtection="1">
      <alignment horizontal="right" vertical="center" shrinkToFit="1"/>
    </xf>
    <xf numFmtId="4" fontId="39" fillId="0" borderId="0" xfId="11" applyNumberFormat="1" applyFont="1" applyFill="1" applyBorder="1" applyAlignment="1" applyProtection="1">
      <alignment horizontal="right" vertical="center" shrinkToFit="1"/>
      <protection locked="0"/>
    </xf>
    <xf numFmtId="4" fontId="39" fillId="0" borderId="0" xfId="10" applyNumberFormat="1" applyFont="1" applyAlignment="1">
      <alignment horizontal="right" vertical="center"/>
    </xf>
    <xf numFmtId="49" fontId="39" fillId="0" borderId="0" xfId="10" applyNumberFormat="1" applyFont="1" applyAlignment="1">
      <alignment horizontal="center" vertical="center"/>
    </xf>
    <xf numFmtId="1" fontId="40" fillId="0" borderId="0" xfId="10" applyNumberFormat="1" applyFont="1" applyAlignment="1">
      <alignment horizontal="left" vertical="center"/>
    </xf>
    <xf numFmtId="49" fontId="39" fillId="0" borderId="0" xfId="10" applyNumberFormat="1" applyFont="1" applyAlignment="1">
      <alignment horizontal="left" vertical="center"/>
    </xf>
    <xf numFmtId="174" fontId="36" fillId="0" borderId="0" xfId="10" applyNumberFormat="1" applyFont="1" applyAlignment="1">
      <alignment horizontal="right" vertical="center"/>
    </xf>
    <xf numFmtId="173" fontId="36" fillId="0" borderId="0" xfId="10" applyNumberFormat="1" applyFont="1" applyAlignment="1">
      <alignment horizontal="right" vertical="center"/>
    </xf>
    <xf numFmtId="4" fontId="35" fillId="0" borderId="0" xfId="11" applyNumberFormat="1" applyFont="1" applyFill="1" applyBorder="1" applyAlignment="1" applyProtection="1">
      <alignment horizontal="right" vertical="center"/>
    </xf>
    <xf numFmtId="4" fontId="36" fillId="0" borderId="0" xfId="10" applyNumberFormat="1" applyFont="1" applyAlignment="1">
      <alignment horizontal="right" vertical="center"/>
    </xf>
    <xf numFmtId="4" fontId="36" fillId="0" borderId="0" xfId="11" applyNumberFormat="1" applyFont="1" applyFill="1" applyBorder="1" applyAlignment="1" applyProtection="1">
      <alignment horizontal="right" vertical="center" shrinkToFit="1"/>
      <protection locked="0"/>
    </xf>
    <xf numFmtId="4" fontId="35" fillId="0" borderId="0" xfId="11" applyNumberFormat="1" applyFont="1" applyFill="1" applyBorder="1" applyAlignment="1" applyProtection="1">
      <alignment horizontal="right" vertical="center" shrinkToFit="1"/>
      <protection locked="0"/>
    </xf>
    <xf numFmtId="4" fontId="35" fillId="0" borderId="0" xfId="12" applyNumberFormat="1" applyFont="1" applyAlignment="1">
      <alignment horizontal="right" vertical="center"/>
    </xf>
    <xf numFmtId="49" fontId="35" fillId="0" borderId="0" xfId="10" applyNumberFormat="1" applyFont="1" applyAlignment="1">
      <alignment horizontal="center" vertical="center"/>
    </xf>
    <xf numFmtId="2" fontId="35" fillId="0" borderId="0" xfId="10" applyNumberFormat="1" applyFont="1" applyAlignment="1">
      <alignment horizontal="left" vertical="center"/>
    </xf>
    <xf numFmtId="49" fontId="27" fillId="0" borderId="0" xfId="10" applyNumberFormat="1" applyFont="1" applyAlignment="1">
      <alignment horizontal="left" vertical="center"/>
    </xf>
    <xf numFmtId="49" fontId="35" fillId="0" borderId="0" xfId="10" applyNumberFormat="1" applyFont="1" applyAlignment="1">
      <alignment horizontal="left" vertical="center"/>
    </xf>
    <xf numFmtId="1" fontId="21" fillId="0" borderId="0" xfId="10" applyNumberFormat="1" applyFont="1" applyAlignment="1">
      <alignment horizontal="left" vertical="center"/>
    </xf>
    <xf numFmtId="174" fontId="42" fillId="4" borderId="0" xfId="10" applyNumberFormat="1" applyFont="1" applyFill="1" applyAlignment="1">
      <alignment horizontal="right" vertical="center"/>
    </xf>
    <xf numFmtId="173" fontId="42" fillId="4" borderId="0" xfId="10" applyNumberFormat="1" applyFont="1" applyFill="1" applyAlignment="1">
      <alignment horizontal="right" vertical="center"/>
    </xf>
    <xf numFmtId="4" fontId="42" fillId="4" borderId="0" xfId="11" applyNumberFormat="1" applyFont="1" applyFill="1" applyBorder="1" applyAlignment="1" applyProtection="1">
      <alignment horizontal="right" vertical="center"/>
    </xf>
    <xf numFmtId="4" fontId="43" fillId="4" borderId="0" xfId="11" applyNumberFormat="1" applyFont="1" applyFill="1" applyBorder="1" applyAlignment="1" applyProtection="1">
      <alignment horizontal="right" vertical="center"/>
    </xf>
    <xf numFmtId="4" fontId="42" fillId="4" borderId="0" xfId="11" applyNumberFormat="1" applyFont="1" applyFill="1" applyBorder="1" applyAlignment="1" applyProtection="1">
      <alignment vertical="center"/>
    </xf>
    <xf numFmtId="4" fontId="42" fillId="4" borderId="0" xfId="11" applyNumberFormat="1" applyFont="1" applyFill="1" applyBorder="1" applyAlignment="1" applyProtection="1">
      <alignment vertical="center"/>
      <protection locked="0"/>
    </xf>
    <xf numFmtId="4" fontId="43" fillId="4" borderId="0" xfId="11" applyNumberFormat="1" applyFont="1" applyFill="1" applyBorder="1" applyAlignment="1" applyProtection="1">
      <alignment vertical="center"/>
      <protection locked="0"/>
    </xf>
    <xf numFmtId="0" fontId="43" fillId="4" borderId="0" xfId="10" applyFont="1" applyFill="1" applyAlignment="1">
      <alignment vertical="center"/>
    </xf>
    <xf numFmtId="0" fontId="43" fillId="4" borderId="0" xfId="10" applyFont="1" applyFill="1" applyAlignment="1">
      <alignment horizontal="center" vertical="center"/>
    </xf>
    <xf numFmtId="2" fontId="43" fillId="4" borderId="0" xfId="10" applyNumberFormat="1" applyFont="1" applyFill="1" applyAlignment="1">
      <alignment vertical="center"/>
    </xf>
    <xf numFmtId="49" fontId="44" fillId="4" borderId="0" xfId="10" applyNumberFormat="1" applyFont="1" applyFill="1" applyAlignment="1">
      <alignment horizontal="left" vertical="center"/>
    </xf>
    <xf numFmtId="49" fontId="35" fillId="4" borderId="0" xfId="10" applyNumberFormat="1" applyFont="1" applyFill="1" applyAlignment="1">
      <alignment horizontal="left" vertical="center"/>
    </xf>
    <xf numFmtId="1" fontId="21" fillId="4" borderId="0" xfId="10" applyNumberFormat="1" applyFont="1" applyFill="1" applyAlignment="1">
      <alignment horizontal="left" vertical="center"/>
    </xf>
    <xf numFmtId="2" fontId="39" fillId="0" borderId="0" xfId="10" applyNumberFormat="1" applyFont="1" applyAlignment="1">
      <alignment horizontal="center" vertical="center"/>
    </xf>
    <xf numFmtId="175" fontId="45" fillId="0" borderId="0" xfId="11" applyNumberFormat="1" applyFont="1" applyFill="1" applyBorder="1" applyAlignment="1" applyProtection="1">
      <alignment horizontal="right" vertical="center" shrinkToFit="1"/>
    </xf>
    <xf numFmtId="2" fontId="41" fillId="0" borderId="0" xfId="3" applyNumberFormat="1" applyFont="1" applyFill="1" applyBorder="1" applyAlignment="1" applyProtection="1">
      <alignment horizontal="right" vertical="center"/>
    </xf>
    <xf numFmtId="0" fontId="35" fillId="0" borderId="0" xfId="10" applyFont="1"/>
    <xf numFmtId="4" fontId="35" fillId="0" borderId="0" xfId="10" applyNumberFormat="1" applyFont="1" applyAlignment="1">
      <alignment horizontal="right" vertical="center"/>
    </xf>
    <xf numFmtId="4" fontId="42" fillId="4" borderId="0" xfId="13" applyNumberFormat="1" applyFont="1" applyFill="1" applyBorder="1" applyAlignment="1" applyProtection="1">
      <alignment horizontal="right" vertical="center"/>
    </xf>
    <xf numFmtId="4" fontId="43" fillId="4" borderId="0" xfId="13" applyNumberFormat="1" applyFont="1" applyFill="1" applyBorder="1" applyAlignment="1" applyProtection="1">
      <alignment horizontal="right" vertical="center"/>
    </xf>
    <xf numFmtId="4" fontId="42" fillId="4" borderId="0" xfId="13" applyNumberFormat="1" applyFont="1" applyFill="1" applyBorder="1" applyAlignment="1" applyProtection="1">
      <alignment vertical="center"/>
      <protection locked="0"/>
    </xf>
    <xf numFmtId="4" fontId="43" fillId="4" borderId="0" xfId="13" applyNumberFormat="1" applyFont="1" applyFill="1" applyBorder="1" applyAlignment="1" applyProtection="1">
      <alignment vertical="center"/>
      <protection locked="0"/>
    </xf>
    <xf numFmtId="2" fontId="45" fillId="0" borderId="0" xfId="11" applyNumberFormat="1" applyFont="1" applyFill="1" applyBorder="1" applyAlignment="1" applyProtection="1">
      <alignment horizontal="right" vertical="center" shrinkToFit="1"/>
    </xf>
    <xf numFmtId="2" fontId="46" fillId="0" borderId="0" xfId="10" applyNumberFormat="1" applyFont="1" applyAlignment="1">
      <alignment horizontal="right" vertical="center"/>
    </xf>
    <xf numFmtId="2" fontId="39" fillId="0" borderId="0" xfId="10" applyNumberFormat="1" applyFont="1" applyAlignment="1">
      <alignment horizontal="left" vertical="center"/>
    </xf>
    <xf numFmtId="49" fontId="46" fillId="0" borderId="0" xfId="10" applyNumberFormat="1" applyFont="1" applyAlignment="1">
      <alignment horizontal="right" vertical="center"/>
    </xf>
    <xf numFmtId="9" fontId="45" fillId="0" borderId="0" xfId="3" applyFont="1" applyFill="1" applyBorder="1" applyAlignment="1" applyProtection="1">
      <alignment horizontal="right" vertical="center" shrinkToFit="1"/>
    </xf>
    <xf numFmtId="4" fontId="36" fillId="0" borderId="0" xfId="11" applyNumberFormat="1" applyFont="1" applyFill="1" applyBorder="1" applyAlignment="1" applyProtection="1">
      <alignment horizontal="right" vertical="center" shrinkToFit="1"/>
    </xf>
    <xf numFmtId="174" fontId="36" fillId="0" borderId="0" xfId="14" applyNumberFormat="1" applyFont="1" applyAlignment="1">
      <alignment horizontal="right" vertical="center"/>
    </xf>
    <xf numFmtId="173" fontId="36" fillId="0" borderId="0" xfId="14" applyNumberFormat="1" applyFont="1" applyAlignment="1">
      <alignment horizontal="right" vertical="center"/>
    </xf>
    <xf numFmtId="0" fontId="36" fillId="0" borderId="0" xfId="12" applyFont="1" applyAlignment="1">
      <alignment vertical="center"/>
    </xf>
    <xf numFmtId="0" fontId="35" fillId="0" borderId="0" xfId="12" applyFont="1" applyAlignment="1">
      <alignment vertical="center"/>
    </xf>
    <xf numFmtId="174" fontId="36" fillId="0" borderId="0" xfId="16" applyNumberFormat="1" applyFont="1" applyAlignment="1">
      <alignment horizontal="right" vertical="center"/>
    </xf>
    <xf numFmtId="173" fontId="36" fillId="0" borderId="0" xfId="16" applyNumberFormat="1" applyFont="1" applyAlignment="1">
      <alignment horizontal="right" vertical="center"/>
    </xf>
    <xf numFmtId="4" fontId="36" fillId="0" borderId="0" xfId="17" applyNumberFormat="1" applyFont="1" applyFill="1" applyBorder="1" applyAlignment="1" applyProtection="1">
      <alignment horizontal="right" vertical="center"/>
    </xf>
    <xf numFmtId="4" fontId="35" fillId="0" borderId="0" xfId="17" applyNumberFormat="1" applyFont="1" applyFill="1" applyBorder="1" applyAlignment="1" applyProtection="1">
      <alignment horizontal="right" vertical="center"/>
    </xf>
    <xf numFmtId="4" fontId="36" fillId="0" borderId="0" xfId="17" applyNumberFormat="1" applyFont="1" applyFill="1" applyBorder="1" applyAlignment="1" applyProtection="1">
      <alignment horizontal="right" vertical="center" shrinkToFit="1"/>
    </xf>
    <xf numFmtId="4" fontId="36" fillId="0" borderId="0" xfId="17" applyNumberFormat="1" applyFont="1" applyFill="1" applyBorder="1" applyAlignment="1" applyProtection="1">
      <alignment horizontal="right" vertical="center" shrinkToFit="1"/>
      <protection locked="0"/>
    </xf>
    <xf numFmtId="2" fontId="35" fillId="0" borderId="0" xfId="12" applyNumberFormat="1" applyFont="1" applyAlignment="1">
      <alignment horizontal="left" vertical="center"/>
    </xf>
    <xf numFmtId="49" fontId="27" fillId="0" borderId="0" xfId="12" applyNumberFormat="1" applyFont="1" applyAlignment="1">
      <alignment horizontal="left" vertical="center"/>
    </xf>
    <xf numFmtId="49" fontId="35" fillId="0" borderId="0" xfId="12" applyNumberFormat="1" applyFont="1" applyAlignment="1">
      <alignment horizontal="left" vertical="center"/>
    </xf>
    <xf numFmtId="173" fontId="42" fillId="4" borderId="0" xfId="12" applyNumberFormat="1" applyFont="1" applyFill="1" applyAlignment="1">
      <alignment horizontal="right" vertical="center"/>
    </xf>
    <xf numFmtId="4" fontId="42" fillId="4" borderId="0" xfId="17" applyNumberFormat="1" applyFont="1" applyFill="1" applyBorder="1" applyAlignment="1" applyProtection="1">
      <alignment horizontal="right" vertical="center"/>
    </xf>
    <xf numFmtId="4" fontId="43" fillId="4" borderId="0" xfId="17" applyNumberFormat="1" applyFont="1" applyFill="1" applyBorder="1" applyAlignment="1" applyProtection="1">
      <alignment horizontal="right" vertical="center"/>
    </xf>
    <xf numFmtId="4" fontId="42" fillId="4" borderId="0" xfId="17" applyNumberFormat="1" applyFont="1" applyFill="1" applyBorder="1" applyAlignment="1" applyProtection="1">
      <alignment vertical="center"/>
    </xf>
    <xf numFmtId="4" fontId="42" fillId="4" borderId="0" xfId="17" applyNumberFormat="1" applyFont="1" applyFill="1" applyBorder="1" applyAlignment="1" applyProtection="1">
      <alignment vertical="center"/>
      <protection locked="0"/>
    </xf>
    <xf numFmtId="4" fontId="43" fillId="4" borderId="0" xfId="17" applyNumberFormat="1" applyFont="1" applyFill="1" applyBorder="1" applyAlignment="1" applyProtection="1">
      <alignment vertical="center"/>
      <protection locked="0"/>
    </xf>
    <xf numFmtId="0" fontId="43" fillId="4" borderId="0" xfId="12" applyFont="1" applyFill="1" applyAlignment="1">
      <alignment vertical="center"/>
    </xf>
    <xf numFmtId="0" fontId="43" fillId="4" borderId="0" xfId="12" applyFont="1" applyFill="1" applyAlignment="1">
      <alignment horizontal="center" vertical="center"/>
    </xf>
    <xf numFmtId="2" fontId="43" fillId="4" borderId="0" xfId="12" applyNumberFormat="1" applyFont="1" applyFill="1" applyAlignment="1">
      <alignment vertical="center"/>
    </xf>
    <xf numFmtId="49" fontId="44" fillId="4" borderId="0" xfId="12" applyNumberFormat="1" applyFont="1" applyFill="1" applyAlignment="1">
      <alignment horizontal="left" vertical="center"/>
    </xf>
    <xf numFmtId="49" fontId="35" fillId="4" borderId="0" xfId="12" applyNumberFormat="1" applyFont="1" applyFill="1" applyAlignment="1">
      <alignment horizontal="left" vertical="center"/>
    </xf>
    <xf numFmtId="1" fontId="21" fillId="4" borderId="0" xfId="12" applyNumberFormat="1" applyFont="1" applyFill="1" applyAlignment="1">
      <alignment horizontal="left" vertical="center"/>
    </xf>
    <xf numFmtId="0" fontId="47" fillId="0" borderId="0" xfId="6" applyFont="1" applyAlignment="1">
      <alignment vertical="center"/>
    </xf>
    <xf numFmtId="0" fontId="48" fillId="5" borderId="49" xfId="6" applyFont="1" applyFill="1" applyBorder="1" applyAlignment="1">
      <alignment horizontal="center" vertical="center"/>
    </xf>
    <xf numFmtId="173" fontId="48" fillId="5" borderId="49" xfId="6" applyNumberFormat="1" applyFont="1" applyFill="1" applyBorder="1" applyAlignment="1">
      <alignment horizontal="center" vertical="center"/>
    </xf>
    <xf numFmtId="0" fontId="48" fillId="5" borderId="52" xfId="6" applyFont="1" applyFill="1" applyBorder="1" applyAlignment="1">
      <alignment horizontal="center" vertical="center"/>
    </xf>
    <xf numFmtId="4" fontId="48" fillId="5" borderId="55" xfId="6" applyNumberFormat="1" applyFont="1" applyFill="1" applyBorder="1" applyAlignment="1">
      <alignment horizontal="center" vertical="center"/>
    </xf>
    <xf numFmtId="4" fontId="32" fillId="5" borderId="56" xfId="6" applyNumberFormat="1" applyFont="1" applyFill="1" applyBorder="1" applyAlignment="1">
      <alignment horizontal="center" vertical="center"/>
    </xf>
    <xf numFmtId="4" fontId="48" fillId="5" borderId="56" xfId="6" applyNumberFormat="1" applyFont="1" applyFill="1" applyBorder="1" applyAlignment="1">
      <alignment horizontal="center" vertical="center"/>
    </xf>
    <xf numFmtId="4" fontId="48" fillId="5" borderId="57" xfId="6" applyNumberFormat="1" applyFont="1" applyFill="1" applyBorder="1" applyAlignment="1">
      <alignment horizontal="center" vertical="center"/>
    </xf>
    <xf numFmtId="0" fontId="32" fillId="5" borderId="57" xfId="6" applyFont="1" applyFill="1" applyBorder="1" applyAlignment="1">
      <alignment horizontal="center" vertical="center"/>
    </xf>
    <xf numFmtId="0" fontId="32" fillId="5" borderId="59" xfId="6" applyFont="1" applyFill="1" applyBorder="1" applyAlignment="1">
      <alignment horizontal="center" vertical="center"/>
    </xf>
    <xf numFmtId="0" fontId="47" fillId="0" borderId="0" xfId="6" applyFont="1"/>
    <xf numFmtId="173" fontId="47" fillId="0" borderId="0" xfId="6" applyNumberFormat="1" applyFont="1"/>
    <xf numFmtId="4" fontId="48" fillId="2" borderId="0" xfId="6" applyNumberFormat="1" applyFont="1" applyFill="1" applyAlignment="1">
      <alignment vertical="center"/>
    </xf>
    <xf numFmtId="4" fontId="31" fillId="2" borderId="0" xfId="6" applyNumberFormat="1" applyFont="1" applyFill="1" applyAlignment="1">
      <alignment vertical="center"/>
    </xf>
    <xf numFmtId="14" fontId="48" fillId="2" borderId="0" xfId="9" applyNumberFormat="1" applyFont="1" applyFill="1" applyAlignment="1">
      <alignment horizontal="center" vertical="center"/>
    </xf>
    <xf numFmtId="4" fontId="32" fillId="2" borderId="0" xfId="6" applyNumberFormat="1" applyFont="1" applyFill="1" applyAlignment="1">
      <alignment vertical="center"/>
    </xf>
    <xf numFmtId="171" fontId="17" fillId="2" borderId="16" xfId="1" applyNumberFormat="1" applyFont="1" applyFill="1" applyBorder="1" applyAlignment="1">
      <alignment horizontal="left" vertical="center"/>
    </xf>
    <xf numFmtId="171" fontId="17" fillId="0" borderId="27" xfId="1" applyNumberFormat="1" applyFont="1" applyBorder="1" applyAlignment="1" applyProtection="1">
      <alignment horizontal="left" vertical="center"/>
      <protection locked="0"/>
    </xf>
    <xf numFmtId="171" fontId="17" fillId="0" borderId="13" xfId="1" applyNumberFormat="1" applyFont="1" applyBorder="1" applyAlignment="1" applyProtection="1">
      <alignment horizontal="left" vertical="center"/>
      <protection locked="0"/>
    </xf>
    <xf numFmtId="49" fontId="17" fillId="0" borderId="27" xfId="1" applyNumberFormat="1" applyFont="1" applyBorder="1" applyAlignment="1" applyProtection="1">
      <alignment horizontal="center" vertical="center"/>
      <protection locked="0"/>
    </xf>
    <xf numFmtId="0" fontId="17" fillId="0" borderId="12" xfId="1" applyFont="1" applyBorder="1" applyAlignment="1" applyProtection="1">
      <alignment vertical="center"/>
      <protection locked="0"/>
    </xf>
    <xf numFmtId="0" fontId="17" fillId="0" borderId="42" xfId="1" applyFont="1" applyBorder="1" applyAlignment="1" applyProtection="1">
      <alignment vertical="center"/>
      <protection locked="0"/>
    </xf>
    <xf numFmtId="171" fontId="17" fillId="0" borderId="0" xfId="1" applyNumberFormat="1" applyFont="1" applyAlignment="1" applyProtection="1">
      <alignment vertical="center"/>
      <protection locked="0"/>
    </xf>
    <xf numFmtId="14" fontId="17" fillId="0" borderId="27" xfId="1" applyNumberFormat="1" applyFont="1" applyBorder="1" applyAlignment="1" applyProtection="1">
      <alignment horizontal="center" vertical="center"/>
      <protection locked="0"/>
    </xf>
    <xf numFmtId="0" fontId="21" fillId="0" borderId="0" xfId="9" applyFont="1" applyAlignment="1">
      <alignment horizontal="center" vertical="center"/>
    </xf>
    <xf numFmtId="0" fontId="21" fillId="0" borderId="16" xfId="9" applyFont="1" applyBorder="1" applyAlignment="1">
      <alignment horizontal="left" vertical="center" indent="1"/>
    </xf>
    <xf numFmtId="0" fontId="21" fillId="0" borderId="0" xfId="9" applyFont="1" applyAlignment="1">
      <alignment vertical="center"/>
    </xf>
    <xf numFmtId="172" fontId="21" fillId="0" borderId="0" xfId="8" applyNumberFormat="1" applyFont="1" applyBorder="1" applyAlignment="1">
      <alignment vertical="center"/>
    </xf>
    <xf numFmtId="172" fontId="24" fillId="0" borderId="17" xfId="8" applyNumberFormat="1" applyFont="1" applyBorder="1" applyAlignment="1">
      <alignment vertical="center"/>
    </xf>
    <xf numFmtId="0" fontId="50" fillId="0" borderId="0" xfId="0" applyFont="1" applyAlignment="1">
      <alignment horizontal="left"/>
    </xf>
    <xf numFmtId="172" fontId="21" fillId="0" borderId="0" xfId="8" applyNumberFormat="1" applyFont="1" applyAlignment="1">
      <alignment vertical="center"/>
    </xf>
    <xf numFmtId="0" fontId="25" fillId="0" borderId="0" xfId="9" applyFont="1" applyAlignment="1">
      <alignment horizontal="center" vertical="center"/>
    </xf>
    <xf numFmtId="0" fontId="25" fillId="0" borderId="16" xfId="9" applyFont="1" applyBorder="1" applyAlignment="1">
      <alignment horizontal="left" vertical="center" indent="1"/>
    </xf>
    <xf numFmtId="0" fontId="25" fillId="0" borderId="0" xfId="9" applyFont="1" applyAlignment="1">
      <alignment vertical="center"/>
    </xf>
    <xf numFmtId="172" fontId="25" fillId="0" borderId="0" xfId="8" applyNumberFormat="1" applyFont="1" applyBorder="1" applyAlignment="1">
      <alignment vertical="center"/>
    </xf>
    <xf numFmtId="0" fontId="25" fillId="0" borderId="45" xfId="9" applyFont="1" applyBorder="1" applyAlignment="1">
      <alignment horizontal="left" vertical="center" indent="1"/>
    </xf>
    <xf numFmtId="0" fontId="25" fillId="0" borderId="29" xfId="9" applyFont="1" applyBorder="1" applyAlignment="1">
      <alignment horizontal="center" vertical="center"/>
    </xf>
    <xf numFmtId="0" fontId="25" fillId="0" borderId="29" xfId="9" applyFont="1" applyBorder="1" applyAlignment="1">
      <alignment vertical="center"/>
    </xf>
    <xf numFmtId="172" fontId="25" fillId="0" borderId="29" xfId="8" applyNumberFormat="1" applyFont="1" applyBorder="1" applyAlignment="1">
      <alignment vertical="center"/>
    </xf>
    <xf numFmtId="172" fontId="23" fillId="0" borderId="30" xfId="8" applyNumberFormat="1" applyFont="1" applyBorder="1" applyAlignment="1">
      <alignment vertical="center"/>
    </xf>
    <xf numFmtId="0" fontId="51" fillId="0" borderId="0" xfId="9" applyFont="1" applyAlignment="1">
      <alignment horizontal="center" vertical="center"/>
    </xf>
    <xf numFmtId="0" fontId="51" fillId="0" borderId="0" xfId="9" applyFont="1" applyAlignment="1">
      <alignment horizontal="left" vertical="center" indent="1"/>
    </xf>
    <xf numFmtId="172" fontId="51" fillId="0" borderId="29" xfId="9" applyNumberFormat="1" applyFont="1" applyBorder="1" applyAlignment="1">
      <alignment horizontal="center" vertical="center"/>
    </xf>
    <xf numFmtId="172" fontId="51" fillId="0" borderId="0" xfId="8" applyNumberFormat="1" applyFont="1" applyBorder="1" applyAlignment="1">
      <alignment horizontal="center" vertical="center"/>
    </xf>
    <xf numFmtId="0" fontId="51" fillId="0" borderId="0" xfId="9" applyFont="1" applyAlignment="1">
      <alignment vertical="center"/>
    </xf>
    <xf numFmtId="172" fontId="51" fillId="0" borderId="0" xfId="8" applyNumberFormat="1" applyFont="1" applyAlignment="1">
      <alignment vertical="center"/>
    </xf>
    <xf numFmtId="0" fontId="21" fillId="0" borderId="46" xfId="9" applyFont="1" applyBorder="1" applyAlignment="1">
      <alignment horizontal="left" vertical="center" indent="1"/>
    </xf>
    <xf numFmtId="0" fontId="21" fillId="0" borderId="20" xfId="9" applyFont="1" applyBorder="1" applyAlignment="1">
      <alignment horizontal="center" vertical="center"/>
    </xf>
    <xf numFmtId="0" fontId="21" fillId="0" borderId="20" xfId="9" applyFont="1" applyBorder="1" applyAlignment="1">
      <alignment vertical="center"/>
    </xf>
    <xf numFmtId="172" fontId="21" fillId="0" borderId="20" xfId="8" applyNumberFormat="1" applyFont="1" applyBorder="1" applyAlignment="1">
      <alignment vertical="center"/>
    </xf>
    <xf numFmtId="172" fontId="24" fillId="0" borderId="21" xfId="8" applyNumberFormat="1" applyFont="1" applyBorder="1" applyAlignment="1">
      <alignment vertical="center"/>
    </xf>
    <xf numFmtId="0" fontId="27" fillId="0" borderId="0" xfId="9" applyFont="1" applyAlignment="1">
      <alignment vertical="center"/>
    </xf>
    <xf numFmtId="0" fontId="26" fillId="0" borderId="16" xfId="9" applyFont="1" applyBorder="1" applyAlignment="1">
      <alignment horizontal="left" vertical="center" indent="1"/>
    </xf>
    <xf numFmtId="172" fontId="52" fillId="0" borderId="0" xfId="8" applyNumberFormat="1" applyFont="1" applyBorder="1" applyAlignment="1">
      <alignment vertical="center"/>
    </xf>
    <xf numFmtId="0" fontId="26" fillId="0" borderId="45" xfId="9" applyFont="1" applyBorder="1" applyAlignment="1">
      <alignment horizontal="left" vertical="center" indent="1"/>
    </xf>
    <xf numFmtId="172" fontId="52" fillId="0" borderId="29" xfId="8" applyNumberFormat="1" applyFont="1" applyBorder="1" applyAlignment="1">
      <alignment vertical="center"/>
    </xf>
    <xf numFmtId="2" fontId="53" fillId="0" borderId="0" xfId="11" applyNumberFormat="1" applyFont="1" applyFill="1" applyBorder="1" applyAlignment="1" applyProtection="1">
      <alignment horizontal="right" vertical="center" shrinkToFit="1"/>
    </xf>
    <xf numFmtId="173" fontId="53" fillId="0" borderId="0" xfId="11" applyNumberFormat="1" applyFont="1" applyFill="1" applyBorder="1" applyAlignment="1" applyProtection="1">
      <alignment horizontal="right" vertical="center" shrinkToFit="1"/>
    </xf>
    <xf numFmtId="0" fontId="54" fillId="0" borderId="0" xfId="18"/>
    <xf numFmtId="0" fontId="54" fillId="0" borderId="0" xfId="18" applyAlignment="1">
      <alignment horizontal="right"/>
    </xf>
    <xf numFmtId="0" fontId="55" fillId="0" borderId="0" xfId="18" applyFont="1"/>
    <xf numFmtId="4" fontId="56" fillId="0" borderId="0" xfId="18" applyNumberFormat="1" applyFont="1"/>
    <xf numFmtId="0" fontId="56" fillId="0" borderId="0" xfId="18" applyFont="1"/>
    <xf numFmtId="3" fontId="56" fillId="0" borderId="0" xfId="18" applyNumberFormat="1" applyFont="1" applyAlignment="1">
      <alignment horizontal="right"/>
    </xf>
    <xf numFmtId="0" fontId="11" fillId="0" borderId="0" xfId="19"/>
    <xf numFmtId="4" fontId="11" fillId="0" borderId="3" xfId="19" applyNumberFormat="1" applyBorder="1"/>
    <xf numFmtId="4" fontId="11" fillId="0" borderId="48" xfId="19" applyNumberFormat="1" applyBorder="1"/>
    <xf numFmtId="4" fontId="11" fillId="0" borderId="39" xfId="19" applyNumberFormat="1" applyBorder="1"/>
    <xf numFmtId="0" fontId="11" fillId="0" borderId="3" xfId="19" applyBorder="1"/>
    <xf numFmtId="0" fontId="57" fillId="0" borderId="3" xfId="19" applyFont="1" applyBorder="1"/>
    <xf numFmtId="0" fontId="11" fillId="0" borderId="48" xfId="19" applyBorder="1"/>
    <xf numFmtId="3" fontId="58" fillId="0" borderId="28" xfId="19" applyNumberFormat="1" applyFont="1" applyBorder="1" applyAlignment="1">
      <alignment horizontal="right"/>
    </xf>
    <xf numFmtId="4" fontId="58" fillId="0" borderId="29" xfId="19" applyNumberFormat="1" applyFont="1" applyBorder="1" applyAlignment="1">
      <alignment horizontal="right"/>
    </xf>
    <xf numFmtId="3" fontId="58" fillId="0" borderId="30" xfId="19" applyNumberFormat="1" applyFont="1" applyBorder="1" applyAlignment="1">
      <alignment horizontal="right"/>
    </xf>
    <xf numFmtId="3" fontId="58" fillId="0" borderId="60" xfId="19" applyNumberFormat="1" applyFont="1" applyBorder="1" applyAlignment="1">
      <alignment horizontal="right"/>
    </xf>
    <xf numFmtId="0" fontId="58" fillId="0" borderId="28" xfId="19" applyFont="1" applyBorder="1"/>
    <xf numFmtId="0" fontId="58" fillId="0" borderId="29" xfId="19" applyFont="1" applyBorder="1"/>
    <xf numFmtId="0" fontId="58" fillId="0" borderId="31" xfId="19" applyFont="1" applyBorder="1"/>
    <xf numFmtId="4" fontId="33" fillId="0" borderId="23" xfId="19" applyNumberFormat="1" applyFont="1" applyBorder="1" applyAlignment="1">
      <alignment horizontal="right"/>
    </xf>
    <xf numFmtId="4" fontId="33" fillId="0" borderId="24" xfId="19" applyNumberFormat="1" applyFont="1" applyBorder="1" applyAlignment="1">
      <alignment horizontal="right"/>
    </xf>
    <xf numFmtId="0" fontId="59" fillId="0" borderId="25" xfId="19" applyFont="1" applyBorder="1" applyAlignment="1">
      <alignment horizontal="center"/>
    </xf>
    <xf numFmtId="0" fontId="59" fillId="0" borderId="24" xfId="19" applyFont="1" applyBorder="1" applyAlignment="1">
      <alignment horizontal="right"/>
    </xf>
    <xf numFmtId="0" fontId="59" fillId="0" borderId="61" xfId="19" applyFont="1" applyBorder="1" applyAlignment="1">
      <alignment horizontal="right"/>
    </xf>
    <xf numFmtId="0" fontId="11" fillId="0" borderId="23" xfId="19" applyBorder="1"/>
    <xf numFmtId="0" fontId="59" fillId="0" borderId="24" xfId="19" applyFont="1" applyBorder="1"/>
    <xf numFmtId="0" fontId="59" fillId="0" borderId="26" xfId="19" applyFont="1" applyBorder="1"/>
    <xf numFmtId="3" fontId="11" fillId="0" borderId="0" xfId="19" applyNumberFormat="1"/>
    <xf numFmtId="0" fontId="60" fillId="0" borderId="0" xfId="19" applyFont="1" applyAlignment="1">
      <alignment horizontal="centerContinuous"/>
    </xf>
    <xf numFmtId="3" fontId="60" fillId="0" borderId="0" xfId="19" applyNumberFormat="1" applyFont="1" applyAlignment="1">
      <alignment horizontal="centerContinuous"/>
    </xf>
    <xf numFmtId="0" fontId="57" fillId="0" borderId="0" xfId="19" applyFont="1"/>
    <xf numFmtId="3" fontId="57" fillId="0" borderId="62" xfId="19" applyNumberFormat="1" applyFont="1" applyBorder="1"/>
    <xf numFmtId="3" fontId="57" fillId="0" borderId="63" xfId="19" applyNumberFormat="1" applyFont="1" applyBorder="1"/>
    <xf numFmtId="3" fontId="57" fillId="0" borderId="64" xfId="19" applyNumberFormat="1" applyFont="1" applyBorder="1"/>
    <xf numFmtId="3" fontId="57" fillId="0" borderId="40" xfId="19" applyNumberFormat="1" applyFont="1" applyBorder="1"/>
    <xf numFmtId="0" fontId="57" fillId="0" borderId="47" xfId="19" applyFont="1" applyBorder="1"/>
    <xf numFmtId="0" fontId="57" fillId="0" borderId="41" xfId="19" applyFont="1" applyBorder="1"/>
    <xf numFmtId="3" fontId="58" fillId="0" borderId="65" xfId="19" applyNumberFormat="1" applyFont="1" applyBorder="1"/>
    <xf numFmtId="3" fontId="58" fillId="0" borderId="66" xfId="19" applyNumberFormat="1" applyFont="1" applyBorder="1"/>
    <xf numFmtId="3" fontId="58" fillId="0" borderId="17" xfId="19" applyNumberFormat="1" applyFont="1" applyBorder="1"/>
    <xf numFmtId="3" fontId="58" fillId="0" borderId="15" xfId="19" applyNumberFormat="1" applyFont="1" applyBorder="1"/>
    <xf numFmtId="0" fontId="61" fillId="0" borderId="0" xfId="19" applyFont="1"/>
    <xf numFmtId="49" fontId="61" fillId="0" borderId="18" xfId="19" applyNumberFormat="1" applyFont="1" applyBorder="1"/>
    <xf numFmtId="0" fontId="57" fillId="0" borderId="62" xfId="19" applyFont="1" applyBorder="1"/>
    <xf numFmtId="0" fontId="57" fillId="0" borderId="63" xfId="19" applyFont="1" applyBorder="1"/>
    <xf numFmtId="0" fontId="57" fillId="0" borderId="64" xfId="19" applyFont="1" applyBorder="1"/>
    <xf numFmtId="0" fontId="57" fillId="0" borderId="40" xfId="19" applyFont="1" applyBorder="1"/>
    <xf numFmtId="49" fontId="57" fillId="0" borderId="41" xfId="19" applyNumberFormat="1" applyFont="1" applyBorder="1"/>
    <xf numFmtId="49" fontId="60" fillId="0" borderId="0" xfId="19" applyNumberFormat="1" applyFont="1" applyAlignment="1">
      <alignment horizontal="centerContinuous"/>
    </xf>
    <xf numFmtId="0" fontId="54" fillId="0" borderId="68" xfId="18" applyBorder="1"/>
    <xf numFmtId="0" fontId="54" fillId="0" borderId="68" xfId="18" applyBorder="1" applyAlignment="1">
      <alignment horizontal="right"/>
    </xf>
    <xf numFmtId="0" fontId="62" fillId="0" borderId="68" xfId="18" applyFont="1" applyBorder="1"/>
    <xf numFmtId="0" fontId="11" fillId="0" borderId="71" xfId="19" applyBorder="1"/>
    <xf numFmtId="0" fontId="11" fillId="0" borderId="72" xfId="19" applyBorder="1" applyAlignment="1">
      <alignment horizontal="left"/>
    </xf>
    <xf numFmtId="0" fontId="54" fillId="0" borderId="72" xfId="18" applyBorder="1"/>
    <xf numFmtId="0" fontId="54" fillId="0" borderId="72" xfId="18" applyBorder="1" applyAlignment="1">
      <alignment horizontal="right"/>
    </xf>
    <xf numFmtId="0" fontId="62" fillId="0" borderId="72" xfId="18" applyFont="1" applyBorder="1"/>
    <xf numFmtId="3" fontId="54" fillId="0" borderId="0" xfId="18" applyNumberFormat="1"/>
    <xf numFmtId="0" fontId="63" fillId="0" borderId="0" xfId="18" applyFont="1"/>
    <xf numFmtId="4" fontId="57" fillId="0" borderId="75" xfId="18" applyNumberFormat="1" applyFont="1" applyBorder="1"/>
    <xf numFmtId="4" fontId="54" fillId="0" borderId="75" xfId="18" applyNumberFormat="1" applyBorder="1" applyAlignment="1">
      <alignment horizontal="right"/>
    </xf>
    <xf numFmtId="0" fontId="54" fillId="0" borderId="75" xfId="18" applyBorder="1" applyAlignment="1">
      <alignment horizontal="center"/>
    </xf>
    <xf numFmtId="0" fontId="62" fillId="0" borderId="75" xfId="18" applyFont="1" applyBorder="1"/>
    <xf numFmtId="49" fontId="62" fillId="0" borderId="75" xfId="18" applyNumberFormat="1" applyFont="1" applyBorder="1" applyAlignment="1">
      <alignment horizontal="left"/>
    </xf>
    <xf numFmtId="4" fontId="64" fillId="0" borderId="66" xfId="18" applyNumberFormat="1" applyFont="1" applyBorder="1"/>
    <xf numFmtId="4" fontId="64" fillId="0" borderId="66" xfId="18" applyNumberFormat="1" applyFont="1" applyBorder="1" applyAlignment="1">
      <alignment horizontal="right"/>
    </xf>
    <xf numFmtId="49" fontId="64" fillId="0" borderId="66" xfId="18" applyNumberFormat="1" applyFont="1" applyBorder="1" applyAlignment="1">
      <alignment horizontal="center" shrinkToFit="1"/>
    </xf>
    <xf numFmtId="0" fontId="65" fillId="0" borderId="66" xfId="18" applyFont="1" applyBorder="1" applyAlignment="1">
      <alignment wrapText="1"/>
    </xf>
    <xf numFmtId="49" fontId="65" fillId="0" borderId="66" xfId="18" applyNumberFormat="1" applyFont="1" applyBorder="1" applyAlignment="1">
      <alignment horizontal="left"/>
    </xf>
    <xf numFmtId="0" fontId="58" fillId="0" borderId="66" xfId="18" applyFont="1" applyBorder="1" applyAlignment="1">
      <alignment horizontal="center"/>
    </xf>
    <xf numFmtId="0" fontId="54" fillId="0" borderId="66" xfId="18" applyBorder="1"/>
    <xf numFmtId="0" fontId="54" fillId="0" borderId="66" xfId="18" applyBorder="1" applyAlignment="1">
      <alignment horizontal="right"/>
    </xf>
    <xf numFmtId="0" fontId="54" fillId="0" borderId="66" xfId="18" applyBorder="1" applyAlignment="1">
      <alignment horizontal="center"/>
    </xf>
    <xf numFmtId="0" fontId="57" fillId="0" borderId="66" xfId="18" applyFont="1" applyBorder="1"/>
    <xf numFmtId="49" fontId="57" fillId="0" borderId="66" xfId="18" applyNumberFormat="1" applyFont="1" applyBorder="1" applyAlignment="1">
      <alignment horizontal="left"/>
    </xf>
    <xf numFmtId="0" fontId="57" fillId="0" borderId="66" xfId="18" applyFont="1" applyBorder="1" applyAlignment="1">
      <alignment horizontal="center"/>
    </xf>
    <xf numFmtId="0" fontId="66" fillId="0" borderId="27" xfId="18" applyFont="1" applyBorder="1" applyAlignment="1">
      <alignment horizontal="center"/>
    </xf>
    <xf numFmtId="0" fontId="66" fillId="0" borderId="42" xfId="18" applyFont="1" applyBorder="1" applyAlignment="1">
      <alignment horizontal="center"/>
    </xf>
    <xf numFmtId="49" fontId="66" fillId="0" borderId="27" xfId="18" applyNumberFormat="1" applyFont="1" applyBorder="1"/>
    <xf numFmtId="0" fontId="61" fillId="0" borderId="0" xfId="18" applyFont="1"/>
    <xf numFmtId="0" fontId="54" fillId="0" borderId="71" xfId="18" applyBorder="1"/>
    <xf numFmtId="0" fontId="61" fillId="0" borderId="72" xfId="18" applyFont="1" applyBorder="1" applyAlignment="1">
      <alignment horizontal="right"/>
    </xf>
    <xf numFmtId="0" fontId="67" fillId="0" borderId="0" xfId="18" applyFont="1" applyAlignment="1">
      <alignment horizontal="centerContinuous"/>
    </xf>
    <xf numFmtId="0" fontId="67" fillId="0" borderId="0" xfId="18" applyFont="1" applyAlignment="1">
      <alignment horizontal="right"/>
    </xf>
    <xf numFmtId="0" fontId="68" fillId="0" borderId="0" xfId="18" applyFont="1" applyAlignment="1">
      <alignment horizontal="centerContinuous"/>
    </xf>
    <xf numFmtId="3" fontId="58" fillId="0" borderId="0" xfId="19" applyNumberFormat="1" applyFont="1"/>
    <xf numFmtId="3" fontId="57" fillId="0" borderId="0" xfId="19" applyNumberFormat="1" applyFont="1"/>
    <xf numFmtId="0" fontId="58" fillId="0" borderId="0" xfId="18" applyFont="1" applyAlignment="1">
      <alignment horizontal="center"/>
    </xf>
    <xf numFmtId="4" fontId="57" fillId="0" borderId="0" xfId="19" applyNumberFormat="1" applyFont="1"/>
    <xf numFmtId="0" fontId="70" fillId="0" borderId="0" xfId="18" applyFont="1"/>
    <xf numFmtId="49" fontId="61" fillId="0" borderId="0" xfId="19" applyNumberFormat="1" applyFont="1" applyAlignment="1">
      <alignment horizontal="center"/>
    </xf>
    <xf numFmtId="0" fontId="26" fillId="0" borderId="0" xfId="9" applyFont="1" applyAlignment="1">
      <alignment horizontal="left" vertical="center" indent="1"/>
    </xf>
    <xf numFmtId="0" fontId="26" fillId="0" borderId="29" xfId="9" applyFont="1" applyBorder="1" applyAlignment="1">
      <alignment horizontal="left" vertical="center" indent="1"/>
    </xf>
    <xf numFmtId="49" fontId="57" fillId="0" borderId="46" xfId="19" applyNumberFormat="1" applyFont="1" applyBorder="1"/>
    <xf numFmtId="0" fontId="11" fillId="0" borderId="20" xfId="19" applyBorder="1"/>
    <xf numFmtId="0" fontId="57" fillId="0" borderId="21" xfId="19" applyFont="1" applyBorder="1"/>
    <xf numFmtId="0" fontId="58" fillId="0" borderId="16" xfId="18" applyFont="1" applyBorder="1" applyAlignment="1">
      <alignment horizontal="center"/>
    </xf>
    <xf numFmtId="4" fontId="58" fillId="0" borderId="17" xfId="19" applyNumberFormat="1" applyFont="1" applyBorder="1"/>
    <xf numFmtId="0" fontId="58" fillId="0" borderId="45" xfId="18" applyFont="1" applyBorder="1" applyAlignment="1">
      <alignment horizontal="center"/>
    </xf>
    <xf numFmtId="49" fontId="61" fillId="0" borderId="29" xfId="19" applyNumberFormat="1" applyFont="1" applyBorder="1" applyAlignment="1">
      <alignment horizontal="center"/>
    </xf>
    <xf numFmtId="0" fontId="11" fillId="0" borderId="29" xfId="19" applyBorder="1"/>
    <xf numFmtId="4" fontId="58" fillId="0" borderId="30" xfId="19" applyNumberFormat="1" applyFont="1" applyBorder="1"/>
    <xf numFmtId="0" fontId="11" fillId="0" borderId="0" xfId="19" applyAlignment="1">
      <alignment vertical="justify"/>
    </xf>
    <xf numFmtId="0" fontId="70" fillId="0" borderId="0" xfId="19" applyFont="1"/>
    <xf numFmtId="0" fontId="70" fillId="0" borderId="6" xfId="19" applyFont="1" applyBorder="1"/>
    <xf numFmtId="169" fontId="70" fillId="0" borderId="3" xfId="19" applyNumberFormat="1" applyFont="1" applyBorder="1"/>
    <xf numFmtId="0" fontId="70" fillId="0" borderId="4" xfId="19" applyFont="1" applyBorder="1"/>
    <xf numFmtId="0" fontId="70" fillId="0" borderId="3" xfId="19" applyFont="1" applyBorder="1"/>
    <xf numFmtId="0" fontId="70" fillId="0" borderId="48" xfId="19" applyFont="1" applyBorder="1"/>
    <xf numFmtId="0" fontId="11" fillId="0" borderId="43" xfId="19" applyBorder="1"/>
    <xf numFmtId="169" fontId="11" fillId="0" borderId="0" xfId="19" applyNumberFormat="1"/>
    <xf numFmtId="0" fontId="11" fillId="0" borderId="46" xfId="19" applyBorder="1"/>
    <xf numFmtId="0" fontId="11" fillId="0" borderId="46" xfId="19" applyBorder="1" applyAlignment="1">
      <alignment horizontal="right"/>
    </xf>
    <xf numFmtId="0" fontId="11" fillId="0" borderId="22" xfId="19" applyBorder="1"/>
    <xf numFmtId="0" fontId="11" fillId="0" borderId="19" xfId="19" applyBorder="1"/>
    <xf numFmtId="169" fontId="11" fillId="0" borderId="12" xfId="19" applyNumberFormat="1" applyBorder="1"/>
    <xf numFmtId="0" fontId="11" fillId="0" borderId="15" xfId="19" applyBorder="1"/>
    <xf numFmtId="0" fontId="11" fillId="0" borderId="16" xfId="19" applyBorder="1"/>
    <xf numFmtId="0" fontId="11" fillId="0" borderId="18" xfId="19" applyBorder="1"/>
    <xf numFmtId="178" fontId="11" fillId="0" borderId="0" xfId="19" applyNumberFormat="1"/>
    <xf numFmtId="0" fontId="11" fillId="0" borderId="0" xfId="19" applyAlignment="1">
      <alignment horizontal="right"/>
    </xf>
    <xf numFmtId="0" fontId="11" fillId="0" borderId="33" xfId="19" applyBorder="1"/>
    <xf numFmtId="0" fontId="11" fillId="0" borderId="34" xfId="19" applyBorder="1"/>
    <xf numFmtId="0" fontId="11" fillId="0" borderId="35" xfId="19" applyBorder="1"/>
    <xf numFmtId="0" fontId="11" fillId="0" borderId="37" xfId="19" applyBorder="1"/>
    <xf numFmtId="3" fontId="11" fillId="0" borderId="76" xfId="19" applyNumberFormat="1" applyBorder="1"/>
    <xf numFmtId="0" fontId="11" fillId="0" borderId="2" xfId="19" applyBorder="1"/>
    <xf numFmtId="3" fontId="11" fillId="0" borderId="3" xfId="19" applyNumberFormat="1" applyBorder="1"/>
    <xf numFmtId="3" fontId="11" fillId="0" borderId="38" xfId="19" applyNumberFormat="1" applyBorder="1"/>
    <xf numFmtId="0" fontId="11" fillId="0" borderId="12" xfId="19" applyBorder="1"/>
    <xf numFmtId="0" fontId="11" fillId="0" borderId="44" xfId="19" applyBorder="1"/>
    <xf numFmtId="0" fontId="11" fillId="0" borderId="42" xfId="19" applyBorder="1"/>
    <xf numFmtId="3" fontId="11" fillId="0" borderId="12" xfId="19" applyNumberFormat="1" applyBorder="1"/>
    <xf numFmtId="0" fontId="11" fillId="0" borderId="31" xfId="19" applyBorder="1"/>
    <xf numFmtId="0" fontId="58" fillId="0" borderId="44" xfId="19" applyFont="1" applyBorder="1"/>
    <xf numFmtId="0" fontId="11" fillId="0" borderId="60" xfId="19" applyBorder="1"/>
    <xf numFmtId="0" fontId="11" fillId="0" borderId="77" xfId="19" applyBorder="1"/>
    <xf numFmtId="0" fontId="11" fillId="0" borderId="25" xfId="19" applyBorder="1"/>
    <xf numFmtId="3" fontId="11" fillId="0" borderId="24" xfId="19" applyNumberFormat="1" applyBorder="1"/>
    <xf numFmtId="0" fontId="11" fillId="0" borderId="26" xfId="19" applyBorder="1"/>
    <xf numFmtId="0" fontId="11" fillId="0" borderId="40" xfId="19" applyBorder="1" applyAlignment="1">
      <alignment horizontal="centerContinuous"/>
    </xf>
    <xf numFmtId="0" fontId="11" fillId="0" borderId="47" xfId="19" applyBorder="1" applyAlignment="1">
      <alignment horizontal="centerContinuous"/>
    </xf>
    <xf numFmtId="0" fontId="57" fillId="0" borderId="47" xfId="19" applyFont="1" applyBorder="1" applyAlignment="1">
      <alignment horizontal="centerContinuous"/>
    </xf>
    <xf numFmtId="0" fontId="11" fillId="0" borderId="47" xfId="19" applyBorder="1" applyAlignment="1">
      <alignment horizontal="left"/>
    </xf>
    <xf numFmtId="0" fontId="57" fillId="0" borderId="41" xfId="19" applyFont="1" applyBorder="1" applyAlignment="1">
      <alignment horizontal="left"/>
    </xf>
    <xf numFmtId="0" fontId="11" fillId="0" borderId="78" xfId="19" applyBorder="1" applyAlignment="1">
      <alignment horizontal="centerContinuous" vertical="center"/>
    </xf>
    <xf numFmtId="0" fontId="11" fillId="0" borderId="79" xfId="19" applyBorder="1" applyAlignment="1">
      <alignment horizontal="centerContinuous" vertical="center"/>
    </xf>
    <xf numFmtId="0" fontId="70" fillId="0" borderId="79" xfId="19" applyFont="1" applyBorder="1" applyAlignment="1">
      <alignment horizontal="centerContinuous" vertical="center"/>
    </xf>
    <xf numFmtId="0" fontId="60" fillId="0" borderId="80" xfId="19" applyFont="1" applyBorder="1" applyAlignment="1">
      <alignment horizontal="centerContinuous" vertical="center"/>
    </xf>
    <xf numFmtId="49" fontId="11" fillId="0" borderId="16" xfId="19" applyNumberFormat="1" applyBorder="1" applyAlignment="1">
      <alignment horizontal="left"/>
    </xf>
    <xf numFmtId="0" fontId="11" fillId="6" borderId="0" xfId="19" applyFill="1"/>
    <xf numFmtId="0" fontId="62" fillId="6" borderId="0" xfId="19" applyFont="1" applyFill="1"/>
    <xf numFmtId="49" fontId="11" fillId="6" borderId="17" xfId="19" applyNumberFormat="1" applyFill="1" applyBorder="1"/>
    <xf numFmtId="49" fontId="71" fillId="6" borderId="18" xfId="19" applyNumberFormat="1" applyFont="1" applyFill="1" applyBorder="1"/>
    <xf numFmtId="0" fontId="11" fillId="0" borderId="21" xfId="19" applyBorder="1"/>
    <xf numFmtId="0" fontId="11" fillId="0" borderId="36" xfId="19" applyBorder="1"/>
    <xf numFmtId="0" fontId="11" fillId="0" borderId="0" xfId="19" applyAlignment="1">
      <alignment horizontal="centerContinuous"/>
    </xf>
    <xf numFmtId="4" fontId="11" fillId="0" borderId="0" xfId="19" applyNumberFormat="1"/>
    <xf numFmtId="4" fontId="61" fillId="0" borderId="0" xfId="19" applyNumberFormat="1" applyFont="1"/>
    <xf numFmtId="3" fontId="61" fillId="0" borderId="0" xfId="19" applyNumberFormat="1" applyFont="1"/>
    <xf numFmtId="165" fontId="4" fillId="2" borderId="81" xfId="20" applyNumberFormat="1" applyFont="1" applyFill="1" applyBorder="1" applyAlignment="1" applyProtection="1">
      <alignment vertical="center"/>
    </xf>
    <xf numFmtId="165" fontId="2" fillId="0" borderId="11" xfId="20" applyNumberFormat="1" applyFont="1" applyFill="1" applyBorder="1" applyAlignment="1" applyProtection="1">
      <alignment vertical="center"/>
    </xf>
    <xf numFmtId="165" fontId="6" fillId="0" borderId="11" xfId="20" applyNumberFormat="1" applyFont="1" applyFill="1" applyBorder="1" applyAlignment="1" applyProtection="1">
      <alignment vertical="center"/>
    </xf>
    <xf numFmtId="165" fontId="3" fillId="0" borderId="23" xfId="20" applyNumberFormat="1" applyFont="1" applyFill="1" applyBorder="1" applyAlignment="1" applyProtection="1">
      <alignment horizontal="left" vertical="center"/>
    </xf>
    <xf numFmtId="165" fontId="4" fillId="2" borderId="1" xfId="20" applyNumberFormat="1" applyFont="1" applyFill="1" applyBorder="1" applyAlignment="1" applyProtection="1">
      <alignment vertical="center"/>
    </xf>
    <xf numFmtId="172" fontId="7" fillId="0" borderId="12" xfId="7" applyNumberFormat="1" applyFont="1" applyFill="1" applyBorder="1" applyAlignment="1" applyProtection="1">
      <alignment vertical="center"/>
    </xf>
    <xf numFmtId="9" fontId="5" fillId="0" borderId="27" xfId="3" applyFont="1" applyFill="1" applyBorder="1" applyAlignment="1" applyProtection="1">
      <alignment horizontal="right" vertical="center"/>
    </xf>
    <xf numFmtId="165" fontId="4" fillId="2" borderId="32" xfId="20" applyNumberFormat="1" applyFont="1" applyFill="1" applyBorder="1" applyAlignment="1" applyProtection="1">
      <alignment vertical="center"/>
    </xf>
    <xf numFmtId="165" fontId="3" fillId="0" borderId="28" xfId="20" applyNumberFormat="1" applyFont="1" applyFill="1" applyBorder="1" applyAlignment="1" applyProtection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0" fontId="9" fillId="3" borderId="30" xfId="1" applyFont="1" applyFill="1" applyBorder="1" applyAlignment="1">
      <alignment horizontal="left" vertical="center"/>
    </xf>
    <xf numFmtId="0" fontId="10" fillId="3" borderId="31" xfId="1" applyFont="1" applyFill="1" applyBorder="1" applyAlignment="1">
      <alignment horizontal="center" vertical="center"/>
    </xf>
    <xf numFmtId="165" fontId="72" fillId="2" borderId="43" xfId="20" applyNumberFormat="1" applyFont="1" applyFill="1" applyBorder="1" applyAlignment="1" applyProtection="1">
      <alignment vertical="center"/>
    </xf>
    <xf numFmtId="165" fontId="72" fillId="2" borderId="23" xfId="20" applyNumberFormat="1" applyFont="1" applyFill="1" applyBorder="1" applyAlignment="1" applyProtection="1">
      <alignment vertical="center"/>
    </xf>
    <xf numFmtId="0" fontId="17" fillId="0" borderId="18" xfId="1" applyFont="1" applyBorder="1" applyAlignment="1" applyProtection="1">
      <alignment vertical="center"/>
      <protection locked="0"/>
    </xf>
    <xf numFmtId="4" fontId="54" fillId="0" borderId="0" xfId="18" applyNumberFormat="1"/>
    <xf numFmtId="2" fontId="49" fillId="0" borderId="0" xfId="10" applyNumberFormat="1" applyFont="1" applyAlignment="1">
      <alignment horizontal="left" vertical="center"/>
    </xf>
    <xf numFmtId="2" fontId="46" fillId="0" borderId="0" xfId="10" applyNumberFormat="1" applyFont="1" applyAlignment="1">
      <alignment horizontal="left" vertical="center"/>
    </xf>
    <xf numFmtId="9" fontId="53" fillId="0" borderId="0" xfId="3" applyFont="1" applyFill="1" applyBorder="1" applyAlignment="1" applyProtection="1">
      <alignment horizontal="center" vertical="center" shrinkToFit="1"/>
    </xf>
    <xf numFmtId="2" fontId="49" fillId="0" borderId="0" xfId="10" applyNumberFormat="1" applyFont="1" applyAlignment="1">
      <alignment horizontal="center" vertical="center"/>
    </xf>
    <xf numFmtId="176" fontId="49" fillId="0" borderId="0" xfId="10" applyNumberFormat="1" applyFont="1" applyAlignment="1">
      <alignment horizontal="left" vertical="center"/>
    </xf>
    <xf numFmtId="49" fontId="35" fillId="0" borderId="0" xfId="12" applyNumberFormat="1" applyFont="1" applyAlignment="1">
      <alignment horizontal="center" vertical="center"/>
    </xf>
    <xf numFmtId="9" fontId="53" fillId="0" borderId="0" xfId="3" applyFont="1" applyFill="1" applyBorder="1" applyAlignment="1" applyProtection="1">
      <alignment horizontal="right" vertical="center" shrinkToFit="1"/>
    </xf>
    <xf numFmtId="0" fontId="54" fillId="0" borderId="72" xfId="18" applyBorder="1" applyAlignment="1">
      <alignment horizontal="left"/>
    </xf>
    <xf numFmtId="0" fontId="57" fillId="0" borderId="20" xfId="19" applyFont="1" applyBorder="1"/>
    <xf numFmtId="0" fontId="61" fillId="0" borderId="29" xfId="19" applyFont="1" applyBorder="1"/>
    <xf numFmtId="3" fontId="58" fillId="0" borderId="29" xfId="19" applyNumberFormat="1" applyFont="1" applyBorder="1"/>
    <xf numFmtId="0" fontId="76" fillId="0" borderId="0" xfId="6" applyFont="1" applyAlignment="1">
      <alignment vertical="center"/>
    </xf>
    <xf numFmtId="172" fontId="76" fillId="0" borderId="0" xfId="7" applyNumberFormat="1" applyFont="1" applyBorder="1" applyAlignment="1">
      <alignment vertical="center"/>
    </xf>
    <xf numFmtId="0" fontId="76" fillId="0" borderId="0" xfId="6" applyFont="1" applyAlignment="1">
      <alignment horizontal="center" vertical="center"/>
    </xf>
    <xf numFmtId="0" fontId="76" fillId="0" borderId="0" xfId="6" applyFont="1" applyAlignment="1">
      <alignment horizontal="left" vertical="center" indent="1"/>
    </xf>
    <xf numFmtId="172" fontId="25" fillId="0" borderId="0" xfId="7" applyNumberFormat="1" applyFont="1" applyBorder="1" applyAlignment="1">
      <alignment vertical="center"/>
    </xf>
    <xf numFmtId="2" fontId="41" fillId="0" borderId="0" xfId="14" applyNumberFormat="1" applyFont="1" applyAlignment="1">
      <alignment horizontal="right" vertical="center"/>
    </xf>
    <xf numFmtId="4" fontId="32" fillId="2" borderId="0" xfId="6" applyNumberFormat="1" applyFont="1" applyFill="1" applyAlignment="1" applyProtection="1">
      <alignment vertical="center"/>
      <protection locked="0"/>
    </xf>
    <xf numFmtId="4" fontId="31" fillId="2" borderId="0" xfId="6" applyNumberFormat="1" applyFont="1" applyFill="1" applyAlignment="1" applyProtection="1">
      <alignment vertical="center"/>
      <protection locked="0"/>
    </xf>
    <xf numFmtId="14" fontId="31" fillId="2" borderId="0" xfId="9" applyNumberFormat="1" applyFont="1" applyFill="1" applyAlignment="1" applyProtection="1">
      <alignment horizontal="center" vertical="center"/>
      <protection locked="0"/>
    </xf>
    <xf numFmtId="4" fontId="32" fillId="5" borderId="57" xfId="6" applyNumberFormat="1" applyFont="1" applyFill="1" applyBorder="1" applyAlignment="1" applyProtection="1">
      <alignment horizontal="center" vertical="center"/>
      <protection locked="0"/>
    </xf>
    <xf numFmtId="0" fontId="48" fillId="5" borderId="49" xfId="6" applyFont="1" applyFill="1" applyBorder="1" applyAlignment="1" applyProtection="1">
      <alignment horizontal="center" vertical="center"/>
      <protection locked="0"/>
    </xf>
    <xf numFmtId="2" fontId="45" fillId="0" borderId="0" xfId="11" applyNumberFormat="1" applyFont="1" applyFill="1" applyBorder="1" applyAlignment="1" applyProtection="1">
      <alignment horizontal="left" vertical="center" shrinkToFit="1"/>
      <protection locked="0"/>
    </xf>
    <xf numFmtId="4" fontId="35" fillId="0" borderId="0" xfId="11" applyNumberFormat="1" applyFont="1" applyFill="1" applyBorder="1" applyAlignment="1" applyProtection="1">
      <alignment vertical="center" shrinkToFit="1"/>
      <protection locked="0"/>
    </xf>
    <xf numFmtId="4" fontId="35" fillId="0" borderId="0" xfId="11" applyNumberFormat="1" applyFont="1" applyBorder="1" applyAlignment="1" applyProtection="1">
      <alignment vertical="center" shrinkToFit="1"/>
      <protection locked="0"/>
    </xf>
    <xf numFmtId="0" fontId="54" fillId="0" borderId="66" xfId="18" applyBorder="1" applyAlignment="1" applyProtection="1">
      <alignment horizontal="right"/>
      <protection locked="0"/>
    </xf>
    <xf numFmtId="4" fontId="64" fillId="0" borderId="66" xfId="18" applyNumberFormat="1" applyFont="1" applyBorder="1" applyAlignment="1" applyProtection="1">
      <alignment horizontal="right"/>
      <protection locked="0"/>
    </xf>
    <xf numFmtId="4" fontId="54" fillId="0" borderId="75" xfId="18" applyNumberFormat="1" applyBorder="1" applyAlignment="1" applyProtection="1">
      <alignment horizontal="right"/>
      <protection locked="0"/>
    </xf>
    <xf numFmtId="0" fontId="11" fillId="0" borderId="22" xfId="19" applyBorder="1" applyProtection="1">
      <protection locked="0"/>
    </xf>
    <xf numFmtId="0" fontId="11" fillId="0" borderId="20" xfId="19" applyBorder="1" applyProtection="1">
      <protection locked="0"/>
    </xf>
    <xf numFmtId="0" fontId="11" fillId="0" borderId="46" xfId="19" applyBorder="1" applyProtection="1">
      <protection locked="0"/>
    </xf>
    <xf numFmtId="0" fontId="11" fillId="0" borderId="19" xfId="19" applyBorder="1" applyProtection="1">
      <protection locked="0"/>
    </xf>
    <xf numFmtId="3" fontId="11" fillId="0" borderId="19" xfId="19" applyNumberFormat="1" applyBorder="1" applyProtection="1">
      <protection locked="0"/>
    </xf>
    <xf numFmtId="0" fontId="11" fillId="0" borderId="44" xfId="19" applyBorder="1" applyProtection="1">
      <protection locked="0"/>
    </xf>
    <xf numFmtId="0" fontId="11" fillId="0" borderId="12" xfId="19" applyBorder="1" applyProtection="1">
      <protection locked="0"/>
    </xf>
    <xf numFmtId="0" fontId="11" fillId="0" borderId="13" xfId="19" applyBorder="1" applyProtection="1">
      <protection locked="0"/>
    </xf>
    <xf numFmtId="0" fontId="11" fillId="0" borderId="43" xfId="19" applyBorder="1" applyProtection="1">
      <protection locked="0"/>
    </xf>
    <xf numFmtId="0" fontId="11" fillId="0" borderId="18" xfId="19" applyBorder="1" applyProtection="1">
      <protection locked="0"/>
    </xf>
    <xf numFmtId="0" fontId="11" fillId="0" borderId="0" xfId="19" applyProtection="1">
      <protection locked="0"/>
    </xf>
    <xf numFmtId="0" fontId="11" fillId="0" borderId="16" xfId="19" applyBorder="1" applyProtection="1">
      <protection locked="0"/>
    </xf>
    <xf numFmtId="0" fontId="11" fillId="0" borderId="15" xfId="19" applyBorder="1" applyProtection="1">
      <protection locked="0"/>
    </xf>
    <xf numFmtId="177" fontId="58" fillId="0" borderId="27" xfId="19" applyNumberFormat="1" applyFont="1" applyBorder="1" applyAlignment="1" applyProtection="1">
      <alignment horizontal="right"/>
      <protection locked="0"/>
    </xf>
    <xf numFmtId="0" fontId="39" fillId="0" borderId="0" xfId="10" applyFont="1" applyAlignment="1" applyProtection="1">
      <alignment vertical="center"/>
      <protection locked="0"/>
    </xf>
    <xf numFmtId="0" fontId="2" fillId="0" borderId="0" xfId="19" applyFont="1" applyAlignment="1">
      <alignment vertical="center"/>
    </xf>
    <xf numFmtId="4" fontId="6" fillId="0" borderId="62" xfId="21" applyNumberFormat="1" applyFont="1" applyBorder="1" applyAlignment="1">
      <alignment vertical="center"/>
    </xf>
    <xf numFmtId="0" fontId="73" fillId="0" borderId="0" xfId="21" applyFont="1" applyAlignment="1">
      <alignment vertical="center"/>
    </xf>
    <xf numFmtId="0" fontId="73" fillId="0" borderId="0" xfId="0" applyFont="1" applyAlignment="1">
      <alignment vertical="center"/>
    </xf>
    <xf numFmtId="0" fontId="73" fillId="0" borderId="61" xfId="0" applyFont="1" applyBorder="1" applyAlignment="1">
      <alignment vertical="center"/>
    </xf>
    <xf numFmtId="0" fontId="73" fillId="0" borderId="82" xfId="0" applyFont="1" applyBorder="1" applyAlignment="1">
      <alignment vertical="center"/>
    </xf>
    <xf numFmtId="0" fontId="73" fillId="0" borderId="14" xfId="0" applyFont="1" applyBorder="1" applyAlignment="1">
      <alignment vertical="center"/>
    </xf>
    <xf numFmtId="0" fontId="73" fillId="0" borderId="27" xfId="0" applyFont="1" applyBorder="1" applyAlignment="1">
      <alignment vertical="center"/>
    </xf>
    <xf numFmtId="0" fontId="6" fillId="0" borderId="84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0" fontId="73" fillId="0" borderId="5" xfId="0" applyFont="1" applyBorder="1" applyAlignment="1">
      <alignment vertical="center"/>
    </xf>
    <xf numFmtId="0" fontId="73" fillId="0" borderId="85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10" fillId="0" borderId="0" xfId="21" applyFont="1" applyAlignment="1">
      <alignment vertical="center"/>
    </xf>
    <xf numFmtId="4" fontId="73" fillId="0" borderId="27" xfId="21" applyNumberFormat="1" applyFont="1" applyBorder="1" applyAlignment="1">
      <alignment vertical="center"/>
    </xf>
    <xf numFmtId="4" fontId="6" fillId="0" borderId="27" xfId="21" applyNumberFormat="1" applyFont="1" applyBorder="1" applyAlignment="1">
      <alignment vertical="center"/>
    </xf>
    <xf numFmtId="2" fontId="10" fillId="0" borderId="0" xfId="21" applyNumberFormat="1" applyFont="1" applyAlignment="1">
      <alignment vertical="center"/>
    </xf>
    <xf numFmtId="2" fontId="6" fillId="0" borderId="27" xfId="21" applyNumberFormat="1" applyFont="1" applyBorder="1" applyAlignment="1">
      <alignment vertical="center"/>
    </xf>
    <xf numFmtId="2" fontId="73" fillId="0" borderId="27" xfId="21" applyNumberFormat="1" applyFont="1" applyBorder="1" applyAlignment="1">
      <alignment vertical="center"/>
    </xf>
    <xf numFmtId="2" fontId="73" fillId="0" borderId="0" xfId="21" applyNumberFormat="1" applyFont="1" applyAlignment="1">
      <alignment vertical="center"/>
    </xf>
    <xf numFmtId="2" fontId="6" fillId="0" borderId="63" xfId="0" applyNumberFormat="1" applyFont="1" applyBorder="1" applyAlignment="1">
      <alignment vertical="center"/>
    </xf>
    <xf numFmtId="2" fontId="6" fillId="0" borderId="66" xfId="0" applyNumberFormat="1" applyFont="1" applyBorder="1" applyAlignment="1">
      <alignment vertical="center"/>
    </xf>
    <xf numFmtId="2" fontId="73" fillId="0" borderId="82" xfId="0" applyNumberFormat="1" applyFont="1" applyBorder="1" applyAlignment="1">
      <alignment vertical="center"/>
    </xf>
    <xf numFmtId="2" fontId="73" fillId="0" borderId="27" xfId="0" applyNumberFormat="1" applyFont="1" applyBorder="1" applyAlignment="1">
      <alignment vertical="center"/>
    </xf>
    <xf numFmtId="2" fontId="73" fillId="0" borderId="85" xfId="0" applyNumberFormat="1" applyFont="1" applyBorder="1" applyAlignment="1">
      <alignment vertical="center"/>
    </xf>
    <xf numFmtId="2" fontId="73" fillId="0" borderId="0" xfId="0" applyNumberFormat="1" applyFont="1" applyAlignment="1">
      <alignment vertical="center"/>
    </xf>
    <xf numFmtId="4" fontId="10" fillId="0" borderId="0" xfId="21" applyNumberFormat="1" applyFont="1" applyAlignment="1">
      <alignment vertical="center"/>
    </xf>
    <xf numFmtId="4" fontId="73" fillId="0" borderId="0" xfId="21" applyNumberFormat="1" applyFont="1" applyAlignment="1">
      <alignment vertical="center"/>
    </xf>
    <xf numFmtId="4" fontId="6" fillId="0" borderId="63" xfId="0" applyNumberFormat="1" applyFont="1" applyBorder="1" applyAlignment="1">
      <alignment vertical="center"/>
    </xf>
    <xf numFmtId="4" fontId="6" fillId="0" borderId="62" xfId="0" applyNumberFormat="1" applyFont="1" applyBorder="1" applyAlignment="1">
      <alignment vertical="center"/>
    </xf>
    <xf numFmtId="4" fontId="6" fillId="0" borderId="66" xfId="0" applyNumberFormat="1" applyFont="1" applyBorder="1" applyAlignment="1">
      <alignment vertical="center"/>
    </xf>
    <xf numFmtId="4" fontId="73" fillId="0" borderId="86" xfId="0" applyNumberFormat="1" applyFont="1" applyBorder="1" applyAlignment="1">
      <alignment vertical="center"/>
    </xf>
    <xf numFmtId="4" fontId="73" fillId="0" borderId="11" xfId="0" applyNumberFormat="1" applyFont="1" applyBorder="1" applyAlignment="1">
      <alignment vertical="center"/>
    </xf>
    <xf numFmtId="4" fontId="73" fillId="0" borderId="38" xfId="0" applyNumberFormat="1" applyFont="1" applyBorder="1" applyAlignment="1">
      <alignment vertical="center"/>
    </xf>
    <xf numFmtId="4" fontId="73" fillId="0" borderId="0" xfId="0" applyNumberFormat="1" applyFont="1" applyAlignment="1">
      <alignment vertical="center"/>
    </xf>
    <xf numFmtId="4" fontId="77" fillId="0" borderId="0" xfId="21" applyNumberFormat="1" applyFont="1" applyAlignment="1">
      <alignment vertical="center"/>
    </xf>
    <xf numFmtId="4" fontId="73" fillId="0" borderId="27" xfId="21" applyNumberFormat="1" applyFont="1" applyBorder="1" applyAlignment="1" applyProtection="1">
      <alignment vertical="center"/>
      <protection locked="0"/>
    </xf>
    <xf numFmtId="4" fontId="73" fillId="0" borderId="82" xfId="0" applyNumberFormat="1" applyFont="1" applyBorder="1" applyAlignment="1" applyProtection="1">
      <alignment vertical="center"/>
      <protection locked="0"/>
    </xf>
    <xf numFmtId="4" fontId="73" fillId="0" borderId="27" xfId="0" applyNumberFormat="1" applyFont="1" applyBorder="1" applyAlignment="1" applyProtection="1">
      <alignment vertical="center"/>
      <protection locked="0"/>
    </xf>
    <xf numFmtId="4" fontId="73" fillId="0" borderId="85" xfId="0" applyNumberFormat="1" applyFont="1" applyBorder="1" applyAlignment="1" applyProtection="1">
      <alignment vertical="center"/>
      <protection locked="0"/>
    </xf>
    <xf numFmtId="4" fontId="6" fillId="0" borderId="66" xfId="0" applyNumberFormat="1" applyFont="1" applyBorder="1" applyAlignment="1" applyProtection="1">
      <alignment vertical="center"/>
      <protection locked="0"/>
    </xf>
    <xf numFmtId="4" fontId="79" fillId="0" borderId="0" xfId="18" applyNumberFormat="1" applyFont="1"/>
    <xf numFmtId="0" fontId="75" fillId="0" borderId="41" xfId="1" applyFont="1" applyBorder="1" applyAlignment="1">
      <alignment horizontal="center" vertical="center"/>
    </xf>
    <xf numFmtId="0" fontId="75" fillId="0" borderId="47" xfId="1" applyFont="1" applyBorder="1" applyAlignment="1">
      <alignment horizontal="center" vertical="center"/>
    </xf>
    <xf numFmtId="0" fontId="75" fillId="0" borderId="40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74" fillId="0" borderId="44" xfId="1" applyFont="1" applyBorder="1" applyAlignment="1">
      <alignment horizontal="left" vertical="center" wrapText="1"/>
    </xf>
    <xf numFmtId="0" fontId="74" fillId="0" borderId="12" xfId="1" applyFont="1" applyBorder="1" applyAlignment="1">
      <alignment horizontal="left" vertical="center"/>
    </xf>
    <xf numFmtId="0" fontId="73" fillId="0" borderId="12" xfId="1" applyFont="1" applyBorder="1" applyAlignment="1">
      <alignment horizontal="center" vertical="center"/>
    </xf>
    <xf numFmtId="0" fontId="74" fillId="0" borderId="44" xfId="1" applyFont="1" applyBorder="1" applyAlignment="1">
      <alignment horizontal="left" vertical="center"/>
    </xf>
    <xf numFmtId="0" fontId="74" fillId="0" borderId="26" xfId="1" applyFont="1" applyBorder="1" applyAlignment="1">
      <alignment horizontal="left" vertical="center"/>
    </xf>
    <xf numFmtId="0" fontId="74" fillId="0" borderId="24" xfId="1" applyFont="1" applyBorder="1" applyAlignment="1">
      <alignment horizontal="left" vertical="center"/>
    </xf>
    <xf numFmtId="0" fontId="73" fillId="0" borderId="24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165" fontId="2" fillId="0" borderId="46" xfId="2" applyNumberFormat="1" applyFont="1" applyFill="1" applyBorder="1" applyAlignment="1" applyProtection="1">
      <alignment horizontal="center" vertical="center"/>
    </xf>
    <xf numFmtId="165" fontId="2" fillId="0" borderId="45" xfId="2" applyNumberFormat="1" applyFont="1" applyFill="1" applyBorder="1" applyAlignment="1" applyProtection="1">
      <alignment horizontal="center" vertical="center"/>
    </xf>
    <xf numFmtId="165" fontId="2" fillId="0" borderId="8" xfId="2" applyNumberFormat="1" applyFont="1" applyFill="1" applyBorder="1" applyAlignment="1" applyProtection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48" fillId="5" borderId="54" xfId="6" applyFont="1" applyFill="1" applyBorder="1" applyAlignment="1">
      <alignment horizontal="center" vertical="center"/>
    </xf>
    <xf numFmtId="0" fontId="48" fillId="5" borderId="53" xfId="6" applyFont="1" applyFill="1" applyBorder="1" applyAlignment="1">
      <alignment horizontal="center" vertical="center"/>
    </xf>
    <xf numFmtId="0" fontId="32" fillId="5" borderId="58" xfId="6" applyFont="1" applyFill="1" applyBorder="1" applyAlignment="1">
      <alignment horizontal="center" vertical="center"/>
    </xf>
    <xf numFmtId="0" fontId="2" fillId="0" borderId="53" xfId="6" applyBorder="1" applyAlignment="1">
      <alignment horizontal="center" vertical="center"/>
    </xf>
    <xf numFmtId="0" fontId="48" fillId="5" borderId="51" xfId="6" applyFont="1" applyFill="1" applyBorder="1" applyAlignment="1">
      <alignment horizontal="center" vertical="center"/>
    </xf>
    <xf numFmtId="0" fontId="2" fillId="0" borderId="50" xfId="6" applyBorder="1" applyAlignment="1">
      <alignment horizontal="center" vertical="center"/>
    </xf>
    <xf numFmtId="0" fontId="69" fillId="0" borderId="0" xfId="18" applyFont="1" applyAlignment="1">
      <alignment horizontal="center"/>
    </xf>
    <xf numFmtId="0" fontId="54" fillId="0" borderId="74" xfId="18" applyBorder="1" applyAlignment="1">
      <alignment horizontal="center"/>
    </xf>
    <xf numFmtId="0" fontId="54" fillId="0" borderId="73" xfId="18" applyBorder="1" applyAlignment="1">
      <alignment horizontal="center"/>
    </xf>
    <xf numFmtId="49" fontId="54" fillId="0" borderId="70" xfId="18" applyNumberFormat="1" applyBorder="1" applyAlignment="1">
      <alignment horizontal="center"/>
    </xf>
    <xf numFmtId="0" fontId="54" fillId="0" borderId="69" xfId="18" applyBorder="1" applyAlignment="1">
      <alignment horizontal="center"/>
    </xf>
    <xf numFmtId="0" fontId="54" fillId="0" borderId="68" xfId="18" applyBorder="1" applyAlignment="1">
      <alignment horizontal="center" shrinkToFit="1"/>
    </xf>
    <xf numFmtId="0" fontId="54" fillId="0" borderId="67" xfId="18" applyBorder="1" applyAlignment="1">
      <alignment horizontal="center" shrinkToFit="1"/>
    </xf>
    <xf numFmtId="0" fontId="6" fillId="0" borderId="27" xfId="21" applyFont="1" applyBorder="1" applyAlignment="1">
      <alignment vertical="center"/>
    </xf>
    <xf numFmtId="0" fontId="6" fillId="0" borderId="83" xfId="21" applyFont="1" applyBorder="1" applyAlignment="1">
      <alignment vertical="center"/>
    </xf>
    <xf numFmtId="4" fontId="6" fillId="0" borderId="84" xfId="21" applyNumberFormat="1" applyFont="1" applyBorder="1" applyAlignment="1">
      <alignment vertical="center"/>
    </xf>
    <xf numFmtId="4" fontId="6" fillId="0" borderId="63" xfId="21" applyNumberFormat="1" applyFont="1" applyBorder="1" applyAlignment="1">
      <alignment vertical="center"/>
    </xf>
    <xf numFmtId="4" fontId="6" fillId="0" borderId="27" xfId="21" applyNumberFormat="1" applyFont="1" applyBorder="1" applyAlignment="1">
      <alignment vertical="center"/>
    </xf>
    <xf numFmtId="0" fontId="10" fillId="0" borderId="0" xfId="21" applyFont="1" applyAlignment="1">
      <alignment vertical="center"/>
    </xf>
    <xf numFmtId="0" fontId="17" fillId="0" borderId="0" xfId="21" applyFont="1" applyAlignment="1">
      <alignment vertical="center"/>
    </xf>
    <xf numFmtId="0" fontId="10" fillId="0" borderId="13" xfId="18" applyFont="1" applyBorder="1" applyAlignment="1">
      <alignment horizontal="center" vertical="center"/>
    </xf>
    <xf numFmtId="0" fontId="10" fillId="0" borderId="12" xfId="18" applyFont="1" applyBorder="1" applyAlignment="1">
      <alignment horizontal="center" vertical="center"/>
    </xf>
    <xf numFmtId="0" fontId="10" fillId="0" borderId="42" xfId="18" applyFont="1" applyBorder="1" applyAlignment="1">
      <alignment horizontal="center" vertical="center"/>
    </xf>
    <xf numFmtId="0" fontId="11" fillId="0" borderId="0" xfId="19" applyAlignment="1">
      <alignment horizontal="left" wrapText="1"/>
    </xf>
    <xf numFmtId="0" fontId="78" fillId="0" borderId="12" xfId="19" applyFont="1" applyBorder="1" applyAlignment="1" applyProtection="1">
      <alignment horizontal="left"/>
      <protection locked="0"/>
    </xf>
    <xf numFmtId="0" fontId="78" fillId="0" borderId="42" xfId="19" applyFont="1" applyBorder="1" applyAlignment="1" applyProtection="1">
      <alignment horizontal="left"/>
      <protection locked="0"/>
    </xf>
    <xf numFmtId="0" fontId="57" fillId="0" borderId="45" xfId="19" applyFont="1" applyBorder="1" applyAlignment="1" applyProtection="1">
      <alignment horizontal="left"/>
      <protection locked="0"/>
    </xf>
    <xf numFmtId="0" fontId="57" fillId="0" borderId="29" xfId="19" applyFont="1" applyBorder="1" applyAlignment="1" applyProtection="1">
      <alignment horizontal="left"/>
      <protection locked="0"/>
    </xf>
    <xf numFmtId="0" fontId="57" fillId="0" borderId="28" xfId="19" applyFont="1" applyBorder="1" applyAlignment="1" applyProtection="1">
      <alignment horizontal="left"/>
      <protection locked="0"/>
    </xf>
    <xf numFmtId="0" fontId="65" fillId="0" borderId="0" xfId="19" applyFont="1" applyAlignment="1">
      <alignment horizontal="left" vertical="top" wrapText="1"/>
    </xf>
    <xf numFmtId="0" fontId="54" fillId="0" borderId="70" xfId="18" applyBorder="1" applyAlignment="1">
      <alignment horizontal="center"/>
    </xf>
    <xf numFmtId="0" fontId="54" fillId="0" borderId="68" xfId="18" applyBorder="1" applyAlignment="1">
      <alignment horizontal="left"/>
    </xf>
    <xf numFmtId="0" fontId="54" fillId="0" borderId="67" xfId="18" applyBorder="1" applyAlignment="1">
      <alignment horizontal="left"/>
    </xf>
    <xf numFmtId="3" fontId="57" fillId="0" borderId="3" xfId="19" applyNumberFormat="1" applyFont="1" applyBorder="1" applyAlignment="1">
      <alignment horizontal="right"/>
    </xf>
    <xf numFmtId="3" fontId="57" fillId="0" borderId="39" xfId="19" applyNumberFormat="1" applyFont="1" applyBorder="1" applyAlignment="1">
      <alignment horizontal="right"/>
    </xf>
  </cellXfs>
  <cellStyles count="22">
    <cellStyle name="Měna 2" xfId="7" xr:uid="{80E38C79-7887-44E3-B692-704E934FC9B3}"/>
    <cellStyle name="měny 12" xfId="8" xr:uid="{958F1D69-D3A6-48BA-8874-AC9271B34B76}"/>
    <cellStyle name="měny 2" xfId="13" xr:uid="{2155B315-4BA0-4C22-B5CF-D864747C9334}"/>
    <cellStyle name="měny_NAB05588-Hotel PRAHA,Lomnice n_P,cena,2006_01_29 2" xfId="20" xr:uid="{280F92F5-64F1-44BC-9B6E-870F22C3879E}"/>
    <cellStyle name="měny_NAB05588-Hotel PRAHA,Lomnice n_P,cena,2006_01_29 3" xfId="2" xr:uid="{CA0FC912-C0D5-4390-B14C-585CDBAFEBB8}"/>
    <cellStyle name="měny_NAB07775-rek_kasáren Varnsdorf,cena,2007_05_16a" xfId="4" xr:uid="{C32AC466-8DB5-4F65-992F-5C3682BD51C3}"/>
    <cellStyle name="měny_Přístavba hasičké zbrojnice,Přepeře,2008 08 2" xfId="5" xr:uid="{42660740-A086-44B3-B917-3B0C5408BF48}"/>
    <cellStyle name="Normální" xfId="0" builtinId="0"/>
    <cellStyle name="normální 10 2" xfId="9" xr:uid="{B64CA35B-9F9C-43E4-8620-B2C3988A0BCA}"/>
    <cellStyle name="Normální 2" xfId="6" xr:uid="{1EC58A31-8664-4B2C-81AB-B2396D971C2A}"/>
    <cellStyle name="Normální 3" xfId="19" xr:uid="{B48EBF95-A1CA-4C80-9F05-16B84E2274A4}"/>
    <cellStyle name="Normální 33" xfId="21" xr:uid="{EB0C8FA2-EF8F-4F31-9FC3-D902CA677DDB}"/>
    <cellStyle name="normální_Chata V.Hamry,hosp.stavení-rozpočet,cena 2" xfId="14" xr:uid="{70DA025A-2D04-466B-ADF4-47CA1861A08D}"/>
    <cellStyle name="normální_Chata V.Hamry,hosp.stavení-rozpočet,cena 3 2" xfId="16" xr:uid="{963B63A5-9A08-4150-8646-F3B9F12EA3BE}"/>
    <cellStyle name="normální_NAB05588-Hotel PRAHA,Lomnice n_P,cena,2006_01_29 2" xfId="1" xr:uid="{15AB6A3B-D9EE-47D2-B9BF-013986A74F6A}"/>
    <cellStyle name="normální_POL.XLS" xfId="18" xr:uid="{2FF1164D-EF81-45A1-BD99-3ADD2CABE304}"/>
    <cellStyle name="normální_U Pyrámu Ohhrazenice,Turnov 2" xfId="10" xr:uid="{09FC9975-6CA5-43B8-A94C-279642FD3872}"/>
    <cellStyle name="normální_U Pyrámu Ohhrazenice,Turnov 3 2" xfId="12" xr:uid="{50F90ACB-2FE0-4659-877C-3545704C2C15}"/>
    <cellStyle name="procent_Chata V.Hamry,hosp.stavení-rozpočet,cena 2" xfId="15" xr:uid="{ED6958FA-3DFD-4714-ABDC-05155788F517}"/>
    <cellStyle name="procent_U Pyrámu Ohhrazenice,Turnov 2" xfId="11" xr:uid="{886B5ADF-BA56-41FE-AB9B-8450A5E0B9C5}"/>
    <cellStyle name="procent_U Pyrámu Ohhrazenice,Turnov 3 2" xfId="17" xr:uid="{1EAAEAB7-98B9-4FAF-9F9A-83EC54B1D3D8}"/>
    <cellStyle name="Procenta 2" xfId="3" xr:uid="{4E6010FB-1183-4964-80E1-8DC0B7CDE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CAEE-7008-45BF-95CB-6D7B2F652893}">
  <sheetPr>
    <tabColor indexed="60"/>
  </sheetPr>
  <dimension ref="A1:Q26"/>
  <sheetViews>
    <sheetView view="pageBreakPreview" topLeftCell="A17" zoomScale="115" zoomScaleSheetLayoutView="115" workbookViewId="0">
      <selection activeCell="U23" sqref="U23"/>
    </sheetView>
  </sheetViews>
  <sheetFormatPr defaultColWidth="8.85546875" defaultRowHeight="12.75" x14ac:dyDescent="0.25"/>
  <cols>
    <col min="1" max="1" width="4" style="1" bestFit="1" customWidth="1"/>
    <col min="2" max="3" width="2.7109375" style="1" customWidth="1"/>
    <col min="4" max="4" width="2.140625" style="1" customWidth="1"/>
    <col min="5" max="5" width="7.5703125" style="1" customWidth="1"/>
    <col min="6" max="6" width="13.85546875" style="1" customWidth="1"/>
    <col min="7" max="7" width="0.85546875" style="1" customWidth="1"/>
    <col min="8" max="8" width="3" style="1" customWidth="1"/>
    <col min="9" max="9" width="2.85546875" style="1" customWidth="1"/>
    <col min="10" max="10" width="10.5703125" style="1" customWidth="1"/>
    <col min="11" max="11" width="13.85546875" style="1" customWidth="1"/>
    <col min="12" max="12" width="0.7109375" style="1" customWidth="1"/>
    <col min="13" max="13" width="2.42578125" style="1" customWidth="1"/>
    <col min="14" max="14" width="4.5703125" style="1" customWidth="1"/>
    <col min="15" max="15" width="10.42578125" style="1" customWidth="1"/>
    <col min="16" max="16" width="6" style="1" customWidth="1"/>
    <col min="17" max="17" width="15.28515625" style="1" customWidth="1"/>
    <col min="18" max="16384" width="8.85546875" style="1"/>
  </cols>
  <sheetData>
    <row r="1" spans="1:17" ht="37.5" customHeight="1" thickBot="1" x14ac:dyDescent="0.3">
      <c r="B1" s="626" t="s">
        <v>733</v>
      </c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8"/>
    </row>
    <row r="2" spans="1:17" ht="21" customHeight="1" x14ac:dyDescent="0.25">
      <c r="B2" s="153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1"/>
    </row>
    <row r="3" spans="1:17" s="116" customFormat="1" ht="27" customHeight="1" x14ac:dyDescent="0.25">
      <c r="A3" s="1"/>
      <c r="B3" s="121"/>
      <c r="C3" s="116" t="s">
        <v>59</v>
      </c>
      <c r="F3" s="139" t="s">
        <v>150</v>
      </c>
      <c r="G3" s="138"/>
      <c r="H3" s="138"/>
      <c r="I3" s="138"/>
      <c r="J3" s="138"/>
      <c r="K3" s="137"/>
      <c r="M3" s="118"/>
      <c r="N3" s="118"/>
      <c r="O3" s="116" t="s">
        <v>58</v>
      </c>
      <c r="P3" s="150"/>
      <c r="Q3" s="149"/>
    </row>
    <row r="4" spans="1:17" s="116" customFormat="1" ht="27" customHeight="1" x14ac:dyDescent="0.25">
      <c r="A4" s="1"/>
      <c r="B4" s="121"/>
      <c r="C4" s="116" t="s">
        <v>57</v>
      </c>
      <c r="F4" s="148" t="s">
        <v>151</v>
      </c>
      <c r="G4" s="134"/>
      <c r="H4" s="134"/>
      <c r="I4" s="134"/>
      <c r="J4" s="134"/>
      <c r="K4" s="133"/>
      <c r="M4" s="118"/>
      <c r="N4" s="118"/>
      <c r="O4" s="116" t="s">
        <v>56</v>
      </c>
      <c r="P4" s="135" t="s">
        <v>43</v>
      </c>
      <c r="Q4" s="147"/>
    </row>
    <row r="5" spans="1:17" s="116" customFormat="1" ht="27" customHeight="1" x14ac:dyDescent="0.25">
      <c r="A5" s="1"/>
      <c r="B5" s="121"/>
      <c r="C5" s="116" t="s">
        <v>55</v>
      </c>
      <c r="F5" s="146" t="s">
        <v>160</v>
      </c>
      <c r="G5" s="145"/>
      <c r="H5" s="145"/>
      <c r="I5" s="145"/>
      <c r="J5" s="145"/>
      <c r="K5" s="144"/>
      <c r="M5" s="118"/>
      <c r="N5" s="118"/>
      <c r="O5" s="116" t="s">
        <v>54</v>
      </c>
      <c r="P5" s="143" t="s">
        <v>152</v>
      </c>
      <c r="Q5" s="142"/>
    </row>
    <row r="6" spans="1:17" ht="20.45" customHeight="1" x14ac:dyDescent="0.25">
      <c r="B6" s="121"/>
      <c r="C6" s="116"/>
      <c r="D6" s="116"/>
      <c r="E6" s="116"/>
      <c r="F6" s="116"/>
      <c r="G6" s="116"/>
      <c r="H6" s="116"/>
      <c r="I6" s="116"/>
      <c r="J6" s="116"/>
      <c r="K6" s="141"/>
      <c r="L6" s="116"/>
      <c r="M6" s="116"/>
      <c r="N6" s="116"/>
      <c r="O6" s="116" t="s">
        <v>53</v>
      </c>
      <c r="P6" s="116" t="s">
        <v>52</v>
      </c>
      <c r="Q6" s="140"/>
    </row>
    <row r="7" spans="1:17" ht="24" customHeight="1" x14ac:dyDescent="0.25">
      <c r="B7" s="121" t="s">
        <v>49</v>
      </c>
      <c r="C7" s="116" t="s">
        <v>51</v>
      </c>
      <c r="D7" s="116"/>
      <c r="E7" s="116"/>
      <c r="F7" s="150" t="s">
        <v>153</v>
      </c>
      <c r="G7" s="138"/>
      <c r="H7" s="138"/>
      <c r="I7" s="138"/>
      <c r="J7" s="138"/>
      <c r="K7" s="137"/>
      <c r="L7" s="116"/>
      <c r="M7" s="117"/>
      <c r="N7" s="123"/>
      <c r="O7" s="120" t="s">
        <v>154</v>
      </c>
      <c r="P7" s="136" t="s">
        <v>43</v>
      </c>
      <c r="Q7" s="132"/>
    </row>
    <row r="8" spans="1:17" ht="24" customHeight="1" x14ac:dyDescent="0.25">
      <c r="B8" s="121"/>
      <c r="C8" s="116" t="s">
        <v>13</v>
      </c>
      <c r="D8" s="116"/>
      <c r="E8" s="116"/>
      <c r="F8" s="321" t="s">
        <v>155</v>
      </c>
      <c r="G8" s="134"/>
      <c r="H8" s="134"/>
      <c r="I8" s="134"/>
      <c r="J8" s="134"/>
      <c r="K8" s="133"/>
      <c r="L8" s="116"/>
      <c r="M8" s="117"/>
      <c r="N8" s="123"/>
      <c r="O8" s="120" t="s">
        <v>156</v>
      </c>
      <c r="P8" s="119" t="s">
        <v>43</v>
      </c>
      <c r="Q8" s="132"/>
    </row>
    <row r="9" spans="1:17" ht="24" customHeight="1" x14ac:dyDescent="0.25">
      <c r="B9" s="539"/>
      <c r="C9" s="128" t="s">
        <v>4</v>
      </c>
      <c r="D9" s="128"/>
      <c r="E9" s="128"/>
      <c r="F9" s="131" t="s">
        <v>50</v>
      </c>
      <c r="G9" s="130"/>
      <c r="H9" s="130"/>
      <c r="I9" s="130"/>
      <c r="J9" s="130"/>
      <c r="K9" s="129"/>
      <c r="L9" s="128"/>
      <c r="M9" s="127"/>
      <c r="N9" s="39"/>
      <c r="O9" s="322" t="s">
        <v>157</v>
      </c>
      <c r="P9" s="323" t="s">
        <v>158</v>
      </c>
      <c r="Q9" s="125" t="s">
        <v>159</v>
      </c>
    </row>
    <row r="10" spans="1:17" ht="20.45" customHeight="1" x14ac:dyDescent="0.25">
      <c r="B10" s="539"/>
      <c r="C10" s="128"/>
      <c r="D10" s="128"/>
      <c r="E10" s="128"/>
      <c r="F10" s="128" t="s">
        <v>48</v>
      </c>
      <c r="G10" s="128"/>
      <c r="H10" s="128" t="s">
        <v>47</v>
      </c>
      <c r="I10" s="18"/>
      <c r="J10" s="18"/>
      <c r="K10" s="128"/>
      <c r="L10" s="128"/>
      <c r="M10" s="39"/>
      <c r="N10" s="128"/>
      <c r="O10" s="128" t="s">
        <v>46</v>
      </c>
      <c r="P10" s="128"/>
      <c r="Q10" s="122" t="s">
        <v>45</v>
      </c>
    </row>
    <row r="11" spans="1:17" ht="20.45" customHeight="1" x14ac:dyDescent="0.25">
      <c r="B11" s="539"/>
      <c r="C11" s="128"/>
      <c r="D11" s="128"/>
      <c r="E11" s="128"/>
      <c r="F11" s="324" t="s">
        <v>157</v>
      </c>
      <c r="G11" s="128"/>
      <c r="H11" s="126" t="s">
        <v>159</v>
      </c>
      <c r="I11" s="325"/>
      <c r="J11" s="326"/>
      <c r="K11" s="128"/>
      <c r="L11" s="128"/>
      <c r="M11" s="327"/>
      <c r="N11" s="127"/>
      <c r="O11" s="328" t="s">
        <v>159</v>
      </c>
      <c r="P11" s="128"/>
      <c r="Q11" s="115"/>
    </row>
    <row r="12" spans="1:17" ht="8.25" customHeight="1" thickBot="1" x14ac:dyDescent="0.3">
      <c r="B12" s="114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2"/>
    </row>
    <row r="13" spans="1:17" s="91" customFormat="1" ht="44.25" customHeight="1" thickBot="1" x14ac:dyDescent="0.3">
      <c r="A13" s="1"/>
      <c r="B13" s="629" t="s">
        <v>40</v>
      </c>
      <c r="C13" s="630"/>
      <c r="D13" s="630"/>
      <c r="E13" s="630"/>
      <c r="F13" s="630"/>
      <c r="G13" s="630"/>
      <c r="H13" s="630"/>
      <c r="I13" s="630"/>
      <c r="J13" s="630"/>
      <c r="K13" s="630"/>
      <c r="L13" s="630"/>
      <c r="M13" s="630"/>
      <c r="N13" s="630"/>
      <c r="O13" s="630"/>
      <c r="P13" s="630"/>
      <c r="Q13" s="631"/>
    </row>
    <row r="14" spans="1:17" s="91" customFormat="1" ht="63" customHeight="1" x14ac:dyDescent="0.25">
      <c r="A14" s="1"/>
      <c r="B14" s="636" t="str">
        <f>'1-Krycí list'!E4</f>
        <v xml:space="preserve"> 1 - SO 01 Novostavba hřbitovního domku </v>
      </c>
      <c r="C14" s="637"/>
      <c r="D14" s="637"/>
      <c r="E14" s="637"/>
      <c r="F14" s="637"/>
      <c r="G14" s="637"/>
      <c r="H14" s="637"/>
      <c r="I14" s="637"/>
      <c r="J14" s="637"/>
      <c r="K14" s="637"/>
      <c r="L14" s="637"/>
      <c r="M14" s="637"/>
      <c r="N14" s="637"/>
      <c r="O14" s="638" t="s">
        <v>732</v>
      </c>
      <c r="P14" s="638"/>
      <c r="Q14" s="538">
        <f>'1-Krycí list'!P28</f>
        <v>0</v>
      </c>
    </row>
    <row r="15" spans="1:17" s="91" customFormat="1" ht="63" customHeight="1" x14ac:dyDescent="0.25">
      <c r="A15" s="1"/>
      <c r="B15" s="635" t="str">
        <f>'2-Krycí list'!C4</f>
        <v xml:space="preserve"> 2 - SO 02 Vodovodní přípojka</v>
      </c>
      <c r="C15" s="633"/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633"/>
      <c r="O15" s="634" t="s">
        <v>732</v>
      </c>
      <c r="P15" s="634"/>
      <c r="Q15" s="537">
        <f>'2-Krycí list'!Zaklad22</f>
        <v>0</v>
      </c>
    </row>
    <row r="16" spans="1:17" s="91" customFormat="1" ht="63" customHeight="1" x14ac:dyDescent="0.25">
      <c r="A16" s="1"/>
      <c r="B16" s="632" t="str">
        <f>'3-Krycí list'!C4</f>
        <v xml:space="preserve"> 3 - SO 03 Splašková kanalizace</v>
      </c>
      <c r="C16" s="633"/>
      <c r="D16" s="633"/>
      <c r="E16" s="633"/>
      <c r="F16" s="633"/>
      <c r="G16" s="633"/>
      <c r="H16" s="633"/>
      <c r="I16" s="633"/>
      <c r="J16" s="633"/>
      <c r="K16" s="633"/>
      <c r="L16" s="633"/>
      <c r="M16" s="633"/>
      <c r="N16" s="633"/>
      <c r="O16" s="634" t="s">
        <v>732</v>
      </c>
      <c r="P16" s="634"/>
      <c r="Q16" s="537">
        <f>'3-Krycí list'!Zaklad22</f>
        <v>0</v>
      </c>
    </row>
    <row r="17" spans="1:17" s="91" customFormat="1" ht="63" customHeight="1" x14ac:dyDescent="0.25">
      <c r="A17" s="1"/>
      <c r="B17" s="635" t="str">
        <f>'4-Krycí list'!E4</f>
        <v xml:space="preserve"> 4 - SO 04 Zpevněné plochy</v>
      </c>
      <c r="C17" s="633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4" t="s">
        <v>732</v>
      </c>
      <c r="P17" s="634"/>
      <c r="Q17" s="537">
        <f>'4-Krycí list'!P28</f>
        <v>0</v>
      </c>
    </row>
    <row r="18" spans="1:17" ht="26.45" customHeight="1" thickBot="1" x14ac:dyDescent="0.3">
      <c r="B18" s="46" t="s">
        <v>13</v>
      </c>
      <c r="C18" s="18"/>
      <c r="D18" s="18"/>
      <c r="E18" s="18"/>
      <c r="F18" s="39"/>
      <c r="G18" s="20"/>
      <c r="H18" s="45"/>
      <c r="I18" s="39"/>
      <c r="J18" s="18"/>
      <c r="K18" s="39"/>
      <c r="L18" s="35"/>
      <c r="M18" s="536"/>
      <c r="N18" s="535"/>
      <c r="O18" s="534" t="s">
        <v>11</v>
      </c>
      <c r="P18" s="533"/>
      <c r="Q18" s="532"/>
    </row>
    <row r="19" spans="1:17" ht="23.25" customHeight="1" thickBot="1" x14ac:dyDescent="0.3">
      <c r="B19" s="21"/>
      <c r="C19" s="18"/>
      <c r="D19" s="18"/>
      <c r="E19" s="18"/>
      <c r="F19" s="18"/>
      <c r="G19" s="20"/>
      <c r="H19" s="19"/>
      <c r="I19" s="18"/>
      <c r="J19" s="18"/>
      <c r="K19" s="38"/>
      <c r="L19" s="57"/>
      <c r="M19" s="16">
        <v>23</v>
      </c>
      <c r="N19" s="15" t="s">
        <v>731</v>
      </c>
      <c r="O19" s="14"/>
      <c r="P19" s="14"/>
      <c r="Q19" s="531">
        <f>SUM(Q14:Q18)</f>
        <v>0</v>
      </c>
    </row>
    <row r="20" spans="1:17" ht="23.25" customHeight="1" x14ac:dyDescent="0.25">
      <c r="B20" s="54" t="s">
        <v>2</v>
      </c>
      <c r="C20" s="51"/>
      <c r="D20" s="51"/>
      <c r="E20" s="51"/>
      <c r="F20" s="50"/>
      <c r="G20" s="53"/>
      <c r="H20" s="52" t="s">
        <v>1</v>
      </c>
      <c r="I20" s="51"/>
      <c r="J20" s="51"/>
      <c r="K20" s="50"/>
      <c r="L20" s="49"/>
      <c r="M20" s="16">
        <v>24</v>
      </c>
      <c r="N20" s="48">
        <v>0.12</v>
      </c>
      <c r="O20" s="529">
        <v>0</v>
      </c>
      <c r="P20" s="42" t="s">
        <v>8</v>
      </c>
      <c r="Q20" s="525">
        <f>O20*N20</f>
        <v>0</v>
      </c>
    </row>
    <row r="21" spans="1:17" ht="23.25" customHeight="1" thickBot="1" x14ac:dyDescent="0.3">
      <c r="B21" s="46" t="s">
        <v>9</v>
      </c>
      <c r="C21" s="18"/>
      <c r="D21" s="18"/>
      <c r="E21" s="18"/>
      <c r="F21" s="18"/>
      <c r="G21" s="20"/>
      <c r="H21" s="45"/>
      <c r="I21" s="18"/>
      <c r="J21" s="18"/>
      <c r="K21" s="18"/>
      <c r="L21" s="35"/>
      <c r="M21" s="16">
        <v>25</v>
      </c>
      <c r="N21" s="530">
        <v>0.21</v>
      </c>
      <c r="O21" s="529">
        <f>Q19</f>
        <v>0</v>
      </c>
      <c r="P21" s="42" t="s">
        <v>8</v>
      </c>
      <c r="Q21" s="525">
        <f>O21*N21</f>
        <v>0</v>
      </c>
    </row>
    <row r="22" spans="1:17" ht="23.25" customHeight="1" thickTop="1" thickBot="1" x14ac:dyDescent="0.3">
      <c r="B22" s="40"/>
      <c r="C22" s="18"/>
      <c r="D22" s="18"/>
      <c r="E22" s="18"/>
      <c r="F22" s="39"/>
      <c r="G22" s="20"/>
      <c r="H22" s="39"/>
      <c r="I22" s="18"/>
      <c r="J22" s="18"/>
      <c r="K22" s="38"/>
      <c r="L22" s="35"/>
      <c r="M22" s="6">
        <v>26</v>
      </c>
      <c r="N22" s="5" t="s">
        <v>7</v>
      </c>
      <c r="O22" s="4"/>
      <c r="P22" s="3"/>
      <c r="Q22" s="528">
        <f>SUM(Q19:Q21)</f>
        <v>0</v>
      </c>
    </row>
    <row r="23" spans="1:17" ht="24.6" customHeight="1" x14ac:dyDescent="0.25">
      <c r="B23" s="37" t="s">
        <v>2</v>
      </c>
      <c r="C23" s="18"/>
      <c r="D23" s="18"/>
      <c r="E23" s="18"/>
      <c r="F23" s="18"/>
      <c r="G23" s="20"/>
      <c r="H23" s="36" t="s">
        <v>1</v>
      </c>
      <c r="I23" s="18"/>
      <c r="J23" s="18"/>
      <c r="K23" s="18"/>
      <c r="L23" s="35"/>
      <c r="M23" s="34" t="s">
        <v>6</v>
      </c>
      <c r="N23" s="33"/>
      <c r="O23" s="32" t="s">
        <v>5</v>
      </c>
      <c r="P23" s="31"/>
      <c r="Q23" s="527"/>
    </row>
    <row r="24" spans="1:17" ht="23.25" customHeight="1" x14ac:dyDescent="0.25">
      <c r="B24" s="29" t="s">
        <v>4</v>
      </c>
      <c r="C24" s="26"/>
      <c r="D24" s="26"/>
      <c r="E24" s="26"/>
      <c r="F24" s="26"/>
      <c r="G24" s="28"/>
      <c r="H24" s="27"/>
      <c r="I24" s="26"/>
      <c r="J24" s="26"/>
      <c r="K24" s="26"/>
      <c r="L24" s="25"/>
      <c r="M24" s="16">
        <v>27</v>
      </c>
      <c r="N24" s="24"/>
      <c r="O24" s="14"/>
      <c r="P24" s="23"/>
      <c r="Q24" s="526"/>
    </row>
    <row r="25" spans="1:17" ht="23.25" customHeight="1" thickBot="1" x14ac:dyDescent="0.3">
      <c r="B25" s="21"/>
      <c r="C25" s="18"/>
      <c r="D25" s="18"/>
      <c r="E25" s="18"/>
      <c r="F25" s="18"/>
      <c r="G25" s="20"/>
      <c r="H25" s="19"/>
      <c r="I25" s="18"/>
      <c r="J25" s="18"/>
      <c r="K25" s="18"/>
      <c r="L25" s="17"/>
      <c r="M25" s="16">
        <v>28</v>
      </c>
      <c r="N25" s="15"/>
      <c r="O25" s="14"/>
      <c r="P25" s="14"/>
      <c r="Q25" s="525"/>
    </row>
    <row r="26" spans="1:17" ht="23.25" customHeight="1" thickTop="1" thickBot="1" x14ac:dyDescent="0.3">
      <c r="B26" s="11" t="s">
        <v>2</v>
      </c>
      <c r="C26" s="8"/>
      <c r="D26" s="8"/>
      <c r="E26" s="8"/>
      <c r="F26" s="8"/>
      <c r="G26" s="10"/>
      <c r="H26" s="9" t="s">
        <v>1</v>
      </c>
      <c r="I26" s="8"/>
      <c r="J26" s="8"/>
      <c r="K26" s="8"/>
      <c r="L26" s="7"/>
      <c r="M26" s="6">
        <v>29</v>
      </c>
      <c r="N26" s="5" t="s">
        <v>0</v>
      </c>
      <c r="O26" s="4"/>
      <c r="P26" s="3"/>
      <c r="Q26" s="524"/>
    </row>
  </sheetData>
  <sheetProtection algorithmName="SHA-512" hashValue="3YkoaDQNMRh363GBqiMr29yYvcStxGcQeK5c2M7BWcRm7vON4prjuODqvCaYvH0fQGUX3a84dN993sk0Wi2IVQ==" saltValue="1AVBp4AEkDPFDe9A7ClDHQ==" spinCount="100000" sheet="1" objects="1" scenarios="1"/>
  <mergeCells count="10">
    <mergeCell ref="B1:Q1"/>
    <mergeCell ref="B13:Q13"/>
    <mergeCell ref="B16:N16"/>
    <mergeCell ref="O16:P16"/>
    <mergeCell ref="B17:N17"/>
    <mergeCell ref="O17:P17"/>
    <mergeCell ref="B15:N15"/>
    <mergeCell ref="O15:P15"/>
    <mergeCell ref="B14:N14"/>
    <mergeCell ref="O14:P14"/>
  </mergeCells>
  <pageMargins left="0.70866141732283472" right="0.19685039370078741" top="0.59055118110236227" bottom="0.19685039370078741" header="0" footer="0"/>
  <pageSetup paperSize="9" scale="94" orientation="portrait" blackAndWhite="1" horizontalDpi="4294967293" r:id="rId1"/>
  <headerFooter alignWithMargins="0"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1A41-BB65-4D74-853F-54FD03E73E1C}">
  <sheetPr>
    <pageSetUpPr fitToPage="1"/>
  </sheetPr>
  <dimension ref="A1:BE55"/>
  <sheetViews>
    <sheetView view="pageBreakPreview" zoomScale="115" zoomScaleNormal="100" zoomScaleSheetLayoutView="115" workbookViewId="0">
      <selection activeCell="F28" sqref="F28"/>
    </sheetView>
  </sheetViews>
  <sheetFormatPr defaultColWidth="8.85546875" defaultRowHeight="12.75" x14ac:dyDescent="0.2"/>
  <cols>
    <col min="1" max="1" width="2" style="369" customWidth="1"/>
    <col min="2" max="2" width="15" style="369" customWidth="1"/>
    <col min="3" max="3" width="15.85546875" style="369" customWidth="1"/>
    <col min="4" max="4" width="14.5703125" style="369" customWidth="1"/>
    <col min="5" max="5" width="13.5703125" style="369" customWidth="1"/>
    <col min="6" max="6" width="16.5703125" style="369" customWidth="1"/>
    <col min="7" max="7" width="15.28515625" style="369" customWidth="1"/>
    <col min="8" max="16384" width="8.85546875" style="369"/>
  </cols>
  <sheetData>
    <row r="1" spans="1:57" ht="21.75" customHeight="1" x14ac:dyDescent="0.25">
      <c r="A1" s="392" t="s">
        <v>60</v>
      </c>
      <c r="B1" s="520"/>
      <c r="C1" s="520"/>
      <c r="D1" s="520"/>
      <c r="E1" s="520"/>
      <c r="F1" s="520"/>
      <c r="G1" s="520"/>
    </row>
    <row r="2" spans="1:57" ht="15" customHeight="1" thickBot="1" x14ac:dyDescent="0.25"/>
    <row r="3" spans="1:57" ht="12.95" customHeight="1" x14ac:dyDescent="0.2">
      <c r="A3" s="488" t="s">
        <v>463</v>
      </c>
      <c r="B3" s="519"/>
      <c r="C3" s="486" t="s">
        <v>693</v>
      </c>
      <c r="D3" s="486"/>
      <c r="E3" s="486"/>
      <c r="F3" s="486" t="s">
        <v>692</v>
      </c>
      <c r="G3" s="485"/>
    </row>
    <row r="4" spans="1:57" ht="12.95" customHeight="1" x14ac:dyDescent="0.2">
      <c r="A4" s="517"/>
      <c r="B4" s="516"/>
      <c r="C4" s="515" t="s">
        <v>736</v>
      </c>
      <c r="D4" s="514"/>
      <c r="E4" s="514"/>
      <c r="G4" s="480"/>
    </row>
    <row r="5" spans="1:57" ht="12.95" customHeight="1" x14ac:dyDescent="0.2">
      <c r="A5" s="477" t="s">
        <v>464</v>
      </c>
      <c r="B5" s="518"/>
      <c r="C5" s="458" t="s">
        <v>691</v>
      </c>
      <c r="D5" s="458"/>
      <c r="E5" s="458"/>
      <c r="F5" s="475" t="s">
        <v>690</v>
      </c>
      <c r="G5" s="478"/>
    </row>
    <row r="6" spans="1:57" ht="12.95" customHeight="1" x14ac:dyDescent="0.2">
      <c r="A6" s="517"/>
      <c r="B6" s="516"/>
      <c r="C6" s="515" t="s">
        <v>694</v>
      </c>
      <c r="D6" s="514"/>
      <c r="E6" s="514"/>
      <c r="F6" s="513"/>
      <c r="G6" s="480"/>
    </row>
    <row r="7" spans="1:57" x14ac:dyDescent="0.2">
      <c r="A7" s="569" t="s">
        <v>688</v>
      </c>
      <c r="B7" s="570"/>
      <c r="C7" s="676" t="str">
        <f>Souhrn!F8</f>
        <v xml:space="preserve"> Ing. Vít Lhota, Smetanova 1809/82, 466 01 Jablonec n/N</v>
      </c>
      <c r="D7" s="677"/>
      <c r="E7" s="571" t="s">
        <v>687</v>
      </c>
      <c r="F7" s="570"/>
      <c r="G7" s="572"/>
    </row>
    <row r="8" spans="1:57" x14ac:dyDescent="0.2">
      <c r="A8" s="569" t="s">
        <v>686</v>
      </c>
      <c r="B8" s="570"/>
      <c r="C8" s="676" t="str">
        <f>Souhrn!F7</f>
        <v xml:space="preserve"> Město Smržovka,nám.T.G.Masaryka 600, 468 51 Smržovka</v>
      </c>
      <c r="D8" s="677"/>
      <c r="E8" s="571" t="s">
        <v>685</v>
      </c>
      <c r="F8" s="570"/>
      <c r="G8" s="573">
        <f>IF(PocetMJ=0,,ROUND((F30+F32)/PocetMJ,1))</f>
        <v>0</v>
      </c>
    </row>
    <row r="9" spans="1:57" x14ac:dyDescent="0.2">
      <c r="A9" s="574" t="s">
        <v>684</v>
      </c>
      <c r="B9" s="575"/>
      <c r="C9" s="575">
        <f>'3-Položky'!A41</f>
        <v>28</v>
      </c>
      <c r="D9" s="575"/>
      <c r="E9" s="576" t="s">
        <v>683</v>
      </c>
      <c r="F9" s="575"/>
      <c r="G9" s="577"/>
    </row>
    <row r="10" spans="1:57" x14ac:dyDescent="0.2">
      <c r="A10" s="578" t="s">
        <v>682</v>
      </c>
      <c r="B10" s="579"/>
      <c r="C10" s="579" t="str">
        <f>Zhotovitel</f>
        <v>František Vitmajer projektant ZT,ÚT</v>
      </c>
      <c r="D10" s="579"/>
      <c r="E10" s="580" t="s">
        <v>681</v>
      </c>
      <c r="F10" s="579"/>
      <c r="G10" s="581"/>
      <c r="BA10" s="391"/>
      <c r="BB10" s="391"/>
      <c r="BC10" s="391"/>
      <c r="BD10" s="391"/>
      <c r="BE10" s="391"/>
    </row>
    <row r="11" spans="1:57" x14ac:dyDescent="0.2">
      <c r="A11" s="578"/>
      <c r="B11" s="579"/>
      <c r="C11" s="579"/>
      <c r="D11" s="579"/>
      <c r="E11" s="678" t="s">
        <v>680</v>
      </c>
      <c r="F11" s="679"/>
      <c r="G11" s="680"/>
    </row>
    <row r="12" spans="1:57" ht="28.5" customHeight="1" thickBot="1" x14ac:dyDescent="0.25">
      <c r="A12" s="512" t="s">
        <v>679</v>
      </c>
      <c r="B12" s="511"/>
      <c r="C12" s="511"/>
      <c r="D12" s="511"/>
      <c r="E12" s="510"/>
      <c r="F12" s="510"/>
      <c r="G12" s="509"/>
    </row>
    <row r="13" spans="1:57" ht="17.25" customHeight="1" thickBot="1" x14ac:dyDescent="0.25">
      <c r="A13" s="508" t="s">
        <v>678</v>
      </c>
      <c r="B13" s="507"/>
      <c r="C13" s="504"/>
      <c r="D13" s="506" t="s">
        <v>677</v>
      </c>
      <c r="E13" s="505"/>
      <c r="F13" s="505"/>
      <c r="G13" s="504"/>
    </row>
    <row r="14" spans="1:57" ht="15.95" customHeight="1" x14ac:dyDescent="0.2">
      <c r="A14" s="500"/>
      <c r="B14" s="464" t="s">
        <v>676</v>
      </c>
      <c r="C14" s="489">
        <f>Dodavka</f>
        <v>0</v>
      </c>
      <c r="D14" s="503" t="str">
        <f>'3-Rekapitulace'!A16</f>
        <v>Zařízení staveniště</v>
      </c>
      <c r="E14" s="502"/>
      <c r="F14" s="501"/>
      <c r="G14" s="489">
        <f>'3-Rekapitulace'!I16</f>
        <v>0</v>
      </c>
    </row>
    <row r="15" spans="1:57" ht="15.95" customHeight="1" x14ac:dyDescent="0.2">
      <c r="A15" s="500" t="s">
        <v>675</v>
      </c>
      <c r="B15" s="464" t="s">
        <v>674</v>
      </c>
      <c r="C15" s="489">
        <f>Mont</f>
        <v>0</v>
      </c>
      <c r="D15" s="494" t="str">
        <f>'3-Rekapitulace'!A17</f>
        <v>Provozní vlivy</v>
      </c>
      <c r="E15" s="496"/>
      <c r="F15" s="495"/>
      <c r="G15" s="489">
        <f>'3-Rekapitulace'!I17</f>
        <v>0</v>
      </c>
    </row>
    <row r="16" spans="1:57" ht="15.95" customHeight="1" x14ac:dyDescent="0.2">
      <c r="A16" s="500" t="s">
        <v>673</v>
      </c>
      <c r="B16" s="464" t="s">
        <v>672</v>
      </c>
      <c r="C16" s="489">
        <f>HSV</f>
        <v>0</v>
      </c>
      <c r="D16" s="494" t="str">
        <f>'3-Rekapitulace'!A18</f>
        <v>Individuální mimostaveništní doprava</v>
      </c>
      <c r="E16" s="496"/>
      <c r="F16" s="495"/>
      <c r="G16" s="489">
        <f>'3-Rekapitulace'!I18</f>
        <v>0</v>
      </c>
    </row>
    <row r="17" spans="1:7" ht="15.95" customHeight="1" x14ac:dyDescent="0.2">
      <c r="A17" s="499" t="s">
        <v>671</v>
      </c>
      <c r="B17" s="464" t="s">
        <v>670</v>
      </c>
      <c r="C17" s="489">
        <f>PSV</f>
        <v>0</v>
      </c>
      <c r="D17" s="494" t="str">
        <f>'3-Rekapitulace'!A19</f>
        <v xml:space="preserve">Ostatní </v>
      </c>
      <c r="E17" s="496"/>
      <c r="F17" s="495"/>
      <c r="G17" s="489">
        <f>'3-Rekapitulace'!I19</f>
        <v>0</v>
      </c>
    </row>
    <row r="18" spans="1:7" ht="15.95" customHeight="1" x14ac:dyDescent="0.2">
      <c r="A18" s="497" t="s">
        <v>669</v>
      </c>
      <c r="B18" s="464"/>
      <c r="C18" s="489">
        <f>SUM(C14:C17)</f>
        <v>0</v>
      </c>
      <c r="D18" s="498"/>
      <c r="E18" s="496"/>
      <c r="F18" s="495"/>
      <c r="G18" s="489"/>
    </row>
    <row r="19" spans="1:7" ht="15.95" customHeight="1" x14ac:dyDescent="0.2">
      <c r="A19" s="497"/>
      <c r="B19" s="464"/>
      <c r="C19" s="489"/>
      <c r="D19" s="494"/>
      <c r="E19" s="496"/>
      <c r="F19" s="495"/>
      <c r="G19" s="489"/>
    </row>
    <row r="20" spans="1:7" ht="15.95" customHeight="1" x14ac:dyDescent="0.2">
      <c r="A20" s="497" t="s">
        <v>16</v>
      </c>
      <c r="B20" s="464"/>
      <c r="C20" s="489">
        <f>HZS</f>
        <v>0</v>
      </c>
      <c r="D20" s="494"/>
      <c r="E20" s="496"/>
      <c r="F20" s="495"/>
      <c r="G20" s="489"/>
    </row>
    <row r="21" spans="1:7" ht="15.95" customHeight="1" x14ac:dyDescent="0.2">
      <c r="A21" s="482" t="s">
        <v>668</v>
      </c>
      <c r="C21" s="489">
        <f>C18+C20</f>
        <v>0</v>
      </c>
      <c r="D21" s="494" t="s">
        <v>667</v>
      </c>
      <c r="E21" s="496"/>
      <c r="F21" s="495"/>
      <c r="G21" s="489">
        <f>G22-SUM(G14:G20)</f>
        <v>0</v>
      </c>
    </row>
    <row r="22" spans="1:7" ht="15.95" customHeight="1" thickBot="1" x14ac:dyDescent="0.25">
      <c r="A22" s="494" t="s">
        <v>666</v>
      </c>
      <c r="B22" s="493"/>
      <c r="C22" s="492">
        <f>C21+G22</f>
        <v>0</v>
      </c>
      <c r="D22" s="375" t="s">
        <v>665</v>
      </c>
      <c r="E22" s="491"/>
      <c r="F22" s="490"/>
      <c r="G22" s="489">
        <f>VRN</f>
        <v>0</v>
      </c>
    </row>
    <row r="23" spans="1:7" x14ac:dyDescent="0.2">
      <c r="A23" s="488" t="s">
        <v>664</v>
      </c>
      <c r="B23" s="486"/>
      <c r="C23" s="487" t="s">
        <v>663</v>
      </c>
      <c r="D23" s="486"/>
      <c r="E23" s="487" t="s">
        <v>662</v>
      </c>
      <c r="F23" s="486"/>
      <c r="G23" s="485"/>
    </row>
    <row r="24" spans="1:7" x14ac:dyDescent="0.2">
      <c r="A24" s="477"/>
      <c r="B24" s="458"/>
      <c r="C24" s="475" t="s">
        <v>661</v>
      </c>
      <c r="D24" s="458"/>
      <c r="E24" s="475" t="s">
        <v>661</v>
      </c>
      <c r="F24" s="458"/>
      <c r="G24" s="478"/>
    </row>
    <row r="25" spans="1:7" x14ac:dyDescent="0.2">
      <c r="A25" s="482" t="s">
        <v>660</v>
      </c>
      <c r="B25" s="484"/>
      <c r="C25" s="481" t="s">
        <v>660</v>
      </c>
      <c r="E25" s="481" t="s">
        <v>660</v>
      </c>
      <c r="G25" s="480"/>
    </row>
    <row r="26" spans="1:7" x14ac:dyDescent="0.2">
      <c r="A26" s="482"/>
      <c r="B26" s="483"/>
      <c r="C26" s="481" t="s">
        <v>659</v>
      </c>
      <c r="E26" s="481" t="s">
        <v>658</v>
      </c>
      <c r="G26" s="480"/>
    </row>
    <row r="27" spans="1:7" x14ac:dyDescent="0.2">
      <c r="A27" s="482"/>
      <c r="C27" s="481"/>
      <c r="E27" s="481"/>
      <c r="G27" s="480"/>
    </row>
    <row r="28" spans="1:7" ht="97.5" customHeight="1" x14ac:dyDescent="0.2">
      <c r="A28" s="482"/>
      <c r="C28" s="481"/>
      <c r="E28" s="481"/>
      <c r="G28" s="480"/>
    </row>
    <row r="29" spans="1:7" x14ac:dyDescent="0.2">
      <c r="A29" s="477" t="s">
        <v>657</v>
      </c>
      <c r="B29" s="458"/>
      <c r="C29" s="476">
        <v>0</v>
      </c>
      <c r="D29" s="458" t="s">
        <v>656</v>
      </c>
      <c r="E29" s="475"/>
      <c r="F29" s="479">
        <v>0</v>
      </c>
      <c r="G29" s="478"/>
    </row>
    <row r="30" spans="1:7" x14ac:dyDescent="0.2">
      <c r="A30" s="477" t="s">
        <v>657</v>
      </c>
      <c r="B30" s="458"/>
      <c r="C30" s="476">
        <v>12</v>
      </c>
      <c r="D30" s="458" t="s">
        <v>656</v>
      </c>
      <c r="E30" s="475"/>
      <c r="F30" s="479">
        <v>0</v>
      </c>
      <c r="G30" s="478"/>
    </row>
    <row r="31" spans="1:7" x14ac:dyDescent="0.2">
      <c r="A31" s="477" t="s">
        <v>8</v>
      </c>
      <c r="B31" s="458"/>
      <c r="C31" s="476">
        <v>12</v>
      </c>
      <c r="D31" s="458" t="s">
        <v>656</v>
      </c>
      <c r="E31" s="475"/>
      <c r="F31" s="474">
        <f>ROUND(PRODUCT(F30,C31/100),1)</f>
        <v>0</v>
      </c>
      <c r="G31" s="473"/>
    </row>
    <row r="32" spans="1:7" x14ac:dyDescent="0.2">
      <c r="A32" s="477" t="s">
        <v>657</v>
      </c>
      <c r="B32" s="458"/>
      <c r="C32" s="476">
        <v>21</v>
      </c>
      <c r="D32" s="458" t="s">
        <v>656</v>
      </c>
      <c r="E32" s="475"/>
      <c r="F32" s="479">
        <f>C22</f>
        <v>0</v>
      </c>
      <c r="G32" s="478"/>
    </row>
    <row r="33" spans="1:8" x14ac:dyDescent="0.2">
      <c r="A33" s="477" t="s">
        <v>8</v>
      </c>
      <c r="B33" s="458"/>
      <c r="C33" s="476">
        <v>21</v>
      </c>
      <c r="D33" s="458" t="s">
        <v>656</v>
      </c>
      <c r="E33" s="475"/>
      <c r="F33" s="474">
        <f>ROUND(PRODUCT(F32,C33/100),1)</f>
        <v>0</v>
      </c>
      <c r="G33" s="473"/>
    </row>
    <row r="34" spans="1:8" s="467" customFormat="1" ht="19.5" customHeight="1" thickBot="1" x14ac:dyDescent="0.3">
      <c r="A34" s="472" t="s">
        <v>655</v>
      </c>
      <c r="B34" s="471"/>
      <c r="C34" s="471"/>
      <c r="D34" s="471"/>
      <c r="E34" s="470"/>
      <c r="F34" s="469">
        <f>CEILING(SUM(F29:F33),1)</f>
        <v>0</v>
      </c>
      <c r="G34" s="468"/>
    </row>
    <row r="36" spans="1:8" x14ac:dyDescent="0.2">
      <c r="A36" s="369" t="s">
        <v>654</v>
      </c>
      <c r="H36" s="369" t="s">
        <v>49</v>
      </c>
    </row>
    <row r="37" spans="1:8" ht="14.25" customHeight="1" x14ac:dyDescent="0.2">
      <c r="B37" s="681"/>
      <c r="C37" s="681"/>
      <c r="D37" s="681"/>
      <c r="E37" s="681"/>
      <c r="F37" s="681"/>
      <c r="G37" s="681"/>
      <c r="H37" s="369" t="s">
        <v>49</v>
      </c>
    </row>
    <row r="38" spans="1:8" ht="12.75" customHeight="1" x14ac:dyDescent="0.2">
      <c r="A38" s="466"/>
      <c r="B38" s="681"/>
      <c r="C38" s="681"/>
      <c r="D38" s="681"/>
      <c r="E38" s="681"/>
      <c r="F38" s="681"/>
      <c r="G38" s="681"/>
      <c r="H38" s="369" t="s">
        <v>49</v>
      </c>
    </row>
    <row r="39" spans="1:8" x14ac:dyDescent="0.2">
      <c r="A39" s="466"/>
      <c r="B39" s="681"/>
      <c r="C39" s="681"/>
      <c r="D39" s="681"/>
      <c r="E39" s="681"/>
      <c r="F39" s="681"/>
      <c r="G39" s="681"/>
      <c r="H39" s="369" t="s">
        <v>49</v>
      </c>
    </row>
    <row r="40" spans="1:8" x14ac:dyDescent="0.2">
      <c r="A40" s="466"/>
      <c r="B40" s="681"/>
      <c r="C40" s="681"/>
      <c r="D40" s="681"/>
      <c r="E40" s="681"/>
      <c r="F40" s="681"/>
      <c r="G40" s="681"/>
      <c r="H40" s="369" t="s">
        <v>49</v>
      </c>
    </row>
    <row r="41" spans="1:8" x14ac:dyDescent="0.2">
      <c r="A41" s="466"/>
      <c r="B41" s="681"/>
      <c r="C41" s="681"/>
      <c r="D41" s="681"/>
      <c r="E41" s="681"/>
      <c r="F41" s="681"/>
      <c r="G41" s="681"/>
      <c r="H41" s="369" t="s">
        <v>49</v>
      </c>
    </row>
    <row r="42" spans="1:8" x14ac:dyDescent="0.2">
      <c r="A42" s="466"/>
      <c r="B42" s="681"/>
      <c r="C42" s="681"/>
      <c r="D42" s="681"/>
      <c r="E42" s="681"/>
      <c r="F42" s="681"/>
      <c r="G42" s="681"/>
      <c r="H42" s="369" t="s">
        <v>49</v>
      </c>
    </row>
    <row r="43" spans="1:8" x14ac:dyDescent="0.2">
      <c r="A43" s="466"/>
      <c r="B43" s="681"/>
      <c r="C43" s="681"/>
      <c r="D43" s="681"/>
      <c r="E43" s="681"/>
      <c r="F43" s="681"/>
      <c r="G43" s="681"/>
      <c r="H43" s="369" t="s">
        <v>49</v>
      </c>
    </row>
    <row r="44" spans="1:8" x14ac:dyDescent="0.2">
      <c r="A44" s="466"/>
      <c r="B44" s="681"/>
      <c r="C44" s="681"/>
      <c r="D44" s="681"/>
      <c r="E44" s="681"/>
      <c r="F44" s="681"/>
      <c r="G44" s="681"/>
      <c r="H44" s="369" t="s">
        <v>49</v>
      </c>
    </row>
    <row r="45" spans="1:8" ht="3" customHeight="1" x14ac:dyDescent="0.2">
      <c r="A45" s="466"/>
      <c r="B45" s="681"/>
      <c r="C45" s="681"/>
      <c r="D45" s="681"/>
      <c r="E45" s="681"/>
      <c r="F45" s="681"/>
      <c r="G45" s="681"/>
      <c r="H45" s="369" t="s">
        <v>49</v>
      </c>
    </row>
    <row r="46" spans="1:8" x14ac:dyDescent="0.2">
      <c r="B46" s="675"/>
      <c r="C46" s="675"/>
      <c r="D46" s="675"/>
      <c r="E46" s="675"/>
      <c r="F46" s="675"/>
      <c r="G46" s="675"/>
    </row>
    <row r="47" spans="1:8" x14ac:dyDescent="0.2">
      <c r="B47" s="675"/>
      <c r="C47" s="675"/>
      <c r="D47" s="675"/>
      <c r="E47" s="675"/>
      <c r="F47" s="675"/>
      <c r="G47" s="675"/>
    </row>
    <row r="48" spans="1:8" x14ac:dyDescent="0.2">
      <c r="B48" s="675"/>
      <c r="C48" s="675"/>
      <c r="D48" s="675"/>
      <c r="E48" s="675"/>
      <c r="F48" s="675"/>
      <c r="G48" s="675"/>
    </row>
    <row r="49" spans="2:7" x14ac:dyDescent="0.2">
      <c r="B49" s="675"/>
      <c r="C49" s="675"/>
      <c r="D49" s="675"/>
      <c r="E49" s="675"/>
      <c r="F49" s="675"/>
      <c r="G49" s="675"/>
    </row>
    <row r="50" spans="2:7" x14ac:dyDescent="0.2">
      <c r="B50" s="675"/>
      <c r="C50" s="675"/>
      <c r="D50" s="675"/>
      <c r="E50" s="675"/>
      <c r="F50" s="675"/>
      <c r="G50" s="675"/>
    </row>
    <row r="51" spans="2:7" x14ac:dyDescent="0.2">
      <c r="B51" s="675"/>
      <c r="C51" s="675"/>
      <c r="D51" s="675"/>
      <c r="E51" s="675"/>
      <c r="F51" s="675"/>
      <c r="G51" s="675"/>
    </row>
    <row r="52" spans="2:7" x14ac:dyDescent="0.2">
      <c r="B52" s="675"/>
      <c r="C52" s="675"/>
      <c r="D52" s="675"/>
      <c r="E52" s="675"/>
      <c r="F52" s="675"/>
      <c r="G52" s="675"/>
    </row>
    <row r="53" spans="2:7" x14ac:dyDescent="0.2">
      <c r="B53" s="675"/>
      <c r="C53" s="675"/>
      <c r="D53" s="675"/>
      <c r="E53" s="675"/>
      <c r="F53" s="675"/>
      <c r="G53" s="675"/>
    </row>
    <row r="54" spans="2:7" x14ac:dyDescent="0.2">
      <c r="B54" s="675"/>
      <c r="C54" s="675"/>
      <c r="D54" s="675"/>
      <c r="E54" s="675"/>
      <c r="F54" s="675"/>
      <c r="G54" s="675"/>
    </row>
    <row r="55" spans="2:7" x14ac:dyDescent="0.2">
      <c r="B55" s="675"/>
      <c r="C55" s="675"/>
      <c r="D55" s="675"/>
      <c r="E55" s="675"/>
      <c r="F55" s="675"/>
      <c r="G55" s="675"/>
    </row>
  </sheetData>
  <sheetProtection algorithmName="SHA-512" hashValue="1Eq7HgUrGpRWt/RyIFKb1U34rI8Yjlztr72kawIDxOHzDoDmnnerm2JhqJG5GtJolg/rh2KWb0PErNgyVskAog==" saltValue="PftAo5hDRLOxOscL4FUWJw==" spinCount="100000" sheet="1" objects="1" scenarios="1"/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scale="99" orientation="portrait" horizontalDpi="300" verticalDpi="300" r:id="rId1"/>
  <headerFooter alignWithMargins="0"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5A362-C6EF-4A65-9FB6-8E43D63FECA0}">
  <sheetPr>
    <pageSetUpPr fitToPage="1"/>
  </sheetPr>
  <dimension ref="A1:BE71"/>
  <sheetViews>
    <sheetView view="pageBreakPreview" zoomScale="130" zoomScaleNormal="100" zoomScaleSheetLayoutView="130" workbookViewId="0">
      <selection activeCell="F19" sqref="F16:F19"/>
    </sheetView>
  </sheetViews>
  <sheetFormatPr defaultColWidth="8.85546875" defaultRowHeight="12.75" x14ac:dyDescent="0.2"/>
  <cols>
    <col min="1" max="1" width="5.85546875" style="369" customWidth="1"/>
    <col min="2" max="2" width="6.140625" style="369" customWidth="1"/>
    <col min="3" max="3" width="11.42578125" style="369" customWidth="1"/>
    <col min="4" max="4" width="15.85546875" style="369" customWidth="1"/>
    <col min="5" max="5" width="11.28515625" style="369" customWidth="1"/>
    <col min="6" max="6" width="10.85546875" style="369" customWidth="1"/>
    <col min="7" max="7" width="11" style="369" customWidth="1"/>
    <col min="8" max="8" width="11.140625" style="369" customWidth="1"/>
    <col min="9" max="9" width="10.7109375" style="369" customWidth="1"/>
    <col min="10" max="16384" width="8.85546875" style="369"/>
  </cols>
  <sheetData>
    <row r="1" spans="1:57" ht="13.5" thickTop="1" x14ac:dyDescent="0.2">
      <c r="A1" s="659" t="s">
        <v>464</v>
      </c>
      <c r="B1" s="660"/>
      <c r="C1" s="420" t="str">
        <f>CONCATENATE(cislostavby," ",nazevstavby)</f>
        <v xml:space="preserve"> Novostavba hřbitovního domku a přípojek</v>
      </c>
      <c r="D1" s="418"/>
      <c r="E1" s="419"/>
      <c r="F1" s="418"/>
      <c r="G1" s="418"/>
      <c r="H1" s="417"/>
      <c r="I1" s="416"/>
    </row>
    <row r="2" spans="1:57" ht="13.5" thickBot="1" x14ac:dyDescent="0.25">
      <c r="A2" s="682" t="s">
        <v>463</v>
      </c>
      <c r="B2" s="662"/>
      <c r="C2" s="415" t="str">
        <f>CONCATENATE(cisloobjektu," ",nazevobjektu)</f>
        <v xml:space="preserve">  3 - SO 03 Splašková kanalizace</v>
      </c>
      <c r="D2" s="413"/>
      <c r="E2" s="414"/>
      <c r="F2" s="413"/>
      <c r="G2" s="683"/>
      <c r="H2" s="683"/>
      <c r="I2" s="684"/>
    </row>
    <row r="3" spans="1:57" ht="13.5" thickTop="1" x14ac:dyDescent="0.2"/>
    <row r="4" spans="1:57" ht="19.5" customHeight="1" x14ac:dyDescent="0.25">
      <c r="A4" s="412" t="s">
        <v>462</v>
      </c>
      <c r="B4" s="392"/>
      <c r="C4" s="392"/>
      <c r="D4" s="392"/>
      <c r="E4" s="392"/>
      <c r="F4" s="392"/>
      <c r="G4" s="392"/>
      <c r="H4" s="392"/>
      <c r="I4" s="392"/>
    </row>
    <row r="5" spans="1:57" ht="13.5" thickBot="1" x14ac:dyDescent="0.25"/>
    <row r="6" spans="1:57" ht="13.5" thickBot="1" x14ac:dyDescent="0.25">
      <c r="A6" s="411"/>
      <c r="B6" s="399" t="s">
        <v>461</v>
      </c>
      <c r="C6" s="399"/>
      <c r="D6" s="410"/>
      <c r="E6" s="409" t="s">
        <v>33</v>
      </c>
      <c r="F6" s="408" t="s">
        <v>28</v>
      </c>
      <c r="G6" s="408" t="s">
        <v>460</v>
      </c>
      <c r="H6" s="408" t="s">
        <v>21</v>
      </c>
      <c r="I6" s="407" t="s">
        <v>16</v>
      </c>
    </row>
    <row r="7" spans="1:57" x14ac:dyDescent="0.2">
      <c r="A7" s="406" t="str">
        <f>'3-Položky'!B7</f>
        <v>1</v>
      </c>
      <c r="B7" s="405" t="str">
        <f>'3-Položky'!C7</f>
        <v>Zemní práce</v>
      </c>
      <c r="D7" s="404"/>
      <c r="E7" s="403">
        <f>'3-Položky'!BA21</f>
        <v>0</v>
      </c>
      <c r="F7" s="402">
        <f>'3-Položky'!BB21</f>
        <v>0</v>
      </c>
      <c r="G7" s="402">
        <f>'3-Položky'!BC21</f>
        <v>0</v>
      </c>
      <c r="H7" s="402">
        <f>'3-Položky'!BD21</f>
        <v>0</v>
      </c>
      <c r="I7" s="401">
        <f>'3-Položky'!BE21</f>
        <v>0</v>
      </c>
    </row>
    <row r="8" spans="1:57" x14ac:dyDescent="0.2">
      <c r="A8" s="406" t="str">
        <f>'3-Položky'!B22</f>
        <v>4</v>
      </c>
      <c r="B8" s="405" t="str">
        <f>'3-Položky'!C22</f>
        <v>Vodorovné konstrukce</v>
      </c>
      <c r="D8" s="404"/>
      <c r="E8" s="403">
        <f>'3-Položky'!BA26</f>
        <v>0</v>
      </c>
      <c r="F8" s="402">
        <f>'3-Položky'!BB26</f>
        <v>0</v>
      </c>
      <c r="G8" s="402">
        <f>'3-Položky'!BC26</f>
        <v>0</v>
      </c>
      <c r="H8" s="402">
        <f>'3-Položky'!BD26</f>
        <v>0</v>
      </c>
      <c r="I8" s="401">
        <f>'3-Položky'!BE26</f>
        <v>0</v>
      </c>
    </row>
    <row r="9" spans="1:57" x14ac:dyDescent="0.2">
      <c r="A9" s="406" t="str">
        <f>'3-Položky'!B27</f>
        <v>8</v>
      </c>
      <c r="B9" s="405" t="str">
        <f>'3-Položky'!C27</f>
        <v>Trubní vedení</v>
      </c>
      <c r="D9" s="404"/>
      <c r="E9" s="403">
        <f>'3-Položky'!BA39</f>
        <v>0</v>
      </c>
      <c r="F9" s="402">
        <f>'3-Položky'!BB39</f>
        <v>0</v>
      </c>
      <c r="G9" s="402">
        <f>'3-Položky'!BC39</f>
        <v>0</v>
      </c>
      <c r="H9" s="402">
        <f>'3-Položky'!BD39</f>
        <v>0</v>
      </c>
      <c r="I9" s="401">
        <f>'3-Položky'!BE39</f>
        <v>0</v>
      </c>
    </row>
    <row r="10" spans="1:57" ht="13.5" thickBot="1" x14ac:dyDescent="0.25">
      <c r="A10" s="406" t="str">
        <f>'3-Položky'!B40</f>
        <v>99</v>
      </c>
      <c r="B10" s="405" t="str">
        <f>'3-Položky'!C40</f>
        <v>Staveništní přesun hmot</v>
      </c>
      <c r="D10" s="404"/>
      <c r="E10" s="403">
        <f>'3-Položky'!BA42</f>
        <v>0</v>
      </c>
      <c r="F10" s="402">
        <f>'3-Položky'!BB42</f>
        <v>0</v>
      </c>
      <c r="G10" s="402">
        <f>'3-Položky'!BC42</f>
        <v>0</v>
      </c>
      <c r="H10" s="402">
        <f>'3-Položky'!BD42</f>
        <v>0</v>
      </c>
      <c r="I10" s="401">
        <f>'3-Položky'!BE42</f>
        <v>0</v>
      </c>
    </row>
    <row r="11" spans="1:57" s="394" customFormat="1" ht="13.5" thickBot="1" x14ac:dyDescent="0.25">
      <c r="A11" s="400"/>
      <c r="B11" s="399" t="s">
        <v>459</v>
      </c>
      <c r="C11" s="399"/>
      <c r="D11" s="398"/>
      <c r="E11" s="397">
        <f>SUM(E7:E10)</f>
        <v>0</v>
      </c>
      <c r="F11" s="396">
        <f>SUM(F7:F10)</f>
        <v>0</v>
      </c>
      <c r="G11" s="396">
        <f>SUM(G7:G10)</f>
        <v>0</v>
      </c>
      <c r="H11" s="396">
        <f>SUM(H7:H10)</f>
        <v>0</v>
      </c>
      <c r="I11" s="395">
        <f>SUM(I7:I10)</f>
        <v>0</v>
      </c>
    </row>
    <row r="13" spans="1:57" ht="19.5" customHeight="1" x14ac:dyDescent="0.25">
      <c r="A13" s="392" t="s">
        <v>458</v>
      </c>
      <c r="B13" s="392"/>
      <c r="C13" s="392"/>
      <c r="D13" s="392"/>
      <c r="E13" s="392"/>
      <c r="F13" s="392"/>
      <c r="G13" s="393"/>
      <c r="H13" s="392"/>
      <c r="I13" s="392"/>
      <c r="BA13" s="391"/>
      <c r="BB13" s="391"/>
      <c r="BC13" s="391"/>
      <c r="BD13" s="391"/>
      <c r="BE13" s="391"/>
    </row>
    <row r="14" spans="1:57" ht="13.5" thickBot="1" x14ac:dyDescent="0.25"/>
    <row r="15" spans="1:57" x14ac:dyDescent="0.2">
      <c r="A15" s="390" t="s">
        <v>457</v>
      </c>
      <c r="B15" s="389"/>
      <c r="C15" s="389"/>
      <c r="D15" s="388"/>
      <c r="E15" s="387" t="s">
        <v>454</v>
      </c>
      <c r="F15" s="386" t="s">
        <v>456</v>
      </c>
      <c r="G15" s="385" t="s">
        <v>455</v>
      </c>
      <c r="H15" s="384"/>
      <c r="I15" s="383" t="s">
        <v>454</v>
      </c>
    </row>
    <row r="16" spans="1:57" x14ac:dyDescent="0.2">
      <c r="A16" s="382" t="s">
        <v>31</v>
      </c>
      <c r="B16" s="381"/>
      <c r="C16" s="381"/>
      <c r="D16" s="380"/>
      <c r="E16" s="379"/>
      <c r="F16" s="582">
        <v>0</v>
      </c>
      <c r="G16" s="378">
        <f>CHOOSE(BA16+1,HSV+PSV,HSV+PSV+Mont,HSV+PSV+Dodavka+Mont,HSV,PSV,Mont,Dodavka,Mont+Dodavka,0)</f>
        <v>0</v>
      </c>
      <c r="H16" s="377"/>
      <c r="I16" s="376">
        <f>E16+F16*G16/100</f>
        <v>0</v>
      </c>
      <c r="BA16" s="369">
        <v>0</v>
      </c>
    </row>
    <row r="17" spans="1:53" x14ac:dyDescent="0.2">
      <c r="A17" s="382" t="s">
        <v>25</v>
      </c>
      <c r="B17" s="381"/>
      <c r="C17" s="381"/>
      <c r="D17" s="380"/>
      <c r="E17" s="379"/>
      <c r="F17" s="582">
        <v>0</v>
      </c>
      <c r="G17" s="378">
        <f>CHOOSE(BA17+1,HSV+PSV,HSV+PSV+Mont,HSV+PSV+Dodavka+Mont,HSV,PSV,Mont,Dodavka,Mont+Dodavka,0)</f>
        <v>0</v>
      </c>
      <c r="H17" s="377"/>
      <c r="I17" s="376">
        <f>E17+F17*G17/100</f>
        <v>0</v>
      </c>
      <c r="BA17" s="369">
        <v>0</v>
      </c>
    </row>
    <row r="18" spans="1:53" x14ac:dyDescent="0.2">
      <c r="A18" s="382" t="s">
        <v>748</v>
      </c>
      <c r="B18" s="381"/>
      <c r="C18" s="381"/>
      <c r="D18" s="380"/>
      <c r="E18" s="379"/>
      <c r="F18" s="582">
        <v>0</v>
      </c>
      <c r="G18" s="378">
        <f>CHOOSE(BA18+1,HSV+PSV,HSV+PSV+Mont,HSV+PSV+Dodavka+Mont,HSV,PSV,Mont,Dodavka,Mont+Dodavka,0)</f>
        <v>0</v>
      </c>
      <c r="H18" s="377"/>
      <c r="I18" s="376">
        <f>E18+F18*G18/100</f>
        <v>0</v>
      </c>
      <c r="BA18" s="369">
        <v>0</v>
      </c>
    </row>
    <row r="19" spans="1:53" x14ac:dyDescent="0.2">
      <c r="A19" s="382" t="s">
        <v>749</v>
      </c>
      <c r="B19" s="381"/>
      <c r="C19" s="381"/>
      <c r="D19" s="380"/>
      <c r="E19" s="379"/>
      <c r="F19" s="582">
        <v>0</v>
      </c>
      <c r="G19" s="378">
        <f>CHOOSE(BA19+1,HSV+PSV,HSV+PSV+Mont,HSV+PSV+Dodavka+Mont,HSV,PSV,Mont,Dodavka,Mont+Dodavka,0)</f>
        <v>0</v>
      </c>
      <c r="H19" s="377"/>
      <c r="I19" s="376">
        <f>E19+F19*G19/100</f>
        <v>0</v>
      </c>
      <c r="BA19" s="369">
        <v>0</v>
      </c>
    </row>
    <row r="20" spans="1:53" ht="13.5" thickBot="1" x14ac:dyDescent="0.25">
      <c r="A20" s="375"/>
      <c r="B20" s="374" t="s">
        <v>453</v>
      </c>
      <c r="C20" s="373"/>
      <c r="D20" s="372"/>
      <c r="E20" s="371"/>
      <c r="F20" s="370"/>
      <c r="G20" s="370"/>
      <c r="H20" s="685">
        <f>SUM(I16:I19)</f>
        <v>0</v>
      </c>
      <c r="I20" s="686"/>
    </row>
    <row r="22" spans="1:53" x14ac:dyDescent="0.2">
      <c r="B22" s="394"/>
      <c r="F22" s="523"/>
      <c r="G22" s="522"/>
      <c r="H22" s="522"/>
      <c r="I22" s="521"/>
    </row>
    <row r="23" spans="1:53" x14ac:dyDescent="0.2">
      <c r="F23" s="523"/>
      <c r="G23" s="522"/>
      <c r="H23" s="522"/>
      <c r="I23" s="521"/>
    </row>
    <row r="24" spans="1:53" x14ac:dyDescent="0.2">
      <c r="F24" s="523"/>
      <c r="G24" s="522"/>
      <c r="H24" s="522"/>
      <c r="I24" s="521"/>
    </row>
    <row r="25" spans="1:53" x14ac:dyDescent="0.2">
      <c r="F25" s="523"/>
      <c r="G25" s="522"/>
      <c r="H25" s="522"/>
      <c r="I25" s="521"/>
    </row>
    <row r="26" spans="1:53" x14ac:dyDescent="0.2">
      <c r="F26" s="523"/>
      <c r="G26" s="522"/>
      <c r="H26" s="522"/>
      <c r="I26" s="521"/>
    </row>
    <row r="27" spans="1:53" x14ac:dyDescent="0.2">
      <c r="F27" s="523"/>
      <c r="G27" s="522"/>
      <c r="H27" s="522"/>
      <c r="I27" s="521"/>
    </row>
    <row r="28" spans="1:53" x14ac:dyDescent="0.2">
      <c r="F28" s="523"/>
      <c r="G28" s="522"/>
      <c r="H28" s="522"/>
      <c r="I28" s="521"/>
    </row>
    <row r="29" spans="1:53" x14ac:dyDescent="0.2">
      <c r="F29" s="523"/>
      <c r="G29" s="522"/>
      <c r="H29" s="522"/>
      <c r="I29" s="521"/>
    </row>
    <row r="30" spans="1:53" x14ac:dyDescent="0.2">
      <c r="F30" s="523"/>
      <c r="G30" s="522"/>
      <c r="H30" s="522"/>
      <c r="I30" s="521"/>
    </row>
    <row r="31" spans="1:53" x14ac:dyDescent="0.2">
      <c r="F31" s="523"/>
      <c r="G31" s="522"/>
      <c r="H31" s="522"/>
      <c r="I31" s="521"/>
    </row>
    <row r="32" spans="1:53" x14ac:dyDescent="0.2">
      <c r="F32" s="523"/>
      <c r="G32" s="522"/>
      <c r="H32" s="522"/>
      <c r="I32" s="521"/>
    </row>
    <row r="33" spans="6:9" x14ac:dyDescent="0.2">
      <c r="F33" s="523"/>
      <c r="G33" s="522"/>
      <c r="H33" s="522"/>
      <c r="I33" s="521"/>
    </row>
    <row r="34" spans="6:9" x14ac:dyDescent="0.2">
      <c r="F34" s="523"/>
      <c r="G34" s="522"/>
      <c r="H34" s="522"/>
      <c r="I34" s="521"/>
    </row>
    <row r="35" spans="6:9" x14ac:dyDescent="0.2">
      <c r="F35" s="523"/>
      <c r="G35" s="522"/>
      <c r="H35" s="522"/>
      <c r="I35" s="521"/>
    </row>
    <row r="36" spans="6:9" x14ac:dyDescent="0.2">
      <c r="F36" s="523"/>
      <c r="G36" s="522"/>
      <c r="H36" s="522"/>
      <c r="I36" s="521"/>
    </row>
    <row r="37" spans="6:9" x14ac:dyDescent="0.2">
      <c r="F37" s="523"/>
      <c r="G37" s="522"/>
      <c r="H37" s="522"/>
      <c r="I37" s="521"/>
    </row>
    <row r="38" spans="6:9" x14ac:dyDescent="0.2">
      <c r="F38" s="523"/>
      <c r="G38" s="522"/>
      <c r="H38" s="522"/>
      <c r="I38" s="521"/>
    </row>
    <row r="39" spans="6:9" x14ac:dyDescent="0.2">
      <c r="F39" s="523"/>
      <c r="G39" s="522"/>
      <c r="H39" s="522"/>
      <c r="I39" s="521"/>
    </row>
    <row r="40" spans="6:9" x14ac:dyDescent="0.2">
      <c r="F40" s="523"/>
      <c r="G40" s="522"/>
      <c r="H40" s="522"/>
      <c r="I40" s="521"/>
    </row>
    <row r="41" spans="6:9" x14ac:dyDescent="0.2">
      <c r="F41" s="523"/>
      <c r="G41" s="522"/>
      <c r="H41" s="522"/>
      <c r="I41" s="521"/>
    </row>
    <row r="42" spans="6:9" x14ac:dyDescent="0.2">
      <c r="F42" s="523"/>
      <c r="G42" s="522"/>
      <c r="H42" s="522"/>
      <c r="I42" s="521"/>
    </row>
    <row r="43" spans="6:9" x14ac:dyDescent="0.2">
      <c r="F43" s="523"/>
      <c r="G43" s="522"/>
      <c r="H43" s="522"/>
      <c r="I43" s="521"/>
    </row>
    <row r="44" spans="6:9" x14ac:dyDescent="0.2">
      <c r="F44" s="523"/>
      <c r="G44" s="522"/>
      <c r="H44" s="522"/>
      <c r="I44" s="521"/>
    </row>
    <row r="45" spans="6:9" x14ac:dyDescent="0.2">
      <c r="F45" s="523"/>
      <c r="G45" s="522"/>
      <c r="H45" s="522"/>
      <c r="I45" s="521"/>
    </row>
    <row r="46" spans="6:9" x14ac:dyDescent="0.2">
      <c r="F46" s="523"/>
      <c r="G46" s="522"/>
      <c r="H46" s="522"/>
      <c r="I46" s="521"/>
    </row>
    <row r="47" spans="6:9" x14ac:dyDescent="0.2">
      <c r="F47" s="523"/>
      <c r="G47" s="522"/>
      <c r="H47" s="522"/>
      <c r="I47" s="521"/>
    </row>
    <row r="48" spans="6:9" x14ac:dyDescent="0.2">
      <c r="F48" s="523"/>
      <c r="G48" s="522"/>
      <c r="H48" s="522"/>
      <c r="I48" s="521"/>
    </row>
    <row r="49" spans="6:9" x14ac:dyDescent="0.2">
      <c r="F49" s="523"/>
      <c r="G49" s="522"/>
      <c r="H49" s="522"/>
      <c r="I49" s="521"/>
    </row>
    <row r="50" spans="6:9" x14ac:dyDescent="0.2">
      <c r="F50" s="523"/>
      <c r="G50" s="522"/>
      <c r="H50" s="522"/>
      <c r="I50" s="521"/>
    </row>
    <row r="51" spans="6:9" x14ac:dyDescent="0.2">
      <c r="F51" s="523"/>
      <c r="G51" s="522"/>
      <c r="H51" s="522"/>
      <c r="I51" s="521"/>
    </row>
    <row r="52" spans="6:9" x14ac:dyDescent="0.2">
      <c r="F52" s="523"/>
      <c r="G52" s="522"/>
      <c r="H52" s="522"/>
      <c r="I52" s="521"/>
    </row>
    <row r="53" spans="6:9" x14ac:dyDescent="0.2">
      <c r="F53" s="523"/>
      <c r="G53" s="522"/>
      <c r="H53" s="522"/>
      <c r="I53" s="521"/>
    </row>
    <row r="54" spans="6:9" x14ac:dyDescent="0.2">
      <c r="F54" s="523"/>
      <c r="G54" s="522"/>
      <c r="H54" s="522"/>
      <c r="I54" s="521"/>
    </row>
    <row r="55" spans="6:9" x14ac:dyDescent="0.2">
      <c r="F55" s="523"/>
      <c r="G55" s="522"/>
      <c r="H55" s="522"/>
      <c r="I55" s="521"/>
    </row>
    <row r="56" spans="6:9" x14ac:dyDescent="0.2">
      <c r="F56" s="523"/>
      <c r="G56" s="522"/>
      <c r="H56" s="522"/>
      <c r="I56" s="521"/>
    </row>
    <row r="57" spans="6:9" x14ac:dyDescent="0.2">
      <c r="F57" s="523"/>
      <c r="G57" s="522"/>
      <c r="H57" s="522"/>
      <c r="I57" s="521"/>
    </row>
    <row r="58" spans="6:9" x14ac:dyDescent="0.2">
      <c r="F58" s="523"/>
      <c r="G58" s="522"/>
      <c r="H58" s="522"/>
      <c r="I58" s="521"/>
    </row>
    <row r="59" spans="6:9" x14ac:dyDescent="0.2">
      <c r="F59" s="523"/>
      <c r="G59" s="522"/>
      <c r="H59" s="522"/>
      <c r="I59" s="521"/>
    </row>
    <row r="60" spans="6:9" x14ac:dyDescent="0.2">
      <c r="F60" s="523"/>
      <c r="G60" s="522"/>
      <c r="H60" s="522"/>
      <c r="I60" s="521"/>
    </row>
    <row r="61" spans="6:9" x14ac:dyDescent="0.2">
      <c r="F61" s="523"/>
      <c r="G61" s="522"/>
      <c r="H61" s="522"/>
      <c r="I61" s="521"/>
    </row>
    <row r="62" spans="6:9" x14ac:dyDescent="0.2">
      <c r="F62" s="523"/>
      <c r="G62" s="522"/>
      <c r="H62" s="522"/>
      <c r="I62" s="521"/>
    </row>
    <row r="63" spans="6:9" x14ac:dyDescent="0.2">
      <c r="F63" s="523"/>
      <c r="G63" s="522"/>
      <c r="H63" s="522"/>
      <c r="I63" s="521"/>
    </row>
    <row r="64" spans="6:9" x14ac:dyDescent="0.2">
      <c r="F64" s="523"/>
      <c r="G64" s="522"/>
      <c r="H64" s="522"/>
      <c r="I64" s="521"/>
    </row>
    <row r="65" spans="6:9" x14ac:dyDescent="0.2">
      <c r="F65" s="523"/>
      <c r="G65" s="522"/>
      <c r="H65" s="522"/>
      <c r="I65" s="521"/>
    </row>
    <row r="66" spans="6:9" x14ac:dyDescent="0.2">
      <c r="F66" s="523"/>
      <c r="G66" s="522"/>
      <c r="H66" s="522"/>
      <c r="I66" s="521"/>
    </row>
    <row r="67" spans="6:9" x14ac:dyDescent="0.2">
      <c r="F67" s="523"/>
      <c r="G67" s="522"/>
      <c r="H67" s="522"/>
      <c r="I67" s="521"/>
    </row>
    <row r="68" spans="6:9" x14ac:dyDescent="0.2">
      <c r="F68" s="523"/>
      <c r="G68" s="522"/>
      <c r="H68" s="522"/>
      <c r="I68" s="521"/>
    </row>
    <row r="69" spans="6:9" x14ac:dyDescent="0.2">
      <c r="F69" s="523"/>
      <c r="G69" s="522"/>
      <c r="H69" s="522"/>
      <c r="I69" s="521"/>
    </row>
    <row r="70" spans="6:9" x14ac:dyDescent="0.2">
      <c r="F70" s="523"/>
      <c r="G70" s="522"/>
      <c r="H70" s="522"/>
      <c r="I70" s="521"/>
    </row>
    <row r="71" spans="6:9" x14ac:dyDescent="0.2">
      <c r="F71" s="523"/>
      <c r="G71" s="522"/>
      <c r="H71" s="522"/>
      <c r="I71" s="521"/>
    </row>
  </sheetData>
  <sheetProtection algorithmName="SHA-512" hashValue="3qkPjQVCgn/mmooa9mooWp7EY6J2kceWFBLDNnBzZ6mAfLGVL1fTzzOPBlSEsVBqYyUohChlv4wWngAWsn4pvQ==" saltValue="Uw63NR2u67mZw+ujPs9lKw==" spinCount="100000" sheet="1" objects="1" scenarios="1"/>
  <mergeCells count="4">
    <mergeCell ref="A1:B1"/>
    <mergeCell ref="A2:B2"/>
    <mergeCell ref="G2:I2"/>
    <mergeCell ref="H20:I20"/>
  </mergeCells>
  <pageMargins left="0.59055118110236227" right="0.39370078740157483" top="0.98425196850393704" bottom="0.98425196850393704" header="0.51181102362204722" footer="0.51181102362204722"/>
  <pageSetup paperSize="9" scale="98" orientation="portrait" horizontalDpi="300" verticalDpi="300" r:id="rId1"/>
  <headerFooter alignWithMargins="0">
    <oddFooter>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F7D-68BC-4892-929A-D4AA416FFC54}">
  <dimension ref="A1:DB103"/>
  <sheetViews>
    <sheetView showGridLines="0" showZeros="0" view="pageBreakPreview" zoomScaleNormal="115" zoomScaleSheetLayoutView="100" workbookViewId="0">
      <selection activeCell="I39" sqref="I39"/>
    </sheetView>
  </sheetViews>
  <sheetFormatPr defaultColWidth="9.140625" defaultRowHeight="12.75" x14ac:dyDescent="0.2"/>
  <cols>
    <col min="1" max="1" width="3.85546875" style="363" customWidth="1"/>
    <col min="2" max="2" width="12" style="363" customWidth="1"/>
    <col min="3" max="3" width="40.42578125" style="363" customWidth="1"/>
    <col min="4" max="4" width="5.5703125" style="363" customWidth="1"/>
    <col min="5" max="5" width="8.5703125" style="364" customWidth="1"/>
    <col min="6" max="6" width="9.85546875" style="363" customWidth="1"/>
    <col min="7" max="7" width="13.85546875" style="363" customWidth="1"/>
    <col min="8" max="104" width="26.5703125" style="363" customWidth="1"/>
    <col min="105" max="16384" width="9.140625" style="363"/>
  </cols>
  <sheetData>
    <row r="1" spans="1:105" ht="15.75" x14ac:dyDescent="0.25">
      <c r="A1" s="658" t="s">
        <v>544</v>
      </c>
      <c r="B1" s="658"/>
      <c r="C1" s="658"/>
      <c r="D1" s="658"/>
      <c r="E1" s="658"/>
      <c r="F1" s="658"/>
      <c r="G1" s="658"/>
    </row>
    <row r="2" spans="1:105" ht="13.5" thickBot="1" x14ac:dyDescent="0.25">
      <c r="B2" s="448"/>
      <c r="C2" s="446"/>
      <c r="D2" s="446"/>
      <c r="E2" s="447"/>
      <c r="F2" s="446"/>
      <c r="G2" s="446"/>
    </row>
    <row r="3" spans="1:105" ht="13.5" thickTop="1" x14ac:dyDescent="0.2">
      <c r="A3" s="659" t="s">
        <v>464</v>
      </c>
      <c r="B3" s="660"/>
      <c r="C3" s="420" t="str">
        <f>CONCATENATE(cislostavby," ",nazevstavby)</f>
        <v xml:space="preserve"> Novostavba hřbitovního domku a přípojek</v>
      </c>
      <c r="D3" s="418"/>
      <c r="E3" s="445"/>
      <c r="F3" s="548">
        <f>'3-Rekapitulace'!H1</f>
        <v>0</v>
      </c>
      <c r="G3" s="444"/>
    </row>
    <row r="4" spans="1:105" ht="13.5" thickBot="1" x14ac:dyDescent="0.25">
      <c r="A4" s="661" t="s">
        <v>463</v>
      </c>
      <c r="B4" s="662"/>
      <c r="C4" s="415" t="str">
        <f>CONCATENATE(cisloobjektu," ",nazevobjektu)</f>
        <v xml:space="preserve">  3 - SO 03 Splašková kanalizace</v>
      </c>
      <c r="D4" s="413"/>
      <c r="E4" s="663"/>
      <c r="F4" s="663"/>
      <c r="G4" s="664"/>
    </row>
    <row r="5" spans="1:105" ht="13.5" thickTop="1" x14ac:dyDescent="0.2">
      <c r="A5" s="443"/>
    </row>
    <row r="6" spans="1:105" x14ac:dyDescent="0.2">
      <c r="A6" s="442" t="s">
        <v>543</v>
      </c>
      <c r="B6" s="441" t="s">
        <v>542</v>
      </c>
      <c r="C6" s="441" t="s">
        <v>541</v>
      </c>
      <c r="D6" s="441" t="s">
        <v>144</v>
      </c>
      <c r="E6" s="441" t="s">
        <v>540</v>
      </c>
      <c r="F6" s="441" t="s">
        <v>539</v>
      </c>
      <c r="G6" s="440" t="s">
        <v>538</v>
      </c>
    </row>
    <row r="7" spans="1:105" x14ac:dyDescent="0.2">
      <c r="A7" s="439" t="s">
        <v>477</v>
      </c>
      <c r="B7" s="438" t="s">
        <v>91</v>
      </c>
      <c r="C7" s="437" t="s">
        <v>537</v>
      </c>
      <c r="D7" s="436"/>
      <c r="E7" s="435"/>
      <c r="F7" s="566"/>
      <c r="G7" s="434"/>
      <c r="O7" s="422">
        <v>1</v>
      </c>
    </row>
    <row r="8" spans="1:105" x14ac:dyDescent="0.2">
      <c r="A8" s="433">
        <v>1</v>
      </c>
      <c r="B8" s="432" t="s">
        <v>536</v>
      </c>
      <c r="C8" s="431" t="s">
        <v>535</v>
      </c>
      <c r="D8" s="430" t="s">
        <v>272</v>
      </c>
      <c r="E8" s="429">
        <v>1</v>
      </c>
      <c r="F8" s="567"/>
      <c r="G8" s="428">
        <f t="shared" ref="G8:G20" si="0">E8*F8</f>
        <v>0</v>
      </c>
      <c r="O8" s="422">
        <v>2</v>
      </c>
      <c r="AA8" s="363">
        <v>12</v>
      </c>
      <c r="AB8" s="363">
        <v>1</v>
      </c>
      <c r="AC8" s="363">
        <v>1</v>
      </c>
      <c r="AZ8" s="363">
        <v>1</v>
      </c>
      <c r="BA8" s="363">
        <f t="shared" ref="BA8:BA20" si="1">IF(AZ8=1,G8,0)</f>
        <v>0</v>
      </c>
      <c r="BB8" s="363">
        <f t="shared" ref="BB8:BB20" si="2">IF(AZ8=2,G8,0)</f>
        <v>0</v>
      </c>
      <c r="BC8" s="363">
        <f t="shared" ref="BC8:BC20" si="3">IF(AZ8=3,G8,0)</f>
        <v>0</v>
      </c>
      <c r="BD8" s="363">
        <f t="shared" ref="BD8:BD20" si="4">IF(AZ8=4,G8,0)</f>
        <v>0</v>
      </c>
      <c r="BE8" s="363">
        <f t="shared" ref="BE8:BE20" si="5">IF(AZ8=5,G8,0)</f>
        <v>0</v>
      </c>
      <c r="CZ8" s="363">
        <v>3.6909999999999998E-2</v>
      </c>
    </row>
    <row r="9" spans="1:105" x14ac:dyDescent="0.2">
      <c r="A9" s="433">
        <v>2</v>
      </c>
      <c r="B9" s="432" t="s">
        <v>730</v>
      </c>
      <c r="C9" s="431" t="s">
        <v>729</v>
      </c>
      <c r="D9" s="430" t="s">
        <v>94</v>
      </c>
      <c r="E9" s="429">
        <v>3</v>
      </c>
      <c r="F9" s="567"/>
      <c r="G9" s="428">
        <f t="shared" si="0"/>
        <v>0</v>
      </c>
      <c r="O9" s="422">
        <v>2</v>
      </c>
      <c r="AA9" s="363">
        <v>12</v>
      </c>
      <c r="AB9" s="363">
        <v>1</v>
      </c>
      <c r="AC9" s="363">
        <v>2</v>
      </c>
      <c r="AZ9" s="363">
        <v>1</v>
      </c>
      <c r="BA9" s="363">
        <f t="shared" si="1"/>
        <v>0</v>
      </c>
      <c r="BB9" s="363">
        <f t="shared" si="2"/>
        <v>0</v>
      </c>
      <c r="BC9" s="363">
        <f t="shared" si="3"/>
        <v>0</v>
      </c>
      <c r="BD9" s="363">
        <f t="shared" si="4"/>
        <v>0</v>
      </c>
      <c r="BE9" s="363">
        <f t="shared" si="5"/>
        <v>0</v>
      </c>
      <c r="CZ9" s="363">
        <v>0</v>
      </c>
    </row>
    <row r="10" spans="1:105" x14ac:dyDescent="0.2">
      <c r="A10" s="433">
        <v>3</v>
      </c>
      <c r="B10" s="432" t="s">
        <v>728</v>
      </c>
      <c r="C10" s="431" t="s">
        <v>727</v>
      </c>
      <c r="D10" s="430" t="s">
        <v>94</v>
      </c>
      <c r="E10" s="429">
        <v>0.04</v>
      </c>
      <c r="F10" s="567"/>
      <c r="G10" s="428">
        <f t="shared" si="0"/>
        <v>0</v>
      </c>
      <c r="O10" s="422">
        <v>2</v>
      </c>
      <c r="AA10" s="363">
        <v>12</v>
      </c>
      <c r="AB10" s="363">
        <v>1</v>
      </c>
      <c r="AC10" s="363">
        <v>3</v>
      </c>
      <c r="AZ10" s="363">
        <v>1</v>
      </c>
      <c r="BA10" s="363">
        <f t="shared" si="1"/>
        <v>0</v>
      </c>
      <c r="BB10" s="363">
        <f t="shared" si="2"/>
        <v>0</v>
      </c>
      <c r="BC10" s="363">
        <f t="shared" si="3"/>
        <v>0</v>
      </c>
      <c r="BD10" s="363">
        <f t="shared" si="4"/>
        <v>0</v>
      </c>
      <c r="BE10" s="363">
        <f t="shared" si="5"/>
        <v>0</v>
      </c>
      <c r="CZ10" s="363">
        <f>DA10*E10</f>
        <v>0.1</v>
      </c>
      <c r="DA10" s="363">
        <v>2.5</v>
      </c>
    </row>
    <row r="11" spans="1:105" x14ac:dyDescent="0.2">
      <c r="A11" s="433">
        <v>4</v>
      </c>
      <c r="B11" s="432" t="s">
        <v>743</v>
      </c>
      <c r="C11" s="431" t="s">
        <v>726</v>
      </c>
      <c r="D11" s="430" t="s">
        <v>94</v>
      </c>
      <c r="E11" s="429">
        <v>20</v>
      </c>
      <c r="F11" s="567"/>
      <c r="G11" s="428">
        <f t="shared" si="0"/>
        <v>0</v>
      </c>
      <c r="O11" s="422">
        <v>2</v>
      </c>
      <c r="AA11" s="363">
        <v>12</v>
      </c>
      <c r="AB11" s="363">
        <v>1</v>
      </c>
      <c r="AC11" s="363">
        <v>4</v>
      </c>
      <c r="AZ11" s="363">
        <v>1</v>
      </c>
      <c r="BA11" s="363">
        <f t="shared" si="1"/>
        <v>0</v>
      </c>
      <c r="BB11" s="363">
        <f t="shared" si="2"/>
        <v>0</v>
      </c>
      <c r="BC11" s="363">
        <f t="shared" si="3"/>
        <v>0</v>
      </c>
      <c r="BD11" s="363">
        <f t="shared" si="4"/>
        <v>0</v>
      </c>
      <c r="BE11" s="363">
        <f t="shared" si="5"/>
        <v>0</v>
      </c>
      <c r="CZ11" s="363">
        <v>0</v>
      </c>
    </row>
    <row r="12" spans="1:105" x14ac:dyDescent="0.2">
      <c r="A12" s="433">
        <v>5</v>
      </c>
      <c r="B12" s="432" t="s">
        <v>725</v>
      </c>
      <c r="C12" s="431" t="s">
        <v>724</v>
      </c>
      <c r="D12" s="430" t="s">
        <v>94</v>
      </c>
      <c r="E12" s="429">
        <v>20</v>
      </c>
      <c r="F12" s="567"/>
      <c r="G12" s="428">
        <f t="shared" si="0"/>
        <v>0</v>
      </c>
      <c r="O12" s="422">
        <v>2</v>
      </c>
      <c r="AA12" s="363">
        <v>12</v>
      </c>
      <c r="AB12" s="363">
        <v>1</v>
      </c>
      <c r="AC12" s="363">
        <v>5</v>
      </c>
      <c r="AZ12" s="363">
        <v>1</v>
      </c>
      <c r="BA12" s="363">
        <f t="shared" si="1"/>
        <v>0</v>
      </c>
      <c r="BB12" s="363">
        <f t="shared" si="2"/>
        <v>0</v>
      </c>
      <c r="BC12" s="363">
        <f t="shared" si="3"/>
        <v>0</v>
      </c>
      <c r="BD12" s="363">
        <f t="shared" si="4"/>
        <v>0</v>
      </c>
      <c r="BE12" s="363">
        <f t="shared" si="5"/>
        <v>0</v>
      </c>
      <c r="CZ12" s="363">
        <v>0</v>
      </c>
    </row>
    <row r="13" spans="1:105" x14ac:dyDescent="0.2">
      <c r="A13" s="433">
        <v>6</v>
      </c>
      <c r="B13" s="432" t="s">
        <v>744</v>
      </c>
      <c r="C13" s="431" t="s">
        <v>723</v>
      </c>
      <c r="D13" s="430" t="s">
        <v>94</v>
      </c>
      <c r="E13" s="429">
        <v>15</v>
      </c>
      <c r="F13" s="567"/>
      <c r="G13" s="428">
        <f t="shared" si="0"/>
        <v>0</v>
      </c>
      <c r="O13" s="422">
        <v>2</v>
      </c>
      <c r="AA13" s="363">
        <v>12</v>
      </c>
      <c r="AB13" s="363">
        <v>1</v>
      </c>
      <c r="AC13" s="363">
        <v>6</v>
      </c>
      <c r="AZ13" s="363">
        <v>1</v>
      </c>
      <c r="BA13" s="363">
        <f t="shared" si="1"/>
        <v>0</v>
      </c>
      <c r="BB13" s="363">
        <f t="shared" si="2"/>
        <v>0</v>
      </c>
      <c r="BC13" s="363">
        <f t="shared" si="3"/>
        <v>0</v>
      </c>
      <c r="BD13" s="363">
        <f t="shared" si="4"/>
        <v>0</v>
      </c>
      <c r="BE13" s="363">
        <f t="shared" si="5"/>
        <v>0</v>
      </c>
      <c r="CZ13" s="363">
        <v>0</v>
      </c>
    </row>
    <row r="14" spans="1:105" x14ac:dyDescent="0.2">
      <c r="A14" s="433">
        <v>7</v>
      </c>
      <c r="B14" s="432" t="s">
        <v>528</v>
      </c>
      <c r="C14" s="431" t="s">
        <v>527</v>
      </c>
      <c r="D14" s="430" t="s">
        <v>92</v>
      </c>
      <c r="E14" s="429">
        <v>60</v>
      </c>
      <c r="F14" s="567"/>
      <c r="G14" s="428">
        <f t="shared" si="0"/>
        <v>0</v>
      </c>
      <c r="O14" s="422">
        <v>2</v>
      </c>
      <c r="AA14" s="363">
        <v>12</v>
      </c>
      <c r="AB14" s="363">
        <v>1</v>
      </c>
      <c r="AC14" s="363">
        <v>7</v>
      </c>
      <c r="AZ14" s="363">
        <v>1</v>
      </c>
      <c r="BA14" s="363">
        <f t="shared" si="1"/>
        <v>0</v>
      </c>
      <c r="BB14" s="363">
        <f t="shared" si="2"/>
        <v>0</v>
      </c>
      <c r="BC14" s="363">
        <f t="shared" si="3"/>
        <v>0</v>
      </c>
      <c r="BD14" s="363">
        <f t="shared" si="4"/>
        <v>0</v>
      </c>
      <c r="BE14" s="363">
        <f t="shared" si="5"/>
        <v>0</v>
      </c>
      <c r="CZ14" s="363">
        <v>9.8999999999999999E-4</v>
      </c>
    </row>
    <row r="15" spans="1:105" x14ac:dyDescent="0.2">
      <c r="A15" s="433">
        <v>8</v>
      </c>
      <c r="B15" s="432" t="s">
        <v>526</v>
      </c>
      <c r="C15" s="431" t="s">
        <v>525</v>
      </c>
      <c r="D15" s="430" t="s">
        <v>92</v>
      </c>
      <c r="E15" s="429">
        <v>60</v>
      </c>
      <c r="F15" s="567"/>
      <c r="G15" s="428">
        <f t="shared" si="0"/>
        <v>0</v>
      </c>
      <c r="O15" s="422">
        <v>2</v>
      </c>
      <c r="AA15" s="363">
        <v>12</v>
      </c>
      <c r="AB15" s="363">
        <v>1</v>
      </c>
      <c r="AC15" s="363">
        <v>8</v>
      </c>
      <c r="AZ15" s="363">
        <v>1</v>
      </c>
      <c r="BA15" s="363">
        <f t="shared" si="1"/>
        <v>0</v>
      </c>
      <c r="BB15" s="363">
        <f t="shared" si="2"/>
        <v>0</v>
      </c>
      <c r="BC15" s="363">
        <f t="shared" si="3"/>
        <v>0</v>
      </c>
      <c r="BD15" s="363">
        <f t="shared" si="4"/>
        <v>0</v>
      </c>
      <c r="BE15" s="363">
        <f t="shared" si="5"/>
        <v>0</v>
      </c>
      <c r="CZ15" s="363">
        <v>0</v>
      </c>
    </row>
    <row r="16" spans="1:105" x14ac:dyDescent="0.2">
      <c r="A16" s="433">
        <v>9</v>
      </c>
      <c r="B16" s="432" t="s">
        <v>532</v>
      </c>
      <c r="C16" s="431" t="s">
        <v>531</v>
      </c>
      <c r="D16" s="430" t="s">
        <v>94</v>
      </c>
      <c r="E16" s="429">
        <v>35</v>
      </c>
      <c r="F16" s="567"/>
      <c r="G16" s="428">
        <f t="shared" si="0"/>
        <v>0</v>
      </c>
      <c r="O16" s="422">
        <v>2</v>
      </c>
      <c r="AA16" s="363">
        <v>12</v>
      </c>
      <c r="AB16" s="363">
        <v>1</v>
      </c>
      <c r="AC16" s="363">
        <v>9</v>
      </c>
      <c r="AZ16" s="363">
        <v>1</v>
      </c>
      <c r="BA16" s="363">
        <f t="shared" si="1"/>
        <v>0</v>
      </c>
      <c r="BB16" s="363">
        <f t="shared" si="2"/>
        <v>0</v>
      </c>
      <c r="BC16" s="363">
        <f t="shared" si="3"/>
        <v>0</v>
      </c>
      <c r="BD16" s="363">
        <f t="shared" si="4"/>
        <v>0</v>
      </c>
      <c r="BE16" s="363">
        <f t="shared" si="5"/>
        <v>0</v>
      </c>
      <c r="CZ16" s="363">
        <v>0</v>
      </c>
    </row>
    <row r="17" spans="1:106" x14ac:dyDescent="0.2">
      <c r="A17" s="433">
        <v>10</v>
      </c>
      <c r="B17" s="432" t="s">
        <v>722</v>
      </c>
      <c r="C17" s="431" t="s">
        <v>721</v>
      </c>
      <c r="D17" s="430" t="s">
        <v>94</v>
      </c>
      <c r="E17" s="429">
        <v>35</v>
      </c>
      <c r="F17" s="567"/>
      <c r="G17" s="428">
        <f t="shared" si="0"/>
        <v>0</v>
      </c>
      <c r="O17" s="422">
        <v>2</v>
      </c>
      <c r="AA17" s="363">
        <v>12</v>
      </c>
      <c r="AB17" s="363">
        <v>1</v>
      </c>
      <c r="AC17" s="363">
        <v>10</v>
      </c>
      <c r="AZ17" s="363">
        <v>1</v>
      </c>
      <c r="BA17" s="363">
        <f t="shared" si="1"/>
        <v>0</v>
      </c>
      <c r="BB17" s="363">
        <f t="shared" si="2"/>
        <v>0</v>
      </c>
      <c r="BC17" s="363">
        <f t="shared" si="3"/>
        <v>0</v>
      </c>
      <c r="BD17" s="363">
        <f t="shared" si="4"/>
        <v>0</v>
      </c>
      <c r="BE17" s="363">
        <f t="shared" si="5"/>
        <v>0</v>
      </c>
      <c r="CZ17" s="363">
        <v>0</v>
      </c>
    </row>
    <row r="18" spans="1:106" x14ac:dyDescent="0.2">
      <c r="A18" s="433">
        <v>11</v>
      </c>
      <c r="B18" s="432" t="s">
        <v>127</v>
      </c>
      <c r="C18" s="431" t="s">
        <v>524</v>
      </c>
      <c r="D18" s="430" t="s">
        <v>94</v>
      </c>
      <c r="E18" s="429">
        <f>E17</f>
        <v>35</v>
      </c>
      <c r="F18" s="567"/>
      <c r="G18" s="428">
        <f t="shared" si="0"/>
        <v>0</v>
      </c>
      <c r="O18" s="422">
        <v>2</v>
      </c>
      <c r="AA18" s="363">
        <v>12</v>
      </c>
      <c r="AB18" s="363">
        <v>1</v>
      </c>
      <c r="AC18" s="363">
        <v>8</v>
      </c>
      <c r="AZ18" s="363">
        <v>1</v>
      </c>
      <c r="BA18" s="363">
        <f t="shared" si="1"/>
        <v>0</v>
      </c>
      <c r="BB18" s="363">
        <f t="shared" si="2"/>
        <v>0</v>
      </c>
      <c r="BC18" s="363">
        <f t="shared" si="3"/>
        <v>0</v>
      </c>
      <c r="BD18" s="363">
        <f t="shared" si="4"/>
        <v>0</v>
      </c>
      <c r="BE18" s="363">
        <f t="shared" si="5"/>
        <v>0</v>
      </c>
      <c r="CZ18" s="363">
        <v>0</v>
      </c>
    </row>
    <row r="19" spans="1:106" x14ac:dyDescent="0.2">
      <c r="A19" s="433">
        <v>12</v>
      </c>
      <c r="B19" s="432" t="s">
        <v>523</v>
      </c>
      <c r="C19" s="431" t="s">
        <v>522</v>
      </c>
      <c r="D19" s="430" t="s">
        <v>94</v>
      </c>
      <c r="E19" s="429">
        <v>35</v>
      </c>
      <c r="F19" s="567"/>
      <c r="G19" s="428">
        <f t="shared" si="0"/>
        <v>0</v>
      </c>
      <c r="O19" s="422">
        <v>2</v>
      </c>
      <c r="AA19" s="363">
        <v>12</v>
      </c>
      <c r="AB19" s="363">
        <v>1</v>
      </c>
      <c r="AC19" s="363">
        <v>11</v>
      </c>
      <c r="AZ19" s="363">
        <v>1</v>
      </c>
      <c r="BA19" s="363">
        <f t="shared" si="1"/>
        <v>0</v>
      </c>
      <c r="BB19" s="363">
        <f t="shared" si="2"/>
        <v>0</v>
      </c>
      <c r="BC19" s="363">
        <f t="shared" si="3"/>
        <v>0</v>
      </c>
      <c r="BD19" s="363">
        <f t="shared" si="4"/>
        <v>0</v>
      </c>
      <c r="BE19" s="363">
        <f t="shared" si="5"/>
        <v>0</v>
      </c>
      <c r="CZ19" s="363">
        <v>0</v>
      </c>
    </row>
    <row r="20" spans="1:106" x14ac:dyDescent="0.2">
      <c r="A20" s="433">
        <v>13</v>
      </c>
      <c r="B20" s="432" t="s">
        <v>520</v>
      </c>
      <c r="C20" s="431" t="s">
        <v>519</v>
      </c>
      <c r="D20" s="430" t="s">
        <v>94</v>
      </c>
      <c r="E20" s="429">
        <v>20</v>
      </c>
      <c r="F20" s="567"/>
      <c r="G20" s="428">
        <f t="shared" si="0"/>
        <v>0</v>
      </c>
      <c r="O20" s="422">
        <v>2</v>
      </c>
      <c r="AA20" s="363">
        <v>12</v>
      </c>
      <c r="AB20" s="363">
        <v>1</v>
      </c>
      <c r="AC20" s="363">
        <v>12</v>
      </c>
      <c r="AZ20" s="363">
        <v>1</v>
      </c>
      <c r="BA20" s="363">
        <f t="shared" si="1"/>
        <v>0</v>
      </c>
      <c r="BB20" s="363">
        <f t="shared" si="2"/>
        <v>0</v>
      </c>
      <c r="BC20" s="363">
        <f t="shared" si="3"/>
        <v>0</v>
      </c>
      <c r="BD20" s="363">
        <f t="shared" si="4"/>
        <v>0</v>
      </c>
      <c r="BE20" s="363">
        <f t="shared" si="5"/>
        <v>0</v>
      </c>
      <c r="CZ20" s="363">
        <v>0</v>
      </c>
    </row>
    <row r="21" spans="1:106" x14ac:dyDescent="0.2">
      <c r="A21" s="425"/>
      <c r="B21" s="427" t="s">
        <v>465</v>
      </c>
      <c r="C21" s="426" t="str">
        <f>CONCATENATE(B7," ",C7)</f>
        <v>1 Zemní práce</v>
      </c>
      <c r="D21" s="425"/>
      <c r="E21" s="424"/>
      <c r="F21" s="568"/>
      <c r="G21" s="423">
        <f>SUM(G7:G20)</f>
        <v>0</v>
      </c>
      <c r="O21" s="422">
        <v>4</v>
      </c>
      <c r="BA21" s="421">
        <f>SUM(BA7:BA20)</f>
        <v>0</v>
      </c>
      <c r="BB21" s="421">
        <f>SUM(BB7:BB20)</f>
        <v>0</v>
      </c>
      <c r="BC21" s="421">
        <f>SUM(BC7:BC20)</f>
        <v>0</v>
      </c>
      <c r="BD21" s="421">
        <f>SUM(BD7:BD20)</f>
        <v>0</v>
      </c>
      <c r="BE21" s="421">
        <f>SUM(BE7:BE20)</f>
        <v>0</v>
      </c>
    </row>
    <row r="22" spans="1:106" x14ac:dyDescent="0.2">
      <c r="A22" s="439" t="s">
        <v>477</v>
      </c>
      <c r="B22" s="438" t="s">
        <v>720</v>
      </c>
      <c r="C22" s="437" t="s">
        <v>719</v>
      </c>
      <c r="D22" s="436"/>
      <c r="E22" s="435"/>
      <c r="F22" s="566"/>
      <c r="G22" s="434"/>
      <c r="O22" s="422">
        <v>1</v>
      </c>
    </row>
    <row r="23" spans="1:106" x14ac:dyDescent="0.2">
      <c r="A23" s="433">
        <v>14</v>
      </c>
      <c r="B23" s="432" t="s">
        <v>718</v>
      </c>
      <c r="C23" s="431" t="s">
        <v>717</v>
      </c>
      <c r="D23" s="430" t="s">
        <v>94</v>
      </c>
      <c r="E23" s="429">
        <v>1.7</v>
      </c>
      <c r="F23" s="567"/>
      <c r="G23" s="428">
        <f>E23*F23</f>
        <v>0</v>
      </c>
      <c r="O23" s="422">
        <v>2</v>
      </c>
      <c r="AA23" s="363">
        <v>12</v>
      </c>
      <c r="AB23" s="363">
        <v>1</v>
      </c>
      <c r="AC23" s="363">
        <v>13</v>
      </c>
      <c r="AZ23" s="363">
        <v>1</v>
      </c>
      <c r="BA23" s="363">
        <f>IF(AZ23=1,G23,0)</f>
        <v>0</v>
      </c>
      <c r="BB23" s="363">
        <f>IF(AZ23=2,G23,0)</f>
        <v>0</v>
      </c>
      <c r="BC23" s="363">
        <f>IF(AZ23=3,G23,0)</f>
        <v>0</v>
      </c>
      <c r="BD23" s="363">
        <f>IF(AZ23=4,G23,0)</f>
        <v>0</v>
      </c>
      <c r="BE23" s="363">
        <f>IF(AZ23=5,G23,0)</f>
        <v>0</v>
      </c>
      <c r="CZ23" s="363">
        <f t="shared" ref="CZ23:CZ25" si="6">DA23*E23</f>
        <v>2.8559999999999999</v>
      </c>
      <c r="DA23" s="363">
        <v>1.68</v>
      </c>
      <c r="DB23" s="363">
        <v>1.891</v>
      </c>
    </row>
    <row r="24" spans="1:106" x14ac:dyDescent="0.2">
      <c r="A24" s="433">
        <v>15</v>
      </c>
      <c r="B24" s="432" t="s">
        <v>746</v>
      </c>
      <c r="C24" s="431" t="s">
        <v>747</v>
      </c>
      <c r="D24" s="430" t="s">
        <v>94</v>
      </c>
      <c r="E24" s="429">
        <v>10.5</v>
      </c>
      <c r="F24" s="567"/>
      <c r="G24" s="428">
        <f>E24*F24</f>
        <v>0</v>
      </c>
      <c r="O24" s="422">
        <v>2</v>
      </c>
      <c r="AA24" s="363">
        <v>12</v>
      </c>
      <c r="AB24" s="363">
        <v>1</v>
      </c>
      <c r="AC24" s="363">
        <v>14</v>
      </c>
      <c r="AZ24" s="363">
        <v>1</v>
      </c>
      <c r="BA24" s="363">
        <f>IF(AZ24=1,G24,0)</f>
        <v>0</v>
      </c>
      <c r="BB24" s="363">
        <f>IF(AZ24=2,G24,0)</f>
        <v>0</v>
      </c>
      <c r="BC24" s="363">
        <f>IF(AZ24=3,G24,0)</f>
        <v>0</v>
      </c>
      <c r="BD24" s="363">
        <f>IF(AZ24=4,G24,0)</f>
        <v>0</v>
      </c>
      <c r="BE24" s="363">
        <f>IF(AZ24=5,G24,0)</f>
        <v>0</v>
      </c>
      <c r="CZ24" s="363">
        <f t="shared" si="6"/>
        <v>18.375</v>
      </c>
      <c r="DA24" s="363">
        <v>1.75</v>
      </c>
      <c r="DB24" s="363">
        <v>1</v>
      </c>
    </row>
    <row r="25" spans="1:106" x14ac:dyDescent="0.2">
      <c r="A25" s="433">
        <v>16</v>
      </c>
      <c r="B25" s="432" t="s">
        <v>745</v>
      </c>
      <c r="C25" s="431" t="s">
        <v>716</v>
      </c>
      <c r="D25" s="430" t="s">
        <v>94</v>
      </c>
      <c r="E25" s="429">
        <v>2.4</v>
      </c>
      <c r="F25" s="567"/>
      <c r="G25" s="428">
        <f>E25*F25</f>
        <v>0</v>
      </c>
      <c r="O25" s="422">
        <v>2</v>
      </c>
      <c r="AA25" s="363">
        <v>12</v>
      </c>
      <c r="AB25" s="363">
        <v>1</v>
      </c>
      <c r="AC25" s="363">
        <v>15</v>
      </c>
      <c r="AZ25" s="363">
        <v>1</v>
      </c>
      <c r="BA25" s="363">
        <f>IF(AZ25=1,G25,0)</f>
        <v>0</v>
      </c>
      <c r="BB25" s="363">
        <f>IF(AZ25=2,G25,0)</f>
        <v>0</v>
      </c>
      <c r="BC25" s="363">
        <f>IF(AZ25=3,G25,0)</f>
        <v>0</v>
      </c>
      <c r="BD25" s="363">
        <f>IF(AZ25=4,G25,0)</f>
        <v>0</v>
      </c>
      <c r="BE25" s="363">
        <f>IF(AZ25=5,G25,0)</f>
        <v>0</v>
      </c>
      <c r="CZ25" s="363">
        <f t="shared" si="6"/>
        <v>4.5599999999999996</v>
      </c>
      <c r="DA25" s="363">
        <v>1.9</v>
      </c>
      <c r="DB25" s="363">
        <v>1</v>
      </c>
    </row>
    <row r="26" spans="1:106" x14ac:dyDescent="0.2">
      <c r="A26" s="425"/>
      <c r="B26" s="427" t="s">
        <v>465</v>
      </c>
      <c r="C26" s="426" t="str">
        <f>CONCATENATE(B22," ",C22)</f>
        <v>4 Vodorovné konstrukce</v>
      </c>
      <c r="D26" s="425"/>
      <c r="E26" s="424"/>
      <c r="F26" s="568"/>
      <c r="G26" s="423">
        <f>SUM(G22:G25)</f>
        <v>0</v>
      </c>
      <c r="O26" s="422">
        <v>4</v>
      </c>
      <c r="BA26" s="421">
        <f>SUM(BA22:BA25)</f>
        <v>0</v>
      </c>
      <c r="BB26" s="421">
        <f>SUM(BB22:BB25)</f>
        <v>0</v>
      </c>
      <c r="BC26" s="421">
        <f>SUM(BC22:BC25)</f>
        <v>0</v>
      </c>
      <c r="BD26" s="421">
        <f>SUM(BD22:BD25)</f>
        <v>0</v>
      </c>
      <c r="BE26" s="421">
        <f>SUM(BE22:BE25)</f>
        <v>0</v>
      </c>
    </row>
    <row r="27" spans="1:106" x14ac:dyDescent="0.2">
      <c r="A27" s="439" t="s">
        <v>477</v>
      </c>
      <c r="B27" s="438" t="s">
        <v>508</v>
      </c>
      <c r="C27" s="437" t="s">
        <v>507</v>
      </c>
      <c r="D27" s="436"/>
      <c r="E27" s="435"/>
      <c r="F27" s="566"/>
      <c r="G27" s="434"/>
      <c r="O27" s="422">
        <v>1</v>
      </c>
    </row>
    <row r="28" spans="1:106" x14ac:dyDescent="0.2">
      <c r="A28" s="433">
        <v>17</v>
      </c>
      <c r="B28" s="432" t="s">
        <v>715</v>
      </c>
      <c r="C28" s="431" t="s">
        <v>714</v>
      </c>
      <c r="D28" s="430" t="s">
        <v>272</v>
      </c>
      <c r="E28" s="429">
        <v>19</v>
      </c>
      <c r="F28" s="567"/>
      <c r="G28" s="428">
        <f t="shared" ref="G28:G38" si="7">E28*F28</f>
        <v>0</v>
      </c>
      <c r="O28" s="422">
        <v>2</v>
      </c>
      <c r="AA28" s="363">
        <v>12</v>
      </c>
      <c r="AB28" s="363">
        <v>1</v>
      </c>
      <c r="AC28" s="363">
        <v>16</v>
      </c>
      <c r="AZ28" s="363">
        <v>1</v>
      </c>
      <c r="BA28" s="363">
        <f t="shared" ref="BA28:BA38" si="8">IF(AZ28=1,G28,0)</f>
        <v>0</v>
      </c>
      <c r="BB28" s="363">
        <f t="shared" ref="BB28:BB38" si="9">IF(AZ28=2,G28,0)</f>
        <v>0</v>
      </c>
      <c r="BC28" s="363">
        <f t="shared" ref="BC28:BC38" si="10">IF(AZ28=3,G28,0)</f>
        <v>0</v>
      </c>
      <c r="BD28" s="363">
        <f t="shared" ref="BD28:BD38" si="11">IF(AZ28=4,G28,0)</f>
        <v>0</v>
      </c>
      <c r="BE28" s="363">
        <f t="shared" ref="BE28:BE38" si="12">IF(AZ28=5,G28,0)</f>
        <v>0</v>
      </c>
      <c r="CZ28" s="363">
        <v>0</v>
      </c>
    </row>
    <row r="29" spans="1:106" x14ac:dyDescent="0.2">
      <c r="A29" s="433">
        <v>18</v>
      </c>
      <c r="B29" s="432" t="s">
        <v>713</v>
      </c>
      <c r="C29" s="431" t="s">
        <v>712</v>
      </c>
      <c r="D29" s="430" t="s">
        <v>272</v>
      </c>
      <c r="E29" s="429">
        <v>2</v>
      </c>
      <c r="F29" s="567"/>
      <c r="G29" s="428">
        <f t="shared" si="7"/>
        <v>0</v>
      </c>
      <c r="O29" s="422">
        <v>2</v>
      </c>
      <c r="AA29" s="363">
        <v>12</v>
      </c>
      <c r="AB29" s="363">
        <v>1</v>
      </c>
      <c r="AC29" s="363">
        <v>17</v>
      </c>
      <c r="AZ29" s="363">
        <v>1</v>
      </c>
      <c r="BA29" s="363">
        <f t="shared" si="8"/>
        <v>0</v>
      </c>
      <c r="BB29" s="363">
        <f t="shared" si="9"/>
        <v>0</v>
      </c>
      <c r="BC29" s="363">
        <f t="shared" si="10"/>
        <v>0</v>
      </c>
      <c r="BD29" s="363">
        <f t="shared" si="11"/>
        <v>0</v>
      </c>
      <c r="BE29" s="363">
        <f t="shared" si="12"/>
        <v>0</v>
      </c>
      <c r="CZ29" s="363">
        <v>0</v>
      </c>
    </row>
    <row r="30" spans="1:106" x14ac:dyDescent="0.2">
      <c r="A30" s="433">
        <v>19</v>
      </c>
      <c r="B30" s="432" t="s">
        <v>782</v>
      </c>
      <c r="C30" s="431" t="s">
        <v>711</v>
      </c>
      <c r="D30" s="430" t="s">
        <v>272</v>
      </c>
      <c r="E30" s="429">
        <v>10</v>
      </c>
      <c r="F30" s="567"/>
      <c r="G30" s="428">
        <f t="shared" si="7"/>
        <v>0</v>
      </c>
      <c r="O30" s="422">
        <v>2</v>
      </c>
      <c r="AA30" s="363">
        <v>12</v>
      </c>
      <c r="AB30" s="363">
        <v>1</v>
      </c>
      <c r="AC30" s="363">
        <v>18</v>
      </c>
      <c r="AZ30" s="363">
        <v>1</v>
      </c>
      <c r="BA30" s="363">
        <f t="shared" si="8"/>
        <v>0</v>
      </c>
      <c r="BB30" s="363">
        <f t="shared" si="9"/>
        <v>0</v>
      </c>
      <c r="BC30" s="363">
        <f t="shared" si="10"/>
        <v>0</v>
      </c>
      <c r="BD30" s="363">
        <f t="shared" si="11"/>
        <v>0</v>
      </c>
      <c r="BE30" s="363">
        <f t="shared" si="12"/>
        <v>0</v>
      </c>
      <c r="CZ30" s="363">
        <v>7.4999999999999997E-3</v>
      </c>
    </row>
    <row r="31" spans="1:106" x14ac:dyDescent="0.2">
      <c r="A31" s="433">
        <v>20</v>
      </c>
      <c r="B31" s="432" t="s">
        <v>710</v>
      </c>
      <c r="C31" s="431" t="s">
        <v>709</v>
      </c>
      <c r="D31" s="430" t="s">
        <v>272</v>
      </c>
      <c r="E31" s="429">
        <v>10</v>
      </c>
      <c r="F31" s="567"/>
      <c r="G31" s="428">
        <f t="shared" si="7"/>
        <v>0</v>
      </c>
      <c r="O31" s="422">
        <v>2</v>
      </c>
      <c r="AA31" s="363">
        <v>12</v>
      </c>
      <c r="AB31" s="363">
        <v>1</v>
      </c>
      <c r="AC31" s="363">
        <v>19</v>
      </c>
      <c r="AZ31" s="363">
        <v>1</v>
      </c>
      <c r="BA31" s="363">
        <f t="shared" si="8"/>
        <v>0</v>
      </c>
      <c r="BB31" s="363">
        <f t="shared" si="9"/>
        <v>0</v>
      </c>
      <c r="BC31" s="363">
        <f t="shared" si="10"/>
        <v>0</v>
      </c>
      <c r="BD31" s="363">
        <f t="shared" si="11"/>
        <v>0</v>
      </c>
      <c r="BE31" s="363">
        <f t="shared" si="12"/>
        <v>0</v>
      </c>
      <c r="CZ31" s="363">
        <v>1.5E-3</v>
      </c>
    </row>
    <row r="32" spans="1:106" x14ac:dyDescent="0.2">
      <c r="A32" s="433">
        <v>21</v>
      </c>
      <c r="B32" s="432" t="s">
        <v>708</v>
      </c>
      <c r="C32" s="431" t="s">
        <v>707</v>
      </c>
      <c r="D32" s="430" t="s">
        <v>272</v>
      </c>
      <c r="E32" s="429">
        <v>2</v>
      </c>
      <c r="F32" s="567"/>
      <c r="G32" s="428">
        <f t="shared" si="7"/>
        <v>0</v>
      </c>
      <c r="O32" s="422">
        <v>2</v>
      </c>
      <c r="AA32" s="363">
        <v>12</v>
      </c>
      <c r="AB32" s="363">
        <v>1</v>
      </c>
      <c r="AC32" s="363">
        <v>20</v>
      </c>
      <c r="AZ32" s="363">
        <v>1</v>
      </c>
      <c r="BA32" s="363">
        <f t="shared" si="8"/>
        <v>0</v>
      </c>
      <c r="BB32" s="363">
        <f t="shared" si="9"/>
        <v>0</v>
      </c>
      <c r="BC32" s="363">
        <f t="shared" si="10"/>
        <v>0</v>
      </c>
      <c r="BD32" s="363">
        <f t="shared" si="11"/>
        <v>0</v>
      </c>
      <c r="BE32" s="363">
        <f t="shared" si="12"/>
        <v>0</v>
      </c>
      <c r="CZ32" s="363">
        <v>1E-3</v>
      </c>
    </row>
    <row r="33" spans="1:105" ht="22.5" x14ac:dyDescent="0.2">
      <c r="A33" s="433">
        <v>22</v>
      </c>
      <c r="B33" s="432" t="s">
        <v>593</v>
      </c>
      <c r="C33" s="431" t="s">
        <v>650</v>
      </c>
      <c r="D33" s="430" t="s">
        <v>265</v>
      </c>
      <c r="E33" s="429">
        <v>1</v>
      </c>
      <c r="F33" s="567"/>
      <c r="G33" s="428">
        <f t="shared" si="7"/>
        <v>0</v>
      </c>
      <c r="O33" s="422">
        <v>2</v>
      </c>
      <c r="AA33" s="363">
        <v>12</v>
      </c>
      <c r="AB33" s="363">
        <v>7</v>
      </c>
      <c r="AC33" s="363">
        <v>12</v>
      </c>
      <c r="AZ33" s="363">
        <v>2</v>
      </c>
      <c r="BA33" s="363">
        <f t="shared" si="8"/>
        <v>0</v>
      </c>
      <c r="BB33" s="363">
        <f t="shared" si="9"/>
        <v>0</v>
      </c>
      <c r="BC33" s="363">
        <f t="shared" si="10"/>
        <v>0</v>
      </c>
      <c r="BD33" s="363">
        <f t="shared" si="11"/>
        <v>0</v>
      </c>
      <c r="BE33" s="363">
        <f t="shared" si="12"/>
        <v>0</v>
      </c>
      <c r="CZ33" s="363">
        <v>1.3999999999999999E-4</v>
      </c>
    </row>
    <row r="34" spans="1:105" x14ac:dyDescent="0.2">
      <c r="A34" s="433">
        <v>23</v>
      </c>
      <c r="B34" s="432" t="s">
        <v>706</v>
      </c>
      <c r="C34" s="431" t="s">
        <v>705</v>
      </c>
      <c r="D34" s="430" t="s">
        <v>704</v>
      </c>
      <c r="E34" s="429">
        <v>16</v>
      </c>
      <c r="F34" s="567"/>
      <c r="G34" s="428">
        <f t="shared" si="7"/>
        <v>0</v>
      </c>
      <c r="O34" s="422">
        <v>2</v>
      </c>
      <c r="AA34" s="363">
        <v>12</v>
      </c>
      <c r="AB34" s="363">
        <v>1</v>
      </c>
      <c r="AC34" s="363">
        <v>21</v>
      </c>
      <c r="AZ34" s="363">
        <v>1</v>
      </c>
      <c r="BA34" s="363">
        <f t="shared" si="8"/>
        <v>0</v>
      </c>
      <c r="BB34" s="363">
        <f t="shared" si="9"/>
        <v>0</v>
      </c>
      <c r="BC34" s="363">
        <f t="shared" si="10"/>
        <v>0</v>
      </c>
      <c r="BD34" s="363">
        <f t="shared" si="11"/>
        <v>0</v>
      </c>
      <c r="BE34" s="363">
        <f t="shared" si="12"/>
        <v>0</v>
      </c>
      <c r="CZ34" s="363">
        <v>0</v>
      </c>
    </row>
    <row r="35" spans="1:105" x14ac:dyDescent="0.2">
      <c r="A35" s="433">
        <v>24</v>
      </c>
      <c r="B35" s="432" t="s">
        <v>703</v>
      </c>
      <c r="C35" s="431" t="s">
        <v>702</v>
      </c>
      <c r="D35" s="430" t="s">
        <v>493</v>
      </c>
      <c r="E35" s="429">
        <v>2</v>
      </c>
      <c r="F35" s="567"/>
      <c r="G35" s="428">
        <f t="shared" si="7"/>
        <v>0</v>
      </c>
      <c r="O35" s="422">
        <v>2</v>
      </c>
      <c r="AA35" s="363">
        <v>12</v>
      </c>
      <c r="AB35" s="363">
        <v>1</v>
      </c>
      <c r="AC35" s="363">
        <v>22</v>
      </c>
      <c r="AZ35" s="363">
        <v>1</v>
      </c>
      <c r="BA35" s="363">
        <f t="shared" si="8"/>
        <v>0</v>
      </c>
      <c r="BB35" s="363">
        <f t="shared" si="9"/>
        <v>0</v>
      </c>
      <c r="BC35" s="363">
        <f t="shared" si="10"/>
        <v>0</v>
      </c>
      <c r="BD35" s="363">
        <f t="shared" si="11"/>
        <v>0</v>
      </c>
      <c r="BE35" s="363">
        <f t="shared" si="12"/>
        <v>0</v>
      </c>
      <c r="CZ35" s="363">
        <f t="shared" ref="CZ35" si="13">DA35*E35</f>
        <v>5</v>
      </c>
      <c r="DA35" s="363">
        <v>2.5</v>
      </c>
    </row>
    <row r="36" spans="1:105" x14ac:dyDescent="0.2">
      <c r="A36" s="433">
        <v>25</v>
      </c>
      <c r="B36" s="432" t="s">
        <v>701</v>
      </c>
      <c r="C36" s="431" t="s">
        <v>700</v>
      </c>
      <c r="D36" s="430" t="s">
        <v>92</v>
      </c>
      <c r="E36" s="429">
        <f>4*6*1.1</f>
        <v>26.400000000000002</v>
      </c>
      <c r="F36" s="567"/>
      <c r="G36" s="428">
        <f t="shared" si="7"/>
        <v>0</v>
      </c>
      <c r="O36" s="422">
        <v>2</v>
      </c>
      <c r="AA36" s="363">
        <v>12</v>
      </c>
      <c r="AB36" s="363">
        <v>1</v>
      </c>
      <c r="AC36" s="363">
        <v>23</v>
      </c>
      <c r="AZ36" s="363">
        <v>1</v>
      </c>
      <c r="BA36" s="363">
        <f t="shared" si="8"/>
        <v>0</v>
      </c>
      <c r="BB36" s="363">
        <f t="shared" si="9"/>
        <v>0</v>
      </c>
      <c r="BC36" s="363">
        <f t="shared" si="10"/>
        <v>0</v>
      </c>
      <c r="BD36" s="363">
        <f t="shared" si="11"/>
        <v>0</v>
      </c>
      <c r="BE36" s="363">
        <f t="shared" si="12"/>
        <v>0</v>
      </c>
      <c r="CZ36" s="363">
        <v>5.0000000000000001E-4</v>
      </c>
    </row>
    <row r="37" spans="1:105" x14ac:dyDescent="0.2">
      <c r="A37" s="433">
        <v>26</v>
      </c>
      <c r="B37" s="432" t="s">
        <v>699</v>
      </c>
      <c r="C37" s="431" t="s">
        <v>698</v>
      </c>
      <c r="D37" s="430" t="s">
        <v>265</v>
      </c>
      <c r="E37" s="429">
        <v>1</v>
      </c>
      <c r="F37" s="567"/>
      <c r="G37" s="428">
        <f t="shared" si="7"/>
        <v>0</v>
      </c>
      <c r="O37" s="422">
        <v>2</v>
      </c>
      <c r="AA37" s="363">
        <v>12</v>
      </c>
      <c r="AB37" s="363">
        <v>1</v>
      </c>
      <c r="AC37" s="363">
        <v>24</v>
      </c>
      <c r="AZ37" s="363">
        <v>1</v>
      </c>
      <c r="BA37" s="363">
        <f t="shared" si="8"/>
        <v>0</v>
      </c>
      <c r="BB37" s="363">
        <f t="shared" si="9"/>
        <v>0</v>
      </c>
      <c r="BC37" s="363">
        <f t="shared" si="10"/>
        <v>0</v>
      </c>
      <c r="BD37" s="363">
        <f t="shared" si="11"/>
        <v>0</v>
      </c>
      <c r="BE37" s="363">
        <f t="shared" si="12"/>
        <v>0</v>
      </c>
      <c r="CZ37" s="363">
        <v>0.28299999999999997</v>
      </c>
    </row>
    <row r="38" spans="1:105" x14ac:dyDescent="0.2">
      <c r="A38" s="433">
        <v>27</v>
      </c>
      <c r="B38" s="432" t="s">
        <v>697</v>
      </c>
      <c r="C38" s="431" t="s">
        <v>696</v>
      </c>
      <c r="D38" s="430" t="s">
        <v>265</v>
      </c>
      <c r="E38" s="429">
        <v>1</v>
      </c>
      <c r="F38" s="567"/>
      <c r="G38" s="428">
        <f t="shared" si="7"/>
        <v>0</v>
      </c>
      <c r="O38" s="422">
        <v>2</v>
      </c>
      <c r="AA38" s="363">
        <v>12</v>
      </c>
      <c r="AB38" s="363">
        <v>1</v>
      </c>
      <c r="AC38" s="363">
        <v>25</v>
      </c>
      <c r="AZ38" s="363">
        <v>1</v>
      </c>
      <c r="BA38" s="363">
        <f t="shared" si="8"/>
        <v>0</v>
      </c>
      <c r="BB38" s="363">
        <f t="shared" si="9"/>
        <v>0</v>
      </c>
      <c r="BC38" s="363">
        <f t="shared" si="10"/>
        <v>0</v>
      </c>
      <c r="BD38" s="363">
        <f t="shared" si="11"/>
        <v>0</v>
      </c>
      <c r="BE38" s="363">
        <f t="shared" si="12"/>
        <v>0</v>
      </c>
      <c r="CZ38" s="363">
        <v>0.14499999999999999</v>
      </c>
    </row>
    <row r="39" spans="1:105" x14ac:dyDescent="0.2">
      <c r="A39" s="425"/>
      <c r="B39" s="427" t="s">
        <v>465</v>
      </c>
      <c r="C39" s="426" t="str">
        <f>CONCATENATE(B27," ",C27)</f>
        <v>8 Trubní vedení</v>
      </c>
      <c r="D39" s="425"/>
      <c r="E39" s="424"/>
      <c r="F39" s="568"/>
      <c r="G39" s="423">
        <f>SUM(G27:G38)</f>
        <v>0</v>
      </c>
      <c r="O39" s="422">
        <v>4</v>
      </c>
      <c r="BA39" s="421">
        <f>SUM(BA27:BA38)</f>
        <v>0</v>
      </c>
      <c r="BB39" s="421">
        <f>SUM(BB27:BB38)</f>
        <v>0</v>
      </c>
      <c r="BC39" s="421">
        <f>SUM(BC27:BC38)</f>
        <v>0</v>
      </c>
      <c r="BD39" s="421">
        <f>SUM(BD27:BD38)</f>
        <v>0</v>
      </c>
      <c r="BE39" s="421">
        <f>SUM(BE27:BE38)</f>
        <v>0</v>
      </c>
    </row>
    <row r="40" spans="1:105" x14ac:dyDescent="0.2">
      <c r="A40" s="439" t="s">
        <v>477</v>
      </c>
      <c r="B40" s="438" t="s">
        <v>480</v>
      </c>
      <c r="C40" s="437" t="s">
        <v>479</v>
      </c>
      <c r="D40" s="436"/>
      <c r="E40" s="435"/>
      <c r="F40" s="566"/>
      <c r="G40" s="434"/>
      <c r="O40" s="422">
        <v>1</v>
      </c>
      <c r="CZ40" s="363">
        <f>SUM(CZ8:CZ39)</f>
        <v>31.367539999999998</v>
      </c>
    </row>
    <row r="41" spans="1:105" x14ac:dyDescent="0.2">
      <c r="A41" s="433">
        <v>28</v>
      </c>
      <c r="B41" s="432" t="s">
        <v>695</v>
      </c>
      <c r="C41" s="431" t="s">
        <v>478</v>
      </c>
      <c r="D41" s="430" t="s">
        <v>82</v>
      </c>
      <c r="E41" s="429">
        <f>CZ40</f>
        <v>31.367539999999998</v>
      </c>
      <c r="F41" s="567"/>
      <c r="G41" s="428">
        <f>E41*F41</f>
        <v>0</v>
      </c>
      <c r="O41" s="422">
        <v>2</v>
      </c>
      <c r="AA41" s="363">
        <v>12</v>
      </c>
      <c r="AB41" s="363">
        <v>1</v>
      </c>
      <c r="AC41" s="363">
        <v>26</v>
      </c>
      <c r="AZ41" s="363">
        <v>1</v>
      </c>
      <c r="BA41" s="363">
        <f>IF(AZ41=1,G41,0)</f>
        <v>0</v>
      </c>
      <c r="BB41" s="363">
        <f>IF(AZ41=2,G41,0)</f>
        <v>0</v>
      </c>
      <c r="BC41" s="363">
        <f>IF(AZ41=3,G41,0)</f>
        <v>0</v>
      </c>
      <c r="BD41" s="363">
        <f>IF(AZ41=4,G41,0)</f>
        <v>0</v>
      </c>
      <c r="BE41" s="363">
        <f>IF(AZ41=5,G41,0)</f>
        <v>0</v>
      </c>
      <c r="CZ41" s="363">
        <v>0</v>
      </c>
    </row>
    <row r="42" spans="1:105" x14ac:dyDescent="0.2">
      <c r="A42" s="425"/>
      <c r="B42" s="427" t="s">
        <v>465</v>
      </c>
      <c r="C42" s="426" t="str">
        <f>CONCATENATE(B40," ",C40)</f>
        <v>99 Staveništní přesun hmot</v>
      </c>
      <c r="D42" s="425"/>
      <c r="E42" s="424"/>
      <c r="F42" s="568"/>
      <c r="G42" s="423">
        <f>SUM(G40:G41)</f>
        <v>0</v>
      </c>
      <c r="O42" s="422">
        <v>4</v>
      </c>
      <c r="BA42" s="421">
        <f>SUM(BA40:BA41)</f>
        <v>0</v>
      </c>
      <c r="BB42" s="421">
        <f>SUM(BB40:BB41)</f>
        <v>0</v>
      </c>
      <c r="BC42" s="421">
        <f>SUM(BC40:BC41)</f>
        <v>0</v>
      </c>
      <c r="BD42" s="421">
        <f>SUM(BD40:BD41)</f>
        <v>0</v>
      </c>
      <c r="BE42" s="421">
        <f>SUM(BE40:BE41)</f>
        <v>0</v>
      </c>
    </row>
    <row r="43" spans="1:105" x14ac:dyDescent="0.2">
      <c r="E43" s="363"/>
    </row>
    <row r="44" spans="1:105" x14ac:dyDescent="0.2">
      <c r="E44" s="363"/>
      <c r="G44" s="625">
        <f>SUM(G42,G39,G26,G21)</f>
        <v>0</v>
      </c>
    </row>
    <row r="45" spans="1:105" x14ac:dyDescent="0.2">
      <c r="E45" s="363"/>
      <c r="G45" s="625">
        <f>'3-Rekapitulace'!G16</f>
        <v>0</v>
      </c>
    </row>
    <row r="46" spans="1:105" x14ac:dyDescent="0.2">
      <c r="E46" s="363"/>
    </row>
    <row r="47" spans="1:105" x14ac:dyDescent="0.2">
      <c r="E47" s="363"/>
    </row>
    <row r="48" spans="1:105" x14ac:dyDescent="0.2">
      <c r="E48" s="363"/>
    </row>
    <row r="49" spans="5:5" x14ac:dyDescent="0.2">
      <c r="E49" s="363"/>
    </row>
    <row r="50" spans="5:5" x14ac:dyDescent="0.2">
      <c r="E50" s="363"/>
    </row>
    <row r="51" spans="5:5" x14ac:dyDescent="0.2">
      <c r="E51" s="363"/>
    </row>
    <row r="52" spans="5:5" x14ac:dyDescent="0.2">
      <c r="E52" s="363"/>
    </row>
    <row r="53" spans="5:5" x14ac:dyDescent="0.2">
      <c r="E53" s="363"/>
    </row>
    <row r="54" spans="5:5" x14ac:dyDescent="0.2">
      <c r="E54" s="363"/>
    </row>
    <row r="55" spans="5:5" x14ac:dyDescent="0.2">
      <c r="E55" s="363"/>
    </row>
    <row r="56" spans="5:5" x14ac:dyDescent="0.2">
      <c r="E56" s="363"/>
    </row>
    <row r="57" spans="5:5" x14ac:dyDescent="0.2">
      <c r="E57" s="363"/>
    </row>
    <row r="58" spans="5:5" x14ac:dyDescent="0.2">
      <c r="E58" s="363"/>
    </row>
    <row r="59" spans="5:5" x14ac:dyDescent="0.2">
      <c r="E59" s="363"/>
    </row>
    <row r="60" spans="5:5" x14ac:dyDescent="0.2">
      <c r="E60" s="363"/>
    </row>
    <row r="61" spans="5:5" x14ac:dyDescent="0.2">
      <c r="E61" s="363"/>
    </row>
    <row r="62" spans="5:5" x14ac:dyDescent="0.2">
      <c r="E62" s="363"/>
    </row>
    <row r="63" spans="5:5" x14ac:dyDescent="0.2">
      <c r="E63" s="363"/>
    </row>
    <row r="64" spans="5:5" x14ac:dyDescent="0.2">
      <c r="E64" s="363"/>
    </row>
    <row r="65" spans="5:5" x14ac:dyDescent="0.2">
      <c r="E65" s="363"/>
    </row>
    <row r="66" spans="5:5" x14ac:dyDescent="0.2">
      <c r="E66" s="363"/>
    </row>
    <row r="67" spans="5:5" x14ac:dyDescent="0.2">
      <c r="E67" s="363"/>
    </row>
    <row r="68" spans="5:5" x14ac:dyDescent="0.2">
      <c r="E68" s="363"/>
    </row>
    <row r="69" spans="5:5" x14ac:dyDescent="0.2">
      <c r="E69" s="363"/>
    </row>
    <row r="70" spans="5:5" x14ac:dyDescent="0.2">
      <c r="E70" s="363"/>
    </row>
    <row r="71" spans="5:5" x14ac:dyDescent="0.2">
      <c r="E71" s="363"/>
    </row>
    <row r="72" spans="5:5" x14ac:dyDescent="0.2">
      <c r="E72" s="363"/>
    </row>
    <row r="73" spans="5:5" x14ac:dyDescent="0.2">
      <c r="E73" s="363"/>
    </row>
    <row r="74" spans="5:5" x14ac:dyDescent="0.2">
      <c r="E74" s="363"/>
    </row>
    <row r="75" spans="5:5" x14ac:dyDescent="0.2">
      <c r="E75" s="363"/>
    </row>
    <row r="76" spans="5:5" x14ac:dyDescent="0.2">
      <c r="E76" s="363"/>
    </row>
    <row r="77" spans="5:5" x14ac:dyDescent="0.2">
      <c r="E77" s="363"/>
    </row>
    <row r="78" spans="5:5" x14ac:dyDescent="0.2">
      <c r="E78" s="363"/>
    </row>
    <row r="79" spans="5:5" x14ac:dyDescent="0.2">
      <c r="E79" s="363"/>
    </row>
    <row r="80" spans="5:5" x14ac:dyDescent="0.2">
      <c r="E80" s="363"/>
    </row>
    <row r="81" spans="5:5" x14ac:dyDescent="0.2">
      <c r="E81" s="363"/>
    </row>
    <row r="82" spans="5:5" x14ac:dyDescent="0.2">
      <c r="E82" s="363"/>
    </row>
    <row r="83" spans="5:5" x14ac:dyDescent="0.2">
      <c r="E83" s="363"/>
    </row>
    <row r="84" spans="5:5" x14ac:dyDescent="0.2">
      <c r="E84" s="363"/>
    </row>
    <row r="85" spans="5:5" x14ac:dyDescent="0.2">
      <c r="E85" s="363"/>
    </row>
    <row r="86" spans="5:5" x14ac:dyDescent="0.2">
      <c r="E86" s="363"/>
    </row>
    <row r="87" spans="5:5" x14ac:dyDescent="0.2">
      <c r="E87" s="363"/>
    </row>
    <row r="88" spans="5:5" x14ac:dyDescent="0.2">
      <c r="E88" s="363"/>
    </row>
    <row r="89" spans="5:5" x14ac:dyDescent="0.2">
      <c r="E89" s="363"/>
    </row>
    <row r="90" spans="5:5" x14ac:dyDescent="0.2">
      <c r="E90" s="363"/>
    </row>
    <row r="91" spans="5:5" x14ac:dyDescent="0.2">
      <c r="E91" s="363"/>
    </row>
    <row r="92" spans="5:5" x14ac:dyDescent="0.2">
      <c r="E92" s="363"/>
    </row>
    <row r="93" spans="5:5" x14ac:dyDescent="0.2">
      <c r="E93" s="363"/>
    </row>
    <row r="94" spans="5:5" x14ac:dyDescent="0.2">
      <c r="E94" s="363"/>
    </row>
    <row r="95" spans="5:5" x14ac:dyDescent="0.2">
      <c r="E95" s="363"/>
    </row>
    <row r="96" spans="5:5" x14ac:dyDescent="0.2">
      <c r="E96" s="363"/>
    </row>
    <row r="97" spans="1:7" x14ac:dyDescent="0.2">
      <c r="E97" s="363"/>
    </row>
    <row r="98" spans="1:7" x14ac:dyDescent="0.2">
      <c r="E98" s="363"/>
    </row>
    <row r="99" spans="1:7" x14ac:dyDescent="0.2">
      <c r="E99" s="363"/>
    </row>
    <row r="100" spans="1:7" x14ac:dyDescent="0.2">
      <c r="E100" s="363"/>
    </row>
    <row r="101" spans="1:7" x14ac:dyDescent="0.2">
      <c r="A101" s="365"/>
      <c r="B101" s="365"/>
    </row>
    <row r="102" spans="1:7" x14ac:dyDescent="0.2">
      <c r="C102" s="367"/>
      <c r="D102" s="367"/>
      <c r="E102" s="368"/>
      <c r="F102" s="367"/>
      <c r="G102" s="366"/>
    </row>
    <row r="103" spans="1:7" x14ac:dyDescent="0.2">
      <c r="A103" s="365"/>
      <c r="B103" s="365"/>
    </row>
  </sheetData>
  <sheetProtection algorithmName="SHA-512" hashValue="puNaS7SW05cyKquhzW0hl6ieCKWOxf11okyfr0pXKymBE5L7QocTWO0qxA1Fm9akMfgIU58v0zNM5M537hC6qg==" saltValue="BRwikJQFzmux1CHWFowWOg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6D4A2-14B3-4BFF-81DF-A67D79141659}">
  <sheetPr>
    <tabColor indexed="11"/>
  </sheetPr>
  <dimension ref="A1:R35"/>
  <sheetViews>
    <sheetView view="pageBreakPreview" topLeftCell="A2" zoomScale="115" workbookViewId="0">
      <selection activeCell="Q31" sqref="Q31"/>
    </sheetView>
  </sheetViews>
  <sheetFormatPr defaultColWidth="8.85546875" defaultRowHeight="12.75" x14ac:dyDescent="0.25"/>
  <cols>
    <col min="1" max="2" width="2.7109375" style="1" customWidth="1"/>
    <col min="3" max="3" width="2.140625" style="1" customWidth="1"/>
    <col min="4" max="4" width="7.5703125" style="1" customWidth="1"/>
    <col min="5" max="5" width="13.85546875" style="1" customWidth="1"/>
    <col min="6" max="6" width="0.85546875" style="1" customWidth="1"/>
    <col min="7" max="7" width="3" style="1" customWidth="1"/>
    <col min="8" max="8" width="2.85546875" style="1" customWidth="1"/>
    <col min="9" max="9" width="10.5703125" style="1" customWidth="1"/>
    <col min="10" max="10" width="13.85546875" style="1" customWidth="1"/>
    <col min="11" max="11" width="0.7109375" style="1" customWidth="1"/>
    <col min="12" max="12" width="2.42578125" style="1" customWidth="1"/>
    <col min="13" max="13" width="4.5703125" style="1" customWidth="1"/>
    <col min="14" max="14" width="10.42578125" style="1" customWidth="1"/>
    <col min="15" max="15" width="6" style="1" customWidth="1"/>
    <col min="16" max="16" width="15.28515625" style="1" customWidth="1"/>
    <col min="17" max="17" width="14.7109375" style="1" bestFit="1" customWidth="1"/>
    <col min="18" max="18" width="10.7109375" style="1" bestFit="1" customWidth="1"/>
    <col min="19" max="16384" width="8.85546875" style="1"/>
  </cols>
  <sheetData>
    <row r="1" spans="1:18" ht="30" customHeight="1" thickBot="1" x14ac:dyDescent="0.3">
      <c r="A1" s="157"/>
      <c r="B1" s="155"/>
      <c r="C1" s="155"/>
      <c r="D1" s="155"/>
      <c r="E1" s="155"/>
      <c r="F1" s="156" t="s">
        <v>60</v>
      </c>
      <c r="G1" s="155"/>
      <c r="H1" s="155"/>
      <c r="I1" s="155"/>
      <c r="J1" s="155"/>
      <c r="K1" s="155"/>
      <c r="L1" s="155"/>
      <c r="M1" s="155"/>
      <c r="N1" s="155"/>
      <c r="O1" s="155"/>
      <c r="P1" s="154"/>
    </row>
    <row r="2" spans="1:18" ht="20.45" customHeight="1" x14ac:dyDescent="0.25">
      <c r="A2" s="153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1"/>
    </row>
    <row r="3" spans="1:18" s="116" customFormat="1" ht="20.45" customHeight="1" x14ac:dyDescent="0.25">
      <c r="A3" s="121"/>
      <c r="B3" s="116" t="s">
        <v>59</v>
      </c>
      <c r="E3" s="139" t="s">
        <v>150</v>
      </c>
      <c r="F3" s="138"/>
      <c r="G3" s="138"/>
      <c r="H3" s="138"/>
      <c r="I3" s="138"/>
      <c r="J3" s="137"/>
      <c r="L3" s="118"/>
      <c r="M3" s="118"/>
      <c r="N3" s="116" t="s">
        <v>58</v>
      </c>
      <c r="O3" s="150"/>
      <c r="P3" s="149"/>
    </row>
    <row r="4" spans="1:18" s="116" customFormat="1" ht="20.45" customHeight="1" x14ac:dyDescent="0.25">
      <c r="A4" s="121"/>
      <c r="B4" s="116" t="s">
        <v>57</v>
      </c>
      <c r="E4" s="148" t="s">
        <v>927</v>
      </c>
      <c r="F4" s="134"/>
      <c r="G4" s="134"/>
      <c r="H4" s="134"/>
      <c r="I4" s="134"/>
      <c r="J4" s="133"/>
      <c r="L4" s="118"/>
      <c r="M4" s="118"/>
      <c r="N4" s="116" t="s">
        <v>56</v>
      </c>
      <c r="O4" s="135" t="s">
        <v>43</v>
      </c>
      <c r="P4" s="147"/>
    </row>
    <row r="5" spans="1:18" s="116" customFormat="1" ht="20.45" customHeight="1" x14ac:dyDescent="0.25">
      <c r="A5" s="121"/>
      <c r="B5" s="116" t="s">
        <v>55</v>
      </c>
      <c r="E5" s="146" t="s">
        <v>160</v>
      </c>
      <c r="F5" s="145"/>
      <c r="G5" s="145"/>
      <c r="H5" s="145"/>
      <c r="I5" s="145"/>
      <c r="J5" s="144"/>
      <c r="L5" s="118"/>
      <c r="M5" s="118"/>
      <c r="N5" s="116" t="s">
        <v>54</v>
      </c>
      <c r="O5" s="143" t="s">
        <v>152</v>
      </c>
      <c r="P5" s="142"/>
    </row>
    <row r="6" spans="1:18" ht="20.45" customHeight="1" x14ac:dyDescent="0.25">
      <c r="A6" s="121"/>
      <c r="B6" s="116"/>
      <c r="C6" s="116"/>
      <c r="D6" s="116"/>
      <c r="E6" s="116"/>
      <c r="F6" s="116"/>
      <c r="G6" s="116"/>
      <c r="H6" s="116"/>
      <c r="I6" s="116"/>
      <c r="J6" s="141"/>
      <c r="K6" s="116"/>
      <c r="L6" s="116"/>
      <c r="M6" s="116"/>
      <c r="N6" s="116" t="s">
        <v>53</v>
      </c>
      <c r="O6" s="116" t="s">
        <v>52</v>
      </c>
      <c r="P6" s="140"/>
    </row>
    <row r="7" spans="1:18" ht="24" customHeight="1" x14ac:dyDescent="0.25">
      <c r="A7" s="121" t="s">
        <v>49</v>
      </c>
      <c r="B7" s="116" t="s">
        <v>51</v>
      </c>
      <c r="C7" s="116"/>
      <c r="D7" s="116"/>
      <c r="E7" s="150" t="s">
        <v>153</v>
      </c>
      <c r="F7" s="138"/>
      <c r="G7" s="138"/>
      <c r="H7" s="138"/>
      <c r="I7" s="138"/>
      <c r="J7" s="137"/>
      <c r="K7" s="116"/>
      <c r="L7" s="117"/>
      <c r="M7" s="123"/>
      <c r="N7" s="120" t="s">
        <v>154</v>
      </c>
      <c r="O7" s="136" t="s">
        <v>43</v>
      </c>
      <c r="P7" s="132"/>
    </row>
    <row r="8" spans="1:18" ht="24" customHeight="1" x14ac:dyDescent="0.25">
      <c r="A8" s="121"/>
      <c r="B8" s="116" t="s">
        <v>13</v>
      </c>
      <c r="C8" s="116"/>
      <c r="D8" s="116"/>
      <c r="E8" s="321" t="s">
        <v>155</v>
      </c>
      <c r="F8" s="134"/>
      <c r="G8" s="134"/>
      <c r="H8" s="134"/>
      <c r="I8" s="134"/>
      <c r="J8" s="133"/>
      <c r="K8" s="116"/>
      <c r="L8" s="117"/>
      <c r="M8" s="123"/>
      <c r="N8" s="120" t="s">
        <v>156</v>
      </c>
      <c r="O8" s="119" t="s">
        <v>43</v>
      </c>
      <c r="P8" s="132"/>
    </row>
    <row r="9" spans="1:18" ht="24" customHeight="1" x14ac:dyDescent="0.25">
      <c r="A9" s="121"/>
      <c r="B9" s="128" t="s">
        <v>4</v>
      </c>
      <c r="C9" s="128"/>
      <c r="D9" s="128"/>
      <c r="E9" s="131" t="s">
        <v>50</v>
      </c>
      <c r="F9" s="130"/>
      <c r="G9" s="130"/>
      <c r="H9" s="130"/>
      <c r="I9" s="130"/>
      <c r="J9" s="129"/>
      <c r="K9" s="128"/>
      <c r="L9" s="127"/>
      <c r="M9" s="39"/>
      <c r="N9" s="322" t="s">
        <v>157</v>
      </c>
      <c r="O9" s="323" t="s">
        <v>158</v>
      </c>
      <c r="P9" s="125" t="s">
        <v>159</v>
      </c>
      <c r="R9" s="124"/>
    </row>
    <row r="10" spans="1:18" ht="20.45" customHeight="1" x14ac:dyDescent="0.25">
      <c r="A10" s="121"/>
      <c r="B10" s="128"/>
      <c r="C10" s="128"/>
      <c r="D10" s="128"/>
      <c r="E10" s="128" t="s">
        <v>48</v>
      </c>
      <c r="F10" s="128"/>
      <c r="G10" s="128" t="s">
        <v>47</v>
      </c>
      <c r="H10" s="18"/>
      <c r="I10" s="18"/>
      <c r="J10" s="128"/>
      <c r="K10" s="128"/>
      <c r="L10" s="39"/>
      <c r="M10" s="128"/>
      <c r="N10" s="128" t="s">
        <v>46</v>
      </c>
      <c r="O10" s="128"/>
      <c r="P10" s="122" t="s">
        <v>45</v>
      </c>
    </row>
    <row r="11" spans="1:18" ht="20.45" customHeight="1" x14ac:dyDescent="0.25">
      <c r="A11" s="121"/>
      <c r="B11" s="128"/>
      <c r="C11" s="128"/>
      <c r="D11" s="128"/>
      <c r="E11" s="324" t="s">
        <v>157</v>
      </c>
      <c r="F11" s="128"/>
      <c r="G11" s="126" t="s">
        <v>159</v>
      </c>
      <c r="H11" s="325"/>
      <c r="I11" s="326"/>
      <c r="J11" s="128"/>
      <c r="K11" s="128"/>
      <c r="L11" s="327"/>
      <c r="M11" s="127"/>
      <c r="N11" s="328" t="s">
        <v>159</v>
      </c>
      <c r="O11" s="128"/>
      <c r="P11" s="115">
        <f>'4-Položky'!A54</f>
        <v>17</v>
      </c>
    </row>
    <row r="12" spans="1:18" ht="13.5" customHeight="1" thickBot="1" x14ac:dyDescent="0.3">
      <c r="A12" s="114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2"/>
    </row>
    <row r="13" spans="1:18" ht="22.15" customHeight="1" x14ac:dyDescent="0.25">
      <c r="A13" s="111"/>
      <c r="B13" s="110"/>
      <c r="C13" s="110"/>
      <c r="D13" s="110"/>
      <c r="E13" s="110" t="s">
        <v>44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09"/>
    </row>
    <row r="14" spans="1:18" ht="22.15" customHeight="1" x14ac:dyDescent="0.25">
      <c r="A14" s="108"/>
      <c r="B14" s="101"/>
      <c r="C14" s="101"/>
      <c r="D14" s="101"/>
      <c r="E14" s="107" t="s">
        <v>43</v>
      </c>
      <c r="F14" s="101"/>
      <c r="G14" s="100"/>
      <c r="H14" s="101"/>
      <c r="I14" s="101"/>
      <c r="J14" s="107" t="s">
        <v>43</v>
      </c>
      <c r="K14" s="102"/>
      <c r="L14" s="100"/>
      <c r="M14" s="101"/>
      <c r="N14" s="101"/>
      <c r="O14" s="107" t="s">
        <v>43</v>
      </c>
      <c r="P14" s="106"/>
    </row>
    <row r="15" spans="1:18" ht="22.15" customHeight="1" x14ac:dyDescent="0.25">
      <c r="A15" s="105"/>
      <c r="B15" s="104" t="s">
        <v>42</v>
      </c>
      <c r="C15" s="104"/>
      <c r="D15" s="103"/>
      <c r="E15" s="100" t="s">
        <v>41</v>
      </c>
      <c r="F15" s="102"/>
      <c r="G15" s="100"/>
      <c r="H15" s="101" t="s">
        <v>42</v>
      </c>
      <c r="I15" s="102"/>
      <c r="J15" s="100" t="s">
        <v>41</v>
      </c>
      <c r="K15" s="102"/>
      <c r="L15" s="100"/>
      <c r="M15" s="101" t="s">
        <v>42</v>
      </c>
      <c r="N15" s="101"/>
      <c r="O15" s="100" t="s">
        <v>41</v>
      </c>
      <c r="P15" s="99"/>
    </row>
    <row r="16" spans="1:18" ht="22.15" customHeight="1" thickBot="1" x14ac:dyDescent="0.3">
      <c r="A16" s="98"/>
      <c r="B16" s="94"/>
      <c r="C16" s="94"/>
      <c r="D16" s="97"/>
      <c r="E16" s="96"/>
      <c r="F16" s="95"/>
      <c r="G16" s="92"/>
      <c r="H16" s="94"/>
      <c r="I16" s="97"/>
      <c r="J16" s="96"/>
      <c r="K16" s="95"/>
      <c r="L16" s="92"/>
      <c r="M16" s="94"/>
      <c r="N16" s="93"/>
      <c r="O16" s="92"/>
      <c r="P16" s="67"/>
    </row>
    <row r="17" spans="1:18" s="91" customFormat="1" ht="33" customHeight="1" thickBot="1" x14ac:dyDescent="0.3">
      <c r="A17" s="629" t="s">
        <v>40</v>
      </c>
      <c r="B17" s="630"/>
      <c r="C17" s="630"/>
      <c r="D17" s="630"/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1"/>
    </row>
    <row r="18" spans="1:18" ht="25.5" customHeight="1" x14ac:dyDescent="0.25">
      <c r="A18" s="34" t="s">
        <v>39</v>
      </c>
      <c r="B18" s="90"/>
      <c r="C18" s="32" t="s">
        <v>38</v>
      </c>
      <c r="D18" s="31"/>
      <c r="E18" s="31"/>
      <c r="F18" s="87"/>
      <c r="G18" s="34" t="s">
        <v>37</v>
      </c>
      <c r="H18" s="89"/>
      <c r="I18" s="32" t="s">
        <v>36</v>
      </c>
      <c r="J18" s="31"/>
      <c r="K18" s="87"/>
      <c r="L18" s="34" t="s">
        <v>35</v>
      </c>
      <c r="M18" s="88"/>
      <c r="N18" s="32" t="s">
        <v>34</v>
      </c>
      <c r="O18" s="31"/>
      <c r="P18" s="87"/>
    </row>
    <row r="19" spans="1:18" ht="23.25" customHeight="1" x14ac:dyDescent="0.25">
      <c r="A19" s="16">
        <v>1</v>
      </c>
      <c r="B19" s="639" t="s">
        <v>33</v>
      </c>
      <c r="C19" s="640"/>
      <c r="D19" s="78" t="s">
        <v>23</v>
      </c>
      <c r="E19" s="643">
        <f>'4-Rekapitulace'!F20-E21-E23</f>
        <v>0</v>
      </c>
      <c r="F19" s="82"/>
      <c r="G19" s="16">
        <v>8</v>
      </c>
      <c r="H19" s="15" t="s">
        <v>32</v>
      </c>
      <c r="I19" s="74"/>
      <c r="J19" s="76"/>
      <c r="K19" s="75"/>
      <c r="L19" s="16">
        <v>13</v>
      </c>
      <c r="M19" s="81" t="s">
        <v>31</v>
      </c>
      <c r="N19" s="74"/>
      <c r="O19" s="80">
        <v>0</v>
      </c>
      <c r="P19" s="13">
        <f>O19*(E25+J25)</f>
        <v>0</v>
      </c>
    </row>
    <row r="20" spans="1:18" ht="23.25" customHeight="1" x14ac:dyDescent="0.25">
      <c r="A20" s="16">
        <v>2</v>
      </c>
      <c r="B20" s="641"/>
      <c r="C20" s="642"/>
      <c r="D20" s="78" t="s">
        <v>21</v>
      </c>
      <c r="E20" s="644"/>
      <c r="F20" s="86"/>
      <c r="G20" s="16">
        <v>9</v>
      </c>
      <c r="H20" s="15" t="s">
        <v>30</v>
      </c>
      <c r="I20" s="74"/>
      <c r="J20" s="76"/>
      <c r="K20" s="75"/>
      <c r="L20" s="16">
        <v>14</v>
      </c>
      <c r="M20" s="81" t="s">
        <v>29</v>
      </c>
      <c r="N20" s="74"/>
      <c r="O20" s="80">
        <v>0</v>
      </c>
      <c r="P20" s="13">
        <f>O20*(E25+J25)</f>
        <v>0</v>
      </c>
    </row>
    <row r="21" spans="1:18" ht="23.25" customHeight="1" x14ac:dyDescent="0.25">
      <c r="A21" s="16">
        <v>3</v>
      </c>
      <c r="B21" s="639" t="s">
        <v>28</v>
      </c>
      <c r="C21" s="640"/>
      <c r="D21" s="78" t="s">
        <v>23</v>
      </c>
      <c r="E21" s="643"/>
      <c r="F21" s="82"/>
      <c r="G21" s="16">
        <v>10</v>
      </c>
      <c r="H21" s="15" t="s">
        <v>27</v>
      </c>
      <c r="I21" s="74"/>
      <c r="J21" s="76"/>
      <c r="K21" s="75"/>
      <c r="L21" s="16">
        <v>15</v>
      </c>
      <c r="M21" s="81" t="s">
        <v>26</v>
      </c>
      <c r="N21" s="74"/>
      <c r="O21" s="80">
        <v>0</v>
      </c>
      <c r="P21" s="13">
        <f>O21*(E25+J25)</f>
        <v>0</v>
      </c>
    </row>
    <row r="22" spans="1:18" ht="23.25" customHeight="1" x14ac:dyDescent="0.25">
      <c r="A22" s="16">
        <v>4</v>
      </c>
      <c r="B22" s="641"/>
      <c r="C22" s="642"/>
      <c r="D22" s="78" t="s">
        <v>21</v>
      </c>
      <c r="E22" s="644"/>
      <c r="F22" s="86"/>
      <c r="G22" s="16">
        <v>11</v>
      </c>
      <c r="H22" s="85"/>
      <c r="I22" s="84"/>
      <c r="J22" s="83"/>
      <c r="K22" s="75"/>
      <c r="L22" s="16">
        <v>16</v>
      </c>
      <c r="M22" s="81" t="s">
        <v>25</v>
      </c>
      <c r="N22" s="74"/>
      <c r="O22" s="80">
        <v>0</v>
      </c>
      <c r="P22" s="13">
        <f>O22*(E25+J25)</f>
        <v>0</v>
      </c>
    </row>
    <row r="23" spans="1:18" ht="23.25" customHeight="1" x14ac:dyDescent="0.25">
      <c r="A23" s="16">
        <v>5</v>
      </c>
      <c r="B23" s="639" t="s">
        <v>24</v>
      </c>
      <c r="C23" s="640"/>
      <c r="D23" s="78" t="s">
        <v>23</v>
      </c>
      <c r="E23" s="643"/>
      <c r="F23" s="82"/>
      <c r="G23" s="646"/>
      <c r="H23" s="647"/>
      <c r="I23" s="648"/>
      <c r="J23" s="76"/>
      <c r="K23" s="75"/>
      <c r="L23" s="16">
        <v>17</v>
      </c>
      <c r="M23" s="81" t="s">
        <v>22</v>
      </c>
      <c r="N23" s="14"/>
      <c r="O23" s="80">
        <v>0</v>
      </c>
      <c r="P23" s="13">
        <f>O23*(E25+J25)</f>
        <v>0</v>
      </c>
      <c r="R23" s="79"/>
    </row>
    <row r="24" spans="1:18" ht="23.25" customHeight="1" thickBot="1" x14ac:dyDescent="0.3">
      <c r="A24" s="16">
        <v>6</v>
      </c>
      <c r="B24" s="641"/>
      <c r="C24" s="642"/>
      <c r="D24" s="78" t="s">
        <v>21</v>
      </c>
      <c r="E24" s="645"/>
      <c r="F24" s="77"/>
      <c r="G24" s="649"/>
      <c r="H24" s="650"/>
      <c r="I24" s="651"/>
      <c r="J24" s="76"/>
      <c r="K24" s="75"/>
      <c r="L24" s="16">
        <v>18</v>
      </c>
      <c r="M24" s="15" t="s">
        <v>20</v>
      </c>
      <c r="N24" s="14"/>
      <c r="O24" s="14"/>
      <c r="P24" s="13"/>
    </row>
    <row r="25" spans="1:18" ht="23.25" customHeight="1" thickBot="1" x14ac:dyDescent="0.3">
      <c r="A25" s="16">
        <v>7</v>
      </c>
      <c r="B25" s="71" t="s">
        <v>19</v>
      </c>
      <c r="C25" s="14"/>
      <c r="D25" s="74"/>
      <c r="E25" s="73">
        <f>SUM(E19:E24)</f>
        <v>0</v>
      </c>
      <c r="F25" s="72"/>
      <c r="G25" s="16">
        <v>12</v>
      </c>
      <c r="H25" s="71" t="s">
        <v>18</v>
      </c>
      <c r="I25" s="74"/>
      <c r="J25" s="73">
        <f>SUM(J19:J24)</f>
        <v>0</v>
      </c>
      <c r="K25" s="72"/>
      <c r="L25" s="16">
        <v>19</v>
      </c>
      <c r="M25" s="71" t="s">
        <v>17</v>
      </c>
      <c r="N25" s="14"/>
      <c r="O25" s="14"/>
      <c r="P25" s="70">
        <f>SUM(P19:P24)</f>
        <v>0</v>
      </c>
      <c r="R25" s="69">
        <f>'4-Rekapitulace'!F20</f>
        <v>0</v>
      </c>
    </row>
    <row r="26" spans="1:18" ht="23.25" customHeight="1" thickBot="1" x14ac:dyDescent="0.3">
      <c r="A26" s="6">
        <v>20</v>
      </c>
      <c r="B26" s="66" t="s">
        <v>16</v>
      </c>
      <c r="C26" s="4"/>
      <c r="D26" s="3"/>
      <c r="E26" s="68"/>
      <c r="F26" s="67"/>
      <c r="G26" s="6">
        <v>21</v>
      </c>
      <c r="H26" s="66" t="s">
        <v>15</v>
      </c>
      <c r="I26" s="3"/>
      <c r="J26" s="68">
        <v>0</v>
      </c>
      <c r="K26" s="67"/>
      <c r="L26" s="6">
        <v>22</v>
      </c>
      <c r="M26" s="66" t="s">
        <v>14</v>
      </c>
      <c r="N26" s="4"/>
      <c r="O26" s="4"/>
      <c r="P26" s="65">
        <v>0</v>
      </c>
      <c r="R26" s="64"/>
    </row>
    <row r="27" spans="1:18" ht="23.25" customHeight="1" thickBot="1" x14ac:dyDescent="0.3">
      <c r="A27" s="63" t="s">
        <v>13</v>
      </c>
      <c r="B27" s="60"/>
      <c r="C27" s="60"/>
      <c r="D27" s="60"/>
      <c r="E27" s="59"/>
      <c r="F27" s="62"/>
      <c r="G27" s="61"/>
      <c r="H27" s="59"/>
      <c r="I27" s="60"/>
      <c r="J27" s="59"/>
      <c r="K27" s="58"/>
      <c r="L27" s="34" t="s">
        <v>12</v>
      </c>
      <c r="M27" s="33"/>
      <c r="N27" s="32" t="s">
        <v>11</v>
      </c>
      <c r="O27" s="31"/>
      <c r="P27" s="30"/>
    </row>
    <row r="28" spans="1:18" ht="23.25" customHeight="1" thickBot="1" x14ac:dyDescent="0.3">
      <c r="A28" s="21"/>
      <c r="B28" s="18"/>
      <c r="C28" s="18"/>
      <c r="D28" s="18"/>
      <c r="E28" s="18"/>
      <c r="F28" s="20"/>
      <c r="G28" s="19"/>
      <c r="H28" s="18"/>
      <c r="I28" s="18"/>
      <c r="J28" s="38"/>
      <c r="K28" s="57"/>
      <c r="L28" s="16">
        <v>23</v>
      </c>
      <c r="M28" s="15" t="s">
        <v>10</v>
      </c>
      <c r="N28" s="14"/>
      <c r="O28" s="14"/>
      <c r="P28" s="56">
        <f>P25+J25+E25+J26+P26+E26</f>
        <v>0</v>
      </c>
      <c r="Q28" s="55"/>
    </row>
    <row r="29" spans="1:18" ht="23.25" customHeight="1" x14ac:dyDescent="0.25">
      <c r="A29" s="54" t="s">
        <v>2</v>
      </c>
      <c r="B29" s="51"/>
      <c r="C29" s="51"/>
      <c r="D29" s="51"/>
      <c r="E29" s="50"/>
      <c r="F29" s="53"/>
      <c r="G29" s="52" t="s">
        <v>1</v>
      </c>
      <c r="H29" s="51"/>
      <c r="I29" s="51"/>
      <c r="J29" s="50"/>
      <c r="K29" s="49"/>
      <c r="L29" s="16">
        <v>24</v>
      </c>
      <c r="M29" s="48">
        <v>0.12</v>
      </c>
      <c r="N29" s="43">
        <v>0</v>
      </c>
      <c r="O29" s="42" t="s">
        <v>8</v>
      </c>
      <c r="P29" s="13">
        <f>N29*M29</f>
        <v>0</v>
      </c>
      <c r="Q29" s="47"/>
    </row>
    <row r="30" spans="1:18" ht="23.25" customHeight="1" thickBot="1" x14ac:dyDescent="0.3">
      <c r="A30" s="46" t="s">
        <v>9</v>
      </c>
      <c r="B30" s="18"/>
      <c r="C30" s="18"/>
      <c r="D30" s="18"/>
      <c r="E30" s="18"/>
      <c r="F30" s="20"/>
      <c r="G30" s="45"/>
      <c r="H30" s="18"/>
      <c r="I30" s="18"/>
      <c r="J30" s="18"/>
      <c r="K30" s="35"/>
      <c r="L30" s="16">
        <v>25</v>
      </c>
      <c r="M30" s="44">
        <v>0.21</v>
      </c>
      <c r="N30" s="43">
        <f>P28</f>
        <v>0</v>
      </c>
      <c r="O30" s="42" t="s">
        <v>8</v>
      </c>
      <c r="P30" s="41">
        <f>N30*M30</f>
        <v>0</v>
      </c>
    </row>
    <row r="31" spans="1:18" ht="23.25" customHeight="1" thickTop="1" thickBot="1" x14ac:dyDescent="0.3">
      <c r="A31" s="40"/>
      <c r="B31" s="18"/>
      <c r="C31" s="18"/>
      <c r="D31" s="18"/>
      <c r="E31" s="39"/>
      <c r="F31" s="20"/>
      <c r="G31" s="39"/>
      <c r="H31" s="18"/>
      <c r="I31" s="18"/>
      <c r="J31" s="38"/>
      <c r="K31" s="35"/>
      <c r="L31" s="6">
        <v>26</v>
      </c>
      <c r="M31" s="5" t="s">
        <v>7</v>
      </c>
      <c r="N31" s="4"/>
      <c r="O31" s="3"/>
      <c r="P31" s="2">
        <f>SUM(P28:P30)</f>
        <v>0</v>
      </c>
    </row>
    <row r="32" spans="1:18" ht="23.25" customHeight="1" x14ac:dyDescent="0.25">
      <c r="A32" s="37" t="s">
        <v>2</v>
      </c>
      <c r="B32" s="18"/>
      <c r="C32" s="18"/>
      <c r="D32" s="18"/>
      <c r="E32" s="18"/>
      <c r="F32" s="20"/>
      <c r="G32" s="36" t="s">
        <v>1</v>
      </c>
      <c r="H32" s="18"/>
      <c r="I32" s="18"/>
      <c r="J32" s="18"/>
      <c r="K32" s="35"/>
      <c r="L32" s="34" t="s">
        <v>6</v>
      </c>
      <c r="M32" s="33"/>
      <c r="N32" s="32" t="s">
        <v>5</v>
      </c>
      <c r="O32" s="31"/>
      <c r="P32" s="30"/>
    </row>
    <row r="33" spans="1:17" ht="23.25" customHeight="1" x14ac:dyDescent="0.25">
      <c r="A33" s="29" t="s">
        <v>4</v>
      </c>
      <c r="B33" s="26"/>
      <c r="C33" s="26"/>
      <c r="D33" s="26"/>
      <c r="E33" s="26"/>
      <c r="F33" s="28"/>
      <c r="G33" s="27"/>
      <c r="H33" s="26"/>
      <c r="I33" s="26"/>
      <c r="J33" s="26"/>
      <c r="K33" s="25"/>
      <c r="L33" s="16">
        <v>27</v>
      </c>
      <c r="M33" s="24"/>
      <c r="N33" s="14"/>
      <c r="O33" s="23"/>
      <c r="P33" s="22"/>
    </row>
    <row r="34" spans="1:17" ht="23.25" customHeight="1" thickBot="1" x14ac:dyDescent="0.3">
      <c r="A34" s="21"/>
      <c r="B34" s="18"/>
      <c r="C34" s="18"/>
      <c r="D34" s="18"/>
      <c r="E34" s="18"/>
      <c r="F34" s="20"/>
      <c r="G34" s="19"/>
      <c r="H34" s="18"/>
      <c r="I34" s="18"/>
      <c r="J34" s="18"/>
      <c r="K34" s="17"/>
      <c r="L34" s="16">
        <v>28</v>
      </c>
      <c r="M34" s="15" t="s">
        <v>3</v>
      </c>
      <c r="N34" s="14"/>
      <c r="O34" s="14"/>
      <c r="P34" s="13"/>
      <c r="Q34" s="12"/>
    </row>
    <row r="35" spans="1:17" ht="23.25" customHeight="1" thickTop="1" thickBot="1" x14ac:dyDescent="0.3">
      <c r="A35" s="11" t="s">
        <v>2</v>
      </c>
      <c r="B35" s="8"/>
      <c r="C35" s="8"/>
      <c r="D35" s="8"/>
      <c r="E35" s="8"/>
      <c r="F35" s="10"/>
      <c r="G35" s="9" t="s">
        <v>1</v>
      </c>
      <c r="H35" s="8"/>
      <c r="I35" s="8"/>
      <c r="J35" s="8"/>
      <c r="K35" s="7"/>
      <c r="L35" s="6">
        <v>29</v>
      </c>
      <c r="M35" s="5" t="s">
        <v>0</v>
      </c>
      <c r="N35" s="4"/>
      <c r="O35" s="3"/>
      <c r="P35" s="2"/>
    </row>
  </sheetData>
  <sheetProtection algorithmName="SHA-512" hashValue="ppvnNd5DAgjrhjXSqPANhJ2b5RvJNi5Xqhs5pbRGksfZtgQRgNPJO1zvcY5NbJgLR35/gIC44PmqbD+lkWX9tg==" saltValue="aKtxuqUlyjO2mDYCCZkAqA==" spinCount="100000" sheet="1" objects="1" scenarios="1"/>
  <mergeCells count="9">
    <mergeCell ref="A17:P17"/>
    <mergeCell ref="B19:C20"/>
    <mergeCell ref="B21:C22"/>
    <mergeCell ref="B23:C24"/>
    <mergeCell ref="E19:E20"/>
    <mergeCell ref="E21:E22"/>
    <mergeCell ref="E23:E24"/>
    <mergeCell ref="G23:I23"/>
    <mergeCell ref="G24:I24"/>
  </mergeCells>
  <pageMargins left="0.70866141732283472" right="0.19685039370078741" top="0.59055118110236227" bottom="0.59055118110236227" header="0" footer="0"/>
  <pageSetup paperSize="9" scale="93" orientation="portrait" horizontalDpi="4294967293" r:id="rId1"/>
  <headerFooter alignWithMargins="0"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D37D-8C21-4C4E-A286-44A5D0DFFDF3}">
  <sheetPr>
    <tabColor indexed="11"/>
  </sheetPr>
  <dimension ref="A1:L21"/>
  <sheetViews>
    <sheetView view="pageBreakPreview" zoomScale="160" zoomScaleNormal="125" zoomScaleSheetLayoutView="160" workbookViewId="0">
      <selection activeCell="G24" sqref="G24"/>
    </sheetView>
  </sheetViews>
  <sheetFormatPr defaultColWidth="9.140625" defaultRowHeight="12.75" x14ac:dyDescent="0.25"/>
  <cols>
    <col min="1" max="1" width="0.42578125" style="163" customWidth="1"/>
    <col min="2" max="2" width="10.28515625" style="162" customWidth="1"/>
    <col min="3" max="3" width="32.42578125" style="161" customWidth="1"/>
    <col min="4" max="4" width="10.28515625" style="158" customWidth="1"/>
    <col min="5" max="5" width="15.28515625" style="159" customWidth="1"/>
    <col min="6" max="6" width="15.28515625" style="160" customWidth="1"/>
    <col min="7" max="7" width="10.42578125" style="158" bestFit="1" customWidth="1"/>
    <col min="8" max="8" width="10.42578125" style="159" bestFit="1" customWidth="1"/>
    <col min="9" max="9" width="10.5703125" style="159" bestFit="1" customWidth="1"/>
    <col min="10" max="10" width="10.42578125" style="158" bestFit="1" customWidth="1"/>
    <col min="11" max="16384" width="9.140625" style="158"/>
  </cols>
  <sheetData>
    <row r="1" spans="1:12" s="201" customFormat="1" ht="18" x14ac:dyDescent="0.2">
      <c r="A1" s="211" t="s">
        <v>80</v>
      </c>
      <c r="B1" s="210"/>
      <c r="C1" s="210"/>
      <c r="D1" s="210"/>
      <c r="E1" s="210"/>
      <c r="F1" s="210"/>
      <c r="G1" s="205"/>
      <c r="H1" s="205"/>
      <c r="I1" s="205"/>
      <c r="J1" s="205"/>
      <c r="K1" s="203"/>
      <c r="L1" s="202"/>
    </row>
    <row r="2" spans="1:12" s="201" customFormat="1" x14ac:dyDescent="0.2">
      <c r="A2" s="209" t="s">
        <v>79</v>
      </c>
      <c r="B2" s="208"/>
      <c r="C2" s="208" t="str">
        <f>'4-Krycí list'!E3</f>
        <v xml:space="preserve"> Hřbitovní domek,  p.p.č. 2687, k.ú. Smržovka </v>
      </c>
      <c r="D2" s="208"/>
      <c r="E2" s="207"/>
      <c r="F2" s="204"/>
      <c r="G2" s="205"/>
      <c r="H2" s="204"/>
      <c r="I2" s="204"/>
      <c r="J2" s="203"/>
      <c r="K2" s="202"/>
    </row>
    <row r="3" spans="1:12" s="201" customFormat="1" x14ac:dyDescent="0.2">
      <c r="A3" s="209" t="s">
        <v>78</v>
      </c>
      <c r="B3" s="208"/>
      <c r="C3" s="208" t="str">
        <f>'4-Krycí list'!E4</f>
        <v xml:space="preserve"> 4 - SO 04 Zpevněné plochy</v>
      </c>
      <c r="D3" s="208"/>
      <c r="E3" s="207" t="s">
        <v>77</v>
      </c>
      <c r="F3" s="204"/>
      <c r="G3" s="205"/>
      <c r="H3" s="204"/>
      <c r="I3" s="204"/>
      <c r="J3" s="203"/>
      <c r="K3" s="202"/>
    </row>
    <row r="4" spans="1:12" s="201" customFormat="1" x14ac:dyDescent="0.2">
      <c r="A4" s="208" t="s">
        <v>76</v>
      </c>
      <c r="B4" s="208"/>
      <c r="C4" s="208" t="str">
        <f>'4-Krycí list'!E7</f>
        <v xml:space="preserve"> Město Smržovka,nám.T.G.Masaryka 600, 468 51 Smržovka</v>
      </c>
      <c r="D4" s="208"/>
      <c r="E4" s="207" t="s">
        <v>75</v>
      </c>
      <c r="F4" s="204" t="str">
        <f>'4-Krycí list'!G11</f>
        <v xml:space="preserve"> - doplnit</v>
      </c>
      <c r="G4" s="205"/>
      <c r="H4" s="204"/>
      <c r="I4" s="204"/>
      <c r="J4" s="203"/>
      <c r="K4" s="202"/>
    </row>
    <row r="5" spans="1:12" s="201" customFormat="1" x14ac:dyDescent="0.2">
      <c r="A5" s="208" t="s">
        <v>74</v>
      </c>
      <c r="B5" s="208"/>
      <c r="C5" s="208" t="str">
        <f>'4-Krycí list'!E9</f>
        <v xml:space="preserve"> - dle výběrového řízení</v>
      </c>
      <c r="D5" s="208"/>
      <c r="E5" s="207" t="s">
        <v>73</v>
      </c>
      <c r="F5" s="206" t="str">
        <f>'4-Krycí list'!N11</f>
        <v xml:space="preserve"> - doplnit</v>
      </c>
      <c r="G5" s="205"/>
      <c r="H5" s="204"/>
      <c r="I5" s="204"/>
      <c r="J5" s="203"/>
      <c r="K5" s="202"/>
    </row>
    <row r="6" spans="1:12" s="195" customFormat="1" ht="5.25" x14ac:dyDescent="0.25">
      <c r="A6" s="199"/>
      <c r="B6" s="200"/>
      <c r="C6" s="199"/>
      <c r="D6" s="199"/>
      <c r="E6" s="198"/>
      <c r="F6" s="197"/>
      <c r="H6" s="196"/>
      <c r="I6" s="196"/>
    </row>
    <row r="7" spans="1:12" s="174" customFormat="1" ht="13.5" x14ac:dyDescent="0.25">
      <c r="A7" s="176"/>
      <c r="B7" s="183" t="s">
        <v>72</v>
      </c>
      <c r="C7" s="194"/>
      <c r="D7" s="193"/>
      <c r="E7" s="186">
        <f>SUM(F8:F11)</f>
        <v>0</v>
      </c>
      <c r="F7" s="192"/>
      <c r="H7" s="187"/>
      <c r="I7" s="187"/>
    </row>
    <row r="8" spans="1:12" s="174" customFormat="1" ht="13.5" x14ac:dyDescent="0.25">
      <c r="A8" s="176"/>
      <c r="B8" s="177" t="s">
        <v>71</v>
      </c>
      <c r="C8" s="176"/>
      <c r="E8" s="189"/>
      <c r="F8" s="188">
        <f>'4-Položky'!L9</f>
        <v>0</v>
      </c>
      <c r="H8" s="187"/>
      <c r="I8" s="187"/>
    </row>
    <row r="9" spans="1:12" s="174" customFormat="1" ht="13.5" x14ac:dyDescent="0.25">
      <c r="A9" s="176"/>
      <c r="B9" s="177" t="s">
        <v>70</v>
      </c>
      <c r="C9" s="176"/>
      <c r="E9" s="189"/>
      <c r="F9" s="191">
        <f>'4-Položky'!L12</f>
        <v>0</v>
      </c>
      <c r="H9" s="190"/>
      <c r="I9" s="190"/>
    </row>
    <row r="10" spans="1:12" s="174" customFormat="1" ht="13.5" x14ac:dyDescent="0.25">
      <c r="A10" s="176"/>
      <c r="B10" s="177" t="s">
        <v>68</v>
      </c>
      <c r="C10" s="176"/>
      <c r="E10" s="189"/>
      <c r="F10" s="188">
        <f>'4-Položky'!L16</f>
        <v>0</v>
      </c>
      <c r="H10" s="187"/>
      <c r="I10" s="187"/>
    </row>
    <row r="11" spans="1:12" s="174" customFormat="1" ht="13.5" x14ac:dyDescent="0.25">
      <c r="A11" s="176"/>
      <c r="B11" s="177" t="s">
        <v>67</v>
      </c>
      <c r="C11" s="176"/>
      <c r="E11" s="189"/>
      <c r="F11" s="188">
        <f>'4-Položky'!L21</f>
        <v>0</v>
      </c>
      <c r="H11" s="556"/>
      <c r="I11" s="556"/>
    </row>
    <row r="12" spans="1:12" s="331" customFormat="1" ht="13.5" x14ac:dyDescent="0.25">
      <c r="A12" s="329"/>
      <c r="B12" s="330" t="s">
        <v>960</v>
      </c>
      <c r="C12" s="329"/>
      <c r="E12" s="332">
        <f>SUM(F13:F14)</f>
        <v>0</v>
      </c>
      <c r="F12" s="333"/>
      <c r="H12" s="335"/>
      <c r="I12" s="335"/>
    </row>
    <row r="13" spans="1:12" s="338" customFormat="1" ht="13.5" x14ac:dyDescent="0.25">
      <c r="A13" s="336"/>
      <c r="B13" s="337" t="s">
        <v>958</v>
      </c>
      <c r="C13" s="336"/>
      <c r="E13" s="339"/>
      <c r="F13" s="191">
        <f>'4-Položky'!L26</f>
        <v>0</v>
      </c>
      <c r="H13" s="190"/>
      <c r="I13" s="190"/>
    </row>
    <row r="14" spans="1:12" s="174" customFormat="1" ht="13.5" x14ac:dyDescent="0.25">
      <c r="A14" s="176"/>
      <c r="B14" s="177" t="s">
        <v>959</v>
      </c>
      <c r="C14" s="176"/>
      <c r="E14" s="189"/>
      <c r="F14" s="188">
        <f>'4-Položky'!L31</f>
        <v>0</v>
      </c>
      <c r="H14" s="556"/>
      <c r="I14" s="556"/>
    </row>
    <row r="15" spans="1:12" s="331" customFormat="1" ht="13.5" x14ac:dyDescent="0.25">
      <c r="A15" s="329"/>
      <c r="B15" s="330" t="s">
        <v>66</v>
      </c>
      <c r="C15" s="329"/>
      <c r="E15" s="332">
        <f>SUM(F16:F18)</f>
        <v>0</v>
      </c>
      <c r="F15" s="333"/>
      <c r="H15" s="335"/>
      <c r="I15" s="335"/>
    </row>
    <row r="16" spans="1:12" s="174" customFormat="1" ht="13.5" x14ac:dyDescent="0.25">
      <c r="A16" s="176"/>
      <c r="B16" s="177" t="s">
        <v>957</v>
      </c>
      <c r="C16" s="176"/>
      <c r="E16" s="185"/>
      <c r="F16" s="184">
        <f>'4-Položky'!L42</f>
        <v>0</v>
      </c>
      <c r="H16" s="175"/>
      <c r="I16" s="175"/>
    </row>
    <row r="17" spans="1:10" s="174" customFormat="1" ht="13.5" x14ac:dyDescent="0.25">
      <c r="A17" s="176"/>
      <c r="B17" s="177" t="s">
        <v>63</v>
      </c>
      <c r="C17" s="176"/>
      <c r="E17" s="185"/>
      <c r="F17" s="184">
        <f>'4-Položky'!L50</f>
        <v>0</v>
      </c>
      <c r="H17" s="175"/>
      <c r="I17" s="175"/>
    </row>
    <row r="18" spans="1:10" s="338" customFormat="1" ht="13.5" x14ac:dyDescent="0.25">
      <c r="A18" s="336"/>
      <c r="B18" s="340" t="s">
        <v>62</v>
      </c>
      <c r="C18" s="456"/>
      <c r="D18" s="456"/>
      <c r="E18" s="343"/>
      <c r="F18" s="344">
        <f>'4-Položky'!L53</f>
        <v>0</v>
      </c>
      <c r="H18" s="190"/>
      <c r="I18" s="190"/>
    </row>
    <row r="19" spans="1:10" s="552" customFormat="1" ht="5.25" x14ac:dyDescent="0.25">
      <c r="A19" s="554"/>
      <c r="B19" s="555"/>
      <c r="C19" s="554"/>
      <c r="E19" s="553"/>
      <c r="F19" s="553"/>
      <c r="H19" s="553"/>
      <c r="I19" s="553"/>
    </row>
    <row r="20" spans="1:10" s="165" customFormat="1" ht="13.5" x14ac:dyDescent="0.25">
      <c r="A20" s="173"/>
      <c r="B20" s="172" t="s">
        <v>61</v>
      </c>
      <c r="C20" s="171"/>
      <c r="D20" s="170"/>
      <c r="E20" s="169"/>
      <c r="F20" s="168">
        <f>SUM(F7:F19)</f>
        <v>0</v>
      </c>
      <c r="G20" s="167">
        <f>'4-Krycí list'!E25</f>
        <v>0</v>
      </c>
      <c r="H20" s="167">
        <f>'4-Položky'!L56</f>
        <v>0</v>
      </c>
      <c r="I20" s="167">
        <f>F20</f>
        <v>0</v>
      </c>
      <c r="J20" s="166"/>
    </row>
    <row r="21" spans="1:10" x14ac:dyDescent="0.25">
      <c r="G21" s="164"/>
    </row>
  </sheetData>
  <sheetProtection algorithmName="SHA-512" hashValue="ozhPMCfc6lFLY13jmzXxKc4BHN8eXv+HvRi2UFXUYerG1Tn+CrlWUFTGcsJacnGhjn2CpI+5YDz6wK39S+f/Qw==" saltValue="9ESUbotZZl+/EBj4Mh5p+Q==" spinCount="100000" sheet="1" objects="1" scenarios="1"/>
  <pageMargins left="0.59055118110236227" right="0.31496062992125984" top="0.47244094488188981" bottom="0.31496062992125984" header="0" footer="0"/>
  <pageSetup paperSize="9" scale="109" orientation="portrait" verticalDpi="300" r:id="rId1"/>
  <headerFooter alignWithMargins="0">
    <oddFooter>&amp;C&amp;6&amp;A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923E-2F19-45EA-9C4B-AFC943151531}">
  <sheetPr>
    <tabColor indexed="42"/>
  </sheetPr>
  <dimension ref="A1:BX57"/>
  <sheetViews>
    <sheetView tabSelected="1" view="pageBreakPreview" zoomScale="130" zoomScaleSheetLayoutView="130" workbookViewId="0">
      <selection activeCell="F35" sqref="F35"/>
    </sheetView>
  </sheetViews>
  <sheetFormatPr defaultColWidth="9.140625" defaultRowHeight="12.75" x14ac:dyDescent="0.25"/>
  <cols>
    <col min="1" max="1" width="3.28515625" style="222" customWidth="1"/>
    <col min="2" max="2" width="3.7109375" style="212" hidden="1" customWidth="1"/>
    <col min="3" max="3" width="8.7109375" style="221" customWidth="1"/>
    <col min="4" max="4" width="2.5703125" style="220" customWidth="1"/>
    <col min="5" max="5" width="47.140625" style="220" customWidth="1"/>
    <col min="6" max="6" width="4.28515625" style="219" customWidth="1"/>
    <col min="7" max="7" width="10.140625" style="212" bestFit="1" customWidth="1"/>
    <col min="8" max="8" width="11.28515625" style="565" bestFit="1" customWidth="1"/>
    <col min="9" max="11" width="1.28515625" style="218" hidden="1" customWidth="1"/>
    <col min="12" max="12" width="12.5703125" style="217" customWidth="1"/>
    <col min="13" max="13" width="1" style="216" hidden="1" customWidth="1"/>
    <col min="14" max="14" width="4.28515625" style="215" bestFit="1" customWidth="1"/>
    <col min="15" max="15" width="4.5703125" style="214" bestFit="1" customWidth="1"/>
    <col min="16" max="16" width="6" style="213" customWidth="1"/>
    <col min="17" max="17" width="4.5703125" style="212" bestFit="1" customWidth="1"/>
    <col min="18" max="18" width="11.7109375" style="212" bestFit="1" customWidth="1"/>
    <col min="19" max="16384" width="9.140625" style="212"/>
  </cols>
  <sheetData>
    <row r="1" spans="1:66" s="201" customFormat="1" ht="18" x14ac:dyDescent="0.2">
      <c r="A1" s="211" t="s">
        <v>80</v>
      </c>
      <c r="B1" s="210"/>
      <c r="C1" s="210"/>
      <c r="D1" s="210"/>
      <c r="E1" s="210"/>
      <c r="F1" s="210"/>
      <c r="G1" s="210"/>
      <c r="H1" s="558"/>
      <c r="I1" s="317"/>
      <c r="J1" s="317"/>
      <c r="K1" s="317"/>
      <c r="L1" s="320"/>
      <c r="M1" s="317"/>
      <c r="N1" s="316"/>
      <c r="O1" s="315"/>
      <c r="P1" s="305"/>
    </row>
    <row r="2" spans="1:66" s="201" customFormat="1" x14ac:dyDescent="0.2">
      <c r="A2" s="209" t="s">
        <v>79</v>
      </c>
      <c r="B2" s="208"/>
      <c r="C2" s="208"/>
      <c r="D2" s="208" t="str">
        <f>'4-Krycí list'!E3</f>
        <v xml:space="preserve"> Hřbitovní domek,  p.p.č. 2687, k.ú. Smržovka </v>
      </c>
      <c r="E2" s="208"/>
      <c r="F2" s="208"/>
      <c r="G2" s="207"/>
      <c r="H2" s="559"/>
      <c r="I2" s="317"/>
      <c r="J2" s="317"/>
      <c r="K2" s="317"/>
      <c r="L2" s="318"/>
      <c r="M2" s="317"/>
      <c r="N2" s="316"/>
      <c r="O2" s="315"/>
      <c r="P2" s="305"/>
    </row>
    <row r="3" spans="1:66" s="201" customFormat="1" x14ac:dyDescent="0.2">
      <c r="A3" s="209" t="s">
        <v>78</v>
      </c>
      <c r="B3" s="208"/>
      <c r="C3" s="208"/>
      <c r="D3" s="208" t="str">
        <f>'4-Krycí list'!E4</f>
        <v xml:space="preserve"> 4 - SO 04 Zpevněné plochy</v>
      </c>
      <c r="E3" s="208"/>
      <c r="F3" s="208"/>
      <c r="G3" s="207" t="s">
        <v>77</v>
      </c>
      <c r="H3" s="559"/>
      <c r="I3" s="317"/>
      <c r="J3" s="317"/>
      <c r="K3" s="317"/>
      <c r="L3" s="318"/>
      <c r="M3" s="317"/>
      <c r="N3" s="316"/>
      <c r="O3" s="315"/>
      <c r="P3" s="305"/>
    </row>
    <row r="4" spans="1:66" s="201" customFormat="1" x14ac:dyDescent="0.2">
      <c r="A4" s="208" t="s">
        <v>76</v>
      </c>
      <c r="B4" s="208"/>
      <c r="C4" s="208"/>
      <c r="D4" s="208" t="str">
        <f>'4-Krycí list'!E7</f>
        <v xml:space="preserve"> Město Smržovka,nám.T.G.Masaryka 600, 468 51 Smržovka</v>
      </c>
      <c r="E4" s="208"/>
      <c r="F4" s="208"/>
      <c r="G4" s="207" t="s">
        <v>75</v>
      </c>
      <c r="H4" s="559" t="str">
        <f>'4-Krycí list'!G11</f>
        <v xml:space="preserve"> - doplnit</v>
      </c>
      <c r="I4" s="317"/>
      <c r="J4" s="317"/>
      <c r="K4" s="317"/>
      <c r="L4" s="318"/>
      <c r="M4" s="317"/>
      <c r="N4" s="316"/>
      <c r="O4" s="315"/>
      <c r="P4" s="305"/>
    </row>
    <row r="5" spans="1:66" s="201" customFormat="1" x14ac:dyDescent="0.2">
      <c r="A5" s="208" t="s">
        <v>74</v>
      </c>
      <c r="B5" s="208"/>
      <c r="C5" s="208"/>
      <c r="D5" s="208" t="str">
        <f>'4-Krycí list'!E9</f>
        <v xml:space="preserve"> - dle výběrového řízení</v>
      </c>
      <c r="E5" s="208"/>
      <c r="F5" s="208"/>
      <c r="G5" s="207" t="s">
        <v>73</v>
      </c>
      <c r="H5" s="560" t="str">
        <f>'4-Krycí list'!N11</f>
        <v xml:space="preserve"> - doplnit</v>
      </c>
      <c r="I5" s="319"/>
      <c r="J5" s="317"/>
      <c r="K5" s="317"/>
      <c r="L5" s="318"/>
      <c r="M5" s="317"/>
      <c r="N5" s="316"/>
      <c r="O5" s="315"/>
      <c r="P5" s="305"/>
    </row>
    <row r="6" spans="1:66" s="201" customFormat="1" ht="4.5" customHeight="1" x14ac:dyDescent="0.2">
      <c r="A6" s="208"/>
      <c r="B6" s="208"/>
      <c r="C6" s="208"/>
      <c r="D6" s="208"/>
      <c r="E6" s="208"/>
      <c r="F6" s="208"/>
      <c r="G6" s="207"/>
      <c r="H6" s="559"/>
      <c r="I6" s="317"/>
      <c r="J6" s="317"/>
      <c r="K6" s="317"/>
      <c r="L6" s="318"/>
      <c r="M6" s="317"/>
      <c r="N6" s="316"/>
      <c r="O6" s="315"/>
      <c r="P6" s="305"/>
    </row>
    <row r="7" spans="1:66" s="201" customFormat="1" x14ac:dyDescent="0.2">
      <c r="A7" s="314" t="s">
        <v>148</v>
      </c>
      <c r="B7" s="313" t="s">
        <v>147</v>
      </c>
      <c r="C7" s="313" t="s">
        <v>146</v>
      </c>
      <c r="D7" s="654" t="s">
        <v>145</v>
      </c>
      <c r="E7" s="655"/>
      <c r="F7" s="313" t="s">
        <v>144</v>
      </c>
      <c r="G7" s="313" t="s">
        <v>143</v>
      </c>
      <c r="H7" s="561" t="s">
        <v>142</v>
      </c>
      <c r="I7" s="312"/>
      <c r="J7" s="312"/>
      <c r="K7" s="311"/>
      <c r="L7" s="310" t="s">
        <v>141</v>
      </c>
      <c r="M7" s="309"/>
      <c r="N7" s="652" t="s">
        <v>140</v>
      </c>
      <c r="O7" s="653"/>
      <c r="P7" s="305"/>
    </row>
    <row r="8" spans="1:66" s="201" customFormat="1" ht="9" customHeight="1" x14ac:dyDescent="0.2">
      <c r="A8" s="308">
        <v>1</v>
      </c>
      <c r="B8" s="306">
        <v>2</v>
      </c>
      <c r="C8" s="306">
        <v>2</v>
      </c>
      <c r="D8" s="656">
        <v>3</v>
      </c>
      <c r="E8" s="657"/>
      <c r="F8" s="306">
        <v>4</v>
      </c>
      <c r="G8" s="306">
        <v>5</v>
      </c>
      <c r="H8" s="562">
        <v>6</v>
      </c>
      <c r="I8" s="306"/>
      <c r="J8" s="306"/>
      <c r="K8" s="306"/>
      <c r="L8" s="306">
        <v>7</v>
      </c>
      <c r="M8" s="306"/>
      <c r="N8" s="307" t="s">
        <v>139</v>
      </c>
      <c r="O8" s="306" t="s">
        <v>138</v>
      </c>
      <c r="P8" s="305"/>
    </row>
    <row r="9" spans="1:66" x14ac:dyDescent="0.25">
      <c r="A9" s="264"/>
      <c r="B9" s="263"/>
      <c r="C9" s="262"/>
      <c r="D9" s="261" t="str">
        <f>'4-Rekapitulace'!B8</f>
        <v>11 : přípravné a přidružené práce</v>
      </c>
      <c r="E9" s="261"/>
      <c r="F9" s="260"/>
      <c r="G9" s="259"/>
      <c r="H9" s="258"/>
      <c r="I9" s="256"/>
      <c r="J9" s="256"/>
      <c r="K9" s="256"/>
      <c r="L9" s="255">
        <f>SUM(L10:L11)</f>
        <v>0</v>
      </c>
      <c r="M9" s="254"/>
      <c r="N9" s="253"/>
      <c r="O9" s="252">
        <f>SUM(O10:O11)</f>
        <v>0</v>
      </c>
    </row>
    <row r="10" spans="1:66" x14ac:dyDescent="0.25">
      <c r="A10" s="251">
        <v>1</v>
      </c>
      <c r="B10" s="250"/>
      <c r="C10" s="249" t="s">
        <v>137</v>
      </c>
      <c r="D10" s="248" t="s">
        <v>136</v>
      </c>
      <c r="E10" s="248"/>
      <c r="F10" s="247" t="s">
        <v>135</v>
      </c>
      <c r="G10" s="269">
        <v>1</v>
      </c>
      <c r="H10" s="245"/>
      <c r="I10" s="244"/>
      <c r="J10" s="279"/>
      <c r="K10" s="279"/>
      <c r="L10" s="242">
        <f>ROUND(G10*H10,2)</f>
        <v>0</v>
      </c>
      <c r="M10" s="233"/>
      <c r="N10" s="281">
        <v>0</v>
      </c>
      <c r="O10" s="280">
        <f>G10*N10</f>
        <v>0</v>
      </c>
      <c r="P10" s="213" t="s">
        <v>769</v>
      </c>
    </row>
    <row r="11" spans="1:66" s="230" customFormat="1" ht="6.75" customHeight="1" x14ac:dyDescent="0.25">
      <c r="A11" s="266"/>
      <c r="B11" s="239"/>
      <c r="C11" s="267"/>
      <c r="D11" s="238"/>
      <c r="E11" s="238" t="s">
        <v>928</v>
      </c>
      <c r="F11" s="237"/>
      <c r="G11" s="236"/>
      <c r="H11" s="235"/>
      <c r="I11" s="235"/>
      <c r="J11" s="234"/>
      <c r="K11" s="234"/>
      <c r="L11" s="233"/>
      <c r="M11" s="233"/>
      <c r="N11" s="232"/>
      <c r="O11" s="231"/>
    </row>
    <row r="12" spans="1:66" s="283" customFormat="1" x14ac:dyDescent="0.25">
      <c r="A12" s="304"/>
      <c r="B12" s="303"/>
      <c r="C12" s="302"/>
      <c r="D12" s="301" t="str">
        <f>'4-Rekapitulace'!B9</f>
        <v>12 : odkopávky a prokopávky</v>
      </c>
      <c r="E12" s="301"/>
      <c r="F12" s="300"/>
      <c r="G12" s="299"/>
      <c r="H12" s="298"/>
      <c r="I12" s="297"/>
      <c r="J12" s="296"/>
      <c r="K12" s="296"/>
      <c r="L12" s="295">
        <f>SUM(L13:L13)</f>
        <v>0</v>
      </c>
      <c r="M12" s="294"/>
      <c r="N12" s="293"/>
      <c r="O12" s="252">
        <v>0</v>
      </c>
      <c r="P12" s="282"/>
    </row>
    <row r="13" spans="1:66" x14ac:dyDescent="0.25">
      <c r="A13" s="251">
        <f>A10+1</f>
        <v>2</v>
      </c>
      <c r="B13" s="250" t="s">
        <v>43</v>
      </c>
      <c r="C13" s="249" t="s">
        <v>162</v>
      </c>
      <c r="D13" s="248" t="s">
        <v>163</v>
      </c>
      <c r="E13" s="248"/>
      <c r="F13" s="247" t="s">
        <v>94</v>
      </c>
      <c r="G13" s="246">
        <f>SUM(G14:G15)</f>
        <v>129.75</v>
      </c>
      <c r="H13" s="245"/>
      <c r="I13" s="244" t="s">
        <v>95</v>
      </c>
      <c r="J13" s="233">
        <f>G13*AO13</f>
        <v>0</v>
      </c>
      <c r="K13" s="243">
        <f>G13*AP13</f>
        <v>1946.25</v>
      </c>
      <c r="L13" s="242">
        <f>G13*H13</f>
        <v>0</v>
      </c>
      <c r="M13" s="233">
        <f>L13*(1+BW13/100)</f>
        <v>0</v>
      </c>
      <c r="N13" s="241">
        <v>0</v>
      </c>
      <c r="O13" s="240">
        <f>G13*N13</f>
        <v>0</v>
      </c>
      <c r="P13" s="213" t="s">
        <v>769</v>
      </c>
      <c r="AB13" s="212">
        <f>IF(AS13="5",BL13,0)</f>
        <v>0</v>
      </c>
      <c r="AD13" s="212">
        <f>IF(AS13="1",BJ13,0)</f>
        <v>0</v>
      </c>
      <c r="AE13" s="212">
        <f>IF(AS13="1",BK13,0)</f>
        <v>0</v>
      </c>
      <c r="AF13" s="212">
        <f>IF(AS13="7",BJ13,0)</f>
        <v>0</v>
      </c>
      <c r="AG13" s="212">
        <f>IF(AS13="7",BK13,0)</f>
        <v>0</v>
      </c>
      <c r="AH13" s="212">
        <f>IF(AS13="2",BJ13,0)</f>
        <v>0</v>
      </c>
      <c r="AI13" s="212">
        <f>IF(AS13="2",BK13,0)</f>
        <v>0</v>
      </c>
      <c r="AJ13" s="212">
        <f>IF(AS13="0",BL13,0)</f>
        <v>0</v>
      </c>
      <c r="AK13" s="212" t="s">
        <v>43</v>
      </c>
      <c r="AL13" s="212">
        <f>IF(AP13=0,L13,0)</f>
        <v>0</v>
      </c>
      <c r="AM13" s="212">
        <f>IF(AP13=15,L13,0)</f>
        <v>0</v>
      </c>
      <c r="AN13" s="212">
        <f>IF(AP13=21,L13,0)</f>
        <v>0</v>
      </c>
      <c r="AP13" s="212">
        <v>15</v>
      </c>
      <c r="AQ13" s="212">
        <f>H13*0</f>
        <v>0</v>
      </c>
      <c r="AR13" s="212">
        <f>H13*(1-0)</f>
        <v>0</v>
      </c>
      <c r="AS13" s="212" t="s">
        <v>91</v>
      </c>
      <c r="AX13" s="212">
        <f>AY13+AZ13</f>
        <v>0</v>
      </c>
      <c r="AY13" s="212">
        <f>G13*AQ13</f>
        <v>0</v>
      </c>
      <c r="AZ13" s="212">
        <f>G13*AR13</f>
        <v>0</v>
      </c>
      <c r="BA13" s="212" t="s">
        <v>134</v>
      </c>
      <c r="BB13" s="212" t="s">
        <v>117</v>
      </c>
      <c r="BC13" s="212" t="s">
        <v>85</v>
      </c>
      <c r="BE13" s="212">
        <f>AY13+AZ13</f>
        <v>0</v>
      </c>
      <c r="BF13" s="212">
        <f>H13/(100-BG13)*100</f>
        <v>0</v>
      </c>
      <c r="BG13" s="212">
        <v>0</v>
      </c>
      <c r="BH13" s="212">
        <f>O13</f>
        <v>0</v>
      </c>
      <c r="BJ13" s="212">
        <f>G13*AQ13</f>
        <v>0</v>
      </c>
      <c r="BK13" s="212">
        <f>G13*AR13</f>
        <v>0</v>
      </c>
      <c r="BL13" s="212">
        <f>G13*H13</f>
        <v>0</v>
      </c>
      <c r="BN13" s="212">
        <v>12</v>
      </c>
    </row>
    <row r="14" spans="1:66" s="230" customFormat="1" ht="6.75" customHeight="1" x14ac:dyDescent="0.25">
      <c r="A14" s="266">
        <f>0.08+0.05+0.1</f>
        <v>0.23</v>
      </c>
      <c r="B14" s="239"/>
      <c r="C14" s="557" t="s">
        <v>930</v>
      </c>
      <c r="D14" s="266">
        <v>540</v>
      </c>
      <c r="E14" s="238" t="s">
        <v>929</v>
      </c>
      <c r="F14" s="237" t="s">
        <v>94</v>
      </c>
      <c r="G14" s="236">
        <f>D14*A14</f>
        <v>124.2</v>
      </c>
      <c r="H14" s="235"/>
      <c r="I14" s="235"/>
      <c r="J14" s="234"/>
      <c r="K14" s="234"/>
      <c r="L14" s="233"/>
      <c r="M14" s="233"/>
      <c r="N14" s="232"/>
      <c r="O14" s="231"/>
    </row>
    <row r="15" spans="1:66" s="230" customFormat="1" ht="6.75" customHeight="1" x14ac:dyDescent="0.25">
      <c r="A15" s="266">
        <v>0.25</v>
      </c>
      <c r="B15" s="239"/>
      <c r="C15" s="557" t="s">
        <v>930</v>
      </c>
      <c r="D15" s="266">
        <v>111</v>
      </c>
      <c r="E15" s="238" t="s">
        <v>931</v>
      </c>
      <c r="F15" s="237" t="s">
        <v>94</v>
      </c>
      <c r="G15" s="236">
        <f>D15*A15*0.2</f>
        <v>5.5500000000000007</v>
      </c>
      <c r="H15" s="235"/>
      <c r="I15" s="235"/>
      <c r="J15" s="234"/>
      <c r="K15" s="234"/>
      <c r="L15" s="233"/>
      <c r="M15" s="233"/>
      <c r="N15" s="232"/>
      <c r="O15" s="231"/>
    </row>
    <row r="16" spans="1:66" x14ac:dyDescent="0.25">
      <c r="A16" s="264"/>
      <c r="B16" s="263"/>
      <c r="C16" s="262"/>
      <c r="D16" s="261" t="str">
        <f>'4-Rekapitulace'!B10</f>
        <v>16 : přemístění výkopku</v>
      </c>
      <c r="E16" s="261"/>
      <c r="F16" s="260"/>
      <c r="G16" s="259"/>
      <c r="H16" s="258"/>
      <c r="I16" s="257"/>
      <c r="J16" s="256"/>
      <c r="K16" s="256"/>
      <c r="L16" s="255">
        <f>SUM(L17:L20)</f>
        <v>0</v>
      </c>
      <c r="M16" s="254"/>
      <c r="N16" s="253"/>
      <c r="O16" s="252">
        <f>SUM(O17:O20)</f>
        <v>0</v>
      </c>
    </row>
    <row r="17" spans="1:76" s="283" customFormat="1" x14ac:dyDescent="0.25">
      <c r="A17" s="251">
        <f>A13+1</f>
        <v>3</v>
      </c>
      <c r="B17" s="292" t="s">
        <v>43</v>
      </c>
      <c r="C17" s="291" t="s">
        <v>130</v>
      </c>
      <c r="D17" s="290" t="s">
        <v>129</v>
      </c>
      <c r="E17" s="290"/>
      <c r="F17" s="546" t="s">
        <v>94</v>
      </c>
      <c r="G17" s="269">
        <f>SUM(G18:G18)</f>
        <v>129.75</v>
      </c>
      <c r="H17" s="245"/>
      <c r="I17" s="244" t="s">
        <v>95</v>
      </c>
      <c r="J17" s="233">
        <f>G17*AO17</f>
        <v>0</v>
      </c>
      <c r="K17" s="243">
        <f>G17*AP17</f>
        <v>1946.25</v>
      </c>
      <c r="L17" s="242">
        <f>G17*H17</f>
        <v>0</v>
      </c>
      <c r="M17" s="233">
        <f>L17*(1+BW17/100)</f>
        <v>0</v>
      </c>
      <c r="N17" s="241">
        <v>0</v>
      </c>
      <c r="O17" s="240">
        <f>G17*N17</f>
        <v>0</v>
      </c>
      <c r="P17" s="213" t="s">
        <v>769</v>
      </c>
      <c r="AB17" s="283">
        <f>IF(AS17="5",BL17,0)</f>
        <v>0</v>
      </c>
      <c r="AD17" s="283">
        <f>IF(AS17="1",BJ17,0)</f>
        <v>0</v>
      </c>
      <c r="AE17" s="283">
        <f>IF(AS17="1",BK17,0)</f>
        <v>0</v>
      </c>
      <c r="AF17" s="283">
        <f>IF(AS17="7",BJ17,0)</f>
        <v>0</v>
      </c>
      <c r="AG17" s="283">
        <f>IF(AS17="7",BK17,0)</f>
        <v>0</v>
      </c>
      <c r="AH17" s="283">
        <f>IF(AS17="2",BJ17,0)</f>
        <v>0</v>
      </c>
      <c r="AI17" s="283">
        <f>IF(AS17="2",BK17,0)</f>
        <v>0</v>
      </c>
      <c r="AJ17" s="283">
        <f>IF(AS17="0",BL17,0)</f>
        <v>0</v>
      </c>
      <c r="AK17" s="283" t="s">
        <v>43</v>
      </c>
      <c r="AL17" s="283">
        <f>IF(AP17=0,L17,0)</f>
        <v>0</v>
      </c>
      <c r="AM17" s="283">
        <f>IF(AP17=15,L17,0)</f>
        <v>0</v>
      </c>
      <c r="AN17" s="283">
        <f>IF(AP17=21,L17,0)</f>
        <v>0</v>
      </c>
      <c r="AP17" s="283">
        <v>15</v>
      </c>
      <c r="AQ17" s="283">
        <f>H17*0</f>
        <v>0</v>
      </c>
      <c r="AR17" s="283">
        <f>H17*(1-0)</f>
        <v>0</v>
      </c>
      <c r="AS17" s="283" t="s">
        <v>91</v>
      </c>
      <c r="AX17" s="283">
        <f>AY17+AZ17</f>
        <v>0</v>
      </c>
      <c r="AY17" s="283">
        <f>G17*AQ17</f>
        <v>0</v>
      </c>
      <c r="AZ17" s="283">
        <f>G17*AR17</f>
        <v>0</v>
      </c>
      <c r="BA17" s="283" t="s">
        <v>118</v>
      </c>
      <c r="BB17" s="283" t="s">
        <v>117</v>
      </c>
      <c r="BC17" s="283" t="s">
        <v>85</v>
      </c>
      <c r="BE17" s="283">
        <f>AY17+AZ17</f>
        <v>0</v>
      </c>
      <c r="BF17" s="283">
        <f>H17/(100-BG17)*100</f>
        <v>0</v>
      </c>
      <c r="BG17" s="283">
        <v>0</v>
      </c>
      <c r="BH17" s="283">
        <f>O17</f>
        <v>0</v>
      </c>
      <c r="BJ17" s="283">
        <f>G17*AQ17</f>
        <v>0</v>
      </c>
      <c r="BK17" s="283">
        <f>G17*AR17</f>
        <v>0</v>
      </c>
      <c r="BL17" s="283">
        <f>G17*H17</f>
        <v>0</v>
      </c>
      <c r="BN17" s="283">
        <v>16</v>
      </c>
    </row>
    <row r="18" spans="1:76" s="230" customFormat="1" ht="6.75" customHeight="1" x14ac:dyDescent="0.25">
      <c r="A18" s="274"/>
      <c r="B18" s="276"/>
      <c r="C18" s="277" t="s">
        <v>90</v>
      </c>
      <c r="D18" s="274"/>
      <c r="E18" s="238" t="s">
        <v>128</v>
      </c>
      <c r="F18" s="237" t="s">
        <v>94</v>
      </c>
      <c r="G18" s="236">
        <f>G13</f>
        <v>129.75</v>
      </c>
      <c r="H18" s="235"/>
      <c r="I18" s="235"/>
      <c r="J18" s="234"/>
      <c r="K18" s="234"/>
      <c r="L18" s="233"/>
      <c r="M18" s="233"/>
      <c r="N18" s="232"/>
      <c r="O18" s="231"/>
    </row>
    <row r="19" spans="1:76" x14ac:dyDescent="0.25">
      <c r="A19" s="251">
        <f>A17+1</f>
        <v>4</v>
      </c>
      <c r="B19" s="250"/>
      <c r="C19" s="249" t="s">
        <v>127</v>
      </c>
      <c r="D19" s="248" t="s">
        <v>126</v>
      </c>
      <c r="E19" s="248"/>
      <c r="F19" s="247" t="s">
        <v>94</v>
      </c>
      <c r="G19" s="269">
        <f>SUM(G20:G20)</f>
        <v>129.75</v>
      </c>
      <c r="H19" s="245"/>
      <c r="I19" s="244" t="s">
        <v>95</v>
      </c>
      <c r="J19" s="233">
        <f>G19*AO19</f>
        <v>0</v>
      </c>
      <c r="K19" s="243">
        <f>G19*AP19</f>
        <v>0</v>
      </c>
      <c r="L19" s="242">
        <f>G19*H19</f>
        <v>0</v>
      </c>
      <c r="M19" s="233">
        <f>L19*(1+BW19/100)</f>
        <v>0</v>
      </c>
      <c r="N19" s="241">
        <v>0</v>
      </c>
      <c r="O19" s="240">
        <f>G19*N19</f>
        <v>0</v>
      </c>
      <c r="P19" s="213" t="s">
        <v>769</v>
      </c>
    </row>
    <row r="20" spans="1:76" s="230" customFormat="1" ht="6.75" customHeight="1" x14ac:dyDescent="0.25">
      <c r="A20" s="274"/>
      <c r="B20" s="276"/>
      <c r="C20" s="277" t="s">
        <v>90</v>
      </c>
      <c r="D20" s="274"/>
      <c r="E20" s="238" t="str">
        <f>D22</f>
        <v>Uložení sypaniny na skl.-sypanina na výšku přes 2m</v>
      </c>
      <c r="F20" s="237" t="s">
        <v>94</v>
      </c>
      <c r="G20" s="236">
        <f>G22</f>
        <v>129.75</v>
      </c>
      <c r="H20" s="235"/>
      <c r="I20" s="235"/>
      <c r="J20" s="234"/>
      <c r="K20" s="234"/>
      <c r="L20" s="233"/>
      <c r="M20" s="233"/>
      <c r="N20" s="232"/>
      <c r="O20" s="231"/>
    </row>
    <row r="21" spans="1:76" x14ac:dyDescent="0.25">
      <c r="A21" s="264"/>
      <c r="B21" s="263"/>
      <c r="C21" s="262"/>
      <c r="D21" s="261" t="str">
        <f>'4-Rekapitulace'!B11</f>
        <v>17 : konstrukce ze zemin</v>
      </c>
      <c r="E21" s="261"/>
      <c r="F21" s="260"/>
      <c r="G21" s="259"/>
      <c r="H21" s="258"/>
      <c r="I21" s="257"/>
      <c r="J21" s="256"/>
      <c r="K21" s="256"/>
      <c r="L21" s="255">
        <f>SUM(L22:L25)</f>
        <v>0</v>
      </c>
      <c r="M21" s="254"/>
      <c r="N21" s="253"/>
      <c r="O21" s="252">
        <f>SUM(O22:O25)</f>
        <v>0</v>
      </c>
    </row>
    <row r="22" spans="1:76" s="283" customFormat="1" x14ac:dyDescent="0.25">
      <c r="A22" s="251">
        <f>A19+1</f>
        <v>5</v>
      </c>
      <c r="B22" s="292"/>
      <c r="C22" s="291" t="s">
        <v>122</v>
      </c>
      <c r="D22" s="290" t="s">
        <v>121</v>
      </c>
      <c r="E22" s="290"/>
      <c r="F22" s="546" t="s">
        <v>94</v>
      </c>
      <c r="G22" s="269">
        <f>SUM(G23:G23)</f>
        <v>129.75</v>
      </c>
      <c r="H22" s="245"/>
      <c r="I22" s="289"/>
      <c r="J22" s="288"/>
      <c r="K22" s="288"/>
      <c r="L22" s="287">
        <f>G22*H22</f>
        <v>0</v>
      </c>
      <c r="M22" s="286"/>
      <c r="N22" s="285">
        <v>0</v>
      </c>
      <c r="O22" s="284">
        <f>G22*N22</f>
        <v>0</v>
      </c>
      <c r="P22" s="213" t="s">
        <v>769</v>
      </c>
    </row>
    <row r="23" spans="1:76" s="230" customFormat="1" ht="6.75" customHeight="1" x14ac:dyDescent="0.25">
      <c r="A23" s="274"/>
      <c r="B23" s="276"/>
      <c r="C23" s="277" t="s">
        <v>90</v>
      </c>
      <c r="D23" s="274"/>
      <c r="E23" s="238" t="str">
        <f>D24</f>
        <v>Poplatek za skládku horniny 1- 4, č. dle katal. odpadů 17 05 04</v>
      </c>
      <c r="F23" s="237" t="s">
        <v>94</v>
      </c>
      <c r="G23" s="236">
        <f>G24</f>
        <v>129.75</v>
      </c>
      <c r="H23" s="235"/>
      <c r="I23" s="235"/>
      <c r="J23" s="234"/>
      <c r="K23" s="234"/>
      <c r="L23" s="233"/>
      <c r="M23" s="233"/>
      <c r="N23" s="232"/>
      <c r="O23" s="231"/>
    </row>
    <row r="24" spans="1:76" s="283" customFormat="1" x14ac:dyDescent="0.25">
      <c r="A24" s="251">
        <f>A22+1</f>
        <v>6</v>
      </c>
      <c r="B24" s="292" t="s">
        <v>43</v>
      </c>
      <c r="C24" s="291" t="s">
        <v>120</v>
      </c>
      <c r="D24" s="290" t="s">
        <v>119</v>
      </c>
      <c r="E24" s="290"/>
      <c r="F24" s="546" t="s">
        <v>94</v>
      </c>
      <c r="G24" s="269">
        <f>SUM(G25:G25)</f>
        <v>129.75</v>
      </c>
      <c r="H24" s="245"/>
      <c r="I24" s="244" t="s">
        <v>95</v>
      </c>
      <c r="J24" s="233">
        <f>G24*AO24</f>
        <v>0</v>
      </c>
      <c r="K24" s="243">
        <f>G24*AP24</f>
        <v>1946.25</v>
      </c>
      <c r="L24" s="242">
        <f>G24*H24</f>
        <v>0</v>
      </c>
      <c r="M24" s="233">
        <f>L24*(1+BW24/100)</f>
        <v>0</v>
      </c>
      <c r="N24" s="241">
        <v>0</v>
      </c>
      <c r="O24" s="240">
        <f>G24*N24</f>
        <v>0</v>
      </c>
      <c r="P24" s="213" t="s">
        <v>769</v>
      </c>
      <c r="AB24" s="283">
        <f>IF(AS24="5",BL24,0)</f>
        <v>0</v>
      </c>
      <c r="AD24" s="283">
        <f>IF(AS24="1",BJ24,0)</f>
        <v>0</v>
      </c>
      <c r="AE24" s="283">
        <f>IF(AS24="1",BK24,0)</f>
        <v>0</v>
      </c>
      <c r="AF24" s="283">
        <f>IF(AS24="7",BJ24,0)</f>
        <v>0</v>
      </c>
      <c r="AG24" s="283">
        <f>IF(AS24="7",BK24,0)</f>
        <v>0</v>
      </c>
      <c r="AH24" s="283">
        <f>IF(AS24="2",BJ24,0)</f>
        <v>0</v>
      </c>
      <c r="AI24" s="283">
        <f>IF(AS24="2",BK24,0)</f>
        <v>0</v>
      </c>
      <c r="AJ24" s="283">
        <f>IF(AS24="0",BL24,0)</f>
        <v>0</v>
      </c>
      <c r="AK24" s="283" t="s">
        <v>43</v>
      </c>
      <c r="AL24" s="283">
        <f>IF(AP24=0,L24,0)</f>
        <v>0</v>
      </c>
      <c r="AM24" s="283">
        <f>IF(AP24=15,L24,0)</f>
        <v>0</v>
      </c>
      <c r="AN24" s="283">
        <f>IF(AP24=21,L24,0)</f>
        <v>0</v>
      </c>
      <c r="AP24" s="283">
        <v>15</v>
      </c>
      <c r="AQ24" s="283">
        <f>H24*0</f>
        <v>0</v>
      </c>
      <c r="AR24" s="283">
        <f>H24*(1-0)</f>
        <v>0</v>
      </c>
      <c r="AS24" s="283" t="s">
        <v>91</v>
      </c>
      <c r="AX24" s="283">
        <f>AY24+AZ24</f>
        <v>0</v>
      </c>
      <c r="AY24" s="283">
        <f>G24*AQ24</f>
        <v>0</v>
      </c>
      <c r="AZ24" s="283">
        <f>G24*AR24</f>
        <v>0</v>
      </c>
      <c r="BA24" s="283" t="s">
        <v>118</v>
      </c>
      <c r="BB24" s="283" t="s">
        <v>117</v>
      </c>
      <c r="BC24" s="283" t="s">
        <v>85</v>
      </c>
      <c r="BE24" s="283">
        <f>AY24+AZ24</f>
        <v>0</v>
      </c>
      <c r="BF24" s="283">
        <f>H24/(100-BG24)*100</f>
        <v>0</v>
      </c>
      <c r="BG24" s="283">
        <v>0</v>
      </c>
      <c r="BH24" s="283">
        <f>O24</f>
        <v>0</v>
      </c>
      <c r="BJ24" s="283">
        <f>G24*AQ24</f>
        <v>0</v>
      </c>
      <c r="BK24" s="283">
        <f>G24*AR24</f>
        <v>0</v>
      </c>
      <c r="BL24" s="283">
        <f>G24*H24</f>
        <v>0</v>
      </c>
      <c r="BN24" s="283">
        <v>16</v>
      </c>
    </row>
    <row r="25" spans="1:76" s="230" customFormat="1" ht="6.75" customHeight="1" x14ac:dyDescent="0.25">
      <c r="A25" s="274"/>
      <c r="B25" s="276"/>
      <c r="C25" s="277" t="s">
        <v>90</v>
      </c>
      <c r="D25" s="274"/>
      <c r="E25" s="238" t="str">
        <f>D17</f>
        <v>Vodorovné přemístění výkopku z hor.1-4 do 10000 m</v>
      </c>
      <c r="F25" s="237" t="s">
        <v>94</v>
      </c>
      <c r="G25" s="236">
        <f>G17</f>
        <v>129.75</v>
      </c>
      <c r="H25" s="235"/>
      <c r="I25" s="235"/>
      <c r="J25" s="234"/>
      <c r="K25" s="234"/>
      <c r="L25" s="233"/>
      <c r="M25" s="233"/>
      <c r="N25" s="232"/>
      <c r="O25" s="231"/>
    </row>
    <row r="26" spans="1:76" x14ac:dyDescent="0.25">
      <c r="A26" s="264" t="s">
        <v>43</v>
      </c>
      <c r="B26" s="263" t="s">
        <v>43</v>
      </c>
      <c r="C26" s="262"/>
      <c r="D26" s="261" t="str">
        <f>'4-Rekapitulace'!B13</f>
        <v>56 : podkladní vrstvy komunikací, letišť a ploch</v>
      </c>
      <c r="E26" s="261"/>
      <c r="F26" s="260" t="s">
        <v>49</v>
      </c>
      <c r="G26" s="259" t="s">
        <v>49</v>
      </c>
      <c r="H26" s="258"/>
      <c r="I26" s="257" t="s">
        <v>49</v>
      </c>
      <c r="J26" s="256">
        <f>SUM(J27:J29)</f>
        <v>0</v>
      </c>
      <c r="K26" s="256">
        <f>SUM(K27:K29)</f>
        <v>0</v>
      </c>
      <c r="L26" s="255">
        <f>SUM(L27:L29)</f>
        <v>0</v>
      </c>
      <c r="M26" s="254">
        <f>SUM(M27:M29)</f>
        <v>0</v>
      </c>
      <c r="N26" s="253" t="s">
        <v>43</v>
      </c>
      <c r="O26" s="252">
        <f>SUM(O27:O29)</f>
        <v>197.60759999999999</v>
      </c>
      <c r="P26" s="213" t="s">
        <v>43</v>
      </c>
      <c r="AI26" s="212" t="s">
        <v>43</v>
      </c>
      <c r="AS26" s="212">
        <f>SUM(AJ27:AJ29)</f>
        <v>0</v>
      </c>
      <c r="AT26" s="212">
        <f>SUM(AK27:AK29)</f>
        <v>0</v>
      </c>
      <c r="AU26" s="212">
        <f>SUM(AL27:AL29)</f>
        <v>0</v>
      </c>
    </row>
    <row r="27" spans="1:76" s="283" customFormat="1" x14ac:dyDescent="0.25">
      <c r="A27" s="251">
        <f>A24+1</f>
        <v>7</v>
      </c>
      <c r="B27" s="292" t="s">
        <v>43</v>
      </c>
      <c r="C27" s="291" t="s">
        <v>936</v>
      </c>
      <c r="D27" s="290" t="s">
        <v>937</v>
      </c>
      <c r="E27" s="290"/>
      <c r="F27" s="546" t="s">
        <v>92</v>
      </c>
      <c r="G27" s="246">
        <f>SUM(G28:G28)</f>
        <v>540</v>
      </c>
      <c r="H27" s="245"/>
      <c r="I27" s="289" t="s">
        <v>95</v>
      </c>
      <c r="J27" s="288">
        <f>G27*AO27</f>
        <v>0</v>
      </c>
      <c r="K27" s="288">
        <f>G27*AP27</f>
        <v>0</v>
      </c>
      <c r="L27" s="287">
        <f>G27*H27</f>
        <v>0</v>
      </c>
      <c r="M27" s="286">
        <f>L27*(1+BW27/100)</f>
        <v>0</v>
      </c>
      <c r="N27" s="285">
        <v>0.25094</v>
      </c>
      <c r="O27" s="284">
        <f>G27*N27</f>
        <v>135.5076</v>
      </c>
      <c r="P27" s="213" t="s">
        <v>769</v>
      </c>
      <c r="Z27" s="283">
        <f>IF(AQ27="5",BJ27,0)</f>
        <v>0</v>
      </c>
      <c r="AB27" s="283">
        <f>IF(AQ27="1",BH27,0)</f>
        <v>0</v>
      </c>
      <c r="AC27" s="283">
        <f>IF(AQ27="1",BI27,0)</f>
        <v>0</v>
      </c>
      <c r="AD27" s="283">
        <f>IF(AQ27="7",BH27,0)</f>
        <v>0</v>
      </c>
      <c r="AE27" s="283">
        <f>IF(AQ27="7",BI27,0)</f>
        <v>0</v>
      </c>
      <c r="AF27" s="283">
        <f>IF(AQ27="2",BH27,0)</f>
        <v>0</v>
      </c>
      <c r="AG27" s="283">
        <f>IF(AQ27="2",BI27,0)</f>
        <v>0</v>
      </c>
      <c r="AH27" s="283">
        <f>IF(AQ27="0",BJ27,0)</f>
        <v>0</v>
      </c>
      <c r="AI27" s="283" t="s">
        <v>43</v>
      </c>
      <c r="AJ27" s="283">
        <f>IF(AN27=0,L27,0)</f>
        <v>0</v>
      </c>
      <c r="AK27" s="283">
        <f>IF(AN27=12,L27,0)</f>
        <v>0</v>
      </c>
      <c r="AL27" s="283">
        <f>IF(AN27=21,L27,0)</f>
        <v>0</v>
      </c>
      <c r="AN27" s="283">
        <v>12</v>
      </c>
      <c r="AO27" s="283">
        <f>H27*0.825890411</f>
        <v>0</v>
      </c>
      <c r="AP27" s="283">
        <f>H27*(1-0.825890411)</f>
        <v>0</v>
      </c>
      <c r="AQ27" s="283" t="s">
        <v>91</v>
      </c>
      <c r="AV27" s="283">
        <f>AW27+AX27</f>
        <v>0</v>
      </c>
      <c r="AW27" s="283">
        <f>G27*AO27</f>
        <v>0</v>
      </c>
      <c r="AX27" s="283">
        <f>G27*AP27</f>
        <v>0</v>
      </c>
      <c r="AY27" s="283" t="s">
        <v>938</v>
      </c>
      <c r="AZ27" s="283" t="s">
        <v>939</v>
      </c>
      <c r="BA27" s="283" t="s">
        <v>85</v>
      </c>
      <c r="BC27" s="283">
        <f>AW27+AX27</f>
        <v>0</v>
      </c>
      <c r="BD27" s="283">
        <f>H27/(100-BE27)*100</f>
        <v>0</v>
      </c>
      <c r="BE27" s="283">
        <v>0</v>
      </c>
      <c r="BF27" s="283">
        <f>O27</f>
        <v>135.5076</v>
      </c>
      <c r="BH27" s="283">
        <f>G27*AO27</f>
        <v>0</v>
      </c>
      <c r="BI27" s="283">
        <f>G27*AP27</f>
        <v>0</v>
      </c>
      <c r="BJ27" s="283">
        <f>G27*H27</f>
        <v>0</v>
      </c>
      <c r="BL27" s="283">
        <v>56</v>
      </c>
      <c r="BW27" s="283" t="str">
        <f>I27</f>
        <v>12</v>
      </c>
      <c r="BX27" s="283" t="s">
        <v>937</v>
      </c>
    </row>
    <row r="28" spans="1:76" s="230" customFormat="1" ht="6.75" customHeight="1" x14ac:dyDescent="0.25">
      <c r="A28" s="361"/>
      <c r="B28" s="276"/>
      <c r="C28" s="275" t="s">
        <v>90</v>
      </c>
      <c r="D28" s="541"/>
      <c r="E28" s="238" t="str">
        <f>D29</f>
        <v>Podklad ze štěrkodrti po zhutnění tloušťky 5 cm</v>
      </c>
      <c r="F28" s="265" t="s">
        <v>92</v>
      </c>
      <c r="G28" s="236">
        <f>G29</f>
        <v>540</v>
      </c>
      <c r="H28" s="235"/>
      <c r="I28" s="235"/>
      <c r="J28" s="234"/>
      <c r="K28" s="234"/>
      <c r="L28" s="233"/>
      <c r="M28" s="233"/>
      <c r="N28" s="232"/>
      <c r="O28" s="231"/>
    </row>
    <row r="29" spans="1:76" s="283" customFormat="1" x14ac:dyDescent="0.25">
      <c r="A29" s="251">
        <f>A27+1</f>
        <v>8</v>
      </c>
      <c r="B29" s="292" t="s">
        <v>43</v>
      </c>
      <c r="C29" s="291" t="s">
        <v>940</v>
      </c>
      <c r="D29" s="290" t="s">
        <v>941</v>
      </c>
      <c r="E29" s="290"/>
      <c r="F29" s="546" t="s">
        <v>92</v>
      </c>
      <c r="G29" s="246">
        <f>SUM(G30:G30)</f>
        <v>540</v>
      </c>
      <c r="H29" s="245"/>
      <c r="I29" s="289" t="s">
        <v>95</v>
      </c>
      <c r="J29" s="288">
        <f>G29*AO29</f>
        <v>0</v>
      </c>
      <c r="K29" s="288">
        <f>G29*AP29</f>
        <v>0</v>
      </c>
      <c r="L29" s="287">
        <f>G29*H29</f>
        <v>0</v>
      </c>
      <c r="M29" s="286">
        <f>L29*(1+BW29/100)</f>
        <v>0</v>
      </c>
      <c r="N29" s="285">
        <v>0.115</v>
      </c>
      <c r="O29" s="284">
        <f>G29*N29</f>
        <v>62.1</v>
      </c>
      <c r="P29" s="213" t="s">
        <v>769</v>
      </c>
      <c r="Z29" s="283">
        <f>IF(AQ29="5",BJ29,0)</f>
        <v>0</v>
      </c>
      <c r="AB29" s="283">
        <f>IF(AQ29="1",BH29,0)</f>
        <v>0</v>
      </c>
      <c r="AC29" s="283">
        <f>IF(AQ29="1",BI29,0)</f>
        <v>0</v>
      </c>
      <c r="AD29" s="283">
        <f>IF(AQ29="7",BH29,0)</f>
        <v>0</v>
      </c>
      <c r="AE29" s="283">
        <f>IF(AQ29="7",BI29,0)</f>
        <v>0</v>
      </c>
      <c r="AF29" s="283">
        <f>IF(AQ29="2",BH29,0)</f>
        <v>0</v>
      </c>
      <c r="AG29" s="283">
        <f>IF(AQ29="2",BI29,0)</f>
        <v>0</v>
      </c>
      <c r="AH29" s="283">
        <f>IF(AQ29="0",BJ29,0)</f>
        <v>0</v>
      </c>
      <c r="AI29" s="283" t="s">
        <v>43</v>
      </c>
      <c r="AJ29" s="283">
        <f>IF(AN29=0,L29,0)</f>
        <v>0</v>
      </c>
      <c r="AK29" s="283">
        <f>IF(AN29=12,L29,0)</f>
        <v>0</v>
      </c>
      <c r="AL29" s="283">
        <f>IF(AN29=21,L29,0)</f>
        <v>0</v>
      </c>
      <c r="AN29" s="283">
        <v>12</v>
      </c>
      <c r="AO29" s="283">
        <f>H29*0.767813953</f>
        <v>0</v>
      </c>
      <c r="AP29" s="283">
        <f>H29*(1-0.767813953)</f>
        <v>0</v>
      </c>
      <c r="AQ29" s="283" t="s">
        <v>91</v>
      </c>
      <c r="AV29" s="283">
        <f>AW29+AX29</f>
        <v>0</v>
      </c>
      <c r="AW29" s="283">
        <f>G29*AO29</f>
        <v>0</v>
      </c>
      <c r="AX29" s="283">
        <f>G29*AP29</f>
        <v>0</v>
      </c>
      <c r="AY29" s="283" t="s">
        <v>938</v>
      </c>
      <c r="AZ29" s="283" t="s">
        <v>939</v>
      </c>
      <c r="BA29" s="283" t="s">
        <v>85</v>
      </c>
      <c r="BC29" s="283">
        <f>AW29+AX29</f>
        <v>0</v>
      </c>
      <c r="BD29" s="283">
        <f>H29/(100-BE29)*100</f>
        <v>0</v>
      </c>
      <c r="BE29" s="283">
        <v>0</v>
      </c>
      <c r="BF29" s="283">
        <f>O29</f>
        <v>62.1</v>
      </c>
      <c r="BH29" s="283">
        <f>G29*AO29</f>
        <v>0</v>
      </c>
      <c r="BI29" s="283">
        <f>G29*AP29</f>
        <v>0</v>
      </c>
      <c r="BJ29" s="283">
        <f>G29*H29</f>
        <v>0</v>
      </c>
      <c r="BL29" s="283">
        <v>56</v>
      </c>
      <c r="BW29" s="283" t="str">
        <f>I29</f>
        <v>12</v>
      </c>
      <c r="BX29" s="283" t="s">
        <v>941</v>
      </c>
    </row>
    <row r="30" spans="1:76" s="230" customFormat="1" ht="6.75" customHeight="1" x14ac:dyDescent="0.25">
      <c r="A30" s="361"/>
      <c r="B30" s="276"/>
      <c r="C30" s="275" t="s">
        <v>90</v>
      </c>
      <c r="D30" s="541"/>
      <c r="E30" s="238" t="str">
        <f>D32</f>
        <v>Kladení betonových vegetačních tvárnic, lože z kameniva</v>
      </c>
      <c r="F30" s="265" t="s">
        <v>92</v>
      </c>
      <c r="G30" s="236">
        <f>G32</f>
        <v>540</v>
      </c>
      <c r="H30" s="235"/>
      <c r="I30" s="235"/>
      <c r="J30" s="234"/>
      <c r="K30" s="234"/>
      <c r="L30" s="233"/>
      <c r="M30" s="233"/>
      <c r="N30" s="232"/>
      <c r="O30" s="231"/>
    </row>
    <row r="31" spans="1:76" x14ac:dyDescent="0.25">
      <c r="A31" s="264" t="s">
        <v>43</v>
      </c>
      <c r="B31" s="263" t="s">
        <v>43</v>
      </c>
      <c r="C31" s="262"/>
      <c r="D31" s="261" t="str">
        <f>'4-Rekapitulace'!B14</f>
        <v>59 : kryty pozemních komunikací, letišť a ploch dlážděných (předlažby)</v>
      </c>
      <c r="E31" s="261"/>
      <c r="F31" s="260" t="s">
        <v>49</v>
      </c>
      <c r="G31" s="259" t="s">
        <v>49</v>
      </c>
      <c r="H31" s="258"/>
      <c r="I31" s="257" t="s">
        <v>49</v>
      </c>
      <c r="J31" s="256">
        <f>SUM(J32:J39)</f>
        <v>0</v>
      </c>
      <c r="K31" s="256">
        <f>SUM(K32:K39)</f>
        <v>0</v>
      </c>
      <c r="L31" s="255">
        <f>SUM(L32:L39)</f>
        <v>0</v>
      </c>
      <c r="M31" s="254">
        <f>SUM(M32:M39)</f>
        <v>0</v>
      </c>
      <c r="N31" s="253" t="s">
        <v>43</v>
      </c>
      <c r="O31" s="252">
        <f>SUM(O32:O39)</f>
        <v>112.7006208</v>
      </c>
      <c r="P31" s="213" t="s">
        <v>43</v>
      </c>
      <c r="AI31" s="212" t="s">
        <v>43</v>
      </c>
      <c r="AS31" s="212">
        <f>SUM(AJ32:AJ39)</f>
        <v>0</v>
      </c>
      <c r="AT31" s="212">
        <f>SUM(AK32:AK39)</f>
        <v>0</v>
      </c>
      <c r="AU31" s="212">
        <f>SUM(AL32:AL39)</f>
        <v>0</v>
      </c>
    </row>
    <row r="32" spans="1:76" s="283" customFormat="1" x14ac:dyDescent="0.25">
      <c r="A32" s="251">
        <f>A29+1</f>
        <v>9</v>
      </c>
      <c r="B32" s="292" t="s">
        <v>43</v>
      </c>
      <c r="C32" s="291" t="s">
        <v>961</v>
      </c>
      <c r="D32" s="290" t="s">
        <v>962</v>
      </c>
      <c r="E32" s="290"/>
      <c r="F32" s="546" t="s">
        <v>92</v>
      </c>
      <c r="G32" s="246">
        <f>SUM(G33:G33)</f>
        <v>540</v>
      </c>
      <c r="H32" s="245"/>
      <c r="I32" s="289" t="s">
        <v>95</v>
      </c>
      <c r="J32" s="288">
        <f>G32*AO32</f>
        <v>0</v>
      </c>
      <c r="K32" s="288">
        <f>G32*AP32</f>
        <v>0</v>
      </c>
      <c r="L32" s="287">
        <f>G32*H32</f>
        <v>0</v>
      </c>
      <c r="M32" s="286">
        <f>L32*(1+BW32/100)</f>
        <v>0</v>
      </c>
      <c r="N32" s="285">
        <v>3.15E-2</v>
      </c>
      <c r="O32" s="284">
        <f>G32*N32</f>
        <v>17.010000000000002</v>
      </c>
      <c r="P32" s="213" t="s">
        <v>769</v>
      </c>
      <c r="Z32" s="283">
        <f>IF(AQ32="5",BJ32,0)</f>
        <v>0</v>
      </c>
      <c r="AB32" s="283">
        <f>IF(AQ32="1",BH32,0)</f>
        <v>0</v>
      </c>
      <c r="AC32" s="283">
        <f>IF(AQ32="1",BI32,0)</f>
        <v>0</v>
      </c>
      <c r="AD32" s="283">
        <f>IF(AQ32="7",BH32,0)</f>
        <v>0</v>
      </c>
      <c r="AE32" s="283">
        <f>IF(AQ32="7",BI32,0)</f>
        <v>0</v>
      </c>
      <c r="AF32" s="283">
        <f>IF(AQ32="2",BH32,0)</f>
        <v>0</v>
      </c>
      <c r="AG32" s="283">
        <f>IF(AQ32="2",BI32,0)</f>
        <v>0</v>
      </c>
      <c r="AH32" s="283">
        <f>IF(AQ32="0",BJ32,0)</f>
        <v>0</v>
      </c>
      <c r="AI32" s="283" t="s">
        <v>43</v>
      </c>
      <c r="AJ32" s="283">
        <f>IF(AN32=0,L32,0)</f>
        <v>0</v>
      </c>
      <c r="AK32" s="283">
        <f>IF(AN32=12,L32,0)</f>
        <v>0</v>
      </c>
      <c r="AL32" s="283">
        <f>IF(AN32=21,L32,0)</f>
        <v>0</v>
      </c>
      <c r="AN32" s="283">
        <v>12</v>
      </c>
      <c r="AO32" s="283">
        <f>H32*0.060494777</f>
        <v>0</v>
      </c>
      <c r="AP32" s="283">
        <f>H32*(1-0.060494777)</f>
        <v>0</v>
      </c>
      <c r="AQ32" s="283" t="s">
        <v>91</v>
      </c>
      <c r="AV32" s="283">
        <f>AW32+AX32</f>
        <v>0</v>
      </c>
      <c r="AW32" s="283">
        <f>G32*AO32</f>
        <v>0</v>
      </c>
      <c r="AX32" s="283">
        <f>G32*AP32</f>
        <v>0</v>
      </c>
      <c r="AY32" s="283" t="s">
        <v>943</v>
      </c>
      <c r="AZ32" s="283" t="s">
        <v>939</v>
      </c>
      <c r="BA32" s="283" t="s">
        <v>85</v>
      </c>
      <c r="BC32" s="283">
        <f>AW32+AX32</f>
        <v>0</v>
      </c>
      <c r="BD32" s="283">
        <f>H32/(100-BE32)*100</f>
        <v>0</v>
      </c>
      <c r="BE32" s="283">
        <v>0</v>
      </c>
      <c r="BF32" s="283">
        <f>O32</f>
        <v>17.010000000000002</v>
      </c>
      <c r="BH32" s="283">
        <f>G32*AO32</f>
        <v>0</v>
      </c>
      <c r="BI32" s="283">
        <f>G32*AP32</f>
        <v>0</v>
      </c>
      <c r="BJ32" s="283">
        <f>G32*H32</f>
        <v>0</v>
      </c>
      <c r="BL32" s="283">
        <v>59</v>
      </c>
      <c r="BW32" s="283" t="str">
        <f>I32</f>
        <v>12</v>
      </c>
      <c r="BX32" s="283" t="s">
        <v>942</v>
      </c>
    </row>
    <row r="33" spans="1:76" s="230" customFormat="1" ht="6.75" customHeight="1" x14ac:dyDescent="0.25">
      <c r="A33" s="266"/>
      <c r="B33" s="239"/>
      <c r="C33" s="557" t="s">
        <v>930</v>
      </c>
      <c r="D33" s="266">
        <v>540</v>
      </c>
      <c r="E33" s="238" t="s">
        <v>929</v>
      </c>
      <c r="F33" s="265" t="s">
        <v>92</v>
      </c>
      <c r="G33" s="236">
        <f>D33</f>
        <v>540</v>
      </c>
      <c r="H33" s="235"/>
      <c r="I33" s="235"/>
      <c r="J33" s="234"/>
      <c r="K33" s="234"/>
      <c r="L33" s="233"/>
      <c r="M33" s="233"/>
      <c r="N33" s="232"/>
      <c r="O33" s="231"/>
    </row>
    <row r="34" spans="1:76" s="283" customFormat="1" x14ac:dyDescent="0.25">
      <c r="A34" s="251">
        <f>A32+1</f>
        <v>10</v>
      </c>
      <c r="B34" s="292" t="s">
        <v>43</v>
      </c>
      <c r="C34" s="291" t="s">
        <v>944</v>
      </c>
      <c r="D34" s="290" t="s">
        <v>945</v>
      </c>
      <c r="E34" s="290"/>
      <c r="F34" s="546" t="s">
        <v>265</v>
      </c>
      <c r="G34" s="246">
        <f>SUM(G35:G36)</f>
        <v>2340</v>
      </c>
      <c r="H34" s="245"/>
      <c r="I34" s="289" t="s">
        <v>95</v>
      </c>
      <c r="J34" s="288">
        <f>G34*AO34</f>
        <v>0</v>
      </c>
      <c r="K34" s="288">
        <f>G34*AP34</f>
        <v>0</v>
      </c>
      <c r="L34" s="287">
        <f>G34*H34</f>
        <v>0</v>
      </c>
      <c r="M34" s="286">
        <f>L34*(1+BW34/100)</f>
        <v>0</v>
      </c>
      <c r="N34" s="285">
        <v>2.8000000000000001E-2</v>
      </c>
      <c r="O34" s="284">
        <f>G34*N34</f>
        <v>65.52</v>
      </c>
      <c r="P34" s="213" t="s">
        <v>769</v>
      </c>
      <c r="Z34" s="283">
        <f>IF(AQ34="5",BJ34,0)</f>
        <v>0</v>
      </c>
      <c r="AB34" s="283">
        <f>IF(AQ34="1",BH34,0)</f>
        <v>0</v>
      </c>
      <c r="AC34" s="283">
        <f>IF(AQ34="1",BI34,0)</f>
        <v>0</v>
      </c>
      <c r="AD34" s="283">
        <f>IF(AQ34="7",BH34,0)</f>
        <v>0</v>
      </c>
      <c r="AE34" s="283">
        <f>IF(AQ34="7",BI34,0)</f>
        <v>0</v>
      </c>
      <c r="AF34" s="283">
        <f>IF(AQ34="2",BH34,0)</f>
        <v>0</v>
      </c>
      <c r="AG34" s="283">
        <f>IF(AQ34="2",BI34,0)</f>
        <v>0</v>
      </c>
      <c r="AH34" s="283">
        <f>IF(AQ34="0",BJ34,0)</f>
        <v>0</v>
      </c>
      <c r="AI34" s="283" t="s">
        <v>43</v>
      </c>
      <c r="AJ34" s="283">
        <f>IF(AN34=0,L34,0)</f>
        <v>0</v>
      </c>
      <c r="AK34" s="283">
        <f>IF(AN34=12,L34,0)</f>
        <v>0</v>
      </c>
      <c r="AL34" s="283">
        <f>IF(AN34=21,L34,0)</f>
        <v>0</v>
      </c>
      <c r="AN34" s="283">
        <v>12</v>
      </c>
      <c r="AO34" s="283">
        <f>H34*1</f>
        <v>0</v>
      </c>
      <c r="AP34" s="283">
        <f>H34*(1-1)</f>
        <v>0</v>
      </c>
      <c r="AQ34" s="283" t="s">
        <v>91</v>
      </c>
      <c r="AV34" s="283">
        <f>AW34+AX34</f>
        <v>0</v>
      </c>
      <c r="AW34" s="283">
        <f>G34*AO34</f>
        <v>0</v>
      </c>
      <c r="AX34" s="283">
        <f>G34*AP34</f>
        <v>0</v>
      </c>
      <c r="AY34" s="283" t="s">
        <v>943</v>
      </c>
      <c r="AZ34" s="283" t="s">
        <v>939</v>
      </c>
      <c r="BA34" s="283" t="s">
        <v>85</v>
      </c>
      <c r="BC34" s="283">
        <f>AW34+AX34</f>
        <v>0</v>
      </c>
      <c r="BD34" s="283">
        <f>H34/(100-BE34)*100</f>
        <v>0</v>
      </c>
      <c r="BE34" s="283">
        <v>0</v>
      </c>
      <c r="BF34" s="283">
        <f>O34</f>
        <v>65.52</v>
      </c>
      <c r="BH34" s="283">
        <f>G34*AO34</f>
        <v>0</v>
      </c>
      <c r="BI34" s="283">
        <f>G34*AP34</f>
        <v>0</v>
      </c>
      <c r="BJ34" s="283">
        <f>G34*H34</f>
        <v>0</v>
      </c>
      <c r="BL34" s="283">
        <v>59</v>
      </c>
      <c r="BW34" s="283" t="str">
        <f>I34</f>
        <v>12</v>
      </c>
      <c r="BX34" s="283" t="s">
        <v>945</v>
      </c>
    </row>
    <row r="35" spans="1:76" s="230" customFormat="1" ht="6.75" customHeight="1" x14ac:dyDescent="0.25">
      <c r="A35" s="361">
        <f>G32</f>
        <v>540</v>
      </c>
      <c r="B35" s="276"/>
      <c r="C35" s="275" t="s">
        <v>90</v>
      </c>
      <c r="D35" s="541">
        <f>1/(0.6*0.4)</f>
        <v>4.166666666666667</v>
      </c>
      <c r="E35" s="238" t="str">
        <f>D32</f>
        <v>Kladení betonových vegetačních tvárnic, lože z kameniva</v>
      </c>
      <c r="F35" s="265" t="s">
        <v>265</v>
      </c>
      <c r="G35" s="236">
        <f>D35*A35</f>
        <v>2250</v>
      </c>
      <c r="H35" s="235"/>
      <c r="I35" s="235"/>
      <c r="J35" s="234"/>
      <c r="K35" s="234"/>
      <c r="L35" s="233"/>
      <c r="M35" s="233"/>
      <c r="N35" s="232"/>
      <c r="O35" s="231"/>
    </row>
    <row r="36" spans="1:76" s="230" customFormat="1" ht="6.75" customHeight="1" x14ac:dyDescent="0.25">
      <c r="A36" s="361">
        <f>SUM(G35:G35)</f>
        <v>2250</v>
      </c>
      <c r="B36" s="542"/>
      <c r="C36" s="277"/>
      <c r="D36" s="543">
        <v>0.04</v>
      </c>
      <c r="E36" s="238" t="s">
        <v>320</v>
      </c>
      <c r="F36" s="265" t="s">
        <v>265</v>
      </c>
      <c r="G36" s="236">
        <f>D36*A36</f>
        <v>90</v>
      </c>
      <c r="H36" s="235"/>
      <c r="I36" s="235"/>
      <c r="J36" s="234"/>
      <c r="K36" s="234"/>
      <c r="L36" s="233"/>
      <c r="M36" s="233"/>
      <c r="N36" s="232"/>
      <c r="O36" s="231"/>
    </row>
    <row r="37" spans="1:76" s="283" customFormat="1" x14ac:dyDescent="0.25">
      <c r="A37" s="251">
        <f>A34+1</f>
        <v>11</v>
      </c>
      <c r="B37" s="292" t="s">
        <v>43</v>
      </c>
      <c r="C37" s="291" t="s">
        <v>946</v>
      </c>
      <c r="D37" s="290" t="s">
        <v>947</v>
      </c>
      <c r="E37" s="290"/>
      <c r="F37" s="546" t="s">
        <v>94</v>
      </c>
      <c r="G37" s="246">
        <f>SUM(G38:G38)</f>
        <v>17.712</v>
      </c>
      <c r="H37" s="245"/>
      <c r="I37" s="289" t="s">
        <v>95</v>
      </c>
      <c r="J37" s="288">
        <f>G37*AO37</f>
        <v>0</v>
      </c>
      <c r="K37" s="288">
        <f>G37*AP37</f>
        <v>0</v>
      </c>
      <c r="L37" s="287">
        <f>G37*H37</f>
        <v>0</v>
      </c>
      <c r="M37" s="286">
        <f>L37*(1+BW37/100)</f>
        <v>0</v>
      </c>
      <c r="N37" s="285">
        <v>0</v>
      </c>
      <c r="O37" s="284">
        <f>G37*N37</f>
        <v>0</v>
      </c>
      <c r="P37" s="213" t="s">
        <v>769</v>
      </c>
      <c r="Z37" s="283">
        <f>IF(AQ37="5",BJ37,0)</f>
        <v>0</v>
      </c>
      <c r="AB37" s="283">
        <f>IF(AQ37="1",BH37,0)</f>
        <v>0</v>
      </c>
      <c r="AC37" s="283">
        <f>IF(AQ37="1",BI37,0)</f>
        <v>0</v>
      </c>
      <c r="AD37" s="283">
        <f>IF(AQ37="7",BH37,0)</f>
        <v>0</v>
      </c>
      <c r="AE37" s="283">
        <f>IF(AQ37="7",BI37,0)</f>
        <v>0</v>
      </c>
      <c r="AF37" s="283">
        <f>IF(AQ37="2",BH37,0)</f>
        <v>0</v>
      </c>
      <c r="AG37" s="283">
        <f>IF(AQ37="2",BI37,0)</f>
        <v>0</v>
      </c>
      <c r="AH37" s="283">
        <f>IF(AQ37="0",BJ37,0)</f>
        <v>0</v>
      </c>
      <c r="AI37" s="283" t="s">
        <v>43</v>
      </c>
      <c r="AJ37" s="283">
        <f>IF(AN37=0,L37,0)</f>
        <v>0</v>
      </c>
      <c r="AK37" s="283">
        <f>IF(AN37=12,L37,0)</f>
        <v>0</v>
      </c>
      <c r="AL37" s="283">
        <f>IF(AN37=21,L37,0)</f>
        <v>0</v>
      </c>
      <c r="AN37" s="283">
        <v>12</v>
      </c>
      <c r="AO37" s="283">
        <f>H37*0</f>
        <v>0</v>
      </c>
      <c r="AP37" s="283">
        <f>H37*(1-0)</f>
        <v>0</v>
      </c>
      <c r="AQ37" s="283" t="s">
        <v>91</v>
      </c>
      <c r="AV37" s="283">
        <f>AW37+AX37</f>
        <v>0</v>
      </c>
      <c r="AW37" s="283">
        <f>G37*AO37</f>
        <v>0</v>
      </c>
      <c r="AX37" s="283">
        <f>G37*AP37</f>
        <v>0</v>
      </c>
      <c r="AY37" s="283" t="s">
        <v>943</v>
      </c>
      <c r="AZ37" s="283" t="s">
        <v>939</v>
      </c>
      <c r="BA37" s="283" t="s">
        <v>85</v>
      </c>
      <c r="BC37" s="283">
        <f>AW37+AX37</f>
        <v>0</v>
      </c>
      <c r="BD37" s="283">
        <f>H37/(100-BE37)*100</f>
        <v>0</v>
      </c>
      <c r="BE37" s="283">
        <v>0</v>
      </c>
      <c r="BF37" s="283">
        <f>O37</f>
        <v>0</v>
      </c>
      <c r="BH37" s="283">
        <f>G37*AO37</f>
        <v>0</v>
      </c>
      <c r="BI37" s="283">
        <f>G37*AP37</f>
        <v>0</v>
      </c>
      <c r="BJ37" s="283">
        <f>G37*H37</f>
        <v>0</v>
      </c>
      <c r="BL37" s="283">
        <v>59</v>
      </c>
      <c r="BW37" s="283" t="str">
        <f>I37</f>
        <v>12</v>
      </c>
      <c r="BX37" s="283" t="s">
        <v>947</v>
      </c>
    </row>
    <row r="38" spans="1:76" s="230" customFormat="1" ht="6.75" customHeight="1" x14ac:dyDescent="0.25">
      <c r="A38" s="361">
        <f>A35*0.08</f>
        <v>43.2</v>
      </c>
      <c r="B38" s="276"/>
      <c r="C38" s="275" t="s">
        <v>90</v>
      </c>
      <c r="D38" s="543">
        <v>0.41</v>
      </c>
      <c r="E38" s="238" t="str">
        <f>D34</f>
        <v>Dlažba betonová zatravňovací 600 x 400 x 80 mm šedá</v>
      </c>
      <c r="F38" s="265" t="s">
        <v>94</v>
      </c>
      <c r="G38" s="236">
        <f>D38*A38</f>
        <v>17.712</v>
      </c>
      <c r="H38" s="235"/>
      <c r="I38" s="235"/>
      <c r="J38" s="234"/>
      <c r="K38" s="234"/>
      <c r="L38" s="233"/>
      <c r="M38" s="233"/>
      <c r="N38" s="232"/>
      <c r="O38" s="231"/>
    </row>
    <row r="39" spans="1:76" s="283" customFormat="1" x14ac:dyDescent="0.25">
      <c r="A39" s="251">
        <f>A37+1</f>
        <v>12</v>
      </c>
      <c r="B39" s="292" t="s">
        <v>43</v>
      </c>
      <c r="C39" s="291" t="s">
        <v>948</v>
      </c>
      <c r="D39" s="290" t="s">
        <v>949</v>
      </c>
      <c r="E39" s="290"/>
      <c r="F39" s="546" t="s">
        <v>82</v>
      </c>
      <c r="G39" s="246">
        <f>SUM(G40:G41)</f>
        <v>30.170620799999998</v>
      </c>
      <c r="H39" s="245"/>
      <c r="I39" s="289" t="s">
        <v>95</v>
      </c>
      <c r="J39" s="288">
        <f>G39*AO39</f>
        <v>0</v>
      </c>
      <c r="K39" s="288">
        <f>G39*AP39</f>
        <v>0</v>
      </c>
      <c r="L39" s="287">
        <f>G39*H39</f>
        <v>0</v>
      </c>
      <c r="M39" s="286">
        <f>L39*(1+BW39/100)</f>
        <v>0</v>
      </c>
      <c r="N39" s="285">
        <v>1</v>
      </c>
      <c r="O39" s="284">
        <f>G39*N39</f>
        <v>30.170620799999998</v>
      </c>
      <c r="P39" s="213" t="s">
        <v>769</v>
      </c>
      <c r="Z39" s="283">
        <f>IF(AQ39="5",BJ39,0)</f>
        <v>0</v>
      </c>
      <c r="AB39" s="283">
        <f>IF(AQ39="1",BH39,0)</f>
        <v>0</v>
      </c>
      <c r="AC39" s="283">
        <f>IF(AQ39="1",BI39,0)</f>
        <v>0</v>
      </c>
      <c r="AD39" s="283">
        <f>IF(AQ39="7",BH39,0)</f>
        <v>0</v>
      </c>
      <c r="AE39" s="283">
        <f>IF(AQ39="7",BI39,0)</f>
        <v>0</v>
      </c>
      <c r="AF39" s="283">
        <f>IF(AQ39="2",BH39,0)</f>
        <v>0</v>
      </c>
      <c r="AG39" s="283">
        <f>IF(AQ39="2",BI39,0)</f>
        <v>0</v>
      </c>
      <c r="AH39" s="283">
        <f>IF(AQ39="0",BJ39,0)</f>
        <v>0</v>
      </c>
      <c r="AI39" s="283" t="s">
        <v>43</v>
      </c>
      <c r="AJ39" s="283">
        <f>IF(AN39=0,L39,0)</f>
        <v>0</v>
      </c>
      <c r="AK39" s="283">
        <f>IF(AN39=12,L39,0)</f>
        <v>0</v>
      </c>
      <c r="AL39" s="283">
        <f>IF(AN39=21,L39,0)</f>
        <v>0</v>
      </c>
      <c r="AN39" s="283">
        <v>12</v>
      </c>
      <c r="AO39" s="283">
        <f>H39*1</f>
        <v>0</v>
      </c>
      <c r="AP39" s="283">
        <f>H39*(1-1)</f>
        <v>0</v>
      </c>
      <c r="AQ39" s="283" t="s">
        <v>91</v>
      </c>
      <c r="AV39" s="283">
        <f>AW39+AX39</f>
        <v>0</v>
      </c>
      <c r="AW39" s="283">
        <f>G39*AO39</f>
        <v>0</v>
      </c>
      <c r="AX39" s="283">
        <f>G39*AP39</f>
        <v>0</v>
      </c>
      <c r="AY39" s="283" t="s">
        <v>943</v>
      </c>
      <c r="AZ39" s="283" t="s">
        <v>939</v>
      </c>
      <c r="BA39" s="283" t="s">
        <v>85</v>
      </c>
      <c r="BC39" s="283">
        <f>AW39+AX39</f>
        <v>0</v>
      </c>
      <c r="BD39" s="283">
        <f>H39/(100-BE39)*100</f>
        <v>0</v>
      </c>
      <c r="BE39" s="283">
        <v>0</v>
      </c>
      <c r="BF39" s="283">
        <f>O39</f>
        <v>30.170620799999998</v>
      </c>
      <c r="BH39" s="283">
        <f>G39*AO39</f>
        <v>0</v>
      </c>
      <c r="BI39" s="283">
        <f>G39*AP39</f>
        <v>0</v>
      </c>
      <c r="BJ39" s="283">
        <f>G39*H39</f>
        <v>0</v>
      </c>
      <c r="BL39" s="283">
        <v>59</v>
      </c>
      <c r="BW39" s="283" t="str">
        <f>I39</f>
        <v>12</v>
      </c>
      <c r="BX39" s="283" t="s">
        <v>950</v>
      </c>
    </row>
    <row r="40" spans="1:76" s="230" customFormat="1" ht="6.75" customHeight="1" x14ac:dyDescent="0.25">
      <c r="A40" s="361">
        <f>G37</f>
        <v>17.712</v>
      </c>
      <c r="B40" s="276"/>
      <c r="C40" s="275" t="s">
        <v>90</v>
      </c>
      <c r="D40" s="541">
        <v>1.67</v>
      </c>
      <c r="E40" s="238" t="str">
        <f>D37</f>
        <v>Příplatek za výplň otvorů vegetačních tvárnic betonových, bez dodávky výplňového materiálu</v>
      </c>
      <c r="F40" s="265" t="s">
        <v>82</v>
      </c>
      <c r="G40" s="236">
        <f>D40*A40</f>
        <v>29.579039999999999</v>
      </c>
      <c r="H40" s="235"/>
      <c r="I40" s="235"/>
      <c r="J40" s="234"/>
      <c r="K40" s="234"/>
      <c r="L40" s="233"/>
      <c r="M40" s="233"/>
      <c r="N40" s="232"/>
      <c r="O40" s="231"/>
    </row>
    <row r="41" spans="1:76" s="230" customFormat="1" ht="6.75" customHeight="1" x14ac:dyDescent="0.25">
      <c r="A41" s="361">
        <f>SUM(G40:G40)</f>
        <v>29.579039999999999</v>
      </c>
      <c r="B41" s="542"/>
      <c r="C41" s="277"/>
      <c r="D41" s="543">
        <v>0.02</v>
      </c>
      <c r="E41" s="238" t="s">
        <v>320</v>
      </c>
      <c r="F41" s="265" t="s">
        <v>82</v>
      </c>
      <c r="G41" s="236">
        <f>D41*A41</f>
        <v>0.59158080000000002</v>
      </c>
      <c r="H41" s="235"/>
      <c r="I41" s="235"/>
      <c r="J41" s="234"/>
      <c r="K41" s="234"/>
      <c r="L41" s="233"/>
      <c r="M41" s="233"/>
      <c r="N41" s="232"/>
      <c r="O41" s="231"/>
    </row>
    <row r="42" spans="1:76" x14ac:dyDescent="0.25">
      <c r="A42" s="264"/>
      <c r="B42" s="263"/>
      <c r="C42" s="262"/>
      <c r="D42" s="261" t="str">
        <f>'4-Rekapitulace'!B16</f>
        <v>91 : doplňující konstrukce a práce na pozemních komunikacích a zpevněných plochách</v>
      </c>
      <c r="E42" s="261"/>
      <c r="F42" s="260"/>
      <c r="G42" s="259"/>
      <c r="H42" s="258"/>
      <c r="I42" s="257"/>
      <c r="J42" s="256"/>
      <c r="K42" s="256"/>
      <c r="L42" s="255">
        <f>SUM(L43:L49)</f>
        <v>0</v>
      </c>
      <c r="M42" s="254"/>
      <c r="N42" s="253"/>
      <c r="O42" s="252">
        <f>SUM(O43:O49)</f>
        <v>46.1968125</v>
      </c>
    </row>
    <row r="43" spans="1:76" s="283" customFormat="1" x14ac:dyDescent="0.25">
      <c r="A43" s="251">
        <f>A39+1</f>
        <v>13</v>
      </c>
      <c r="B43" s="292"/>
      <c r="C43" s="291" t="s">
        <v>951</v>
      </c>
      <c r="D43" s="290" t="s">
        <v>952</v>
      </c>
      <c r="E43" s="290"/>
      <c r="F43" s="546" t="s">
        <v>272</v>
      </c>
      <c r="G43" s="269">
        <f>SUM(G44:G44)</f>
        <v>111</v>
      </c>
      <c r="H43" s="245"/>
      <c r="I43" s="289" t="s">
        <v>95</v>
      </c>
      <c r="J43" s="288">
        <f>G43*AO43</f>
        <v>0</v>
      </c>
      <c r="K43" s="288">
        <f>G43*AP43</f>
        <v>0</v>
      </c>
      <c r="L43" s="287">
        <f>G43*H43</f>
        <v>0</v>
      </c>
      <c r="M43" s="286">
        <f>L43*(1+BW43/100)</f>
        <v>0</v>
      </c>
      <c r="N43" s="285">
        <v>0.1525</v>
      </c>
      <c r="O43" s="284">
        <f>G43*N43</f>
        <v>16.927499999999998</v>
      </c>
      <c r="P43" s="213" t="s">
        <v>769</v>
      </c>
    </row>
    <row r="44" spans="1:76" s="230" customFormat="1" ht="6.75" customHeight="1" x14ac:dyDescent="0.25">
      <c r="A44" s="266"/>
      <c r="B44" s="239"/>
      <c r="C44" s="557" t="s">
        <v>930</v>
      </c>
      <c r="D44" s="266">
        <v>111</v>
      </c>
      <c r="E44" s="238" t="s">
        <v>931</v>
      </c>
      <c r="F44" s="237" t="s">
        <v>272</v>
      </c>
      <c r="G44" s="236">
        <f>D44</f>
        <v>111</v>
      </c>
      <c r="H44" s="235"/>
      <c r="I44" s="235"/>
      <c r="J44" s="234"/>
      <c r="K44" s="234"/>
      <c r="L44" s="233"/>
      <c r="M44" s="233"/>
      <c r="N44" s="232"/>
      <c r="O44" s="231"/>
    </row>
    <row r="45" spans="1:76" s="283" customFormat="1" x14ac:dyDescent="0.25">
      <c r="A45" s="251">
        <f>A43+1</f>
        <v>14</v>
      </c>
      <c r="B45" s="292" t="s">
        <v>43</v>
      </c>
      <c r="C45" s="291" t="s">
        <v>953</v>
      </c>
      <c r="D45" s="290" t="s">
        <v>954</v>
      </c>
      <c r="E45" s="290"/>
      <c r="F45" s="546" t="s">
        <v>265</v>
      </c>
      <c r="G45" s="246">
        <f>SUM(G46:G47)</f>
        <v>481.00000000000006</v>
      </c>
      <c r="H45" s="245"/>
      <c r="I45" s="289" t="s">
        <v>95</v>
      </c>
      <c r="J45" s="288">
        <f>G45*AO45</f>
        <v>0</v>
      </c>
      <c r="K45" s="288">
        <f>G45*AP45</f>
        <v>7215.0000000000009</v>
      </c>
      <c r="L45" s="287">
        <f>G45*H45</f>
        <v>0</v>
      </c>
      <c r="M45" s="286">
        <f>L45*(1+BW45/100)</f>
        <v>0</v>
      </c>
      <c r="N45" s="285">
        <v>3.9E-2</v>
      </c>
      <c r="O45" s="240">
        <f>G45*N45</f>
        <v>18.759000000000004</v>
      </c>
      <c r="P45" s="213" t="s">
        <v>769</v>
      </c>
      <c r="AB45" s="283">
        <f>IF(AS45="5",BL45,0)</f>
        <v>0</v>
      </c>
      <c r="AD45" s="283">
        <f>IF(AS45="1",BJ45,0)</f>
        <v>0</v>
      </c>
      <c r="AE45" s="283">
        <f>IF(AS45="1",BK45,0)</f>
        <v>0</v>
      </c>
      <c r="AF45" s="283">
        <f>IF(AS45="7",BJ45,0)</f>
        <v>0</v>
      </c>
      <c r="AG45" s="283">
        <f>IF(AS45="7",BK45,0)</f>
        <v>0</v>
      </c>
      <c r="AH45" s="283">
        <f>IF(AS45="2",BJ45,0)</f>
        <v>0</v>
      </c>
      <c r="AI45" s="283">
        <f>IF(AS45="2",BK45,0)</f>
        <v>0</v>
      </c>
      <c r="AJ45" s="283">
        <f>IF(AS45="0",BL45,0)</f>
        <v>0</v>
      </c>
      <c r="AK45" s="283" t="s">
        <v>43</v>
      </c>
      <c r="AL45" s="283">
        <f>IF(AP45=0,L45,0)</f>
        <v>0</v>
      </c>
      <c r="AM45" s="283">
        <f>IF(AP45=15,L45,0)</f>
        <v>0</v>
      </c>
      <c r="AN45" s="283">
        <f>IF(AP45=21,L45,0)</f>
        <v>0</v>
      </c>
      <c r="AP45" s="283">
        <v>15</v>
      </c>
      <c r="AQ45" s="283">
        <f>H45*0</f>
        <v>0</v>
      </c>
      <c r="AR45" s="283">
        <f>H45*(1-0)</f>
        <v>0</v>
      </c>
      <c r="AS45" s="283" t="s">
        <v>91</v>
      </c>
      <c r="AX45" s="283">
        <f>AY45+AZ45</f>
        <v>0</v>
      </c>
      <c r="AY45" s="283">
        <f>G45*AQ45</f>
        <v>0</v>
      </c>
      <c r="AZ45" s="283">
        <f>G45*AR45</f>
        <v>0</v>
      </c>
      <c r="BA45" s="283" t="s">
        <v>118</v>
      </c>
      <c r="BB45" s="283" t="s">
        <v>117</v>
      </c>
      <c r="BC45" s="283" t="s">
        <v>85</v>
      </c>
      <c r="BE45" s="283">
        <f>AY45+AZ45</f>
        <v>0</v>
      </c>
      <c r="BF45" s="283">
        <f>H45/(100-BG45)*100</f>
        <v>0</v>
      </c>
      <c r="BG45" s="283">
        <v>0</v>
      </c>
      <c r="BH45" s="283">
        <f>O45</f>
        <v>18.759000000000004</v>
      </c>
      <c r="BJ45" s="283">
        <f>G45*AQ45</f>
        <v>0</v>
      </c>
      <c r="BK45" s="283">
        <f>G45*AR45</f>
        <v>0</v>
      </c>
      <c r="BL45" s="283">
        <f>G45*H45</f>
        <v>0</v>
      </c>
      <c r="BN45" s="283">
        <v>16</v>
      </c>
    </row>
    <row r="46" spans="1:76" s="230" customFormat="1" ht="6.75" customHeight="1" x14ac:dyDescent="0.25">
      <c r="A46" s="361">
        <f>G43</f>
        <v>111</v>
      </c>
      <c r="B46" s="276"/>
      <c r="C46" s="275" t="s">
        <v>90</v>
      </c>
      <c r="D46" s="541">
        <f>1/(0.6*0.4)</f>
        <v>4.166666666666667</v>
      </c>
      <c r="E46" s="238" t="str">
        <f>D43</f>
        <v>Osazení park. obrubníků do lože z C 12/15 s opěrou</v>
      </c>
      <c r="F46" s="265" t="s">
        <v>265</v>
      </c>
      <c r="G46" s="236">
        <f>D46*A46</f>
        <v>462.50000000000006</v>
      </c>
      <c r="H46" s="235"/>
      <c r="I46" s="235"/>
      <c r="J46" s="234"/>
      <c r="K46" s="234"/>
      <c r="L46" s="233"/>
      <c r="M46" s="233"/>
      <c r="N46" s="232"/>
      <c r="O46" s="231"/>
    </row>
    <row r="47" spans="1:76" s="230" customFormat="1" ht="6.75" customHeight="1" x14ac:dyDescent="0.25">
      <c r="A47" s="361">
        <f>SUM(G46:G46)</f>
        <v>462.50000000000006</v>
      </c>
      <c r="B47" s="542"/>
      <c r="C47" s="277"/>
      <c r="D47" s="543">
        <v>0.04</v>
      </c>
      <c r="E47" s="238" t="s">
        <v>320</v>
      </c>
      <c r="F47" s="265" t="s">
        <v>265</v>
      </c>
      <c r="G47" s="236">
        <f>D47*A47</f>
        <v>18.500000000000004</v>
      </c>
      <c r="H47" s="235"/>
      <c r="I47" s="235"/>
      <c r="J47" s="234"/>
      <c r="K47" s="234"/>
      <c r="L47" s="233"/>
      <c r="M47" s="233"/>
      <c r="N47" s="232"/>
      <c r="O47" s="231"/>
    </row>
    <row r="48" spans="1:76" x14ac:dyDescent="0.25">
      <c r="A48" s="251">
        <f>A45+1</f>
        <v>15</v>
      </c>
      <c r="B48" s="250"/>
      <c r="C48" s="291" t="s">
        <v>955</v>
      </c>
      <c r="D48" s="290" t="s">
        <v>956</v>
      </c>
      <c r="E48" s="290"/>
      <c r="F48" s="546" t="s">
        <v>94</v>
      </c>
      <c r="G48" s="269">
        <f>SUM(G49:G49)</f>
        <v>4.1624999999999996</v>
      </c>
      <c r="H48" s="245"/>
      <c r="I48" s="289" t="s">
        <v>95</v>
      </c>
      <c r="J48" s="288">
        <f>G48*AO48</f>
        <v>0</v>
      </c>
      <c r="K48" s="288">
        <f>G48*AP48</f>
        <v>0</v>
      </c>
      <c r="L48" s="287">
        <f>G48*H48</f>
        <v>0</v>
      </c>
      <c r="M48" s="286">
        <f>L48*(1+BW48/100)</f>
        <v>0</v>
      </c>
      <c r="N48" s="285">
        <v>2.5249999999999999</v>
      </c>
      <c r="O48" s="240">
        <f>G48*N48</f>
        <v>10.5103125</v>
      </c>
      <c r="P48" s="213" t="s">
        <v>769</v>
      </c>
    </row>
    <row r="49" spans="1:76" s="230" customFormat="1" ht="6.75" customHeight="1" x14ac:dyDescent="0.25">
      <c r="A49" s="274">
        <f>G43</f>
        <v>111</v>
      </c>
      <c r="B49" s="276"/>
      <c r="C49" s="275" t="s">
        <v>90</v>
      </c>
      <c r="D49" s="266">
        <f>0.25*0.15</f>
        <v>3.7499999999999999E-2</v>
      </c>
      <c r="E49" s="238" t="str">
        <f>D43</f>
        <v>Osazení park. obrubníků do lože z C 12/15 s opěrou</v>
      </c>
      <c r="F49" s="265" t="s">
        <v>94</v>
      </c>
      <c r="G49" s="236">
        <f>D49*A49</f>
        <v>4.1624999999999996</v>
      </c>
      <c r="H49" s="563"/>
      <c r="I49" s="235"/>
      <c r="J49" s="234"/>
      <c r="K49" s="234"/>
      <c r="L49" s="233"/>
      <c r="M49" s="233"/>
      <c r="N49" s="232"/>
      <c r="O49" s="231"/>
    </row>
    <row r="50" spans="1:76" x14ac:dyDescent="0.25">
      <c r="A50" s="264" t="s">
        <v>43</v>
      </c>
      <c r="B50" s="263" t="s">
        <v>43</v>
      </c>
      <c r="C50" s="262"/>
      <c r="D50" s="261" t="str">
        <f>'4-Rekapitulace'!B17</f>
        <v>95 : různé dokončovací konstrukce a práce pozemních staveb</v>
      </c>
      <c r="E50" s="261"/>
      <c r="F50" s="260" t="s">
        <v>49</v>
      </c>
      <c r="G50" s="259"/>
      <c r="H50" s="273"/>
      <c r="I50" s="272"/>
      <c r="J50" s="256"/>
      <c r="K50" s="256"/>
      <c r="L50" s="271">
        <f>SUM(L51:L52)</f>
        <v>0</v>
      </c>
      <c r="M50" s="270"/>
      <c r="N50" s="253"/>
      <c r="O50" s="252">
        <f>SUM(O51:O52)</f>
        <v>0</v>
      </c>
      <c r="P50" s="213" t="s">
        <v>43</v>
      </c>
      <c r="AK50" s="212" t="s">
        <v>43</v>
      </c>
      <c r="AU50" s="212">
        <f>SUM(AL51:AL53)</f>
        <v>0</v>
      </c>
      <c r="AV50" s="212">
        <f>SUM(AM51:AM53)</f>
        <v>0</v>
      </c>
      <c r="AW50" s="212">
        <f>SUM(AN51:AN53)</f>
        <v>0</v>
      </c>
    </row>
    <row r="51" spans="1:76" x14ac:dyDescent="0.25">
      <c r="A51" s="251">
        <f>A48+1</f>
        <v>16</v>
      </c>
      <c r="B51" s="250"/>
      <c r="C51" s="249" t="s">
        <v>932</v>
      </c>
      <c r="D51" s="248" t="s">
        <v>926</v>
      </c>
      <c r="E51" s="248"/>
      <c r="F51" s="247" t="s">
        <v>92</v>
      </c>
      <c r="G51" s="269">
        <f>SUM(G52:G52)</f>
        <v>540</v>
      </c>
      <c r="H51" s="245"/>
      <c r="I51" s="244" t="s">
        <v>95</v>
      </c>
      <c r="J51" s="233">
        <f>G51*AO51</f>
        <v>0</v>
      </c>
      <c r="K51" s="243">
        <f>G51*AP51</f>
        <v>0</v>
      </c>
      <c r="L51" s="242">
        <f>G51*H51</f>
        <v>0</v>
      </c>
      <c r="M51" s="233">
        <f>L51*(1+BW51/100)</f>
        <v>0</v>
      </c>
      <c r="N51" s="241">
        <v>0</v>
      </c>
      <c r="O51" s="240">
        <f>G51*N51</f>
        <v>0</v>
      </c>
      <c r="P51" s="213" t="s">
        <v>769</v>
      </c>
    </row>
    <row r="52" spans="1:76" s="230" customFormat="1" ht="6.75" customHeight="1" x14ac:dyDescent="0.25">
      <c r="A52" s="274"/>
      <c r="B52" s="276"/>
      <c r="C52" s="557" t="s">
        <v>930</v>
      </c>
      <c r="D52" s="266">
        <v>540</v>
      </c>
      <c r="E52" s="238" t="s">
        <v>929</v>
      </c>
      <c r="F52" s="265" t="s">
        <v>92</v>
      </c>
      <c r="G52" s="236">
        <f>D52</f>
        <v>540</v>
      </c>
      <c r="H52" s="563"/>
      <c r="I52" s="235"/>
      <c r="J52" s="234"/>
      <c r="K52" s="234"/>
      <c r="L52" s="233"/>
      <c r="M52" s="233"/>
      <c r="N52" s="232"/>
      <c r="O52" s="231"/>
    </row>
    <row r="53" spans="1:76" x14ac:dyDescent="0.25">
      <c r="A53" s="264"/>
      <c r="B53" s="263"/>
      <c r="C53" s="262"/>
      <c r="D53" s="261" t="str">
        <f>'4-Rekapitulace'!B18</f>
        <v>99 : přesun hmot</v>
      </c>
      <c r="E53" s="261"/>
      <c r="F53" s="260"/>
      <c r="G53" s="259"/>
      <c r="H53" s="273"/>
      <c r="I53" s="272"/>
      <c r="J53" s="256"/>
      <c r="K53" s="256"/>
      <c r="L53" s="271">
        <f>SUM(L54:L54)</f>
        <v>0</v>
      </c>
      <c r="M53" s="270"/>
      <c r="N53" s="253"/>
      <c r="O53" s="252">
        <v>0</v>
      </c>
    </row>
    <row r="54" spans="1:76" x14ac:dyDescent="0.25">
      <c r="A54" s="251">
        <f>A51+1</f>
        <v>17</v>
      </c>
      <c r="B54" s="250" t="s">
        <v>43</v>
      </c>
      <c r="C54" s="249" t="s">
        <v>933</v>
      </c>
      <c r="D54" s="248" t="s">
        <v>934</v>
      </c>
      <c r="E54" s="248"/>
      <c r="F54" s="247" t="s">
        <v>82</v>
      </c>
      <c r="G54" s="246">
        <f>SUM(G55:G55)</f>
        <v>356.50503329999998</v>
      </c>
      <c r="H54" s="245"/>
      <c r="I54" s="244" t="s">
        <v>95</v>
      </c>
      <c r="J54" s="233">
        <f>G54*AO54</f>
        <v>0</v>
      </c>
      <c r="K54" s="243">
        <f>G54*AP54</f>
        <v>0</v>
      </c>
      <c r="L54" s="242">
        <f>G54*H54</f>
        <v>0</v>
      </c>
      <c r="M54" s="233">
        <f>L54*(1+BW54/100)</f>
        <v>0</v>
      </c>
      <c r="N54" s="241">
        <v>0</v>
      </c>
      <c r="O54" s="240">
        <f>G54*N54</f>
        <v>0</v>
      </c>
      <c r="P54" s="213" t="s">
        <v>769</v>
      </c>
      <c r="Z54" s="212">
        <f>IF(AQ54="5",BJ54,0)</f>
        <v>0</v>
      </c>
      <c r="AB54" s="212">
        <f>IF(AQ54="1",BH54,0)</f>
        <v>0</v>
      </c>
      <c r="AC54" s="212">
        <f>IF(AQ54="1",BI54,0)</f>
        <v>0</v>
      </c>
      <c r="AD54" s="212">
        <f>IF(AQ54="7",BH54,0)</f>
        <v>0</v>
      </c>
      <c r="AE54" s="212">
        <f>IF(AQ54="7",BI54,0)</f>
        <v>0</v>
      </c>
      <c r="AF54" s="212">
        <f>IF(AQ54="2",BH54,0)</f>
        <v>0</v>
      </c>
      <c r="AG54" s="212">
        <f>IF(AQ54="2",BI54,0)</f>
        <v>0</v>
      </c>
      <c r="AH54" s="212">
        <f>IF(AQ54="0",BJ54,0)</f>
        <v>0</v>
      </c>
      <c r="AI54" s="212" t="s">
        <v>43</v>
      </c>
      <c r="AJ54" s="212">
        <f>IF(AN54=0,L54,0)</f>
        <v>0</v>
      </c>
      <c r="AK54" s="212">
        <f>IF(AN54=12,L54,0)</f>
        <v>0</v>
      </c>
      <c r="AL54" s="212">
        <f>IF(AN54=21,L54,0)</f>
        <v>0</v>
      </c>
      <c r="AN54" s="212">
        <v>12</v>
      </c>
      <c r="AO54" s="212">
        <f>H54*0</f>
        <v>0</v>
      </c>
      <c r="AP54" s="212">
        <f>H54*(1-0)</f>
        <v>0</v>
      </c>
      <c r="AQ54" s="212" t="s">
        <v>88</v>
      </c>
      <c r="AV54" s="212">
        <f>AW54+AX54</f>
        <v>0</v>
      </c>
      <c r="AW54" s="212">
        <f>G54*AO54</f>
        <v>0</v>
      </c>
      <c r="AX54" s="212">
        <f>G54*AP54</f>
        <v>0</v>
      </c>
      <c r="AY54" s="212" t="s">
        <v>87</v>
      </c>
      <c r="AZ54" s="212" t="s">
        <v>86</v>
      </c>
      <c r="BA54" s="212" t="s">
        <v>85</v>
      </c>
      <c r="BC54" s="212">
        <f>AW54+AX54</f>
        <v>0</v>
      </c>
      <c r="BD54" s="212">
        <f>H54/(100-BE54)*100</f>
        <v>0</v>
      </c>
      <c r="BE54" s="212">
        <v>0</v>
      </c>
      <c r="BF54" s="212">
        <f>O54</f>
        <v>0</v>
      </c>
      <c r="BH54" s="212">
        <f>G54*AO54</f>
        <v>0</v>
      </c>
      <c r="BI54" s="212">
        <f>G54*AP54</f>
        <v>0</v>
      </c>
      <c r="BJ54" s="212">
        <f>G54*H54</f>
        <v>0</v>
      </c>
      <c r="BW54" s="212" t="str">
        <f>I54</f>
        <v>12</v>
      </c>
      <c r="BX54" s="212" t="s">
        <v>925</v>
      </c>
    </row>
    <row r="55" spans="1:76" s="230" customFormat="1" ht="6.75" customHeight="1" x14ac:dyDescent="0.25">
      <c r="A55" s="266"/>
      <c r="B55" s="239"/>
      <c r="C55" s="267" t="s">
        <v>89</v>
      </c>
      <c r="D55" s="266"/>
      <c r="E55" s="238" t="s">
        <v>935</v>
      </c>
      <c r="F55" s="265" t="s">
        <v>82</v>
      </c>
      <c r="G55" s="236">
        <f>O9+O12+O16+O21+O26+O31+O42+O50</f>
        <v>356.50503329999998</v>
      </c>
      <c r="H55" s="235"/>
      <c r="I55" s="235"/>
      <c r="J55" s="234"/>
      <c r="K55" s="234"/>
      <c r="L55" s="233"/>
      <c r="M55" s="233"/>
      <c r="N55" s="232"/>
      <c r="O55" s="231"/>
    </row>
    <row r="56" spans="1:76" ht="13.5" x14ac:dyDescent="0.25">
      <c r="H56" s="564"/>
      <c r="I56" s="225"/>
      <c r="J56" s="225"/>
      <c r="K56" s="225"/>
      <c r="L56" s="229">
        <f>SUM(L9:L55)/2</f>
        <v>0</v>
      </c>
      <c r="M56" s="228"/>
    </row>
    <row r="57" spans="1:76" ht="13.5" x14ac:dyDescent="0.25">
      <c r="D57" s="227"/>
      <c r="E57" s="227"/>
      <c r="F57" s="226"/>
      <c r="H57" s="564"/>
      <c r="I57" s="225"/>
      <c r="J57" s="225"/>
      <c r="K57" s="225"/>
      <c r="L57" s="224">
        <f>'4-Rekapitulace'!I20</f>
        <v>0</v>
      </c>
      <c r="M57" s="223"/>
    </row>
  </sheetData>
  <sheetProtection algorithmName="SHA-512" hashValue="LAitfBZ1mJeyZ7FPkywj8CvbxhKx2IuoWlMjLArzvNkck2F/aSXhH3wJzXuX8U/LYyGiJ0O5c4qL/iJppjH2NA==" saltValue="3F62EURPjJyEhRqbPGGSMg==" spinCount="100000" sheet="1" objects="1" scenarios="1"/>
  <mergeCells count="3">
    <mergeCell ref="N7:O7"/>
    <mergeCell ref="D7:E7"/>
    <mergeCell ref="D8:E8"/>
  </mergeCells>
  <pageMargins left="0.59055118110236227" right="0.19685039370078741" top="0.39370078740157483" bottom="0.31496062992125984" header="0" footer="0"/>
  <pageSetup paperSize="9" scale="94" orientation="portrait" verticalDpi="300" r:id="rId1"/>
  <headerFooter alignWithMargins="0"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4A6A0-632B-438A-9C81-FF731DC5D500}">
  <sheetPr>
    <tabColor indexed="11"/>
  </sheetPr>
  <dimension ref="A1:R35"/>
  <sheetViews>
    <sheetView view="pageBreakPreview" topLeftCell="A16" zoomScale="115" workbookViewId="0">
      <selection activeCell="O23" sqref="O19:O23"/>
    </sheetView>
  </sheetViews>
  <sheetFormatPr defaultColWidth="8.85546875" defaultRowHeight="12.75" x14ac:dyDescent="0.25"/>
  <cols>
    <col min="1" max="2" width="2.7109375" style="1" customWidth="1"/>
    <col min="3" max="3" width="2.140625" style="1" customWidth="1"/>
    <col min="4" max="4" width="7.5703125" style="1" customWidth="1"/>
    <col min="5" max="5" width="13.85546875" style="1" customWidth="1"/>
    <col min="6" max="6" width="0.85546875" style="1" customWidth="1"/>
    <col min="7" max="7" width="3" style="1" customWidth="1"/>
    <col min="8" max="8" width="2.85546875" style="1" customWidth="1"/>
    <col min="9" max="9" width="10.5703125" style="1" customWidth="1"/>
    <col min="10" max="10" width="13.85546875" style="1" customWidth="1"/>
    <col min="11" max="11" width="0.7109375" style="1" customWidth="1"/>
    <col min="12" max="12" width="2.42578125" style="1" customWidth="1"/>
    <col min="13" max="13" width="4.5703125" style="1" customWidth="1"/>
    <col min="14" max="14" width="10.42578125" style="1" customWidth="1"/>
    <col min="15" max="15" width="6" style="1" customWidth="1"/>
    <col min="16" max="16" width="15.28515625" style="1" customWidth="1"/>
    <col min="17" max="17" width="14.7109375" style="1" bestFit="1" customWidth="1"/>
    <col min="18" max="18" width="10.7109375" style="1" bestFit="1" customWidth="1"/>
    <col min="19" max="16384" width="8.85546875" style="1"/>
  </cols>
  <sheetData>
    <row r="1" spans="1:18" ht="30" customHeight="1" thickBot="1" x14ac:dyDescent="0.3">
      <c r="A1" s="157"/>
      <c r="B1" s="155"/>
      <c r="C1" s="155"/>
      <c r="D1" s="155"/>
      <c r="E1" s="155"/>
      <c r="F1" s="156" t="s">
        <v>60</v>
      </c>
      <c r="G1" s="155"/>
      <c r="H1" s="155"/>
      <c r="I1" s="155"/>
      <c r="J1" s="155"/>
      <c r="K1" s="155"/>
      <c r="L1" s="155"/>
      <c r="M1" s="155"/>
      <c r="N1" s="155"/>
      <c r="O1" s="155"/>
      <c r="P1" s="154"/>
    </row>
    <row r="2" spans="1:18" ht="20.45" customHeight="1" x14ac:dyDescent="0.25">
      <c r="A2" s="153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1"/>
    </row>
    <row r="3" spans="1:18" s="116" customFormat="1" ht="20.45" customHeight="1" x14ac:dyDescent="0.25">
      <c r="A3" s="121"/>
      <c r="B3" s="116" t="s">
        <v>59</v>
      </c>
      <c r="E3" s="139" t="s">
        <v>150</v>
      </c>
      <c r="F3" s="138"/>
      <c r="G3" s="138"/>
      <c r="H3" s="138"/>
      <c r="I3" s="138"/>
      <c r="J3" s="137"/>
      <c r="L3" s="118"/>
      <c r="M3" s="118"/>
      <c r="N3" s="116" t="s">
        <v>58</v>
      </c>
      <c r="O3" s="150"/>
      <c r="P3" s="149"/>
    </row>
    <row r="4" spans="1:18" s="116" customFormat="1" ht="20.45" customHeight="1" x14ac:dyDescent="0.25">
      <c r="A4" s="121"/>
      <c r="B4" s="116" t="s">
        <v>57</v>
      </c>
      <c r="E4" s="148" t="s">
        <v>734</v>
      </c>
      <c r="F4" s="134"/>
      <c r="G4" s="134"/>
      <c r="H4" s="134"/>
      <c r="I4" s="134"/>
      <c r="J4" s="133"/>
      <c r="L4" s="118"/>
      <c r="M4" s="118"/>
      <c r="N4" s="116" t="s">
        <v>56</v>
      </c>
      <c r="O4" s="135" t="s">
        <v>43</v>
      </c>
      <c r="P4" s="147"/>
    </row>
    <row r="5" spans="1:18" s="116" customFormat="1" ht="20.45" customHeight="1" x14ac:dyDescent="0.25">
      <c r="A5" s="121"/>
      <c r="B5" s="116" t="s">
        <v>55</v>
      </c>
      <c r="E5" s="146" t="s">
        <v>160</v>
      </c>
      <c r="F5" s="145"/>
      <c r="G5" s="145"/>
      <c r="H5" s="145"/>
      <c r="I5" s="145"/>
      <c r="J5" s="144"/>
      <c r="L5" s="118"/>
      <c r="M5" s="118"/>
      <c r="N5" s="116" t="s">
        <v>54</v>
      </c>
      <c r="O5" s="143" t="s">
        <v>152</v>
      </c>
      <c r="P5" s="142"/>
    </row>
    <row r="6" spans="1:18" ht="20.45" customHeight="1" x14ac:dyDescent="0.25">
      <c r="A6" s="121"/>
      <c r="B6" s="116"/>
      <c r="C6" s="116"/>
      <c r="D6" s="116"/>
      <c r="E6" s="116"/>
      <c r="F6" s="116"/>
      <c r="G6" s="116"/>
      <c r="H6" s="116"/>
      <c r="I6" s="116"/>
      <c r="J6" s="141"/>
      <c r="K6" s="116"/>
      <c r="L6" s="116"/>
      <c r="M6" s="116"/>
      <c r="N6" s="116" t="s">
        <v>53</v>
      </c>
      <c r="O6" s="116" t="s">
        <v>52</v>
      </c>
      <c r="P6" s="140"/>
    </row>
    <row r="7" spans="1:18" ht="24" customHeight="1" x14ac:dyDescent="0.25">
      <c r="A7" s="121" t="s">
        <v>49</v>
      </c>
      <c r="B7" s="116" t="s">
        <v>51</v>
      </c>
      <c r="C7" s="116"/>
      <c r="D7" s="116"/>
      <c r="E7" s="150" t="s">
        <v>153</v>
      </c>
      <c r="F7" s="138"/>
      <c r="G7" s="138"/>
      <c r="H7" s="138"/>
      <c r="I7" s="138"/>
      <c r="J7" s="137"/>
      <c r="K7" s="116"/>
      <c r="L7" s="117"/>
      <c r="M7" s="123"/>
      <c r="N7" s="120" t="s">
        <v>154</v>
      </c>
      <c r="O7" s="136" t="s">
        <v>43</v>
      </c>
      <c r="P7" s="132"/>
    </row>
    <row r="8" spans="1:18" ht="24" customHeight="1" x14ac:dyDescent="0.25">
      <c r="A8" s="121"/>
      <c r="B8" s="116" t="s">
        <v>13</v>
      </c>
      <c r="C8" s="116"/>
      <c r="D8" s="116"/>
      <c r="E8" s="321" t="s">
        <v>155</v>
      </c>
      <c r="F8" s="134"/>
      <c r="G8" s="134"/>
      <c r="H8" s="134"/>
      <c r="I8" s="134"/>
      <c r="J8" s="133"/>
      <c r="K8" s="116"/>
      <c r="L8" s="117"/>
      <c r="M8" s="123"/>
      <c r="N8" s="120" t="s">
        <v>156</v>
      </c>
      <c r="O8" s="119" t="s">
        <v>43</v>
      </c>
      <c r="P8" s="132"/>
    </row>
    <row r="9" spans="1:18" ht="24" customHeight="1" x14ac:dyDescent="0.25">
      <c r="A9" s="121"/>
      <c r="B9" s="116" t="s">
        <v>4</v>
      </c>
      <c r="C9" s="116"/>
      <c r="D9" s="116"/>
      <c r="E9" s="131" t="s">
        <v>50</v>
      </c>
      <c r="F9" s="130"/>
      <c r="G9" s="130"/>
      <c r="H9" s="130"/>
      <c r="I9" s="130"/>
      <c r="J9" s="129"/>
      <c r="K9" s="128"/>
      <c r="L9" s="127"/>
      <c r="M9" s="39"/>
      <c r="N9" s="322" t="s">
        <v>157</v>
      </c>
      <c r="O9" s="323" t="s">
        <v>158</v>
      </c>
      <c r="P9" s="125" t="s">
        <v>159</v>
      </c>
      <c r="R9" s="124"/>
    </row>
    <row r="10" spans="1:18" ht="20.45" customHeight="1" x14ac:dyDescent="0.25">
      <c r="A10" s="121"/>
      <c r="B10" s="116"/>
      <c r="C10" s="116"/>
      <c r="D10" s="116"/>
      <c r="E10" s="128" t="s">
        <v>48</v>
      </c>
      <c r="F10" s="128"/>
      <c r="G10" s="128" t="s">
        <v>47</v>
      </c>
      <c r="H10" s="18"/>
      <c r="I10" s="18"/>
      <c r="J10" s="128"/>
      <c r="K10" s="128"/>
      <c r="L10" s="39"/>
      <c r="M10" s="128"/>
      <c r="N10" s="128" t="s">
        <v>46</v>
      </c>
      <c r="O10" s="128"/>
      <c r="P10" s="122" t="s">
        <v>45</v>
      </c>
    </row>
    <row r="11" spans="1:18" ht="20.45" customHeight="1" x14ac:dyDescent="0.25">
      <c r="A11" s="121"/>
      <c r="B11" s="116"/>
      <c r="C11" s="116"/>
      <c r="D11" s="116"/>
      <c r="E11" s="324" t="s">
        <v>157</v>
      </c>
      <c r="F11" s="128"/>
      <c r="G11" s="126" t="s">
        <v>159</v>
      </c>
      <c r="H11" s="325"/>
      <c r="I11" s="326"/>
      <c r="J11" s="128"/>
      <c r="K11" s="128"/>
      <c r="L11" s="327"/>
      <c r="M11" s="127"/>
      <c r="N11" s="328" t="s">
        <v>159</v>
      </c>
      <c r="O11" s="128"/>
      <c r="P11" s="115">
        <f>'1-Položky'!A519</f>
        <v>128</v>
      </c>
    </row>
    <row r="12" spans="1:18" ht="13.5" customHeight="1" thickBot="1" x14ac:dyDescent="0.3">
      <c r="A12" s="114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2"/>
    </row>
    <row r="13" spans="1:18" ht="22.15" customHeight="1" x14ac:dyDescent="0.25">
      <c r="A13" s="111"/>
      <c r="B13" s="110"/>
      <c r="C13" s="110"/>
      <c r="D13" s="110"/>
      <c r="E13" s="110" t="s">
        <v>44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09"/>
    </row>
    <row r="14" spans="1:18" ht="22.15" customHeight="1" x14ac:dyDescent="0.25">
      <c r="A14" s="108"/>
      <c r="B14" s="101"/>
      <c r="C14" s="101"/>
      <c r="D14" s="101"/>
      <c r="E14" s="107" t="s">
        <v>43</v>
      </c>
      <c r="F14" s="101"/>
      <c r="G14" s="100"/>
      <c r="H14" s="101"/>
      <c r="I14" s="101"/>
      <c r="J14" s="107" t="s">
        <v>43</v>
      </c>
      <c r="K14" s="102"/>
      <c r="L14" s="100"/>
      <c r="M14" s="101"/>
      <c r="N14" s="101"/>
      <c r="O14" s="107" t="s">
        <v>43</v>
      </c>
      <c r="P14" s="106"/>
    </row>
    <row r="15" spans="1:18" ht="22.15" customHeight="1" x14ac:dyDescent="0.25">
      <c r="A15" s="105"/>
      <c r="B15" s="104" t="s">
        <v>42</v>
      </c>
      <c r="C15" s="104"/>
      <c r="D15" s="103"/>
      <c r="E15" s="100" t="s">
        <v>41</v>
      </c>
      <c r="F15" s="102"/>
      <c r="G15" s="100"/>
      <c r="H15" s="101" t="s">
        <v>42</v>
      </c>
      <c r="I15" s="102"/>
      <c r="J15" s="100" t="s">
        <v>41</v>
      </c>
      <c r="K15" s="102"/>
      <c r="L15" s="100"/>
      <c r="M15" s="101" t="s">
        <v>42</v>
      </c>
      <c r="N15" s="101"/>
      <c r="O15" s="100" t="s">
        <v>41</v>
      </c>
      <c r="P15" s="99"/>
    </row>
    <row r="16" spans="1:18" ht="22.15" customHeight="1" thickBot="1" x14ac:dyDescent="0.3">
      <c r="A16" s="98"/>
      <c r="B16" s="94"/>
      <c r="C16" s="94"/>
      <c r="D16" s="97"/>
      <c r="E16" s="96"/>
      <c r="F16" s="95"/>
      <c r="G16" s="92"/>
      <c r="H16" s="94"/>
      <c r="I16" s="97"/>
      <c r="J16" s="96"/>
      <c r="K16" s="95"/>
      <c r="L16" s="92"/>
      <c r="M16" s="94"/>
      <c r="N16" s="93"/>
      <c r="O16" s="92"/>
      <c r="P16" s="67"/>
    </row>
    <row r="17" spans="1:18" s="91" customFormat="1" ht="33" customHeight="1" thickBot="1" x14ac:dyDescent="0.3">
      <c r="A17" s="629" t="s">
        <v>40</v>
      </c>
      <c r="B17" s="630"/>
      <c r="C17" s="630"/>
      <c r="D17" s="630"/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1"/>
    </row>
    <row r="18" spans="1:18" ht="25.5" customHeight="1" x14ac:dyDescent="0.25">
      <c r="A18" s="34" t="s">
        <v>39</v>
      </c>
      <c r="B18" s="90"/>
      <c r="C18" s="32" t="s">
        <v>38</v>
      </c>
      <c r="D18" s="31"/>
      <c r="E18" s="31"/>
      <c r="F18" s="87"/>
      <c r="G18" s="34" t="s">
        <v>37</v>
      </c>
      <c r="H18" s="89"/>
      <c r="I18" s="32" t="s">
        <v>36</v>
      </c>
      <c r="J18" s="31"/>
      <c r="K18" s="87"/>
      <c r="L18" s="34" t="s">
        <v>35</v>
      </c>
      <c r="M18" s="88"/>
      <c r="N18" s="32" t="s">
        <v>34</v>
      </c>
      <c r="O18" s="31"/>
      <c r="P18" s="87"/>
    </row>
    <row r="19" spans="1:18" ht="23.25" customHeight="1" x14ac:dyDescent="0.25">
      <c r="A19" s="16">
        <v>1</v>
      </c>
      <c r="B19" s="639" t="s">
        <v>33</v>
      </c>
      <c r="C19" s="640"/>
      <c r="D19" s="78" t="s">
        <v>23</v>
      </c>
      <c r="E19" s="643">
        <f>'1-Rekapitulace'!F47-E21-E23</f>
        <v>0</v>
      </c>
      <c r="F19" s="82"/>
      <c r="G19" s="16">
        <v>8</v>
      </c>
      <c r="H19" s="15" t="s">
        <v>32</v>
      </c>
      <c r="I19" s="74"/>
      <c r="J19" s="76"/>
      <c r="K19" s="75"/>
      <c r="L19" s="16">
        <v>13</v>
      </c>
      <c r="M19" s="81" t="s">
        <v>31</v>
      </c>
      <c r="N19" s="74"/>
      <c r="O19" s="80">
        <v>0</v>
      </c>
      <c r="P19" s="13">
        <f>O19*(E25+J25)</f>
        <v>0</v>
      </c>
    </row>
    <row r="20" spans="1:18" ht="23.25" customHeight="1" x14ac:dyDescent="0.25">
      <c r="A20" s="16">
        <v>2</v>
      </c>
      <c r="B20" s="641"/>
      <c r="C20" s="642"/>
      <c r="D20" s="78" t="s">
        <v>21</v>
      </c>
      <c r="E20" s="644"/>
      <c r="F20" s="86"/>
      <c r="G20" s="16">
        <v>9</v>
      </c>
      <c r="H20" s="15" t="s">
        <v>30</v>
      </c>
      <c r="I20" s="74"/>
      <c r="J20" s="76"/>
      <c r="K20" s="75"/>
      <c r="L20" s="16">
        <v>14</v>
      </c>
      <c r="M20" s="81" t="s">
        <v>29</v>
      </c>
      <c r="N20" s="74"/>
      <c r="O20" s="80">
        <v>0</v>
      </c>
      <c r="P20" s="13">
        <f>O20*(E25+J25)</f>
        <v>0</v>
      </c>
    </row>
    <row r="21" spans="1:18" ht="23.25" customHeight="1" x14ac:dyDescent="0.25">
      <c r="A21" s="16">
        <v>3</v>
      </c>
      <c r="B21" s="639" t="s">
        <v>28</v>
      </c>
      <c r="C21" s="640"/>
      <c r="D21" s="78" t="s">
        <v>23</v>
      </c>
      <c r="E21" s="643">
        <f>'1-Rekapitulace'!E21</f>
        <v>0</v>
      </c>
      <c r="F21" s="82"/>
      <c r="G21" s="16">
        <v>10</v>
      </c>
      <c r="H21" s="15" t="s">
        <v>27</v>
      </c>
      <c r="I21" s="74"/>
      <c r="J21" s="76"/>
      <c r="K21" s="75"/>
      <c r="L21" s="16">
        <v>15</v>
      </c>
      <c r="M21" s="81" t="s">
        <v>26</v>
      </c>
      <c r="N21" s="74"/>
      <c r="O21" s="80">
        <v>0</v>
      </c>
      <c r="P21" s="13">
        <f>O21*(E25+J25)</f>
        <v>0</v>
      </c>
    </row>
    <row r="22" spans="1:18" ht="23.25" customHeight="1" x14ac:dyDescent="0.25">
      <c r="A22" s="16">
        <v>4</v>
      </c>
      <c r="B22" s="641"/>
      <c r="C22" s="642"/>
      <c r="D22" s="78" t="s">
        <v>21</v>
      </c>
      <c r="E22" s="644"/>
      <c r="F22" s="86"/>
      <c r="G22" s="16">
        <v>11</v>
      </c>
      <c r="H22" s="85"/>
      <c r="I22" s="84"/>
      <c r="J22" s="83"/>
      <c r="K22" s="75"/>
      <c r="L22" s="16">
        <v>16</v>
      </c>
      <c r="M22" s="81" t="s">
        <v>25</v>
      </c>
      <c r="N22" s="74"/>
      <c r="O22" s="80">
        <v>0</v>
      </c>
      <c r="P22" s="13">
        <f>O22*(E25+J25)</f>
        <v>0</v>
      </c>
    </row>
    <row r="23" spans="1:18" ht="23.25" customHeight="1" x14ac:dyDescent="0.25">
      <c r="A23" s="16">
        <v>5</v>
      </c>
      <c r="B23" s="639" t="s">
        <v>24</v>
      </c>
      <c r="C23" s="640"/>
      <c r="D23" s="78" t="s">
        <v>23</v>
      </c>
      <c r="E23" s="643">
        <f>'1-Rekapitulace'!E43</f>
        <v>0</v>
      </c>
      <c r="F23" s="82"/>
      <c r="G23" s="646"/>
      <c r="H23" s="647"/>
      <c r="I23" s="648"/>
      <c r="J23" s="76"/>
      <c r="K23" s="75"/>
      <c r="L23" s="16">
        <v>17</v>
      </c>
      <c r="M23" s="81" t="s">
        <v>22</v>
      </c>
      <c r="N23" s="14"/>
      <c r="O23" s="80">
        <v>0</v>
      </c>
      <c r="P23" s="13">
        <f>O23*(E25+J25)</f>
        <v>0</v>
      </c>
      <c r="R23" s="79"/>
    </row>
    <row r="24" spans="1:18" ht="23.25" customHeight="1" thickBot="1" x14ac:dyDescent="0.3">
      <c r="A24" s="16">
        <v>6</v>
      </c>
      <c r="B24" s="641"/>
      <c r="C24" s="642"/>
      <c r="D24" s="78" t="s">
        <v>21</v>
      </c>
      <c r="E24" s="645"/>
      <c r="F24" s="77"/>
      <c r="G24" s="649"/>
      <c r="H24" s="650"/>
      <c r="I24" s="651"/>
      <c r="J24" s="76"/>
      <c r="K24" s="75"/>
      <c r="L24" s="16">
        <v>18</v>
      </c>
      <c r="M24" s="15" t="s">
        <v>20</v>
      </c>
      <c r="N24" s="14"/>
      <c r="O24" s="14"/>
      <c r="P24" s="13"/>
    </row>
    <row r="25" spans="1:18" ht="23.25" customHeight="1" thickBot="1" x14ac:dyDescent="0.3">
      <c r="A25" s="16">
        <v>7</v>
      </c>
      <c r="B25" s="71" t="s">
        <v>19</v>
      </c>
      <c r="C25" s="14"/>
      <c r="D25" s="74"/>
      <c r="E25" s="73">
        <f>SUM(E19:E24)</f>
        <v>0</v>
      </c>
      <c r="F25" s="72"/>
      <c r="G25" s="16">
        <v>12</v>
      </c>
      <c r="H25" s="71" t="s">
        <v>18</v>
      </c>
      <c r="I25" s="74"/>
      <c r="J25" s="73">
        <f>SUM(J19:J24)</f>
        <v>0</v>
      </c>
      <c r="K25" s="72"/>
      <c r="L25" s="16">
        <v>19</v>
      </c>
      <c r="M25" s="71" t="s">
        <v>17</v>
      </c>
      <c r="N25" s="14"/>
      <c r="O25" s="14"/>
      <c r="P25" s="70">
        <f>SUM(P19:P24)</f>
        <v>0</v>
      </c>
      <c r="R25" s="69">
        <f>'1-Rekapitulace'!F47</f>
        <v>0</v>
      </c>
    </row>
    <row r="26" spans="1:18" ht="23.25" customHeight="1" thickBot="1" x14ac:dyDescent="0.3">
      <c r="A26" s="6">
        <v>20</v>
      </c>
      <c r="B26" s="66" t="s">
        <v>16</v>
      </c>
      <c r="C26" s="4"/>
      <c r="D26" s="3"/>
      <c r="E26" s="68"/>
      <c r="F26" s="67"/>
      <c r="G26" s="6">
        <v>21</v>
      </c>
      <c r="H26" s="66" t="s">
        <v>15</v>
      </c>
      <c r="I26" s="3"/>
      <c r="J26" s="68">
        <v>0</v>
      </c>
      <c r="K26" s="67"/>
      <c r="L26" s="6">
        <v>22</v>
      </c>
      <c r="M26" s="66" t="s">
        <v>14</v>
      </c>
      <c r="N26" s="4"/>
      <c r="O26" s="4"/>
      <c r="P26" s="65">
        <v>0</v>
      </c>
      <c r="R26" s="64"/>
    </row>
    <row r="27" spans="1:18" ht="23.25" customHeight="1" thickBot="1" x14ac:dyDescent="0.3">
      <c r="A27" s="63" t="s">
        <v>13</v>
      </c>
      <c r="B27" s="60"/>
      <c r="C27" s="60"/>
      <c r="D27" s="60"/>
      <c r="E27" s="59"/>
      <c r="F27" s="62"/>
      <c r="G27" s="61"/>
      <c r="H27" s="59"/>
      <c r="I27" s="60"/>
      <c r="J27" s="59"/>
      <c r="K27" s="58"/>
      <c r="L27" s="34" t="s">
        <v>12</v>
      </c>
      <c r="M27" s="33"/>
      <c r="N27" s="32" t="s">
        <v>11</v>
      </c>
      <c r="O27" s="31"/>
      <c r="P27" s="30"/>
    </row>
    <row r="28" spans="1:18" ht="23.25" customHeight="1" thickBot="1" x14ac:dyDescent="0.3">
      <c r="A28" s="21"/>
      <c r="B28" s="18"/>
      <c r="C28" s="18"/>
      <c r="D28" s="18"/>
      <c r="E28" s="18"/>
      <c r="F28" s="20"/>
      <c r="G28" s="19"/>
      <c r="H28" s="18"/>
      <c r="I28" s="18"/>
      <c r="J28" s="38"/>
      <c r="K28" s="57"/>
      <c r="L28" s="16">
        <v>23</v>
      </c>
      <c r="M28" s="15" t="s">
        <v>10</v>
      </c>
      <c r="N28" s="14"/>
      <c r="O28" s="14"/>
      <c r="P28" s="56">
        <f>P25+J25+E25+J26+P26+E26</f>
        <v>0</v>
      </c>
      <c r="Q28" s="55"/>
    </row>
    <row r="29" spans="1:18" ht="23.25" customHeight="1" x14ac:dyDescent="0.25">
      <c r="A29" s="54" t="s">
        <v>2</v>
      </c>
      <c r="B29" s="51"/>
      <c r="C29" s="51"/>
      <c r="D29" s="51"/>
      <c r="E29" s="50"/>
      <c r="F29" s="53"/>
      <c r="G29" s="52" t="s">
        <v>1</v>
      </c>
      <c r="H29" s="51"/>
      <c r="I29" s="51"/>
      <c r="J29" s="50"/>
      <c r="K29" s="49"/>
      <c r="L29" s="16">
        <v>24</v>
      </c>
      <c r="M29" s="48">
        <v>0.12</v>
      </c>
      <c r="N29" s="43">
        <v>0</v>
      </c>
      <c r="O29" s="42" t="s">
        <v>8</v>
      </c>
      <c r="P29" s="13">
        <f>N29*M29</f>
        <v>0</v>
      </c>
      <c r="Q29" s="47"/>
    </row>
    <row r="30" spans="1:18" ht="23.25" customHeight="1" thickBot="1" x14ac:dyDescent="0.3">
      <c r="A30" s="46" t="s">
        <v>9</v>
      </c>
      <c r="B30" s="18"/>
      <c r="C30" s="18"/>
      <c r="D30" s="18"/>
      <c r="E30" s="18"/>
      <c r="F30" s="20"/>
      <c r="G30" s="45"/>
      <c r="H30" s="18"/>
      <c r="I30" s="18"/>
      <c r="J30" s="18"/>
      <c r="K30" s="35"/>
      <c r="L30" s="16">
        <v>25</v>
      </c>
      <c r="M30" s="44">
        <v>0.21</v>
      </c>
      <c r="N30" s="43">
        <f>P28</f>
        <v>0</v>
      </c>
      <c r="O30" s="42" t="s">
        <v>8</v>
      </c>
      <c r="P30" s="41">
        <f>N30*M30</f>
        <v>0</v>
      </c>
    </row>
    <row r="31" spans="1:18" ht="23.25" customHeight="1" thickTop="1" thickBot="1" x14ac:dyDescent="0.3">
      <c r="A31" s="40"/>
      <c r="B31" s="18"/>
      <c r="C31" s="18"/>
      <c r="D31" s="18"/>
      <c r="E31" s="39"/>
      <c r="F31" s="20"/>
      <c r="G31" s="39"/>
      <c r="H31" s="18"/>
      <c r="I31" s="18"/>
      <c r="J31" s="38"/>
      <c r="K31" s="35"/>
      <c r="L31" s="6">
        <v>26</v>
      </c>
      <c r="M31" s="5" t="s">
        <v>7</v>
      </c>
      <c r="N31" s="4"/>
      <c r="O31" s="3"/>
      <c r="P31" s="2">
        <f>SUM(P28:P30)</f>
        <v>0</v>
      </c>
    </row>
    <row r="32" spans="1:18" ht="23.25" customHeight="1" x14ac:dyDescent="0.25">
      <c r="A32" s="37" t="s">
        <v>2</v>
      </c>
      <c r="B32" s="18"/>
      <c r="C32" s="18"/>
      <c r="D32" s="18"/>
      <c r="E32" s="18"/>
      <c r="F32" s="20"/>
      <c r="G32" s="36" t="s">
        <v>1</v>
      </c>
      <c r="H32" s="18"/>
      <c r="I32" s="18"/>
      <c r="J32" s="18"/>
      <c r="K32" s="35"/>
      <c r="L32" s="34" t="s">
        <v>6</v>
      </c>
      <c r="M32" s="33"/>
      <c r="N32" s="32" t="s">
        <v>5</v>
      </c>
      <c r="O32" s="31"/>
      <c r="P32" s="30"/>
    </row>
    <row r="33" spans="1:17" ht="23.25" customHeight="1" x14ac:dyDescent="0.25">
      <c r="A33" s="29" t="s">
        <v>4</v>
      </c>
      <c r="B33" s="26"/>
      <c r="C33" s="26"/>
      <c r="D33" s="26"/>
      <c r="E33" s="26"/>
      <c r="F33" s="28"/>
      <c r="G33" s="27"/>
      <c r="H33" s="26"/>
      <c r="I33" s="26"/>
      <c r="J33" s="26"/>
      <c r="K33" s="25"/>
      <c r="L33" s="16">
        <v>27</v>
      </c>
      <c r="M33" s="24"/>
      <c r="N33" s="14"/>
      <c r="O33" s="23"/>
      <c r="P33" s="22"/>
    </row>
    <row r="34" spans="1:17" ht="23.25" customHeight="1" thickBot="1" x14ac:dyDescent="0.3">
      <c r="A34" s="21"/>
      <c r="B34" s="18"/>
      <c r="C34" s="18"/>
      <c r="D34" s="18"/>
      <c r="E34" s="18"/>
      <c r="F34" s="20"/>
      <c r="G34" s="19"/>
      <c r="H34" s="18"/>
      <c r="I34" s="18"/>
      <c r="J34" s="18"/>
      <c r="K34" s="17"/>
      <c r="L34" s="16">
        <v>28</v>
      </c>
      <c r="M34" s="15" t="s">
        <v>3</v>
      </c>
      <c r="N34" s="14"/>
      <c r="O34" s="14"/>
      <c r="P34" s="13"/>
      <c r="Q34" s="12"/>
    </row>
    <row r="35" spans="1:17" ht="23.25" customHeight="1" thickTop="1" thickBot="1" x14ac:dyDescent="0.3">
      <c r="A35" s="11" t="s">
        <v>2</v>
      </c>
      <c r="B35" s="8"/>
      <c r="C35" s="8"/>
      <c r="D35" s="8"/>
      <c r="E35" s="8"/>
      <c r="F35" s="10"/>
      <c r="G35" s="9" t="s">
        <v>1</v>
      </c>
      <c r="H35" s="8"/>
      <c r="I35" s="8"/>
      <c r="J35" s="8"/>
      <c r="K35" s="7"/>
      <c r="L35" s="6">
        <v>29</v>
      </c>
      <c r="M35" s="5" t="s">
        <v>0</v>
      </c>
      <c r="N35" s="4"/>
      <c r="O35" s="3"/>
      <c r="P35" s="2"/>
    </row>
  </sheetData>
  <sheetProtection algorithmName="SHA-512" hashValue="hW7P6MGry36U+CztaFjgsFenwEnIACgJYKkJYl+d34v+uZ6y3IkAeFdUSjkVKbxVJOHvR0Aw3VkqOlbsgkkCZQ==" saltValue="1brdkXB8Bqqkuhf3YPHEBQ==" spinCount="100000" sheet="1" objects="1" scenarios="1"/>
  <mergeCells count="9">
    <mergeCell ref="A17:P17"/>
    <mergeCell ref="B19:C20"/>
    <mergeCell ref="B21:C22"/>
    <mergeCell ref="B23:C24"/>
    <mergeCell ref="E19:E20"/>
    <mergeCell ref="E21:E22"/>
    <mergeCell ref="E23:E24"/>
    <mergeCell ref="G23:I23"/>
    <mergeCell ref="G24:I24"/>
  </mergeCells>
  <pageMargins left="0.70866141732283472" right="0.19685039370078741" top="0.59055118110236227" bottom="0.59055118110236227" header="0" footer="0"/>
  <pageSetup paperSize="9" scale="93" orientation="portrait" horizontalDpi="4294967293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20F0-1AA6-47CF-A284-B2DE19FBD0E0}">
  <sheetPr>
    <tabColor indexed="11"/>
  </sheetPr>
  <dimension ref="A1:L48"/>
  <sheetViews>
    <sheetView view="pageBreakPreview" topLeftCell="A25" zoomScale="160" zoomScaleNormal="125" zoomScaleSheetLayoutView="160" workbookViewId="0">
      <selection activeCell="C33" sqref="C33"/>
    </sheetView>
  </sheetViews>
  <sheetFormatPr defaultColWidth="9.140625" defaultRowHeight="12.75" x14ac:dyDescent="0.25"/>
  <cols>
    <col min="1" max="1" width="0.42578125" style="163" customWidth="1"/>
    <col min="2" max="2" width="10.28515625" style="162" customWidth="1"/>
    <col min="3" max="3" width="32.42578125" style="161" customWidth="1"/>
    <col min="4" max="4" width="10.28515625" style="158" customWidth="1"/>
    <col min="5" max="5" width="15.28515625" style="159" customWidth="1"/>
    <col min="6" max="6" width="15.28515625" style="160" customWidth="1"/>
    <col min="7" max="7" width="10.42578125" style="158" bestFit="1" customWidth="1"/>
    <col min="8" max="8" width="10.42578125" style="159" bestFit="1" customWidth="1"/>
    <col min="9" max="9" width="10.5703125" style="159" bestFit="1" customWidth="1"/>
    <col min="10" max="10" width="10.42578125" style="158" bestFit="1" customWidth="1"/>
    <col min="11" max="16384" width="9.140625" style="158"/>
  </cols>
  <sheetData>
    <row r="1" spans="1:12" s="201" customFormat="1" ht="18" x14ac:dyDescent="0.2">
      <c r="A1" s="211" t="s">
        <v>80</v>
      </c>
      <c r="B1" s="210"/>
      <c r="C1" s="210"/>
      <c r="D1" s="210"/>
      <c r="E1" s="210"/>
      <c r="F1" s="210"/>
      <c r="G1" s="205"/>
      <c r="H1" s="205"/>
      <c r="I1" s="205"/>
      <c r="J1" s="205"/>
      <c r="K1" s="203"/>
      <c r="L1" s="202"/>
    </row>
    <row r="2" spans="1:12" s="201" customFormat="1" x14ac:dyDescent="0.2">
      <c r="A2" s="209" t="s">
        <v>79</v>
      </c>
      <c r="B2" s="208"/>
      <c r="C2" s="208" t="str">
        <f>'1-Krycí list'!E3</f>
        <v xml:space="preserve"> Hřbitovní domek,  p.p.č. 2687, k.ú. Smržovka </v>
      </c>
      <c r="D2" s="208"/>
      <c r="E2" s="207"/>
      <c r="F2" s="204"/>
      <c r="G2" s="205"/>
      <c r="H2" s="204"/>
      <c r="I2" s="204"/>
      <c r="J2" s="203"/>
      <c r="K2" s="202"/>
    </row>
    <row r="3" spans="1:12" s="201" customFormat="1" x14ac:dyDescent="0.2">
      <c r="A3" s="209" t="s">
        <v>78</v>
      </c>
      <c r="B3" s="208"/>
      <c r="C3" s="208" t="str">
        <f>'1-Krycí list'!E4</f>
        <v xml:space="preserve"> 1 - SO 01 Novostavba hřbitovního domku </v>
      </c>
      <c r="D3" s="208"/>
      <c r="E3" s="207" t="s">
        <v>77</v>
      </c>
      <c r="F3" s="204"/>
      <c r="G3" s="205"/>
      <c r="H3" s="204"/>
      <c r="I3" s="204"/>
      <c r="J3" s="203"/>
      <c r="K3" s="202"/>
    </row>
    <row r="4" spans="1:12" s="201" customFormat="1" x14ac:dyDescent="0.2">
      <c r="A4" s="208" t="s">
        <v>76</v>
      </c>
      <c r="B4" s="208"/>
      <c r="C4" s="208" t="str">
        <f>'1-Krycí list'!E7</f>
        <v xml:space="preserve"> Město Smržovka,nám.T.G.Masaryka 600, 468 51 Smržovka</v>
      </c>
      <c r="D4" s="208"/>
      <c r="E4" s="207" t="s">
        <v>75</v>
      </c>
      <c r="F4" s="204" t="str">
        <f>'1-Krycí list'!G11</f>
        <v xml:space="preserve"> - doplnit</v>
      </c>
      <c r="G4" s="205"/>
      <c r="H4" s="204"/>
      <c r="I4" s="204"/>
      <c r="J4" s="203"/>
      <c r="K4" s="202"/>
    </row>
    <row r="5" spans="1:12" s="201" customFormat="1" x14ac:dyDescent="0.2">
      <c r="A5" s="208" t="s">
        <v>74</v>
      </c>
      <c r="B5" s="208"/>
      <c r="C5" s="208" t="str">
        <f>'1-Krycí list'!E9</f>
        <v xml:space="preserve"> - dle výběrového řízení</v>
      </c>
      <c r="D5" s="208"/>
      <c r="E5" s="207" t="s">
        <v>73</v>
      </c>
      <c r="F5" s="206" t="str">
        <f>'1-Krycí list'!N11</f>
        <v xml:space="preserve"> - doplnit</v>
      </c>
      <c r="G5" s="205"/>
      <c r="H5" s="204"/>
      <c r="I5" s="204"/>
      <c r="J5" s="203"/>
      <c r="K5" s="202"/>
    </row>
    <row r="6" spans="1:12" s="195" customFormat="1" ht="5.25" x14ac:dyDescent="0.25">
      <c r="A6" s="199"/>
      <c r="B6" s="200"/>
      <c r="C6" s="199"/>
      <c r="D6" s="199"/>
      <c r="E6" s="198"/>
      <c r="F6" s="197"/>
      <c r="H6" s="196"/>
      <c r="I6" s="196"/>
    </row>
    <row r="7" spans="1:12" s="174" customFormat="1" ht="13.5" x14ac:dyDescent="0.25">
      <c r="A7" s="176"/>
      <c r="B7" s="183" t="s">
        <v>72</v>
      </c>
      <c r="C7" s="194"/>
      <c r="D7" s="193"/>
      <c r="E7" s="186">
        <f>SUM(F8:F12)</f>
        <v>0</v>
      </c>
      <c r="F7" s="192"/>
      <c r="H7" s="187"/>
      <c r="I7" s="187"/>
    </row>
    <row r="8" spans="1:12" s="174" customFormat="1" ht="13.5" x14ac:dyDescent="0.25">
      <c r="A8" s="176"/>
      <c r="B8" s="177" t="s">
        <v>71</v>
      </c>
      <c r="C8" s="176"/>
      <c r="E8" s="189"/>
      <c r="F8" s="188">
        <f>'1-Položky'!L9</f>
        <v>0</v>
      </c>
      <c r="H8" s="187"/>
      <c r="I8" s="187"/>
    </row>
    <row r="9" spans="1:12" s="174" customFormat="1" ht="13.5" x14ac:dyDescent="0.25">
      <c r="A9" s="176"/>
      <c r="B9" s="177" t="s">
        <v>70</v>
      </c>
      <c r="C9" s="176"/>
      <c r="E9" s="189"/>
      <c r="F9" s="191">
        <f>'1-Položky'!L12</f>
        <v>0</v>
      </c>
      <c r="H9" s="190"/>
      <c r="I9" s="190"/>
    </row>
    <row r="10" spans="1:12" s="174" customFormat="1" ht="13.5" x14ac:dyDescent="0.25">
      <c r="A10" s="176"/>
      <c r="B10" s="177" t="s">
        <v>69</v>
      </c>
      <c r="C10" s="176"/>
      <c r="E10" s="189"/>
      <c r="F10" s="188">
        <f>'1-Položky'!L17</f>
        <v>0</v>
      </c>
      <c r="H10" s="187"/>
      <c r="I10" s="187"/>
    </row>
    <row r="11" spans="1:12" s="174" customFormat="1" ht="13.5" x14ac:dyDescent="0.25">
      <c r="A11" s="176"/>
      <c r="B11" s="177" t="s">
        <v>68</v>
      </c>
      <c r="C11" s="176"/>
      <c r="E11" s="189"/>
      <c r="F11" s="188">
        <f>'1-Položky'!L34</f>
        <v>0</v>
      </c>
      <c r="H11" s="187"/>
      <c r="I11" s="187"/>
    </row>
    <row r="12" spans="1:12" s="174" customFormat="1" ht="13.5" x14ac:dyDescent="0.25">
      <c r="A12" s="176"/>
      <c r="B12" s="177" t="s">
        <v>67</v>
      </c>
      <c r="C12" s="176"/>
      <c r="E12" s="189"/>
      <c r="F12" s="188">
        <f>'1-Položky'!L42</f>
        <v>0</v>
      </c>
      <c r="H12" s="187"/>
      <c r="I12" s="187"/>
    </row>
    <row r="13" spans="1:12" s="331" customFormat="1" ht="15" x14ac:dyDescent="0.25">
      <c r="A13" s="329"/>
      <c r="B13" s="330" t="s">
        <v>194</v>
      </c>
      <c r="C13" s="329"/>
      <c r="E13" s="332">
        <f>SUM(F14:F14)</f>
        <v>0</v>
      </c>
      <c r="F13" s="333"/>
      <c r="H13" s="334"/>
      <c r="I13" s="335"/>
    </row>
    <row r="14" spans="1:12" s="174" customFormat="1" ht="13.5" x14ac:dyDescent="0.25">
      <c r="A14" s="176"/>
      <c r="B14" s="177" t="s">
        <v>195</v>
      </c>
      <c r="C14" s="176"/>
      <c r="E14" s="189"/>
      <c r="F14" s="188">
        <f>'1-Položky'!L52</f>
        <v>0</v>
      </c>
      <c r="H14" s="187"/>
      <c r="I14" s="187"/>
    </row>
    <row r="15" spans="1:12" s="331" customFormat="1" ht="15" x14ac:dyDescent="0.25">
      <c r="A15" s="329"/>
      <c r="B15" s="330" t="s">
        <v>207</v>
      </c>
      <c r="C15" s="329"/>
      <c r="E15" s="332">
        <f>SUM(F16:F16)</f>
        <v>0</v>
      </c>
      <c r="F15" s="333"/>
      <c r="H15" s="334"/>
      <c r="I15" s="335"/>
    </row>
    <row r="16" spans="1:12" s="338" customFormat="1" ht="15" x14ac:dyDescent="0.25">
      <c r="A16" s="336"/>
      <c r="B16" s="337" t="s">
        <v>230</v>
      </c>
      <c r="C16" s="336"/>
      <c r="E16" s="339"/>
      <c r="F16" s="191">
        <f>'1-Položky'!L100</f>
        <v>0</v>
      </c>
      <c r="H16" s="334"/>
      <c r="I16" s="190"/>
    </row>
    <row r="17" spans="1:9" s="331" customFormat="1" ht="13.5" x14ac:dyDescent="0.25">
      <c r="A17" s="329"/>
      <c r="B17" s="330" t="s">
        <v>208</v>
      </c>
      <c r="C17" s="329"/>
      <c r="E17" s="332">
        <f>SUM(F18:F19)</f>
        <v>0</v>
      </c>
      <c r="F17" s="333"/>
      <c r="H17" s="335"/>
      <c r="I17" s="335"/>
    </row>
    <row r="18" spans="1:9" s="338" customFormat="1" ht="13.5" x14ac:dyDescent="0.25">
      <c r="A18" s="336"/>
      <c r="B18" s="337" t="s">
        <v>209</v>
      </c>
      <c r="C18" s="336"/>
      <c r="E18" s="339"/>
      <c r="F18" s="191">
        <f>'1-Položky'!L115</f>
        <v>0</v>
      </c>
      <c r="H18" s="190"/>
      <c r="I18" s="190"/>
    </row>
    <row r="19" spans="1:9" s="338" customFormat="1" ht="13.5" x14ac:dyDescent="0.25">
      <c r="A19" s="336"/>
      <c r="B19" s="340" t="s">
        <v>210</v>
      </c>
      <c r="C19" s="341"/>
      <c r="D19" s="342"/>
      <c r="E19" s="343"/>
      <c r="F19" s="344">
        <f>'1-Položky'!L124</f>
        <v>0</v>
      </c>
      <c r="H19" s="190"/>
      <c r="I19" s="190"/>
    </row>
    <row r="20" spans="1:9" s="349" customFormat="1" ht="5.25" x14ac:dyDescent="0.25">
      <c r="A20" s="345"/>
      <c r="B20" s="346"/>
      <c r="C20" s="345"/>
      <c r="D20" s="345"/>
      <c r="E20" s="347"/>
      <c r="F20" s="348"/>
      <c r="H20" s="350"/>
      <c r="I20" s="350"/>
    </row>
    <row r="21" spans="1:9" s="331" customFormat="1" ht="13.5" x14ac:dyDescent="0.25">
      <c r="A21" s="329"/>
      <c r="B21" s="351" t="s">
        <v>211</v>
      </c>
      <c r="C21" s="352"/>
      <c r="D21" s="353"/>
      <c r="E21" s="354">
        <f>SUM(F22:F36)</f>
        <v>0</v>
      </c>
      <c r="F21" s="355"/>
      <c r="H21" s="335"/>
      <c r="I21" s="335"/>
    </row>
    <row r="22" spans="1:9" s="338" customFormat="1" ht="13.5" x14ac:dyDescent="0.25">
      <c r="A22" s="336"/>
      <c r="B22" s="337" t="s">
        <v>212</v>
      </c>
      <c r="C22" s="336"/>
      <c r="D22" s="356"/>
      <c r="E22" s="339"/>
      <c r="F22" s="191">
        <f>SUM(E23:E24)</f>
        <v>0</v>
      </c>
      <c r="H22" s="190"/>
      <c r="I22" s="190"/>
    </row>
    <row r="23" spans="1:9" s="338" customFormat="1" ht="13.5" x14ac:dyDescent="0.25">
      <c r="A23" s="336"/>
      <c r="B23" s="357" t="s">
        <v>213</v>
      </c>
      <c r="C23" s="336"/>
      <c r="E23" s="358">
        <f>'1-Položky'!L129</f>
        <v>0</v>
      </c>
      <c r="F23" s="191"/>
      <c r="H23" s="190"/>
      <c r="I23" s="190"/>
    </row>
    <row r="24" spans="1:9" s="338" customFormat="1" ht="13.5" x14ac:dyDescent="0.25">
      <c r="A24" s="336"/>
      <c r="B24" s="357" t="s">
        <v>214</v>
      </c>
      <c r="C24" s="336"/>
      <c r="E24" s="358">
        <f>'1-Položky'!L135</f>
        <v>0</v>
      </c>
      <c r="F24" s="191"/>
      <c r="H24" s="190"/>
      <c r="I24" s="190"/>
    </row>
    <row r="25" spans="1:9" s="338" customFormat="1" ht="13.5" x14ac:dyDescent="0.25">
      <c r="A25" s="336"/>
      <c r="B25" s="337" t="s">
        <v>215</v>
      </c>
      <c r="C25" s="336"/>
      <c r="E25" s="339"/>
      <c r="F25" s="191">
        <f>SUM(E26:E30)</f>
        <v>0</v>
      </c>
      <c r="H25" s="190"/>
      <c r="I25" s="190"/>
    </row>
    <row r="26" spans="1:9" s="338" customFormat="1" ht="13.5" x14ac:dyDescent="0.25">
      <c r="A26" s="336"/>
      <c r="B26" s="357" t="s">
        <v>216</v>
      </c>
      <c r="C26" s="336"/>
      <c r="E26" s="358">
        <f>'1-Položky'!L155</f>
        <v>0</v>
      </c>
      <c r="F26" s="191"/>
      <c r="H26" s="190"/>
      <c r="I26" s="190"/>
    </row>
    <row r="27" spans="1:9" s="338" customFormat="1" ht="13.5" x14ac:dyDescent="0.25">
      <c r="A27" s="336"/>
      <c r="B27" s="357" t="s">
        <v>217</v>
      </c>
      <c r="C27" s="336"/>
      <c r="E27" s="358">
        <f>'1-Položky'!L249</f>
        <v>0</v>
      </c>
      <c r="F27" s="191"/>
      <c r="H27" s="190"/>
      <c r="I27" s="190"/>
    </row>
    <row r="28" spans="1:9" s="338" customFormat="1" ht="13.5" x14ac:dyDescent="0.25">
      <c r="A28" s="336"/>
      <c r="B28" s="357" t="s">
        <v>218</v>
      </c>
      <c r="C28" s="336"/>
      <c r="E28" s="358">
        <f>'1-Položky'!L328</f>
        <v>0</v>
      </c>
      <c r="F28" s="191"/>
      <c r="H28" s="190"/>
      <c r="I28" s="190"/>
    </row>
    <row r="29" spans="1:9" s="338" customFormat="1" ht="13.5" x14ac:dyDescent="0.25">
      <c r="A29" s="336"/>
      <c r="B29" s="357" t="s">
        <v>219</v>
      </c>
      <c r="C29" s="336"/>
      <c r="E29" s="358">
        <f>'1-Položky'!L364</f>
        <v>0</v>
      </c>
      <c r="F29" s="191"/>
      <c r="H29" s="190"/>
      <c r="I29" s="190"/>
    </row>
    <row r="30" spans="1:9" s="338" customFormat="1" ht="13.5" x14ac:dyDescent="0.25">
      <c r="A30" s="336"/>
      <c r="B30" s="357" t="s">
        <v>220</v>
      </c>
      <c r="C30" s="336"/>
      <c r="E30" s="358"/>
      <c r="F30" s="191"/>
      <c r="H30" s="190"/>
      <c r="I30" s="190"/>
    </row>
    <row r="31" spans="1:9" s="338" customFormat="1" ht="13.5" x14ac:dyDescent="0.25">
      <c r="A31" s="336"/>
      <c r="B31" s="337" t="s">
        <v>221</v>
      </c>
      <c r="C31" s="336"/>
      <c r="E31" s="358"/>
      <c r="F31" s="191">
        <f>SUM(E32:E32)</f>
        <v>0</v>
      </c>
      <c r="H31" s="190"/>
      <c r="I31" s="190"/>
    </row>
    <row r="32" spans="1:9" s="338" customFormat="1" ht="13.5" x14ac:dyDescent="0.25">
      <c r="A32" s="336"/>
      <c r="B32" s="357" t="s">
        <v>222</v>
      </c>
      <c r="C32" s="336"/>
      <c r="E32" s="358">
        <f>'1-Položky'!L438</f>
        <v>0</v>
      </c>
      <c r="F32" s="191"/>
      <c r="H32" s="190"/>
      <c r="I32" s="190"/>
    </row>
    <row r="33" spans="1:10" s="338" customFormat="1" ht="13.5" x14ac:dyDescent="0.25">
      <c r="A33" s="336"/>
      <c r="B33" s="337" t="s">
        <v>223</v>
      </c>
      <c r="C33" s="336"/>
      <c r="E33" s="358"/>
      <c r="F33" s="191">
        <f>SUM(E34:E35)</f>
        <v>0</v>
      </c>
      <c r="H33" s="190"/>
      <c r="I33" s="190"/>
    </row>
    <row r="34" spans="1:10" s="338" customFormat="1" ht="13.5" x14ac:dyDescent="0.25">
      <c r="A34" s="336"/>
      <c r="B34" s="357" t="s">
        <v>224</v>
      </c>
      <c r="C34" s="336"/>
      <c r="E34" s="358">
        <f>'1-Položky'!L461</f>
        <v>0</v>
      </c>
      <c r="F34" s="191"/>
      <c r="H34" s="190"/>
      <c r="I34" s="190"/>
    </row>
    <row r="35" spans="1:10" s="338" customFormat="1" ht="13.5" x14ac:dyDescent="0.25">
      <c r="A35" s="336"/>
      <c r="B35" s="359" t="s">
        <v>225</v>
      </c>
      <c r="C35" s="341"/>
      <c r="D35" s="342"/>
      <c r="E35" s="360">
        <f>'1-Položky'!L480</f>
        <v>0</v>
      </c>
      <c r="F35" s="344"/>
      <c r="H35" s="190"/>
      <c r="I35" s="190"/>
    </row>
    <row r="36" spans="1:10" s="349" customFormat="1" ht="5.25" x14ac:dyDescent="0.25">
      <c r="A36" s="345"/>
      <c r="B36" s="346"/>
      <c r="C36" s="345"/>
      <c r="D36" s="345"/>
      <c r="E36" s="347"/>
      <c r="F36" s="348"/>
      <c r="H36" s="350"/>
      <c r="I36" s="350"/>
    </row>
    <row r="37" spans="1:10" s="165" customFormat="1" ht="13.5" x14ac:dyDescent="0.25">
      <c r="A37" s="173"/>
      <c r="B37" s="183" t="s">
        <v>66</v>
      </c>
      <c r="C37" s="182"/>
      <c r="D37" s="181"/>
      <c r="E37" s="180">
        <f>SUM(F38:F41)</f>
        <v>0</v>
      </c>
      <c r="F37" s="179"/>
      <c r="H37" s="178"/>
      <c r="I37" s="178"/>
    </row>
    <row r="38" spans="1:10" s="174" customFormat="1" ht="13.5" x14ac:dyDescent="0.25">
      <c r="A38" s="176"/>
      <c r="B38" s="177" t="s">
        <v>65</v>
      </c>
      <c r="C38" s="176"/>
      <c r="E38" s="185"/>
      <c r="F38" s="184">
        <f>'1-Položky'!L491</f>
        <v>0</v>
      </c>
      <c r="H38" s="175"/>
      <c r="I38" s="175"/>
    </row>
    <row r="39" spans="1:10" s="174" customFormat="1" ht="13.5" x14ac:dyDescent="0.25">
      <c r="A39" s="176"/>
      <c r="B39" s="177" t="s">
        <v>64</v>
      </c>
      <c r="C39" s="176"/>
      <c r="E39" s="185"/>
      <c r="F39" s="184">
        <f>'1-Položky'!L494</f>
        <v>0</v>
      </c>
      <c r="H39" s="175"/>
      <c r="I39" s="175"/>
    </row>
    <row r="40" spans="1:10" s="174" customFormat="1" ht="13.5" x14ac:dyDescent="0.25">
      <c r="A40" s="176"/>
      <c r="B40" s="177" t="s">
        <v>63</v>
      </c>
      <c r="C40" s="176"/>
      <c r="E40" s="185"/>
      <c r="F40" s="184">
        <f>'1-Položky'!L513</f>
        <v>0</v>
      </c>
      <c r="H40" s="175"/>
      <c r="I40" s="175"/>
    </row>
    <row r="41" spans="1:10" s="338" customFormat="1" ht="13.5" x14ac:dyDescent="0.25">
      <c r="A41" s="336"/>
      <c r="B41" s="340" t="s">
        <v>62</v>
      </c>
      <c r="C41" s="456"/>
      <c r="D41" s="456"/>
      <c r="E41" s="343"/>
      <c r="F41" s="344">
        <f>'1-Položky'!L518</f>
        <v>0</v>
      </c>
      <c r="H41" s="190"/>
      <c r="I41" s="190"/>
    </row>
    <row r="42" spans="1:10" s="349" customFormat="1" ht="5.25" x14ac:dyDescent="0.25">
      <c r="A42" s="345"/>
      <c r="B42" s="346"/>
      <c r="C42" s="345"/>
      <c r="D42" s="345"/>
      <c r="E42" s="347"/>
      <c r="F42" s="348"/>
      <c r="H42" s="350"/>
      <c r="I42" s="350"/>
    </row>
    <row r="43" spans="1:10" s="331" customFormat="1" ht="13.5" x14ac:dyDescent="0.25">
      <c r="A43" s="329"/>
      <c r="B43" s="351" t="s">
        <v>645</v>
      </c>
      <c r="C43" s="352"/>
      <c r="D43" s="353"/>
      <c r="E43" s="354">
        <f>SUM(F44:F45)</f>
        <v>0</v>
      </c>
      <c r="F43" s="355"/>
      <c r="H43" s="335"/>
      <c r="I43" s="335"/>
    </row>
    <row r="44" spans="1:10" s="338" customFormat="1" ht="13.5" x14ac:dyDescent="0.25">
      <c r="A44" s="336"/>
      <c r="B44" s="337" t="s">
        <v>646</v>
      </c>
      <c r="C44" s="455"/>
      <c r="D44" s="455" t="s">
        <v>647</v>
      </c>
      <c r="E44" s="339"/>
      <c r="F44" s="191">
        <f>ZTI!PSV</f>
        <v>0</v>
      </c>
      <c r="H44" s="190"/>
      <c r="I44" s="190"/>
    </row>
    <row r="45" spans="1:10" s="338" customFormat="1" ht="13.5" x14ac:dyDescent="0.25">
      <c r="A45" s="336"/>
      <c r="B45" s="340" t="s">
        <v>750</v>
      </c>
      <c r="C45" s="456"/>
      <c r="D45" s="456" t="s">
        <v>647</v>
      </c>
      <c r="E45" s="343"/>
      <c r="F45" s="344">
        <f>elektro!E30</f>
        <v>0</v>
      </c>
      <c r="H45" s="190"/>
      <c r="I45" s="190"/>
    </row>
    <row r="46" spans="1:10" s="349" customFormat="1" ht="5.25" x14ac:dyDescent="0.25">
      <c r="A46" s="345"/>
      <c r="B46" s="346"/>
      <c r="C46" s="345"/>
      <c r="D46" s="345"/>
      <c r="E46" s="347"/>
      <c r="F46" s="348"/>
      <c r="H46" s="350"/>
      <c r="I46" s="350"/>
    </row>
    <row r="47" spans="1:10" s="165" customFormat="1" ht="13.5" x14ac:dyDescent="0.25">
      <c r="A47" s="173"/>
      <c r="B47" s="172" t="s">
        <v>61</v>
      </c>
      <c r="C47" s="171"/>
      <c r="D47" s="170"/>
      <c r="E47" s="169"/>
      <c r="F47" s="168">
        <f>SUM(F7:F46)</f>
        <v>0</v>
      </c>
      <c r="G47" s="167">
        <f>'1-Krycí list'!E25</f>
        <v>0</v>
      </c>
      <c r="H47" s="167">
        <f>'1-Položky'!L521+E43</f>
        <v>0</v>
      </c>
      <c r="I47" s="167">
        <f>F47-E43</f>
        <v>0</v>
      </c>
      <c r="J47" s="166"/>
    </row>
    <row r="48" spans="1:10" x14ac:dyDescent="0.25">
      <c r="G48" s="164"/>
    </row>
  </sheetData>
  <sheetProtection algorithmName="SHA-512" hashValue="G8d+9MJXkO4qYu8PEpOiU5ulBGxcRdoquyBsoCS6oY0tmi2vuf2gf4JIW5SOLIpiEHg0XhNfQZTXMhE+hgnofg==" saltValue="0PlU2g0HoCwBCZFRSI9GvQ==" spinCount="100000" sheet="1" objects="1" scenarios="1"/>
  <pageMargins left="0.59055118110236227" right="0.31496062992125984" top="0.47244094488188981" bottom="0.31496062992125984" header="0" footer="0"/>
  <pageSetup paperSize="9" scale="109" orientation="portrait" verticalDpi="300" r:id="rId1"/>
  <headerFooter alignWithMargins="0">
    <oddFooter>&amp;C&amp;6&amp;A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5425-E806-476B-863B-6BE16EFF8A0D}">
  <sheetPr>
    <tabColor indexed="42"/>
  </sheetPr>
  <dimension ref="A1:BX522"/>
  <sheetViews>
    <sheetView view="pageBreakPreview" topLeftCell="D460" zoomScale="85" zoomScaleSheetLayoutView="85" workbookViewId="0">
      <selection activeCell="G524" sqref="G524"/>
    </sheetView>
  </sheetViews>
  <sheetFormatPr defaultColWidth="9.140625" defaultRowHeight="12.75" x14ac:dyDescent="0.25"/>
  <cols>
    <col min="1" max="1" width="3.28515625" style="222" customWidth="1"/>
    <col min="2" max="2" width="3.7109375" style="212" hidden="1" customWidth="1"/>
    <col min="3" max="3" width="8.7109375" style="221" customWidth="1"/>
    <col min="4" max="4" width="2.5703125" style="220" customWidth="1"/>
    <col min="5" max="5" width="47.140625" style="220" customWidth="1"/>
    <col min="6" max="6" width="4.28515625" style="219" customWidth="1"/>
    <col min="7" max="7" width="10.140625" style="212" bestFit="1" customWidth="1"/>
    <col min="8" max="8" width="11.28515625" style="565" bestFit="1" customWidth="1"/>
    <col min="9" max="11" width="1.28515625" style="218" hidden="1" customWidth="1"/>
    <col min="12" max="12" width="12.5703125" style="217" customWidth="1"/>
    <col min="13" max="13" width="1" style="216" hidden="1" customWidth="1"/>
    <col min="14" max="14" width="4.28515625" style="215" bestFit="1" customWidth="1"/>
    <col min="15" max="15" width="4.5703125" style="214" bestFit="1" customWidth="1"/>
    <col min="16" max="16" width="6" style="213" customWidth="1"/>
    <col min="17" max="17" width="4.5703125" style="212" bestFit="1" customWidth="1"/>
    <col min="18" max="18" width="11.7109375" style="212" bestFit="1" customWidth="1"/>
    <col min="19" max="16384" width="9.140625" style="212"/>
  </cols>
  <sheetData>
    <row r="1" spans="1:66" s="201" customFormat="1" ht="18" x14ac:dyDescent="0.2">
      <c r="A1" s="211" t="s">
        <v>80</v>
      </c>
      <c r="B1" s="210"/>
      <c r="C1" s="210"/>
      <c r="D1" s="210"/>
      <c r="E1" s="210"/>
      <c r="F1" s="210"/>
      <c r="G1" s="210"/>
      <c r="H1" s="558"/>
      <c r="I1" s="317"/>
      <c r="J1" s="317"/>
      <c r="K1" s="317"/>
      <c r="L1" s="320"/>
      <c r="M1" s="317"/>
      <c r="N1" s="316"/>
      <c r="O1" s="315"/>
      <c r="P1" s="305"/>
    </row>
    <row r="2" spans="1:66" s="201" customFormat="1" x14ac:dyDescent="0.2">
      <c r="A2" s="209" t="s">
        <v>79</v>
      </c>
      <c r="B2" s="208"/>
      <c r="C2" s="208"/>
      <c r="D2" s="208" t="str">
        <f>'1-Krycí list'!E3</f>
        <v xml:space="preserve"> Hřbitovní domek,  p.p.č. 2687, k.ú. Smržovka </v>
      </c>
      <c r="E2" s="208"/>
      <c r="F2" s="208"/>
      <c r="G2" s="207"/>
      <c r="H2" s="559"/>
      <c r="I2" s="317"/>
      <c r="J2" s="317"/>
      <c r="K2" s="317"/>
      <c r="L2" s="318"/>
      <c r="M2" s="317"/>
      <c r="N2" s="316"/>
      <c r="O2" s="315"/>
      <c r="P2" s="305"/>
    </row>
    <row r="3" spans="1:66" s="201" customFormat="1" x14ac:dyDescent="0.2">
      <c r="A3" s="209" t="s">
        <v>78</v>
      </c>
      <c r="B3" s="208"/>
      <c r="C3" s="208"/>
      <c r="D3" s="208" t="str">
        <f>'1-Krycí list'!E4</f>
        <v xml:space="preserve"> 1 - SO 01 Novostavba hřbitovního domku </v>
      </c>
      <c r="E3" s="208"/>
      <c r="F3" s="208"/>
      <c r="G3" s="207" t="s">
        <v>77</v>
      </c>
      <c r="H3" s="559"/>
      <c r="I3" s="317"/>
      <c r="J3" s="317"/>
      <c r="K3" s="317"/>
      <c r="L3" s="318"/>
      <c r="M3" s="317"/>
      <c r="N3" s="316"/>
      <c r="O3" s="315"/>
      <c r="P3" s="305"/>
    </row>
    <row r="4" spans="1:66" s="201" customFormat="1" x14ac:dyDescent="0.2">
      <c r="A4" s="208" t="s">
        <v>76</v>
      </c>
      <c r="B4" s="208"/>
      <c r="C4" s="208"/>
      <c r="D4" s="208" t="str">
        <f>'1-Krycí list'!E7</f>
        <v xml:space="preserve"> Město Smržovka,nám.T.G.Masaryka 600, 468 51 Smržovka</v>
      </c>
      <c r="E4" s="208"/>
      <c r="F4" s="208"/>
      <c r="G4" s="207" t="s">
        <v>75</v>
      </c>
      <c r="H4" s="559" t="str">
        <f>'1-Krycí list'!G11</f>
        <v xml:space="preserve"> - doplnit</v>
      </c>
      <c r="I4" s="317"/>
      <c r="J4" s="317"/>
      <c r="K4" s="317"/>
      <c r="L4" s="318"/>
      <c r="M4" s="317"/>
      <c r="N4" s="316"/>
      <c r="O4" s="315"/>
      <c r="P4" s="305"/>
    </row>
    <row r="5" spans="1:66" s="201" customFormat="1" x14ac:dyDescent="0.2">
      <c r="A5" s="208" t="s">
        <v>74</v>
      </c>
      <c r="B5" s="208"/>
      <c r="C5" s="208"/>
      <c r="D5" s="208" t="str">
        <f>'1-Krycí list'!E9</f>
        <v xml:space="preserve"> - dle výběrového řízení</v>
      </c>
      <c r="E5" s="208"/>
      <c r="F5" s="208"/>
      <c r="G5" s="207" t="s">
        <v>73</v>
      </c>
      <c r="H5" s="560" t="str">
        <f>'1-Krycí list'!N11</f>
        <v xml:space="preserve"> - doplnit</v>
      </c>
      <c r="I5" s="319"/>
      <c r="J5" s="317"/>
      <c r="K5" s="317"/>
      <c r="L5" s="318"/>
      <c r="M5" s="317"/>
      <c r="N5" s="316"/>
      <c r="O5" s="315"/>
      <c r="P5" s="305"/>
    </row>
    <row r="6" spans="1:66" s="201" customFormat="1" ht="4.5" customHeight="1" x14ac:dyDescent="0.2">
      <c r="A6" s="208"/>
      <c r="B6" s="208"/>
      <c r="C6" s="208"/>
      <c r="D6" s="208"/>
      <c r="E6" s="208"/>
      <c r="F6" s="208"/>
      <c r="G6" s="207"/>
      <c r="H6" s="559"/>
      <c r="I6" s="317"/>
      <c r="J6" s="317"/>
      <c r="K6" s="317"/>
      <c r="L6" s="318"/>
      <c r="M6" s="317"/>
      <c r="N6" s="316"/>
      <c r="O6" s="315"/>
      <c r="P6" s="305"/>
    </row>
    <row r="7" spans="1:66" s="201" customFormat="1" x14ac:dyDescent="0.2">
      <c r="A7" s="314" t="s">
        <v>148</v>
      </c>
      <c r="B7" s="313" t="s">
        <v>147</v>
      </c>
      <c r="C7" s="313" t="s">
        <v>146</v>
      </c>
      <c r="D7" s="654" t="s">
        <v>145</v>
      </c>
      <c r="E7" s="655"/>
      <c r="F7" s="313" t="s">
        <v>144</v>
      </c>
      <c r="G7" s="313" t="s">
        <v>143</v>
      </c>
      <c r="H7" s="561" t="s">
        <v>142</v>
      </c>
      <c r="I7" s="312"/>
      <c r="J7" s="312"/>
      <c r="K7" s="311"/>
      <c r="L7" s="310" t="s">
        <v>141</v>
      </c>
      <c r="M7" s="309"/>
      <c r="N7" s="652" t="s">
        <v>140</v>
      </c>
      <c r="O7" s="653"/>
      <c r="P7" s="305"/>
    </row>
    <row r="8" spans="1:66" s="201" customFormat="1" ht="9" customHeight="1" x14ac:dyDescent="0.2">
      <c r="A8" s="308">
        <v>1</v>
      </c>
      <c r="B8" s="306">
        <v>2</v>
      </c>
      <c r="C8" s="306">
        <v>2</v>
      </c>
      <c r="D8" s="656">
        <v>3</v>
      </c>
      <c r="E8" s="657"/>
      <c r="F8" s="306">
        <v>4</v>
      </c>
      <c r="G8" s="306">
        <v>5</v>
      </c>
      <c r="H8" s="562">
        <v>6</v>
      </c>
      <c r="I8" s="306"/>
      <c r="J8" s="306"/>
      <c r="K8" s="306"/>
      <c r="L8" s="306">
        <v>7</v>
      </c>
      <c r="M8" s="306"/>
      <c r="N8" s="307" t="s">
        <v>139</v>
      </c>
      <c r="O8" s="306" t="s">
        <v>138</v>
      </c>
      <c r="P8" s="305"/>
    </row>
    <row r="9" spans="1:66" x14ac:dyDescent="0.25">
      <c r="A9" s="264"/>
      <c r="B9" s="263"/>
      <c r="C9" s="262"/>
      <c r="D9" s="261" t="str">
        <f>'1-Rekapitulace'!B8</f>
        <v>11 : přípravné a přidružené práce</v>
      </c>
      <c r="E9" s="261"/>
      <c r="F9" s="260"/>
      <c r="G9" s="259"/>
      <c r="H9" s="258"/>
      <c r="I9" s="256"/>
      <c r="J9" s="256"/>
      <c r="K9" s="256"/>
      <c r="L9" s="255">
        <f>SUM(L10:L11)</f>
        <v>0</v>
      </c>
      <c r="M9" s="254"/>
      <c r="N9" s="253"/>
      <c r="O9" s="252">
        <f>SUM(O10:O11)</f>
        <v>0</v>
      </c>
    </row>
    <row r="10" spans="1:66" x14ac:dyDescent="0.25">
      <c r="A10" s="251">
        <v>1</v>
      </c>
      <c r="B10" s="250"/>
      <c r="C10" s="249" t="s">
        <v>137</v>
      </c>
      <c r="D10" s="248" t="s">
        <v>136</v>
      </c>
      <c r="E10" s="248"/>
      <c r="F10" s="247" t="s">
        <v>135</v>
      </c>
      <c r="G10" s="269">
        <v>1</v>
      </c>
      <c r="H10" s="245"/>
      <c r="I10" s="244"/>
      <c r="J10" s="279"/>
      <c r="K10" s="279"/>
      <c r="L10" s="242">
        <f>ROUND(G10*H10,2)</f>
        <v>0</v>
      </c>
      <c r="M10" s="233"/>
      <c r="N10" s="281">
        <v>0</v>
      </c>
      <c r="O10" s="280">
        <f>G10*N10</f>
        <v>0</v>
      </c>
      <c r="P10" s="213" t="s">
        <v>769</v>
      </c>
    </row>
    <row r="11" spans="1:66" s="230" customFormat="1" ht="6.75" customHeight="1" x14ac:dyDescent="0.25">
      <c r="A11" s="266"/>
      <c r="B11" s="239"/>
      <c r="C11" s="267"/>
      <c r="D11" s="238"/>
      <c r="E11" s="238" t="s">
        <v>161</v>
      </c>
      <c r="F11" s="237"/>
      <c r="G11" s="236"/>
      <c r="H11" s="235"/>
      <c r="I11" s="235"/>
      <c r="J11" s="234"/>
      <c r="K11" s="234"/>
      <c r="L11" s="233"/>
      <c r="M11" s="233"/>
      <c r="N11" s="232"/>
      <c r="O11" s="231"/>
    </row>
    <row r="12" spans="1:66" s="283" customFormat="1" x14ac:dyDescent="0.25">
      <c r="A12" s="304"/>
      <c r="B12" s="303"/>
      <c r="C12" s="302"/>
      <c r="D12" s="301" t="str">
        <f>'1-Rekapitulace'!B9</f>
        <v>12 : odkopávky a prokopávky</v>
      </c>
      <c r="E12" s="301"/>
      <c r="F12" s="300"/>
      <c r="G12" s="299"/>
      <c r="H12" s="298"/>
      <c r="I12" s="297"/>
      <c r="J12" s="296"/>
      <c r="K12" s="296"/>
      <c r="L12" s="295">
        <f>SUM(L13:L13)</f>
        <v>0</v>
      </c>
      <c r="M12" s="294"/>
      <c r="N12" s="293"/>
      <c r="O12" s="252">
        <v>0</v>
      </c>
      <c r="P12" s="282"/>
    </row>
    <row r="13" spans="1:66" x14ac:dyDescent="0.25">
      <c r="A13" s="251">
        <f>A10+1</f>
        <v>2</v>
      </c>
      <c r="B13" s="250" t="s">
        <v>43</v>
      </c>
      <c r="C13" s="249" t="s">
        <v>162</v>
      </c>
      <c r="D13" s="248" t="s">
        <v>163</v>
      </c>
      <c r="E13" s="248"/>
      <c r="F13" s="247" t="s">
        <v>94</v>
      </c>
      <c r="G13" s="269">
        <f>SUM(G14:G16)</f>
        <v>16.2119979</v>
      </c>
      <c r="H13" s="245"/>
      <c r="I13" s="244" t="s">
        <v>95</v>
      </c>
      <c r="J13" s="233">
        <f>G13*AO13</f>
        <v>0</v>
      </c>
      <c r="K13" s="243">
        <f>G13*AP13</f>
        <v>243.1799685</v>
      </c>
      <c r="L13" s="242">
        <f>G13*H13</f>
        <v>0</v>
      </c>
      <c r="M13" s="233">
        <f>L13*(1+BW13/100)</f>
        <v>0</v>
      </c>
      <c r="N13" s="241">
        <v>0</v>
      </c>
      <c r="O13" s="240">
        <f>G13*N13</f>
        <v>0</v>
      </c>
      <c r="P13" s="213" t="s">
        <v>769</v>
      </c>
      <c r="AB13" s="212">
        <f>IF(AS13="5",BL13,0)</f>
        <v>0</v>
      </c>
      <c r="AD13" s="212">
        <f>IF(AS13="1",BJ13,0)</f>
        <v>0</v>
      </c>
      <c r="AE13" s="212">
        <f>IF(AS13="1",BK13,0)</f>
        <v>0</v>
      </c>
      <c r="AF13" s="212">
        <f>IF(AS13="7",BJ13,0)</f>
        <v>0</v>
      </c>
      <c r="AG13" s="212">
        <f>IF(AS13="7",BK13,0)</f>
        <v>0</v>
      </c>
      <c r="AH13" s="212">
        <f>IF(AS13="2",BJ13,0)</f>
        <v>0</v>
      </c>
      <c r="AI13" s="212">
        <f>IF(AS13="2",BK13,0)</f>
        <v>0</v>
      </c>
      <c r="AJ13" s="212">
        <f>IF(AS13="0",BL13,0)</f>
        <v>0</v>
      </c>
      <c r="AK13" s="212" t="s">
        <v>43</v>
      </c>
      <c r="AL13" s="212">
        <f>IF(AP13=0,L13,0)</f>
        <v>0</v>
      </c>
      <c r="AM13" s="212">
        <f>IF(AP13=15,L13,0)</f>
        <v>0</v>
      </c>
      <c r="AN13" s="212">
        <f>IF(AP13=21,L13,0)</f>
        <v>0</v>
      </c>
      <c r="AP13" s="212">
        <v>15</v>
      </c>
      <c r="AQ13" s="212">
        <f>H13*0</f>
        <v>0</v>
      </c>
      <c r="AR13" s="212">
        <f>H13*(1-0)</f>
        <v>0</v>
      </c>
      <c r="AS13" s="212" t="s">
        <v>91</v>
      </c>
      <c r="AX13" s="212">
        <f>AY13+AZ13</f>
        <v>0</v>
      </c>
      <c r="AY13" s="212">
        <f>G13*AQ13</f>
        <v>0</v>
      </c>
      <c r="AZ13" s="212">
        <f>G13*AR13</f>
        <v>0</v>
      </c>
      <c r="BA13" s="212" t="s">
        <v>134</v>
      </c>
      <c r="BB13" s="212" t="s">
        <v>117</v>
      </c>
      <c r="BC13" s="212" t="s">
        <v>85</v>
      </c>
      <c r="BE13" s="212">
        <f>AY13+AZ13</f>
        <v>0</v>
      </c>
      <c r="BF13" s="212">
        <f>H13/(100-BG13)*100</f>
        <v>0</v>
      </c>
      <c r="BG13" s="212">
        <v>0</v>
      </c>
      <c r="BH13" s="212">
        <f>O13</f>
        <v>0</v>
      </c>
      <c r="BJ13" s="212">
        <f>G13*AQ13</f>
        <v>0</v>
      </c>
      <c r="BK13" s="212">
        <f>G13*AR13</f>
        <v>0</v>
      </c>
      <c r="BL13" s="212">
        <f>G13*H13</f>
        <v>0</v>
      </c>
      <c r="BN13" s="212">
        <v>12</v>
      </c>
    </row>
    <row r="14" spans="1:66" s="230" customFormat="1" ht="6.75" customHeight="1" x14ac:dyDescent="0.25">
      <c r="A14" s="274">
        <v>0.15</v>
      </c>
      <c r="B14" s="276"/>
      <c r="C14" s="275">
        <v>12.656000000000001</v>
      </c>
      <c r="D14" s="541">
        <v>7.64</v>
      </c>
      <c r="E14" s="238" t="s">
        <v>172</v>
      </c>
      <c r="F14" s="237" t="s">
        <v>94</v>
      </c>
      <c r="G14" s="236">
        <f t="shared" ref="G14:G16" si="0">A14*C14*D14</f>
        <v>14.503776</v>
      </c>
      <c r="H14" s="235"/>
      <c r="I14" s="235"/>
      <c r="J14" s="234"/>
      <c r="K14" s="234"/>
      <c r="L14" s="233"/>
      <c r="M14" s="233"/>
      <c r="N14" s="232"/>
      <c r="O14" s="231"/>
    </row>
    <row r="15" spans="1:66" s="230" customFormat="1" ht="6.75" customHeight="1" x14ac:dyDescent="0.25">
      <c r="A15" s="274">
        <v>0.15</v>
      </c>
      <c r="B15" s="276"/>
      <c r="C15" s="275">
        <v>3.2389999999999999</v>
      </c>
      <c r="D15" s="541">
        <v>2.8180000000000001</v>
      </c>
      <c r="E15" s="238" t="s">
        <v>174</v>
      </c>
      <c r="F15" s="237" t="s">
        <v>94</v>
      </c>
      <c r="G15" s="236">
        <f t="shared" ref="G15" si="1">A15*C15*D15</f>
        <v>1.3691252999999999</v>
      </c>
      <c r="H15" s="235"/>
      <c r="I15" s="235"/>
      <c r="J15" s="234"/>
      <c r="K15" s="234"/>
      <c r="L15" s="233"/>
      <c r="M15" s="233"/>
      <c r="N15" s="232"/>
      <c r="O15" s="231"/>
    </row>
    <row r="16" spans="1:66" s="230" customFormat="1" ht="6.75" customHeight="1" x14ac:dyDescent="0.25">
      <c r="A16" s="274">
        <v>0.15</v>
      </c>
      <c r="B16" s="276"/>
      <c r="C16" s="275">
        <v>3.1930000000000001</v>
      </c>
      <c r="D16" s="541">
        <v>0.70799999999999996</v>
      </c>
      <c r="E16" s="238" t="s">
        <v>173</v>
      </c>
      <c r="F16" s="237" t="s">
        <v>94</v>
      </c>
      <c r="G16" s="236">
        <f t="shared" si="0"/>
        <v>0.33909659999999997</v>
      </c>
      <c r="H16" s="235"/>
      <c r="I16" s="235"/>
      <c r="J16" s="234"/>
      <c r="K16" s="234"/>
      <c r="L16" s="233"/>
      <c r="M16" s="233"/>
      <c r="N16" s="232"/>
      <c r="O16" s="231"/>
    </row>
    <row r="17" spans="1:75" x14ac:dyDescent="0.25">
      <c r="A17" s="264"/>
      <c r="B17" s="263"/>
      <c r="C17" s="262"/>
      <c r="D17" s="261" t="str">
        <f>'1-Rekapitulace'!B10</f>
        <v>13 : hloubené vykopávky</v>
      </c>
      <c r="E17" s="261"/>
      <c r="F17" s="260"/>
      <c r="G17" s="259"/>
      <c r="H17" s="258"/>
      <c r="I17" s="257"/>
      <c r="J17" s="256"/>
      <c r="K17" s="256"/>
      <c r="L17" s="255">
        <f>SUM(L18:L33)</f>
        <v>0</v>
      </c>
      <c r="M17" s="254"/>
      <c r="N17" s="253"/>
      <c r="O17" s="252">
        <f>SUM(O18:O33)</f>
        <v>0</v>
      </c>
    </row>
    <row r="18" spans="1:75" s="283" customFormat="1" x14ac:dyDescent="0.25">
      <c r="A18" s="251">
        <f>A13+1</f>
        <v>3</v>
      </c>
      <c r="B18" s="292" t="s">
        <v>43</v>
      </c>
      <c r="C18" s="249" t="s">
        <v>168</v>
      </c>
      <c r="D18" s="248" t="s">
        <v>169</v>
      </c>
      <c r="E18" s="248"/>
      <c r="F18" s="247" t="s">
        <v>94</v>
      </c>
      <c r="G18" s="269">
        <f>SUM(G19:G29)</f>
        <v>143.96039880250001</v>
      </c>
      <c r="H18" s="245"/>
      <c r="I18" s="244" t="s">
        <v>95</v>
      </c>
      <c r="J18" s="279">
        <f>G18*AO18</f>
        <v>0</v>
      </c>
      <c r="K18" s="279">
        <f>G18*AP18</f>
        <v>2159.4059820375001</v>
      </c>
      <c r="L18" s="242">
        <f>G18*H18</f>
        <v>0</v>
      </c>
      <c r="M18" s="233">
        <f>L18*(1+BW18/100)</f>
        <v>0</v>
      </c>
      <c r="N18" s="281">
        <v>0</v>
      </c>
      <c r="O18" s="280">
        <f>G18*N18</f>
        <v>0</v>
      </c>
      <c r="P18" s="213" t="s">
        <v>769</v>
      </c>
      <c r="AB18" s="283">
        <f>IF(AS18="5",BL18,0)</f>
        <v>0</v>
      </c>
      <c r="AD18" s="283">
        <f>IF(AS18="1",BJ18,0)</f>
        <v>0</v>
      </c>
      <c r="AE18" s="283">
        <f>IF(AS18="1",BK18,0)</f>
        <v>0</v>
      </c>
      <c r="AF18" s="283">
        <f>IF(AS18="7",BJ18,0)</f>
        <v>0</v>
      </c>
      <c r="AG18" s="283">
        <f>IF(AS18="7",BK18,0)</f>
        <v>0</v>
      </c>
      <c r="AH18" s="283">
        <f>IF(AS18="2",BJ18,0)</f>
        <v>0</v>
      </c>
      <c r="AI18" s="283">
        <f>IF(AS18="2",BK18,0)</f>
        <v>0</v>
      </c>
      <c r="AJ18" s="283">
        <f>IF(AS18="0",BL18,0)</f>
        <v>0</v>
      </c>
      <c r="AK18" s="283" t="s">
        <v>43</v>
      </c>
      <c r="AL18" s="283">
        <f>IF(AP18=0,L18,0)</f>
        <v>0</v>
      </c>
      <c r="AM18" s="283">
        <f>IF(AP18=15,L18,0)</f>
        <v>0</v>
      </c>
      <c r="AN18" s="283">
        <f>IF(AP18=21,L18,0)</f>
        <v>0</v>
      </c>
      <c r="AP18" s="283">
        <v>15</v>
      </c>
      <c r="AQ18" s="283">
        <f>H18*0</f>
        <v>0</v>
      </c>
      <c r="AR18" s="283">
        <f>H18*(1-0)</f>
        <v>0</v>
      </c>
      <c r="AS18" s="283" t="s">
        <v>91</v>
      </c>
      <c r="AX18" s="283">
        <f>AY18+AZ18</f>
        <v>0</v>
      </c>
      <c r="AY18" s="283">
        <f>G18*AQ18</f>
        <v>0</v>
      </c>
      <c r="AZ18" s="283">
        <f>G18*AR18</f>
        <v>0</v>
      </c>
      <c r="BA18" s="283" t="s">
        <v>133</v>
      </c>
      <c r="BB18" s="283" t="s">
        <v>117</v>
      </c>
      <c r="BC18" s="283" t="s">
        <v>85</v>
      </c>
      <c r="BE18" s="283">
        <f>AY18+AZ18</f>
        <v>0</v>
      </c>
      <c r="BF18" s="283">
        <f>H18/(100-BG18)*100</f>
        <v>0</v>
      </c>
      <c r="BG18" s="283">
        <v>0</v>
      </c>
      <c r="BH18" s="283">
        <f>O18</f>
        <v>0</v>
      </c>
      <c r="BJ18" s="283">
        <f>G18*AQ18</f>
        <v>0</v>
      </c>
      <c r="BK18" s="283">
        <f>G18*AR18</f>
        <v>0</v>
      </c>
      <c r="BL18" s="283">
        <f>G18*H18</f>
        <v>0</v>
      </c>
      <c r="BN18" s="283">
        <v>13</v>
      </c>
    </row>
    <row r="19" spans="1:75" s="230" customFormat="1" ht="6.75" customHeight="1" x14ac:dyDescent="0.25">
      <c r="A19" s="274">
        <f>1.62-0.335</f>
        <v>1.2850000000000001</v>
      </c>
      <c r="B19" s="276"/>
      <c r="C19" s="275">
        <f>(1.1*2+0.783+0.74)/2</f>
        <v>1.8614999999999999</v>
      </c>
      <c r="D19" s="541">
        <f>0.938+6.97+0.742+1.1+0.74+1.534+0.626</f>
        <v>12.649999999999999</v>
      </c>
      <c r="E19" s="238" t="s">
        <v>175</v>
      </c>
      <c r="F19" s="265" t="s">
        <v>94</v>
      </c>
      <c r="G19" s="236">
        <f t="shared" ref="G19:G29" si="2">A19*C19*D19</f>
        <v>30.259147875</v>
      </c>
      <c r="H19" s="235"/>
      <c r="I19" s="235"/>
      <c r="J19" s="234"/>
      <c r="K19" s="234"/>
      <c r="L19" s="233"/>
      <c r="M19" s="233"/>
      <c r="N19" s="232"/>
      <c r="O19" s="231"/>
    </row>
    <row r="20" spans="1:75" s="230" customFormat="1" ht="6.75" customHeight="1" x14ac:dyDescent="0.25">
      <c r="A20" s="274">
        <f>1.82-0.335</f>
        <v>1.4850000000000001</v>
      </c>
      <c r="B20" s="276"/>
      <c r="C20" s="275">
        <f>(1.1*2+0.859+1.088)/2</f>
        <v>2.0735000000000001</v>
      </c>
      <c r="D20" s="541">
        <f>0.15+1.1+0.65</f>
        <v>1.9</v>
      </c>
      <c r="E20" s="238" t="s">
        <v>196</v>
      </c>
      <c r="F20" s="265" t="s">
        <v>94</v>
      </c>
      <c r="G20" s="236">
        <f t="shared" si="2"/>
        <v>5.8503802500000006</v>
      </c>
      <c r="H20" s="235"/>
      <c r="I20" s="235"/>
      <c r="J20" s="234"/>
      <c r="K20" s="234"/>
      <c r="L20" s="233"/>
      <c r="M20" s="233"/>
      <c r="N20" s="232"/>
      <c r="O20" s="231"/>
    </row>
    <row r="21" spans="1:75" s="230" customFormat="1" ht="6.75" customHeight="1" x14ac:dyDescent="0.25">
      <c r="A21" s="274">
        <f>2.02-0.335</f>
        <v>1.6850000000000001</v>
      </c>
      <c r="B21" s="276"/>
      <c r="C21" s="275">
        <f>(1.1*2+0.859+1.088)/2</f>
        <v>2.0735000000000001</v>
      </c>
      <c r="D21" s="541">
        <v>1.125</v>
      </c>
      <c r="E21" s="238" t="s">
        <v>197</v>
      </c>
      <c r="F21" s="265" t="s">
        <v>94</v>
      </c>
      <c r="G21" s="236">
        <f t="shared" si="2"/>
        <v>3.9305784375000004</v>
      </c>
      <c r="H21" s="235"/>
      <c r="I21" s="235"/>
      <c r="J21" s="234"/>
      <c r="K21" s="234"/>
      <c r="L21" s="233"/>
      <c r="M21" s="233"/>
      <c r="N21" s="232"/>
      <c r="O21" s="231"/>
    </row>
    <row r="22" spans="1:75" s="230" customFormat="1" ht="6.75" customHeight="1" x14ac:dyDescent="0.25">
      <c r="A22" s="274">
        <f>2.22-0.335</f>
        <v>1.8850000000000002</v>
      </c>
      <c r="B22" s="276"/>
      <c r="C22" s="275">
        <f>(1.1*2+0.859+1.088)/2</f>
        <v>2.0735000000000001</v>
      </c>
      <c r="D22" s="541">
        <f>1.145+0.499</f>
        <v>1.6440000000000001</v>
      </c>
      <c r="E22" s="238" t="s">
        <v>198</v>
      </c>
      <c r="F22" s="265" t="s">
        <v>94</v>
      </c>
      <c r="G22" s="236">
        <f t="shared" si="2"/>
        <v>6.4256520900000016</v>
      </c>
      <c r="H22" s="235"/>
      <c r="I22" s="235"/>
      <c r="J22" s="234"/>
      <c r="K22" s="234"/>
      <c r="L22" s="233"/>
      <c r="M22" s="233"/>
      <c r="N22" s="232"/>
      <c r="O22" s="231"/>
    </row>
    <row r="23" spans="1:75" s="230" customFormat="1" ht="6.75" customHeight="1" x14ac:dyDescent="0.25">
      <c r="A23" s="274">
        <f>2.73-0.335</f>
        <v>2.395</v>
      </c>
      <c r="B23" s="276"/>
      <c r="C23" s="275">
        <f>(1.1*2+1.107+1.276)/2</f>
        <v>2.2915000000000001</v>
      </c>
      <c r="D23" s="541">
        <f>0.65*2+1.1</f>
        <v>2.4000000000000004</v>
      </c>
      <c r="E23" s="238" t="s">
        <v>199</v>
      </c>
      <c r="F23" s="265" t="s">
        <v>94</v>
      </c>
      <c r="G23" s="236">
        <f t="shared" si="2"/>
        <v>13.171542000000002</v>
      </c>
      <c r="H23" s="235"/>
      <c r="I23" s="235"/>
      <c r="J23" s="234"/>
      <c r="K23" s="234"/>
      <c r="L23" s="233"/>
      <c r="M23" s="233"/>
      <c r="N23" s="232"/>
      <c r="O23" s="231"/>
    </row>
    <row r="24" spans="1:75" s="230" customFormat="1" ht="6.75" customHeight="1" x14ac:dyDescent="0.25">
      <c r="A24" s="274">
        <f>3.23-0.335</f>
        <v>2.895</v>
      </c>
      <c r="B24" s="276"/>
      <c r="C24" s="275">
        <f>(1.1*2+1.107+1.276)/2</f>
        <v>2.2915000000000001</v>
      </c>
      <c r="D24" s="541">
        <f>3.658+0.092</f>
        <v>3.75</v>
      </c>
      <c r="E24" s="238" t="s">
        <v>200</v>
      </c>
      <c r="F24" s="265" t="s">
        <v>94</v>
      </c>
      <c r="G24" s="236">
        <f t="shared" si="2"/>
        <v>24.877096874999999</v>
      </c>
      <c r="H24" s="235"/>
      <c r="I24" s="235"/>
      <c r="J24" s="234"/>
      <c r="K24" s="234"/>
      <c r="L24" s="233"/>
      <c r="M24" s="233"/>
      <c r="N24" s="232"/>
      <c r="O24" s="231"/>
    </row>
    <row r="25" spans="1:75" s="230" customFormat="1" ht="6.75" customHeight="1" x14ac:dyDescent="0.25">
      <c r="A25" s="274">
        <f>3.83-0.335</f>
        <v>3.4950000000000001</v>
      </c>
      <c r="B25" s="276"/>
      <c r="C25" s="275">
        <f>(1.1*2+1.107+1.276)/2</f>
        <v>2.2915000000000001</v>
      </c>
      <c r="D25" s="541">
        <f>12.656-0.797-0.859-(3.658+0.092)-(0.65+1.1)+0.15</f>
        <v>5.65</v>
      </c>
      <c r="E25" s="238" t="s">
        <v>201</v>
      </c>
      <c r="F25" s="265" t="s">
        <v>94</v>
      </c>
      <c r="G25" s="236">
        <f t="shared" si="2"/>
        <v>45.249677625000004</v>
      </c>
      <c r="H25" s="235"/>
      <c r="I25" s="235"/>
      <c r="J25" s="234"/>
      <c r="K25" s="234"/>
      <c r="L25" s="233"/>
      <c r="M25" s="233"/>
      <c r="N25" s="232"/>
      <c r="O25" s="231"/>
    </row>
    <row r="26" spans="1:75" s="230" customFormat="1" ht="6.75" customHeight="1" x14ac:dyDescent="0.25">
      <c r="A26" s="274">
        <f>1.03-0.335</f>
        <v>0.69500000000000006</v>
      </c>
      <c r="B26" s="276"/>
      <c r="C26" s="275">
        <f>(1*2+1.119*2)/2</f>
        <v>2.1189999999999998</v>
      </c>
      <c r="D26" s="541">
        <v>0.5</v>
      </c>
      <c r="E26" s="238" t="s">
        <v>202</v>
      </c>
      <c r="F26" s="265" t="s">
        <v>94</v>
      </c>
      <c r="G26" s="236">
        <f t="shared" si="2"/>
        <v>0.73635249999999997</v>
      </c>
      <c r="H26" s="235"/>
      <c r="I26" s="235"/>
      <c r="J26" s="234"/>
      <c r="K26" s="234"/>
      <c r="L26" s="233"/>
      <c r="M26" s="233"/>
      <c r="N26" s="232"/>
      <c r="O26" s="231"/>
    </row>
    <row r="27" spans="1:75" s="230" customFormat="1" ht="6.75" customHeight="1" x14ac:dyDescent="0.25">
      <c r="A27" s="274">
        <f>2.03-0.335</f>
        <v>1.6949999999999998</v>
      </c>
      <c r="B27" s="276"/>
      <c r="C27" s="275">
        <f>(1*2+1.119*2)/2</f>
        <v>2.1189999999999998</v>
      </c>
      <c r="D27" s="541">
        <v>0.5</v>
      </c>
      <c r="E27" s="238" t="s">
        <v>203</v>
      </c>
      <c r="F27" s="265" t="s">
        <v>94</v>
      </c>
      <c r="G27" s="236">
        <f t="shared" si="2"/>
        <v>1.7958524999999996</v>
      </c>
      <c r="H27" s="235"/>
      <c r="I27" s="235"/>
      <c r="J27" s="234"/>
      <c r="K27" s="234"/>
      <c r="L27" s="233"/>
      <c r="M27" s="233"/>
      <c r="N27" s="232"/>
      <c r="O27" s="231"/>
    </row>
    <row r="28" spans="1:75" s="230" customFormat="1" ht="6.75" customHeight="1" x14ac:dyDescent="0.25">
      <c r="A28" s="274">
        <f>2.53-0.335</f>
        <v>2.1949999999999998</v>
      </c>
      <c r="B28" s="276"/>
      <c r="C28" s="275">
        <f>(1*2+1.119*2)/2</f>
        <v>2.1189999999999998</v>
      </c>
      <c r="D28" s="541">
        <v>1.518</v>
      </c>
      <c r="E28" s="238" t="s">
        <v>204</v>
      </c>
      <c r="F28" s="265" t="s">
        <v>94</v>
      </c>
      <c r="G28" s="236">
        <f t="shared" si="2"/>
        <v>7.0605291899999987</v>
      </c>
      <c r="H28" s="235"/>
      <c r="I28" s="235"/>
      <c r="J28" s="234"/>
      <c r="K28" s="234"/>
      <c r="L28" s="233"/>
      <c r="M28" s="233"/>
      <c r="N28" s="232"/>
      <c r="O28" s="231"/>
    </row>
    <row r="29" spans="1:75" s="230" customFormat="1" ht="6.75" customHeight="1" x14ac:dyDescent="0.25">
      <c r="A29" s="274">
        <f>3.3-0.335</f>
        <v>2.9649999999999999</v>
      </c>
      <c r="B29" s="276"/>
      <c r="C29" s="275">
        <f>(1.193*2+1*2)/2</f>
        <v>2.1930000000000001</v>
      </c>
      <c r="D29" s="541">
        <v>0.70799999999999996</v>
      </c>
      <c r="E29" s="238" t="s">
        <v>205</v>
      </c>
      <c r="F29" s="265" t="s">
        <v>94</v>
      </c>
      <c r="G29" s="236">
        <f t="shared" si="2"/>
        <v>4.6035894600000002</v>
      </c>
      <c r="H29" s="235"/>
      <c r="I29" s="235"/>
      <c r="J29" s="234"/>
      <c r="K29" s="234"/>
      <c r="L29" s="233"/>
      <c r="M29" s="233"/>
      <c r="N29" s="232"/>
      <c r="O29" s="231"/>
    </row>
    <row r="30" spans="1:75" x14ac:dyDescent="0.25">
      <c r="A30" s="251">
        <f>A18+1</f>
        <v>4</v>
      </c>
      <c r="B30" s="250" t="s">
        <v>43</v>
      </c>
      <c r="C30" s="249" t="s">
        <v>170</v>
      </c>
      <c r="D30" s="248" t="s">
        <v>171</v>
      </c>
      <c r="E30" s="248"/>
      <c r="F30" s="247" t="s">
        <v>94</v>
      </c>
      <c r="G30" s="269">
        <f>SUM(G31:G31)</f>
        <v>143.96039880250001</v>
      </c>
      <c r="H30" s="245"/>
      <c r="I30" s="244" t="s">
        <v>95</v>
      </c>
      <c r="J30" s="279">
        <f>G30*AO30</f>
        <v>0</v>
      </c>
      <c r="K30" s="279">
        <f>G30*AP30</f>
        <v>0</v>
      </c>
      <c r="L30" s="242">
        <f>G30*H30</f>
        <v>0</v>
      </c>
      <c r="M30" s="233">
        <f>L30*(1+BW30/100)</f>
        <v>0</v>
      </c>
      <c r="N30" s="281">
        <v>0</v>
      </c>
      <c r="O30" s="280">
        <f>G30*N30</f>
        <v>0</v>
      </c>
      <c r="P30" s="213" t="s">
        <v>769</v>
      </c>
      <c r="Z30" s="212">
        <f>IF(AQ30="5",BJ30,0)</f>
        <v>0</v>
      </c>
      <c r="AB30" s="212">
        <f>IF(AQ30="1",BH30,0)</f>
        <v>0</v>
      </c>
      <c r="AC30" s="212">
        <f>IF(AQ30="1",BI30,0)</f>
        <v>0</v>
      </c>
      <c r="AD30" s="212">
        <f>IF(AQ30="7",BH30,0)</f>
        <v>0</v>
      </c>
      <c r="AE30" s="212">
        <f>IF(AQ30="7",BI30,0)</f>
        <v>0</v>
      </c>
      <c r="AF30" s="212">
        <f>IF(AQ30="2",BH30,0)</f>
        <v>0</v>
      </c>
      <c r="AG30" s="212">
        <f>IF(AQ30="2",BI30,0)</f>
        <v>0</v>
      </c>
      <c r="AH30" s="212">
        <f>IF(AQ30="0",BJ30,0)</f>
        <v>0</v>
      </c>
      <c r="AI30" s="212" t="s">
        <v>43</v>
      </c>
      <c r="AJ30" s="212">
        <f>IF(AN30=0,L30,0)</f>
        <v>0</v>
      </c>
      <c r="AK30" s="212">
        <f>IF(AN30=12,L30,0)</f>
        <v>0</v>
      </c>
      <c r="AL30" s="212">
        <f>IF(AN30=21,L30,0)</f>
        <v>0</v>
      </c>
      <c r="AN30" s="212">
        <v>12</v>
      </c>
      <c r="AO30" s="212">
        <f>H30*0</f>
        <v>0</v>
      </c>
      <c r="AP30" s="212">
        <f>H30*(1-0)</f>
        <v>0</v>
      </c>
      <c r="AQ30" s="212" t="s">
        <v>91</v>
      </c>
      <c r="AV30" s="212">
        <f>AW30+AX30</f>
        <v>0</v>
      </c>
      <c r="AW30" s="212">
        <f>G30*AO30</f>
        <v>0</v>
      </c>
      <c r="AX30" s="212">
        <f>G30*AP30</f>
        <v>0</v>
      </c>
      <c r="AY30" s="212" t="s">
        <v>133</v>
      </c>
      <c r="AZ30" s="212" t="s">
        <v>117</v>
      </c>
      <c r="BA30" s="212" t="s">
        <v>85</v>
      </c>
      <c r="BC30" s="212">
        <f>AW30+AX30</f>
        <v>0</v>
      </c>
      <c r="BD30" s="212">
        <f>H30/(100-BE30)*100</f>
        <v>0</v>
      </c>
      <c r="BE30" s="212">
        <v>0</v>
      </c>
      <c r="BF30" s="212">
        <f>O30</f>
        <v>0</v>
      </c>
      <c r="BH30" s="212">
        <f>G30*AO30</f>
        <v>0</v>
      </c>
      <c r="BI30" s="212">
        <f>G30*AP30</f>
        <v>0</v>
      </c>
      <c r="BJ30" s="212">
        <f>G30*H30</f>
        <v>0</v>
      </c>
      <c r="BL30" s="212">
        <v>13</v>
      </c>
      <c r="BW30" s="212" t="str">
        <f>I30</f>
        <v>12</v>
      </c>
    </row>
    <row r="31" spans="1:75" s="230" customFormat="1" ht="6.75" customHeight="1" x14ac:dyDescent="0.25">
      <c r="A31" s="274"/>
      <c r="B31" s="276"/>
      <c r="C31" s="277" t="s">
        <v>90</v>
      </c>
      <c r="D31" s="266"/>
      <c r="E31" s="238" t="str">
        <f>D18</f>
        <v>Hloubení rýh š.do 200 cm hor.3 do 100 m3,STROJNĚ</v>
      </c>
      <c r="F31" s="237" t="s">
        <v>94</v>
      </c>
      <c r="G31" s="236">
        <f>G18</f>
        <v>143.96039880250001</v>
      </c>
      <c r="H31" s="235"/>
      <c r="I31" s="235"/>
      <c r="J31" s="234"/>
      <c r="K31" s="234"/>
      <c r="L31" s="233"/>
      <c r="M31" s="233"/>
      <c r="N31" s="232"/>
      <c r="O31" s="231"/>
    </row>
    <row r="32" spans="1:75" x14ac:dyDescent="0.25">
      <c r="A32" s="251">
        <f>A30+1</f>
        <v>5</v>
      </c>
      <c r="B32" s="250" t="s">
        <v>43</v>
      </c>
      <c r="C32" s="249" t="s">
        <v>206</v>
      </c>
      <c r="D32" s="248" t="s">
        <v>255</v>
      </c>
      <c r="E32" s="248"/>
      <c r="F32" s="247" t="s">
        <v>94</v>
      </c>
      <c r="G32" s="269">
        <f>SUM(G33:G33)</f>
        <v>14.396039880250001</v>
      </c>
      <c r="H32" s="245"/>
      <c r="I32" s="244" t="s">
        <v>95</v>
      </c>
      <c r="J32" s="279">
        <f>G32*AO32</f>
        <v>0</v>
      </c>
      <c r="K32" s="279">
        <f>G32*AP32</f>
        <v>0</v>
      </c>
      <c r="L32" s="242">
        <f>G32*H32</f>
        <v>0</v>
      </c>
      <c r="M32" s="233">
        <f>L32*(1+BW32/100)</f>
        <v>0</v>
      </c>
      <c r="N32" s="281">
        <v>0</v>
      </c>
      <c r="O32" s="280">
        <f>G32*N32</f>
        <v>0</v>
      </c>
      <c r="P32" s="213" t="s">
        <v>769</v>
      </c>
      <c r="Z32" s="212">
        <f>IF(AQ32="5",BJ32,0)</f>
        <v>0</v>
      </c>
      <c r="AB32" s="212">
        <f>IF(AQ32="1",BH32,0)</f>
        <v>0</v>
      </c>
      <c r="AC32" s="212">
        <f>IF(AQ32="1",BI32,0)</f>
        <v>0</v>
      </c>
      <c r="AD32" s="212">
        <f>IF(AQ32="7",BH32,0)</f>
        <v>0</v>
      </c>
      <c r="AE32" s="212">
        <f>IF(AQ32="7",BI32,0)</f>
        <v>0</v>
      </c>
      <c r="AF32" s="212">
        <f>IF(AQ32="2",BH32,0)</f>
        <v>0</v>
      </c>
      <c r="AG32" s="212">
        <f>IF(AQ32="2",BI32,0)</f>
        <v>0</v>
      </c>
      <c r="AH32" s="212">
        <f>IF(AQ32="0",BJ32,0)</f>
        <v>0</v>
      </c>
      <c r="AI32" s="212" t="s">
        <v>43</v>
      </c>
      <c r="AJ32" s="212">
        <f>IF(AN32=0,L32,0)</f>
        <v>0</v>
      </c>
      <c r="AK32" s="212">
        <f>IF(AN32=12,L32,0)</f>
        <v>0</v>
      </c>
      <c r="AL32" s="212">
        <f>IF(AN32=21,L32,0)</f>
        <v>0</v>
      </c>
      <c r="AN32" s="212">
        <v>12</v>
      </c>
      <c r="AO32" s="212">
        <f>H32*0</f>
        <v>0</v>
      </c>
      <c r="AP32" s="212">
        <f>H32*(1-0)</f>
        <v>0</v>
      </c>
      <c r="AQ32" s="212" t="s">
        <v>91</v>
      </c>
      <c r="AV32" s="212">
        <f>AW32+AX32</f>
        <v>0</v>
      </c>
      <c r="AW32" s="212">
        <f>G32*AO32</f>
        <v>0</v>
      </c>
      <c r="AX32" s="212">
        <f>G32*AP32</f>
        <v>0</v>
      </c>
      <c r="AY32" s="212" t="s">
        <v>133</v>
      </c>
      <c r="AZ32" s="212" t="s">
        <v>117</v>
      </c>
      <c r="BA32" s="212" t="s">
        <v>85</v>
      </c>
      <c r="BC32" s="212">
        <f>AW32+AX32</f>
        <v>0</v>
      </c>
      <c r="BD32" s="212">
        <f>H32/(100-BE32)*100</f>
        <v>0</v>
      </c>
      <c r="BE32" s="212">
        <v>0</v>
      </c>
      <c r="BF32" s="212">
        <f>O32</f>
        <v>0</v>
      </c>
      <c r="BH32" s="212">
        <f>G32*AO32</f>
        <v>0</v>
      </c>
      <c r="BI32" s="212">
        <f>G32*AP32</f>
        <v>0</v>
      </c>
      <c r="BJ32" s="212">
        <f>G32*H32</f>
        <v>0</v>
      </c>
      <c r="BL32" s="212">
        <v>13</v>
      </c>
      <c r="BW32" s="212" t="str">
        <f>I32</f>
        <v>12</v>
      </c>
    </row>
    <row r="33" spans="1:75" s="230" customFormat="1" ht="6.75" customHeight="1" x14ac:dyDescent="0.25">
      <c r="A33" s="361">
        <f>G30</f>
        <v>143.96039880250001</v>
      </c>
      <c r="B33" s="542"/>
      <c r="C33" s="277" t="s">
        <v>90</v>
      </c>
      <c r="D33" s="547">
        <v>0.1</v>
      </c>
      <c r="E33" s="238" t="str">
        <f>D30</f>
        <v>Přípl.za lepivost,hloubení rýh 200cm,hor.3,STROJNĚ</v>
      </c>
      <c r="F33" s="237" t="s">
        <v>94</v>
      </c>
      <c r="G33" s="236">
        <f>D33*A33</f>
        <v>14.396039880250001</v>
      </c>
      <c r="H33" s="235"/>
      <c r="I33" s="235"/>
      <c r="J33" s="234"/>
      <c r="K33" s="234"/>
      <c r="L33" s="233"/>
      <c r="M33" s="233"/>
      <c r="N33" s="232"/>
      <c r="O33" s="231"/>
    </row>
    <row r="34" spans="1:75" x14ac:dyDescent="0.25">
      <c r="A34" s="264"/>
      <c r="B34" s="263"/>
      <c r="C34" s="262"/>
      <c r="D34" s="261" t="str">
        <f>'1-Rekapitulace'!B11</f>
        <v>16 : přemístění výkopku</v>
      </c>
      <c r="E34" s="261"/>
      <c r="F34" s="260"/>
      <c r="G34" s="259"/>
      <c r="H34" s="258"/>
      <c r="I34" s="257"/>
      <c r="J34" s="256"/>
      <c r="K34" s="256"/>
      <c r="L34" s="255">
        <f>SUM(L35:L41)</f>
        <v>0</v>
      </c>
      <c r="M34" s="254"/>
      <c r="N34" s="253"/>
      <c r="O34" s="252">
        <f>SUM(O35:O41)</f>
        <v>0</v>
      </c>
    </row>
    <row r="35" spans="1:75" x14ac:dyDescent="0.25">
      <c r="A35" s="251">
        <f>A32+1</f>
        <v>6</v>
      </c>
      <c r="B35" s="250"/>
      <c r="C35" s="249" t="s">
        <v>132</v>
      </c>
      <c r="D35" s="248" t="s">
        <v>131</v>
      </c>
      <c r="E35" s="248"/>
      <c r="F35" s="247" t="s">
        <v>94</v>
      </c>
      <c r="G35" s="269">
        <f>SUM(G36:G37)</f>
        <v>209.88578941500003</v>
      </c>
      <c r="H35" s="245"/>
      <c r="I35" s="244"/>
      <c r="J35" s="279"/>
      <c r="K35" s="279"/>
      <c r="L35" s="242">
        <f>G35*H35</f>
        <v>0</v>
      </c>
      <c r="M35" s="233"/>
      <c r="N35" s="281">
        <v>0</v>
      </c>
      <c r="O35" s="280">
        <f>G35*N35</f>
        <v>0</v>
      </c>
      <c r="P35" s="213" t="s">
        <v>769</v>
      </c>
    </row>
    <row r="36" spans="1:75" s="230" customFormat="1" ht="6.75" customHeight="1" x14ac:dyDescent="0.25">
      <c r="A36" s="274">
        <f>G13</f>
        <v>16.2119979</v>
      </c>
      <c r="B36" s="276"/>
      <c r="C36" s="275"/>
      <c r="D36" s="541">
        <f>G30</f>
        <v>143.96039880250001</v>
      </c>
      <c r="E36" s="238" t="s">
        <v>128</v>
      </c>
      <c r="F36" s="237" t="s">
        <v>94</v>
      </c>
      <c r="G36" s="236">
        <f>D36+A36+C36</f>
        <v>160.17239670250001</v>
      </c>
      <c r="H36" s="235"/>
      <c r="I36" s="235"/>
      <c r="J36" s="234"/>
      <c r="K36" s="234"/>
      <c r="L36" s="233"/>
      <c r="M36" s="233"/>
      <c r="N36" s="232"/>
      <c r="O36" s="231"/>
    </row>
    <row r="37" spans="1:75" s="230" customFormat="1" ht="6.75" customHeight="1" x14ac:dyDescent="0.25">
      <c r="A37" s="274"/>
      <c r="B37" s="276"/>
      <c r="C37" s="277" t="s">
        <v>90</v>
      </c>
      <c r="D37" s="274"/>
      <c r="E37" s="238" t="str">
        <f>D43</f>
        <v>Obsyp objektu bez prohození sypaniny</v>
      </c>
      <c r="F37" s="237" t="s">
        <v>94</v>
      </c>
      <c r="G37" s="236">
        <f>G43</f>
        <v>49.71339271250001</v>
      </c>
      <c r="H37" s="235"/>
      <c r="I37" s="235"/>
      <c r="J37" s="234"/>
      <c r="K37" s="234"/>
      <c r="L37" s="233"/>
      <c r="M37" s="233"/>
      <c r="N37" s="232"/>
      <c r="O37" s="231"/>
    </row>
    <row r="38" spans="1:75" s="283" customFormat="1" x14ac:dyDescent="0.25">
      <c r="A38" s="251">
        <f>A35+1</f>
        <v>7</v>
      </c>
      <c r="B38" s="292" t="s">
        <v>43</v>
      </c>
      <c r="C38" s="291" t="s">
        <v>130</v>
      </c>
      <c r="D38" s="290" t="s">
        <v>129</v>
      </c>
      <c r="E38" s="290"/>
      <c r="F38" s="546" t="s">
        <v>94</v>
      </c>
      <c r="G38" s="269">
        <f>SUM(G39:G39)</f>
        <v>126.67100189</v>
      </c>
      <c r="H38" s="245"/>
      <c r="I38" s="244" t="s">
        <v>95</v>
      </c>
      <c r="J38" s="233">
        <f>G38*AO38</f>
        <v>0</v>
      </c>
      <c r="K38" s="243">
        <f>G38*AP38</f>
        <v>1900.0650283499999</v>
      </c>
      <c r="L38" s="242">
        <f>G38*H38</f>
        <v>0</v>
      </c>
      <c r="M38" s="233">
        <f>L38*(1+BW38/100)</f>
        <v>0</v>
      </c>
      <c r="N38" s="241">
        <v>0</v>
      </c>
      <c r="O38" s="240">
        <f>G38*N38</f>
        <v>0</v>
      </c>
      <c r="P38" s="213" t="s">
        <v>769</v>
      </c>
      <c r="AB38" s="283">
        <f>IF(AS38="5",BL38,0)</f>
        <v>0</v>
      </c>
      <c r="AD38" s="283">
        <f>IF(AS38="1",BJ38,0)</f>
        <v>0</v>
      </c>
      <c r="AE38" s="283">
        <f>IF(AS38="1",BK38,0)</f>
        <v>0</v>
      </c>
      <c r="AF38" s="283">
        <f>IF(AS38="7",BJ38,0)</f>
        <v>0</v>
      </c>
      <c r="AG38" s="283">
        <f>IF(AS38="7",BK38,0)</f>
        <v>0</v>
      </c>
      <c r="AH38" s="283">
        <f>IF(AS38="2",BJ38,0)</f>
        <v>0</v>
      </c>
      <c r="AI38" s="283">
        <f>IF(AS38="2",BK38,0)</f>
        <v>0</v>
      </c>
      <c r="AJ38" s="283">
        <f>IF(AS38="0",BL38,0)</f>
        <v>0</v>
      </c>
      <c r="AK38" s="283" t="s">
        <v>43</v>
      </c>
      <c r="AL38" s="283">
        <f>IF(AP38=0,L38,0)</f>
        <v>0</v>
      </c>
      <c r="AM38" s="283">
        <f>IF(AP38=15,L38,0)</f>
        <v>0</v>
      </c>
      <c r="AN38" s="283">
        <f>IF(AP38=21,L38,0)</f>
        <v>0</v>
      </c>
      <c r="AP38" s="283">
        <v>15</v>
      </c>
      <c r="AQ38" s="283">
        <f>H38*0</f>
        <v>0</v>
      </c>
      <c r="AR38" s="283">
        <f>H38*(1-0)</f>
        <v>0</v>
      </c>
      <c r="AS38" s="283" t="s">
        <v>91</v>
      </c>
      <c r="AX38" s="283">
        <f>AY38+AZ38</f>
        <v>0</v>
      </c>
      <c r="AY38" s="283">
        <f>G38*AQ38</f>
        <v>0</v>
      </c>
      <c r="AZ38" s="283">
        <f>G38*AR38</f>
        <v>0</v>
      </c>
      <c r="BA38" s="283" t="s">
        <v>118</v>
      </c>
      <c r="BB38" s="283" t="s">
        <v>117</v>
      </c>
      <c r="BC38" s="283" t="s">
        <v>85</v>
      </c>
      <c r="BE38" s="283">
        <f>AY38+AZ38</f>
        <v>0</v>
      </c>
      <c r="BF38" s="283">
        <f>H38/(100-BG38)*100</f>
        <v>0</v>
      </c>
      <c r="BG38" s="283">
        <v>0</v>
      </c>
      <c r="BH38" s="283">
        <f>O38</f>
        <v>0</v>
      </c>
      <c r="BJ38" s="283">
        <f>G38*AQ38</f>
        <v>0</v>
      </c>
      <c r="BK38" s="283">
        <f>G38*AR38</f>
        <v>0</v>
      </c>
      <c r="BL38" s="283">
        <f>G38*H38</f>
        <v>0</v>
      </c>
      <c r="BN38" s="283">
        <v>16</v>
      </c>
    </row>
    <row r="39" spans="1:75" s="230" customFormat="1" ht="6.75" customHeight="1" x14ac:dyDescent="0.25">
      <c r="A39" s="274">
        <f>G13</f>
        <v>16.2119979</v>
      </c>
      <c r="B39" s="276"/>
      <c r="C39" s="275">
        <f>G36</f>
        <v>160.17239670250001</v>
      </c>
      <c r="D39" s="541">
        <f>-G37</f>
        <v>-49.71339271250001</v>
      </c>
      <c r="E39" s="238" t="s">
        <v>128</v>
      </c>
      <c r="F39" s="237" t="s">
        <v>94</v>
      </c>
      <c r="G39" s="236">
        <f>D39+A39+C39</f>
        <v>126.67100189</v>
      </c>
      <c r="H39" s="235"/>
      <c r="I39" s="235"/>
      <c r="J39" s="234"/>
      <c r="K39" s="234"/>
      <c r="L39" s="233"/>
      <c r="M39" s="233"/>
      <c r="N39" s="232"/>
      <c r="O39" s="231"/>
    </row>
    <row r="40" spans="1:75" x14ac:dyDescent="0.25">
      <c r="A40" s="251">
        <f>A38+1</f>
        <v>8</v>
      </c>
      <c r="B40" s="250"/>
      <c r="C40" s="249" t="s">
        <v>127</v>
      </c>
      <c r="D40" s="248" t="s">
        <v>126</v>
      </c>
      <c r="E40" s="248"/>
      <c r="F40" s="247" t="s">
        <v>94</v>
      </c>
      <c r="G40" s="269">
        <f>SUM(G41:G41)</f>
        <v>126.67100189</v>
      </c>
      <c r="H40" s="245"/>
      <c r="I40" s="244" t="s">
        <v>95</v>
      </c>
      <c r="J40" s="233">
        <f>G40*AO40</f>
        <v>0</v>
      </c>
      <c r="K40" s="243">
        <f>G40*AP40</f>
        <v>0</v>
      </c>
      <c r="L40" s="242">
        <f>G40*H40</f>
        <v>0</v>
      </c>
      <c r="M40" s="233">
        <f>L40*(1+BW40/100)</f>
        <v>0</v>
      </c>
      <c r="N40" s="241">
        <v>0</v>
      </c>
      <c r="O40" s="240">
        <f>G40*N40</f>
        <v>0</v>
      </c>
      <c r="P40" s="213" t="s">
        <v>769</v>
      </c>
    </row>
    <row r="41" spans="1:75" s="230" customFormat="1" ht="6.75" customHeight="1" x14ac:dyDescent="0.25">
      <c r="A41" s="274"/>
      <c r="B41" s="276"/>
      <c r="C41" s="277" t="s">
        <v>90</v>
      </c>
      <c r="D41" s="274"/>
      <c r="E41" s="238" t="str">
        <f>D48</f>
        <v>Uložení sypaniny na skl.-sypanina na výšku přes 2m</v>
      </c>
      <c r="F41" s="237" t="s">
        <v>94</v>
      </c>
      <c r="G41" s="236">
        <f>G48</f>
        <v>126.67100189</v>
      </c>
      <c r="H41" s="235"/>
      <c r="I41" s="235"/>
      <c r="J41" s="234"/>
      <c r="K41" s="234"/>
      <c r="L41" s="233"/>
      <c r="M41" s="233"/>
      <c r="N41" s="232"/>
      <c r="O41" s="231"/>
    </row>
    <row r="42" spans="1:75" x14ac:dyDescent="0.25">
      <c r="A42" s="264"/>
      <c r="B42" s="263"/>
      <c r="C42" s="262"/>
      <c r="D42" s="261" t="str">
        <f>'1-Rekapitulace'!B12</f>
        <v>17 : konstrukce ze zemin</v>
      </c>
      <c r="E42" s="261"/>
      <c r="F42" s="260"/>
      <c r="G42" s="259"/>
      <c r="H42" s="258"/>
      <c r="I42" s="257"/>
      <c r="J42" s="256"/>
      <c r="K42" s="256"/>
      <c r="L42" s="255">
        <f>SUM(L43:L51)</f>
        <v>0</v>
      </c>
      <c r="M42" s="254"/>
      <c r="N42" s="253"/>
      <c r="O42" s="252">
        <f>SUM(O43:O51)</f>
        <v>0</v>
      </c>
    </row>
    <row r="43" spans="1:75" x14ac:dyDescent="0.25">
      <c r="A43" s="251">
        <f>A40+1</f>
        <v>9</v>
      </c>
      <c r="B43" s="250" t="s">
        <v>43</v>
      </c>
      <c r="C43" s="249" t="s">
        <v>125</v>
      </c>
      <c r="D43" s="248" t="s">
        <v>124</v>
      </c>
      <c r="E43" s="248"/>
      <c r="F43" s="247" t="s">
        <v>94</v>
      </c>
      <c r="G43" s="269">
        <f>SUM(G44:G47)</f>
        <v>49.71339271250001</v>
      </c>
      <c r="H43" s="245"/>
      <c r="I43" s="244" t="s">
        <v>95</v>
      </c>
      <c r="J43" s="279">
        <f>G43*AO43</f>
        <v>0</v>
      </c>
      <c r="K43" s="279">
        <f>G43*AP43</f>
        <v>0</v>
      </c>
      <c r="L43" s="242">
        <f>G43*H43</f>
        <v>0</v>
      </c>
      <c r="M43" s="233">
        <f>L43*(1+BW43/100)</f>
        <v>0</v>
      </c>
      <c r="N43" s="281">
        <v>0</v>
      </c>
      <c r="O43" s="280">
        <f>G43*N43</f>
        <v>0</v>
      </c>
      <c r="P43" s="213" t="s">
        <v>769</v>
      </c>
      <c r="Z43" s="212">
        <f>IF(AQ43="5",BJ43,0)</f>
        <v>0</v>
      </c>
      <c r="AB43" s="212">
        <f>IF(AQ43="1",BH43,0)</f>
        <v>0</v>
      </c>
      <c r="AC43" s="212">
        <f>IF(AQ43="1",BI43,0)</f>
        <v>0</v>
      </c>
      <c r="AD43" s="212">
        <f>IF(AQ43="7",BH43,0)</f>
        <v>0</v>
      </c>
      <c r="AE43" s="212">
        <f>IF(AQ43="7",BI43,0)</f>
        <v>0</v>
      </c>
      <c r="AF43" s="212">
        <f>IF(AQ43="2",BH43,0)</f>
        <v>0</v>
      </c>
      <c r="AG43" s="212">
        <f>IF(AQ43="2",BI43,0)</f>
        <v>0</v>
      </c>
      <c r="AH43" s="212">
        <f>IF(AQ43="0",BJ43,0)</f>
        <v>0</v>
      </c>
      <c r="AI43" s="212" t="s">
        <v>43</v>
      </c>
      <c r="AJ43" s="212">
        <f>IF(AN43=0,L43,0)</f>
        <v>0</v>
      </c>
      <c r="AK43" s="212">
        <f>IF(AN43=12,L43,0)</f>
        <v>0</v>
      </c>
      <c r="AL43" s="212">
        <f>IF(AN43=21,L43,0)</f>
        <v>0</v>
      </c>
      <c r="AN43" s="212">
        <v>12</v>
      </c>
      <c r="AO43" s="212">
        <f>H43*0</f>
        <v>0</v>
      </c>
      <c r="AP43" s="212">
        <f>H43*(1-0)</f>
        <v>0</v>
      </c>
      <c r="AQ43" s="212" t="s">
        <v>91</v>
      </c>
      <c r="AV43" s="212">
        <f>AW43+AX43</f>
        <v>0</v>
      </c>
      <c r="AW43" s="212">
        <f>G43*AO43</f>
        <v>0</v>
      </c>
      <c r="AX43" s="212">
        <f>G43*AP43</f>
        <v>0</v>
      </c>
      <c r="AY43" s="212" t="s">
        <v>123</v>
      </c>
      <c r="AZ43" s="212" t="s">
        <v>117</v>
      </c>
      <c r="BA43" s="212" t="s">
        <v>85</v>
      </c>
      <c r="BC43" s="212">
        <f>AW43+AX43</f>
        <v>0</v>
      </c>
      <c r="BD43" s="212">
        <f>H43/(100-BE43)*100</f>
        <v>0</v>
      </c>
      <c r="BE43" s="212">
        <v>0</v>
      </c>
      <c r="BF43" s="212">
        <f>O43</f>
        <v>0</v>
      </c>
      <c r="BH43" s="212">
        <f>G43*AO43</f>
        <v>0</v>
      </c>
      <c r="BI43" s="212">
        <f>G43*AP43</f>
        <v>0</v>
      </c>
      <c r="BJ43" s="212">
        <f>G43*H43</f>
        <v>0</v>
      </c>
      <c r="BL43" s="212">
        <v>17</v>
      </c>
      <c r="BW43" s="212" t="str">
        <f>I43</f>
        <v>12</v>
      </c>
    </row>
    <row r="44" spans="1:75" s="230" customFormat="1" ht="6.75" customHeight="1" x14ac:dyDescent="0.25">
      <c r="A44" s="274"/>
      <c r="B44" s="276"/>
      <c r="C44" s="277" t="s">
        <v>90</v>
      </c>
      <c r="D44" s="274"/>
      <c r="E44" s="238" t="str">
        <f>D18</f>
        <v>Hloubení rýh š.do 200 cm hor.3 do 100 m3,STROJNĚ</v>
      </c>
      <c r="F44" s="237" t="s">
        <v>94</v>
      </c>
      <c r="G44" s="236">
        <f>G18</f>
        <v>143.96039880250001</v>
      </c>
      <c r="H44" s="235"/>
      <c r="I44" s="235"/>
      <c r="J44" s="234"/>
      <c r="K44" s="234"/>
      <c r="L44" s="233"/>
      <c r="M44" s="233"/>
      <c r="N44" s="232"/>
      <c r="O44" s="231"/>
    </row>
    <row r="45" spans="1:75" s="230" customFormat="1" ht="6.75" customHeight="1" x14ac:dyDescent="0.25">
      <c r="A45" s="274">
        <f>G57</f>
        <v>51.797506089999999</v>
      </c>
      <c r="B45" s="276"/>
      <c r="C45" s="275" t="s">
        <v>149</v>
      </c>
      <c r="D45" s="541">
        <v>-1</v>
      </c>
      <c r="E45" s="238" t="str">
        <f>D57</f>
        <v>Polštář základu zásyp ze štěrkodrti postupně hutněný</v>
      </c>
      <c r="F45" s="265" t="s">
        <v>94</v>
      </c>
      <c r="G45" s="236">
        <f>D45*A45</f>
        <v>-51.797506089999999</v>
      </c>
      <c r="H45" s="235"/>
      <c r="I45" s="235"/>
      <c r="J45" s="234"/>
      <c r="K45" s="234"/>
      <c r="L45" s="233"/>
      <c r="M45" s="233"/>
      <c r="N45" s="232"/>
      <c r="O45" s="231"/>
    </row>
    <row r="46" spans="1:75" s="230" customFormat="1" ht="6.75" customHeight="1" x14ac:dyDescent="0.25">
      <c r="A46" s="274">
        <f>G73</f>
        <v>33.844093749999999</v>
      </c>
      <c r="B46" s="276"/>
      <c r="C46" s="275" t="s">
        <v>149</v>
      </c>
      <c r="D46" s="541">
        <v>-1</v>
      </c>
      <c r="E46" s="238" t="str">
        <f>D73</f>
        <v>Beton základových pasů prostý C 20/25</v>
      </c>
      <c r="F46" s="265" t="s">
        <v>94</v>
      </c>
      <c r="G46" s="236">
        <f>D46*A46</f>
        <v>-33.844093749999999</v>
      </c>
      <c r="H46" s="235"/>
      <c r="I46" s="235"/>
      <c r="J46" s="234"/>
      <c r="K46" s="234"/>
      <c r="L46" s="233"/>
      <c r="M46" s="233"/>
      <c r="N46" s="232"/>
      <c r="O46" s="231"/>
    </row>
    <row r="47" spans="1:75" s="230" customFormat="1" ht="6.75" customHeight="1" x14ac:dyDescent="0.25">
      <c r="A47" s="274">
        <f>G101</f>
        <v>8.6054062499999997</v>
      </c>
      <c r="B47" s="276"/>
      <c r="C47" s="275" t="s">
        <v>149</v>
      </c>
      <c r="D47" s="541">
        <v>-1</v>
      </c>
      <c r="E47" s="238" t="str">
        <f>D101</f>
        <v>Zdivo nadzákl.z lom.kam., obkladní bez dodávky kamene</v>
      </c>
      <c r="F47" s="265" t="s">
        <v>94</v>
      </c>
      <c r="G47" s="236">
        <f>D47*A47</f>
        <v>-8.6054062499999997</v>
      </c>
      <c r="H47" s="235"/>
      <c r="I47" s="235"/>
      <c r="J47" s="234"/>
      <c r="K47" s="234"/>
      <c r="L47" s="233"/>
      <c r="M47" s="233"/>
      <c r="N47" s="232"/>
      <c r="O47" s="231"/>
    </row>
    <row r="48" spans="1:75" s="283" customFormat="1" x14ac:dyDescent="0.25">
      <c r="A48" s="251">
        <f>A43+1</f>
        <v>10</v>
      </c>
      <c r="B48" s="292"/>
      <c r="C48" s="291" t="s">
        <v>122</v>
      </c>
      <c r="D48" s="290" t="s">
        <v>121</v>
      </c>
      <c r="E48" s="290"/>
      <c r="F48" s="546" t="s">
        <v>94</v>
      </c>
      <c r="G48" s="269">
        <f>SUM(G49:G49)</f>
        <v>126.67100189</v>
      </c>
      <c r="H48" s="245"/>
      <c r="I48" s="289"/>
      <c r="J48" s="288"/>
      <c r="K48" s="288"/>
      <c r="L48" s="287">
        <f>G48*H48</f>
        <v>0</v>
      </c>
      <c r="M48" s="286"/>
      <c r="N48" s="285">
        <v>0</v>
      </c>
      <c r="O48" s="284">
        <f>G48*N48</f>
        <v>0</v>
      </c>
      <c r="P48" s="213" t="s">
        <v>769</v>
      </c>
    </row>
    <row r="49" spans="1:76" s="230" customFormat="1" ht="6.75" customHeight="1" x14ac:dyDescent="0.25">
      <c r="A49" s="274"/>
      <c r="B49" s="276"/>
      <c r="C49" s="277" t="s">
        <v>90</v>
      </c>
      <c r="D49" s="274"/>
      <c r="E49" s="238" t="str">
        <f>D50</f>
        <v>Poplatek za skládku horniny 1- 4, č. dle katal. odpadů 17 05 04</v>
      </c>
      <c r="F49" s="237" t="s">
        <v>94</v>
      </c>
      <c r="G49" s="236">
        <f>G50</f>
        <v>126.67100189</v>
      </c>
      <c r="H49" s="235"/>
      <c r="I49" s="235"/>
      <c r="J49" s="234"/>
      <c r="K49" s="234"/>
      <c r="L49" s="233"/>
      <c r="M49" s="233"/>
      <c r="N49" s="232"/>
      <c r="O49" s="231"/>
    </row>
    <row r="50" spans="1:76" s="283" customFormat="1" x14ac:dyDescent="0.25">
      <c r="A50" s="251">
        <f>A48+1</f>
        <v>11</v>
      </c>
      <c r="B50" s="292" t="s">
        <v>43</v>
      </c>
      <c r="C50" s="291" t="s">
        <v>120</v>
      </c>
      <c r="D50" s="290" t="s">
        <v>119</v>
      </c>
      <c r="E50" s="290"/>
      <c r="F50" s="546" t="s">
        <v>94</v>
      </c>
      <c r="G50" s="269">
        <f>SUM(G51:G51)</f>
        <v>126.67100189</v>
      </c>
      <c r="H50" s="245"/>
      <c r="I50" s="244" t="s">
        <v>95</v>
      </c>
      <c r="J50" s="233">
        <f>G50*AO50</f>
        <v>0</v>
      </c>
      <c r="K50" s="243">
        <f>G50*AP50</f>
        <v>1900.0650283499999</v>
      </c>
      <c r="L50" s="242">
        <f>G50*H50</f>
        <v>0</v>
      </c>
      <c r="M50" s="233">
        <f>L50*(1+BW50/100)</f>
        <v>0</v>
      </c>
      <c r="N50" s="241">
        <v>0</v>
      </c>
      <c r="O50" s="240">
        <f>G50*N50</f>
        <v>0</v>
      </c>
      <c r="P50" s="213" t="s">
        <v>769</v>
      </c>
      <c r="AB50" s="283">
        <f>IF(AS50="5",BL50,0)</f>
        <v>0</v>
      </c>
      <c r="AD50" s="283">
        <f>IF(AS50="1",BJ50,0)</f>
        <v>0</v>
      </c>
      <c r="AE50" s="283">
        <f>IF(AS50="1",BK50,0)</f>
        <v>0</v>
      </c>
      <c r="AF50" s="283">
        <f>IF(AS50="7",BJ50,0)</f>
        <v>0</v>
      </c>
      <c r="AG50" s="283">
        <f>IF(AS50="7",BK50,0)</f>
        <v>0</v>
      </c>
      <c r="AH50" s="283">
        <f>IF(AS50="2",BJ50,0)</f>
        <v>0</v>
      </c>
      <c r="AI50" s="283">
        <f>IF(AS50="2",BK50,0)</f>
        <v>0</v>
      </c>
      <c r="AJ50" s="283">
        <f>IF(AS50="0",BL50,0)</f>
        <v>0</v>
      </c>
      <c r="AK50" s="283" t="s">
        <v>43</v>
      </c>
      <c r="AL50" s="283">
        <f>IF(AP50=0,L50,0)</f>
        <v>0</v>
      </c>
      <c r="AM50" s="283">
        <f>IF(AP50=15,L50,0)</f>
        <v>0</v>
      </c>
      <c r="AN50" s="283">
        <f>IF(AP50=21,L50,0)</f>
        <v>0</v>
      </c>
      <c r="AP50" s="283">
        <v>15</v>
      </c>
      <c r="AQ50" s="283">
        <f>H50*0</f>
        <v>0</v>
      </c>
      <c r="AR50" s="283">
        <f>H50*(1-0)</f>
        <v>0</v>
      </c>
      <c r="AS50" s="283" t="s">
        <v>91</v>
      </c>
      <c r="AX50" s="283">
        <f>AY50+AZ50</f>
        <v>0</v>
      </c>
      <c r="AY50" s="283">
        <f>G50*AQ50</f>
        <v>0</v>
      </c>
      <c r="AZ50" s="283">
        <f>G50*AR50</f>
        <v>0</v>
      </c>
      <c r="BA50" s="283" t="s">
        <v>118</v>
      </c>
      <c r="BB50" s="283" t="s">
        <v>117</v>
      </c>
      <c r="BC50" s="283" t="s">
        <v>85</v>
      </c>
      <c r="BE50" s="283">
        <f>AY50+AZ50</f>
        <v>0</v>
      </c>
      <c r="BF50" s="283">
        <f>H50/(100-BG50)*100</f>
        <v>0</v>
      </c>
      <c r="BG50" s="283">
        <v>0</v>
      </c>
      <c r="BH50" s="283">
        <f>O50</f>
        <v>0</v>
      </c>
      <c r="BJ50" s="283">
        <f>G50*AQ50</f>
        <v>0</v>
      </c>
      <c r="BK50" s="283">
        <f>G50*AR50</f>
        <v>0</v>
      </c>
      <c r="BL50" s="283">
        <f>G50*H50</f>
        <v>0</v>
      </c>
      <c r="BN50" s="283">
        <v>16</v>
      </c>
    </row>
    <row r="51" spans="1:76" s="230" customFormat="1" ht="6.75" customHeight="1" x14ac:dyDescent="0.25">
      <c r="A51" s="274"/>
      <c r="B51" s="276"/>
      <c r="C51" s="277" t="s">
        <v>90</v>
      </c>
      <c r="D51" s="274"/>
      <c r="E51" s="238" t="str">
        <f>D38</f>
        <v>Vodorovné přemístění výkopku z hor.1-4 do 10000 m</v>
      </c>
      <c r="F51" s="237" t="s">
        <v>94</v>
      </c>
      <c r="G51" s="236">
        <f>G38</f>
        <v>126.67100189</v>
      </c>
      <c r="H51" s="235"/>
      <c r="I51" s="235"/>
      <c r="J51" s="234"/>
      <c r="K51" s="234"/>
      <c r="L51" s="233"/>
      <c r="M51" s="233"/>
      <c r="N51" s="232"/>
      <c r="O51" s="231"/>
    </row>
    <row r="52" spans="1:76" x14ac:dyDescent="0.25">
      <c r="A52" s="264" t="s">
        <v>43</v>
      </c>
      <c r="B52" s="263" t="s">
        <v>43</v>
      </c>
      <c r="C52" s="262"/>
      <c r="D52" s="261" t="str">
        <f>'1-Rekapitulace'!B14</f>
        <v>27 : Základy</v>
      </c>
      <c r="E52" s="261"/>
      <c r="F52" s="260" t="s">
        <v>49</v>
      </c>
      <c r="G52" s="259" t="s">
        <v>49</v>
      </c>
      <c r="H52" s="258"/>
      <c r="I52" s="257" t="s">
        <v>49</v>
      </c>
      <c r="J52" s="256">
        <f>SUM(J53:J94)</f>
        <v>0</v>
      </c>
      <c r="K52" s="256">
        <f>SUM(K53:K94)</f>
        <v>0</v>
      </c>
      <c r="L52" s="255">
        <f>SUM(L53:L99)</f>
        <v>0</v>
      </c>
      <c r="M52" s="254">
        <f>SUM(M53:M94)</f>
        <v>0</v>
      </c>
      <c r="N52" s="253" t="s">
        <v>43</v>
      </c>
      <c r="O52" s="252">
        <f>SUM(O53:O99)</f>
        <v>237.67084986019699</v>
      </c>
      <c r="P52" s="213" t="s">
        <v>43</v>
      </c>
      <c r="AI52" s="212" t="s">
        <v>43</v>
      </c>
      <c r="AS52" s="212">
        <f>SUM(AJ53:AJ94)</f>
        <v>0</v>
      </c>
      <c r="AT52" s="212">
        <f>SUM(AK53:AK94)</f>
        <v>0</v>
      </c>
      <c r="AU52" s="212">
        <f>SUM(AL53:AL94)</f>
        <v>0</v>
      </c>
    </row>
    <row r="53" spans="1:76" s="268" customFormat="1" x14ac:dyDescent="0.2">
      <c r="A53" s="251">
        <f>A50+1</f>
        <v>12</v>
      </c>
      <c r="B53" s="250" t="s">
        <v>43</v>
      </c>
      <c r="C53" s="249" t="s">
        <v>176</v>
      </c>
      <c r="D53" s="248" t="s">
        <v>177</v>
      </c>
      <c r="E53" s="248"/>
      <c r="F53" s="247" t="s">
        <v>94</v>
      </c>
      <c r="G53" s="269">
        <f>SUM(G54:G54)</f>
        <v>4.8964499999999997</v>
      </c>
      <c r="H53" s="245"/>
      <c r="I53" s="244" t="s">
        <v>95</v>
      </c>
      <c r="J53" s="233">
        <f t="shared" ref="J53:J94" si="3">G53*AO53</f>
        <v>0</v>
      </c>
      <c r="K53" s="243">
        <f t="shared" ref="K53:K94" si="4">G53*AP53</f>
        <v>0</v>
      </c>
      <c r="L53" s="242">
        <f t="shared" ref="L53:L94" si="5">G53*H53</f>
        <v>0</v>
      </c>
      <c r="M53" s="233">
        <f t="shared" ref="M53:M94" si="6">L53*(1+BW53/100)</f>
        <v>0</v>
      </c>
      <c r="N53" s="241">
        <v>2.16</v>
      </c>
      <c r="O53" s="240">
        <f t="shared" ref="O53:O94" si="7">G53*N53</f>
        <v>10.576332000000001</v>
      </c>
      <c r="P53" s="213" t="s">
        <v>769</v>
      </c>
      <c r="Z53" s="268">
        <f t="shared" ref="Z53:Z94" si="8">IF(AQ53="5",BJ53,0)</f>
        <v>0</v>
      </c>
      <c r="AB53" s="268">
        <f t="shared" ref="AB53:AB94" si="9">IF(AQ53="1",BH53,0)</f>
        <v>0</v>
      </c>
      <c r="AC53" s="268">
        <f t="shared" ref="AC53:AC94" si="10">IF(AQ53="1",BI53,0)</f>
        <v>0</v>
      </c>
      <c r="AD53" s="268">
        <f t="shared" ref="AD53:AD94" si="11">IF(AQ53="7",BH53,0)</f>
        <v>0</v>
      </c>
      <c r="AE53" s="268">
        <f t="shared" ref="AE53:AE94" si="12">IF(AQ53="7",BI53,0)</f>
        <v>0</v>
      </c>
      <c r="AF53" s="268">
        <f t="shared" ref="AF53:AF94" si="13">IF(AQ53="2",BH53,0)</f>
        <v>0</v>
      </c>
      <c r="AG53" s="268">
        <f t="shared" ref="AG53:AG94" si="14">IF(AQ53="2",BI53,0)</f>
        <v>0</v>
      </c>
      <c r="AH53" s="268">
        <f t="shared" ref="AH53:AH94" si="15">IF(AQ53="0",BJ53,0)</f>
        <v>0</v>
      </c>
      <c r="AI53" s="268" t="s">
        <v>43</v>
      </c>
      <c r="AJ53" s="268">
        <f t="shared" ref="AJ53:AJ94" si="16">IF(AN53=0,L53,0)</f>
        <v>0</v>
      </c>
      <c r="AK53" s="268">
        <f t="shared" ref="AK53:AK94" si="17">IF(AN53=12,L53,0)</f>
        <v>0</v>
      </c>
      <c r="AL53" s="268">
        <f t="shared" ref="AL53:AL94" si="18">IF(AN53=21,L53,0)</f>
        <v>0</v>
      </c>
      <c r="AN53" s="268">
        <v>12</v>
      </c>
      <c r="AO53" s="268">
        <f>H53*0.684923313</f>
        <v>0</v>
      </c>
      <c r="AP53" s="268">
        <f>H53*(1-0.684923313)</f>
        <v>0</v>
      </c>
      <c r="AQ53" s="268" t="s">
        <v>91</v>
      </c>
      <c r="AV53" s="268">
        <f t="shared" ref="AV53:AV94" si="19">AW53+AX53</f>
        <v>0</v>
      </c>
      <c r="AW53" s="268">
        <f t="shared" ref="AW53:AW94" si="20">G53*AO53</f>
        <v>0</v>
      </c>
      <c r="AX53" s="268">
        <f t="shared" ref="AX53:AX94" si="21">G53*AP53</f>
        <v>0</v>
      </c>
      <c r="AY53" s="268" t="s">
        <v>178</v>
      </c>
      <c r="AZ53" s="268" t="s">
        <v>179</v>
      </c>
      <c r="BA53" s="268" t="s">
        <v>85</v>
      </c>
      <c r="BC53" s="268">
        <f t="shared" ref="BC53:BC94" si="22">AW53+AX53</f>
        <v>0</v>
      </c>
      <c r="BD53" s="268">
        <f t="shared" ref="BD53:BD94" si="23">H53/(100-BE53)*100</f>
        <v>0</v>
      </c>
      <c r="BE53" s="268">
        <v>0</v>
      </c>
      <c r="BF53" s="268">
        <f t="shared" ref="BF53:BF94" si="24">O53</f>
        <v>10.576332000000001</v>
      </c>
      <c r="BH53" s="268">
        <f t="shared" ref="BH53:BH94" si="25">G53*AO53</f>
        <v>0</v>
      </c>
      <c r="BI53" s="268">
        <f t="shared" ref="BI53:BI94" si="26">G53*AP53</f>
        <v>0</v>
      </c>
      <c r="BJ53" s="268">
        <f t="shared" ref="BJ53:BJ94" si="27">G53*H53</f>
        <v>0</v>
      </c>
      <c r="BL53" s="268">
        <v>27</v>
      </c>
      <c r="BW53" s="268" t="str">
        <f t="shared" ref="BW53:BW94" si="28">I53</f>
        <v>12</v>
      </c>
      <c r="BX53" s="268" t="s">
        <v>177</v>
      </c>
    </row>
    <row r="54" spans="1:76" s="230" customFormat="1" ht="6.75" customHeight="1" x14ac:dyDescent="0.25">
      <c r="A54" s="274">
        <v>0.13</v>
      </c>
      <c r="B54" s="276"/>
      <c r="C54" s="275">
        <v>4.05</v>
      </c>
      <c r="D54" s="541">
        <v>9.3000000000000007</v>
      </c>
      <c r="E54" s="238" t="s">
        <v>244</v>
      </c>
      <c r="F54" s="237" t="s">
        <v>94</v>
      </c>
      <c r="G54" s="236">
        <f>A54*C54*D54</f>
        <v>4.8964499999999997</v>
      </c>
      <c r="H54" s="235"/>
      <c r="I54" s="235"/>
      <c r="J54" s="234"/>
      <c r="K54" s="234"/>
      <c r="L54" s="233"/>
      <c r="M54" s="233"/>
      <c r="N54" s="232"/>
      <c r="O54" s="231"/>
    </row>
    <row r="55" spans="1:76" s="268" customFormat="1" x14ac:dyDescent="0.2">
      <c r="A55" s="251"/>
      <c r="B55" s="250" t="s">
        <v>43</v>
      </c>
      <c r="C55" s="249" t="s">
        <v>252</v>
      </c>
      <c r="D55" s="248" t="s">
        <v>256</v>
      </c>
      <c r="E55" s="248"/>
      <c r="F55" s="247" t="s">
        <v>92</v>
      </c>
      <c r="G55" s="269">
        <f>SUM(G56:G56)</f>
        <v>37.664999999999999</v>
      </c>
      <c r="H55" s="245"/>
      <c r="I55" s="244" t="s">
        <v>95</v>
      </c>
      <c r="J55" s="233">
        <f>G55*AO55</f>
        <v>0</v>
      </c>
      <c r="K55" s="243">
        <f>G55*AP55</f>
        <v>0</v>
      </c>
      <c r="L55" s="242">
        <f>G55*H55</f>
        <v>0</v>
      </c>
      <c r="M55" s="233">
        <f>L55*(1+BW55/100)</f>
        <v>0</v>
      </c>
      <c r="N55" s="241">
        <v>5.0000000000000001E-4</v>
      </c>
      <c r="O55" s="240">
        <f>G55*N55</f>
        <v>1.8832499999999999E-2</v>
      </c>
      <c r="P55" s="213" t="s">
        <v>769</v>
      </c>
      <c r="Z55" s="268">
        <f>IF(AQ55="5",BJ55,0)</f>
        <v>0</v>
      </c>
      <c r="AB55" s="268">
        <f>IF(AQ55="1",BH55,0)</f>
        <v>0</v>
      </c>
      <c r="AC55" s="268">
        <f>IF(AQ55="1",BI55,0)</f>
        <v>0</v>
      </c>
      <c r="AD55" s="268">
        <f>IF(AQ55="7",BH55,0)</f>
        <v>0</v>
      </c>
      <c r="AE55" s="268">
        <f>IF(AQ55="7",BI55,0)</f>
        <v>0</v>
      </c>
      <c r="AF55" s="268">
        <f>IF(AQ55="2",BH55,0)</f>
        <v>0</v>
      </c>
      <c r="AG55" s="268">
        <f>IF(AQ55="2",BI55,0)</f>
        <v>0</v>
      </c>
      <c r="AH55" s="268">
        <f>IF(AQ55="0",BJ55,0)</f>
        <v>0</v>
      </c>
      <c r="AI55" s="268" t="s">
        <v>43</v>
      </c>
      <c r="AJ55" s="268">
        <f>IF(AN55=0,L55,0)</f>
        <v>0</v>
      </c>
      <c r="AK55" s="268">
        <f>IF(AN55=12,L55,0)</f>
        <v>0</v>
      </c>
      <c r="AL55" s="268">
        <f>IF(AN55=21,L55,0)</f>
        <v>0</v>
      </c>
      <c r="AN55" s="268">
        <v>12</v>
      </c>
      <c r="AO55" s="268">
        <f>H55*0.281098901</f>
        <v>0</v>
      </c>
      <c r="AP55" s="268">
        <f>H55*(1-0.281098901)</f>
        <v>0</v>
      </c>
      <c r="AQ55" s="268" t="s">
        <v>91</v>
      </c>
      <c r="AV55" s="268">
        <f>AW55+AX55</f>
        <v>0</v>
      </c>
      <c r="AW55" s="268">
        <f>G55*AO55</f>
        <v>0</v>
      </c>
      <c r="AX55" s="268">
        <f>G55*AP55</f>
        <v>0</v>
      </c>
      <c r="AY55" s="268" t="s">
        <v>254</v>
      </c>
      <c r="AZ55" s="268" t="s">
        <v>179</v>
      </c>
      <c r="BA55" s="268" t="s">
        <v>85</v>
      </c>
      <c r="BC55" s="268">
        <f>AW55+AX55</f>
        <v>0</v>
      </c>
      <c r="BD55" s="268">
        <f>H55/(100-BE55)*100</f>
        <v>0</v>
      </c>
      <c r="BE55" s="268">
        <v>0</v>
      </c>
      <c r="BF55" s="268">
        <f>O55</f>
        <v>1.8832499999999999E-2</v>
      </c>
      <c r="BH55" s="268">
        <f>G55*AO55</f>
        <v>0</v>
      </c>
      <c r="BI55" s="268">
        <f>G55*AP55</f>
        <v>0</v>
      </c>
      <c r="BJ55" s="268">
        <f>G55*H55</f>
        <v>0</v>
      </c>
      <c r="BL55" s="268">
        <v>28</v>
      </c>
      <c r="BW55" s="268" t="str">
        <f>I55</f>
        <v>12</v>
      </c>
      <c r="BX55" s="268" t="s">
        <v>253</v>
      </c>
    </row>
    <row r="56" spans="1:76" s="230" customFormat="1" ht="6.75" customHeight="1" x14ac:dyDescent="0.25">
      <c r="A56" s="274"/>
      <c r="B56" s="276"/>
      <c r="C56" s="277" t="s">
        <v>90</v>
      </c>
      <c r="D56" s="541">
        <f>D54*C54</f>
        <v>37.664999999999999</v>
      </c>
      <c r="E56" s="238" t="str">
        <f>E54</f>
        <v>plocha pod základ.deskou - mimo pasy</v>
      </c>
      <c r="F56" s="237" t="s">
        <v>94</v>
      </c>
      <c r="G56" s="236">
        <f>D56</f>
        <v>37.664999999999999</v>
      </c>
      <c r="H56" s="235"/>
      <c r="I56" s="235"/>
      <c r="J56" s="234"/>
      <c r="K56" s="234"/>
      <c r="L56" s="233"/>
      <c r="M56" s="233"/>
      <c r="N56" s="232"/>
      <c r="O56" s="231"/>
    </row>
    <row r="57" spans="1:76" s="268" customFormat="1" x14ac:dyDescent="0.2">
      <c r="A57" s="251">
        <f>A53+1</f>
        <v>13</v>
      </c>
      <c r="B57" s="250" t="s">
        <v>43</v>
      </c>
      <c r="C57" s="249" t="s">
        <v>180</v>
      </c>
      <c r="D57" s="248" t="s">
        <v>924</v>
      </c>
      <c r="E57" s="248"/>
      <c r="F57" s="247" t="s">
        <v>94</v>
      </c>
      <c r="G57" s="269">
        <f>SUM(G58:G64)</f>
        <v>51.797506089999999</v>
      </c>
      <c r="H57" s="245"/>
      <c r="I57" s="244" t="s">
        <v>95</v>
      </c>
      <c r="J57" s="233">
        <f t="shared" si="3"/>
        <v>0</v>
      </c>
      <c r="K57" s="243">
        <f t="shared" si="4"/>
        <v>0</v>
      </c>
      <c r="L57" s="242">
        <f t="shared" si="5"/>
        <v>0</v>
      </c>
      <c r="M57" s="233">
        <f t="shared" si="6"/>
        <v>0</v>
      </c>
      <c r="N57" s="241">
        <v>2.1</v>
      </c>
      <c r="O57" s="240">
        <f t="shared" si="7"/>
        <v>108.77476278900001</v>
      </c>
      <c r="P57" s="213" t="s">
        <v>769</v>
      </c>
      <c r="Z57" s="268">
        <f t="shared" si="8"/>
        <v>0</v>
      </c>
      <c r="AB57" s="268">
        <f t="shared" si="9"/>
        <v>0</v>
      </c>
      <c r="AC57" s="268">
        <f t="shared" si="10"/>
        <v>0</v>
      </c>
      <c r="AD57" s="268">
        <f t="shared" si="11"/>
        <v>0</v>
      </c>
      <c r="AE57" s="268">
        <f t="shared" si="12"/>
        <v>0</v>
      </c>
      <c r="AF57" s="268">
        <f t="shared" si="13"/>
        <v>0</v>
      </c>
      <c r="AG57" s="268">
        <f t="shared" si="14"/>
        <v>0</v>
      </c>
      <c r="AH57" s="268">
        <f t="shared" si="15"/>
        <v>0</v>
      </c>
      <c r="AI57" s="268" t="s">
        <v>43</v>
      </c>
      <c r="AJ57" s="268">
        <f t="shared" si="16"/>
        <v>0</v>
      </c>
      <c r="AK57" s="268">
        <f t="shared" si="17"/>
        <v>0</v>
      </c>
      <c r="AL57" s="268">
        <f t="shared" si="18"/>
        <v>0</v>
      </c>
      <c r="AN57" s="268">
        <v>12</v>
      </c>
      <c r="AO57" s="268">
        <f>H57*0.575764264</f>
        <v>0</v>
      </c>
      <c r="AP57" s="268">
        <f>H57*(1-0.575764264)</f>
        <v>0</v>
      </c>
      <c r="AQ57" s="268" t="s">
        <v>91</v>
      </c>
      <c r="AV57" s="268">
        <f t="shared" si="19"/>
        <v>0</v>
      </c>
      <c r="AW57" s="268">
        <f t="shared" si="20"/>
        <v>0</v>
      </c>
      <c r="AX57" s="268">
        <f t="shared" si="21"/>
        <v>0</v>
      </c>
      <c r="AY57" s="268" t="s">
        <v>178</v>
      </c>
      <c r="AZ57" s="268" t="s">
        <v>179</v>
      </c>
      <c r="BA57" s="268" t="s">
        <v>85</v>
      </c>
      <c r="BC57" s="268">
        <f t="shared" si="22"/>
        <v>0</v>
      </c>
      <c r="BD57" s="268">
        <f t="shared" si="23"/>
        <v>0</v>
      </c>
      <c r="BE57" s="268">
        <v>0</v>
      </c>
      <c r="BF57" s="268">
        <f t="shared" si="24"/>
        <v>108.77476278900001</v>
      </c>
      <c r="BH57" s="268">
        <f t="shared" si="25"/>
        <v>0</v>
      </c>
      <c r="BI57" s="268">
        <f t="shared" si="26"/>
        <v>0</v>
      </c>
      <c r="BJ57" s="268">
        <f t="shared" si="27"/>
        <v>0</v>
      </c>
      <c r="BL57" s="268">
        <v>27</v>
      </c>
      <c r="BW57" s="268" t="str">
        <f t="shared" si="28"/>
        <v>12</v>
      </c>
      <c r="BX57" s="268" t="s">
        <v>181</v>
      </c>
    </row>
    <row r="58" spans="1:76" s="230" customFormat="1" ht="6.75" customHeight="1" x14ac:dyDescent="0.25">
      <c r="A58" s="274">
        <f>1.62-0.335</f>
        <v>1.2850000000000001</v>
      </c>
      <c r="B58" s="276"/>
      <c r="C58" s="275">
        <f>(0.65+0.25*2)/2</f>
        <v>0.57499999999999996</v>
      </c>
      <c r="D58" s="541">
        <f>0.938+6.97+0.742+1.1+0.74+1.534+0.626</f>
        <v>12.649999999999999</v>
      </c>
      <c r="E58" s="238" t="s">
        <v>245</v>
      </c>
      <c r="F58" s="265" t="s">
        <v>94</v>
      </c>
      <c r="G58" s="236">
        <f t="shared" ref="G58:G64" si="29">A58*C58*D58</f>
        <v>9.346768749999999</v>
      </c>
      <c r="H58" s="235"/>
      <c r="I58" s="235"/>
      <c r="J58" s="234"/>
      <c r="K58" s="234"/>
      <c r="L58" s="233"/>
      <c r="M58" s="233"/>
      <c r="N58" s="232"/>
      <c r="O58" s="231"/>
    </row>
    <row r="59" spans="1:76" s="230" customFormat="1" ht="6.75" customHeight="1" x14ac:dyDescent="0.25">
      <c r="A59" s="274">
        <f>1.82-0.335</f>
        <v>1.4850000000000001</v>
      </c>
      <c r="B59" s="276"/>
      <c r="C59" s="275">
        <f>(0.25*2+1.088)/2</f>
        <v>0.79400000000000004</v>
      </c>
      <c r="D59" s="541">
        <f>0.15+1.1+0.65</f>
        <v>1.9</v>
      </c>
      <c r="E59" s="238" t="s">
        <v>246</v>
      </c>
      <c r="F59" s="265" t="s">
        <v>94</v>
      </c>
      <c r="G59" s="236">
        <f t="shared" si="29"/>
        <v>2.2402710000000003</v>
      </c>
      <c r="H59" s="235"/>
      <c r="I59" s="235"/>
      <c r="J59" s="234"/>
      <c r="K59" s="234"/>
      <c r="L59" s="233"/>
      <c r="M59" s="233"/>
      <c r="N59" s="232"/>
      <c r="O59" s="231"/>
    </row>
    <row r="60" spans="1:76" s="230" customFormat="1" ht="6.75" customHeight="1" x14ac:dyDescent="0.25">
      <c r="A60" s="274">
        <f>2.02-0.335</f>
        <v>1.6850000000000001</v>
      </c>
      <c r="B60" s="276"/>
      <c r="C60" s="275">
        <f>(0.25*2+1.088)/2</f>
        <v>0.79400000000000004</v>
      </c>
      <c r="D60" s="541">
        <v>1.125</v>
      </c>
      <c r="E60" s="238" t="s">
        <v>247</v>
      </c>
      <c r="F60" s="265" t="s">
        <v>94</v>
      </c>
      <c r="G60" s="236">
        <f t="shared" si="29"/>
        <v>1.50512625</v>
      </c>
      <c r="H60" s="235"/>
      <c r="I60" s="235"/>
      <c r="J60" s="234"/>
      <c r="K60" s="234"/>
      <c r="L60" s="233"/>
      <c r="M60" s="233"/>
      <c r="N60" s="232"/>
      <c r="O60" s="231"/>
    </row>
    <row r="61" spans="1:76" s="230" customFormat="1" ht="6.75" customHeight="1" x14ac:dyDescent="0.25">
      <c r="A61" s="274">
        <f>2.22-0.335</f>
        <v>1.8850000000000002</v>
      </c>
      <c r="B61" s="276"/>
      <c r="C61" s="275">
        <f>(1.1*2+0.859+1.088)/2</f>
        <v>2.0735000000000001</v>
      </c>
      <c r="D61" s="541">
        <f>1.145+0.499</f>
        <v>1.6440000000000001</v>
      </c>
      <c r="E61" s="238" t="s">
        <v>248</v>
      </c>
      <c r="F61" s="265" t="s">
        <v>94</v>
      </c>
      <c r="G61" s="236">
        <f t="shared" si="29"/>
        <v>6.4256520900000016</v>
      </c>
      <c r="H61" s="235"/>
      <c r="I61" s="235"/>
      <c r="J61" s="234"/>
      <c r="K61" s="234"/>
      <c r="L61" s="233"/>
      <c r="M61" s="233"/>
      <c r="N61" s="232"/>
      <c r="O61" s="231"/>
    </row>
    <row r="62" spans="1:76" s="230" customFormat="1" ht="6.75" customHeight="1" x14ac:dyDescent="0.25">
      <c r="A62" s="274">
        <f>2.73-0.335</f>
        <v>2.395</v>
      </c>
      <c r="B62" s="276"/>
      <c r="C62" s="275">
        <f>(0.25*2+1.276)/2</f>
        <v>0.88800000000000001</v>
      </c>
      <c r="D62" s="541">
        <f>0.65*2+1.1</f>
        <v>2.4000000000000004</v>
      </c>
      <c r="E62" s="238" t="s">
        <v>249</v>
      </c>
      <c r="F62" s="265" t="s">
        <v>94</v>
      </c>
      <c r="G62" s="236">
        <f t="shared" si="29"/>
        <v>5.1042240000000003</v>
      </c>
      <c r="H62" s="235"/>
      <c r="I62" s="235"/>
      <c r="J62" s="234"/>
      <c r="K62" s="234"/>
      <c r="L62" s="233"/>
      <c r="M62" s="233"/>
      <c r="N62" s="232"/>
      <c r="O62" s="231"/>
    </row>
    <row r="63" spans="1:76" s="230" customFormat="1" ht="6.75" customHeight="1" x14ac:dyDescent="0.25">
      <c r="A63" s="274">
        <f>3.23-0.335</f>
        <v>2.895</v>
      </c>
      <c r="B63" s="276"/>
      <c r="C63" s="275">
        <f>(0.25*2+1.276)/2</f>
        <v>0.88800000000000001</v>
      </c>
      <c r="D63" s="541">
        <f>3.658+0.092</f>
        <v>3.75</v>
      </c>
      <c r="E63" s="238" t="s">
        <v>250</v>
      </c>
      <c r="F63" s="265" t="s">
        <v>94</v>
      </c>
      <c r="G63" s="236">
        <f t="shared" si="29"/>
        <v>9.6403499999999998</v>
      </c>
      <c r="H63" s="235"/>
      <c r="I63" s="235"/>
      <c r="J63" s="234"/>
      <c r="K63" s="234"/>
      <c r="L63" s="233"/>
      <c r="M63" s="233"/>
      <c r="N63" s="232"/>
      <c r="O63" s="231"/>
    </row>
    <row r="64" spans="1:76" s="230" customFormat="1" ht="6.75" customHeight="1" x14ac:dyDescent="0.25">
      <c r="A64" s="274">
        <f>3.83-0.335</f>
        <v>3.4950000000000001</v>
      </c>
      <c r="B64" s="276"/>
      <c r="C64" s="275">
        <f>(0.25*2+1.276)/2</f>
        <v>0.88800000000000001</v>
      </c>
      <c r="D64" s="541">
        <f>12.656-0.797-0.859-(3.658+0.092)-(0.65+1.1)+0.15</f>
        <v>5.65</v>
      </c>
      <c r="E64" s="238" t="s">
        <v>251</v>
      </c>
      <c r="F64" s="265" t="s">
        <v>94</v>
      </c>
      <c r="G64" s="236">
        <f t="shared" si="29"/>
        <v>17.535114000000004</v>
      </c>
      <c r="H64" s="235"/>
      <c r="I64" s="235"/>
      <c r="J64" s="234"/>
      <c r="K64" s="234"/>
      <c r="L64" s="233"/>
      <c r="M64" s="233"/>
      <c r="N64" s="232"/>
      <c r="O64" s="231"/>
    </row>
    <row r="65" spans="1:76" s="268" customFormat="1" x14ac:dyDescent="0.2">
      <c r="A65" s="251">
        <f>A57+1</f>
        <v>14</v>
      </c>
      <c r="B65" s="250" t="s">
        <v>43</v>
      </c>
      <c r="C65" s="249" t="s">
        <v>182</v>
      </c>
      <c r="D65" s="248" t="s">
        <v>183</v>
      </c>
      <c r="E65" s="248"/>
      <c r="F65" s="247" t="s">
        <v>94</v>
      </c>
      <c r="G65" s="246">
        <f>SUM(G66:G68)</f>
        <v>3.5440998000000006</v>
      </c>
      <c r="H65" s="245"/>
      <c r="I65" s="244" t="s">
        <v>95</v>
      </c>
      <c r="J65" s="233">
        <f t="shared" si="3"/>
        <v>0</v>
      </c>
      <c r="K65" s="243">
        <f t="shared" si="4"/>
        <v>0</v>
      </c>
      <c r="L65" s="242">
        <f t="shared" si="5"/>
        <v>0</v>
      </c>
      <c r="M65" s="233">
        <f t="shared" si="6"/>
        <v>0</v>
      </c>
      <c r="N65" s="241">
        <v>2.5251399999999999</v>
      </c>
      <c r="O65" s="240">
        <f t="shared" si="7"/>
        <v>8.9493481689720014</v>
      </c>
      <c r="P65" s="213" t="s">
        <v>769</v>
      </c>
      <c r="Z65" s="268">
        <f t="shared" si="8"/>
        <v>0</v>
      </c>
      <c r="AB65" s="268">
        <f t="shared" si="9"/>
        <v>0</v>
      </c>
      <c r="AC65" s="268">
        <f t="shared" si="10"/>
        <v>0</v>
      </c>
      <c r="AD65" s="268">
        <f t="shared" si="11"/>
        <v>0</v>
      </c>
      <c r="AE65" s="268">
        <f t="shared" si="12"/>
        <v>0</v>
      </c>
      <c r="AF65" s="268">
        <f t="shared" si="13"/>
        <v>0</v>
      </c>
      <c r="AG65" s="268">
        <f t="shared" si="14"/>
        <v>0</v>
      </c>
      <c r="AH65" s="268">
        <f t="shared" si="15"/>
        <v>0</v>
      </c>
      <c r="AI65" s="268" t="s">
        <v>43</v>
      </c>
      <c r="AJ65" s="268">
        <f t="shared" si="16"/>
        <v>0</v>
      </c>
      <c r="AK65" s="268">
        <f t="shared" si="17"/>
        <v>0</v>
      </c>
      <c r="AL65" s="268">
        <f t="shared" si="18"/>
        <v>0</v>
      </c>
      <c r="AN65" s="268">
        <v>12</v>
      </c>
      <c r="AO65" s="268">
        <f>H65*0.845415425</f>
        <v>0</v>
      </c>
      <c r="AP65" s="268">
        <f>H65*(1-0.845415425)</f>
        <v>0</v>
      </c>
      <c r="AQ65" s="268" t="s">
        <v>91</v>
      </c>
      <c r="AV65" s="268">
        <f t="shared" si="19"/>
        <v>0</v>
      </c>
      <c r="AW65" s="268">
        <f t="shared" si="20"/>
        <v>0</v>
      </c>
      <c r="AX65" s="268">
        <f t="shared" si="21"/>
        <v>0</v>
      </c>
      <c r="AY65" s="268" t="s">
        <v>178</v>
      </c>
      <c r="AZ65" s="268" t="s">
        <v>179</v>
      </c>
      <c r="BA65" s="268" t="s">
        <v>85</v>
      </c>
      <c r="BC65" s="268">
        <f t="shared" si="22"/>
        <v>0</v>
      </c>
      <c r="BD65" s="268">
        <f t="shared" si="23"/>
        <v>0</v>
      </c>
      <c r="BE65" s="268">
        <v>0</v>
      </c>
      <c r="BF65" s="268">
        <f t="shared" si="24"/>
        <v>8.9493481689720014</v>
      </c>
      <c r="BH65" s="268">
        <f t="shared" si="25"/>
        <v>0</v>
      </c>
      <c r="BI65" s="268">
        <f t="shared" si="26"/>
        <v>0</v>
      </c>
      <c r="BJ65" s="268">
        <f t="shared" si="27"/>
        <v>0</v>
      </c>
      <c r="BL65" s="268">
        <v>27</v>
      </c>
      <c r="BW65" s="268" t="str">
        <f t="shared" si="28"/>
        <v>12</v>
      </c>
      <c r="BX65" s="268" t="s">
        <v>183</v>
      </c>
    </row>
    <row r="66" spans="1:76" s="230" customFormat="1" ht="6.75" customHeight="1" x14ac:dyDescent="0.25">
      <c r="A66" s="274">
        <v>0.1</v>
      </c>
      <c r="B66" s="276"/>
      <c r="C66" s="275">
        <v>1.1000000000000001</v>
      </c>
      <c r="D66" s="541">
        <f>SUM(D19:D25)</f>
        <v>29.119</v>
      </c>
      <c r="E66" s="238" t="s">
        <v>233</v>
      </c>
      <c r="F66" s="237" t="s">
        <v>94</v>
      </c>
      <c r="G66" s="236">
        <f>A66*C66*D66</f>
        <v>3.2030900000000004</v>
      </c>
      <c r="H66" s="235"/>
      <c r="I66" s="235"/>
      <c r="J66" s="234"/>
      <c r="K66" s="234"/>
      <c r="L66" s="233"/>
      <c r="M66" s="233"/>
      <c r="N66" s="232"/>
      <c r="O66" s="231"/>
    </row>
    <row r="67" spans="1:76" s="230" customFormat="1" ht="6.75" customHeight="1" x14ac:dyDescent="0.25">
      <c r="A67" s="274">
        <v>0.1</v>
      </c>
      <c r="B67" s="276"/>
      <c r="C67" s="275">
        <v>1</v>
      </c>
      <c r="D67" s="541">
        <v>1.518</v>
      </c>
      <c r="E67" s="238" t="s">
        <v>235</v>
      </c>
      <c r="F67" s="237" t="s">
        <v>94</v>
      </c>
      <c r="G67" s="236">
        <f t="shared" ref="G67" si="30">A67*C67*D67</f>
        <v>0.15180000000000002</v>
      </c>
      <c r="H67" s="235"/>
      <c r="I67" s="235"/>
      <c r="J67" s="234"/>
      <c r="K67" s="234"/>
      <c r="L67" s="233"/>
      <c r="M67" s="233"/>
      <c r="N67" s="232"/>
      <c r="O67" s="231"/>
    </row>
    <row r="68" spans="1:76" s="230" customFormat="1" ht="6.75" customHeight="1" x14ac:dyDescent="0.25">
      <c r="A68" s="274">
        <v>0.1</v>
      </c>
      <c r="B68" s="276"/>
      <c r="C68" s="275">
        <v>1.1930000000000001</v>
      </c>
      <c r="D68" s="541">
        <v>1.5860000000000001</v>
      </c>
      <c r="E68" s="238" t="s">
        <v>234</v>
      </c>
      <c r="F68" s="237" t="s">
        <v>94</v>
      </c>
      <c r="G68" s="236">
        <f t="shared" ref="G68" si="31">A68*C68*D68</f>
        <v>0.18920980000000004</v>
      </c>
      <c r="H68" s="235"/>
      <c r="I68" s="235"/>
      <c r="J68" s="234"/>
      <c r="K68" s="234"/>
      <c r="L68" s="233"/>
      <c r="M68" s="233"/>
      <c r="N68" s="232"/>
      <c r="O68" s="231"/>
    </row>
    <row r="69" spans="1:76" s="268" customFormat="1" x14ac:dyDescent="0.2">
      <c r="A69" s="251">
        <f>A65+1</f>
        <v>15</v>
      </c>
      <c r="B69" s="250" t="s">
        <v>43</v>
      </c>
      <c r="C69" s="249" t="s">
        <v>184</v>
      </c>
      <c r="D69" s="248" t="s">
        <v>185</v>
      </c>
      <c r="E69" s="248"/>
      <c r="F69" s="247" t="s">
        <v>94</v>
      </c>
      <c r="G69" s="269">
        <f>SUM(G70:G70)</f>
        <v>7.1662499999999998</v>
      </c>
      <c r="H69" s="245"/>
      <c r="I69" s="244" t="s">
        <v>95</v>
      </c>
      <c r="J69" s="233">
        <f t="shared" si="3"/>
        <v>0</v>
      </c>
      <c r="K69" s="243">
        <f t="shared" si="4"/>
        <v>0</v>
      </c>
      <c r="L69" s="242">
        <f t="shared" si="5"/>
        <v>0</v>
      </c>
      <c r="M69" s="233">
        <f t="shared" si="6"/>
        <v>0</v>
      </c>
      <c r="N69" s="241">
        <v>2.5249999999999999</v>
      </c>
      <c r="O69" s="240">
        <f t="shared" si="7"/>
        <v>18.09478125</v>
      </c>
      <c r="P69" s="213" t="s">
        <v>769</v>
      </c>
      <c r="Z69" s="268">
        <f t="shared" si="8"/>
        <v>0</v>
      </c>
      <c r="AB69" s="268">
        <f t="shared" si="9"/>
        <v>0</v>
      </c>
      <c r="AC69" s="268">
        <f t="shared" si="10"/>
        <v>0</v>
      </c>
      <c r="AD69" s="268">
        <f t="shared" si="11"/>
        <v>0</v>
      </c>
      <c r="AE69" s="268">
        <f t="shared" si="12"/>
        <v>0</v>
      </c>
      <c r="AF69" s="268">
        <f t="shared" si="13"/>
        <v>0</v>
      </c>
      <c r="AG69" s="268">
        <f t="shared" si="14"/>
        <v>0</v>
      </c>
      <c r="AH69" s="268">
        <f t="shared" si="15"/>
        <v>0</v>
      </c>
      <c r="AI69" s="268" t="s">
        <v>43</v>
      </c>
      <c r="AJ69" s="268">
        <f t="shared" si="16"/>
        <v>0</v>
      </c>
      <c r="AK69" s="268">
        <f t="shared" si="17"/>
        <v>0</v>
      </c>
      <c r="AL69" s="268">
        <f t="shared" si="18"/>
        <v>0</v>
      </c>
      <c r="AN69" s="268">
        <v>12</v>
      </c>
      <c r="AO69" s="268">
        <f>H69*0.91589272</f>
        <v>0</v>
      </c>
      <c r="AP69" s="268">
        <f>H69*(1-0.91589272)</f>
        <v>0</v>
      </c>
      <c r="AQ69" s="268" t="s">
        <v>91</v>
      </c>
      <c r="AV69" s="268">
        <f t="shared" si="19"/>
        <v>0</v>
      </c>
      <c r="AW69" s="268">
        <f t="shared" si="20"/>
        <v>0</v>
      </c>
      <c r="AX69" s="268">
        <f t="shared" si="21"/>
        <v>0</v>
      </c>
      <c r="AY69" s="268" t="s">
        <v>178</v>
      </c>
      <c r="AZ69" s="268" t="s">
        <v>179</v>
      </c>
      <c r="BA69" s="268" t="s">
        <v>85</v>
      </c>
      <c r="BC69" s="268">
        <f t="shared" si="22"/>
        <v>0</v>
      </c>
      <c r="BD69" s="268">
        <f t="shared" si="23"/>
        <v>0</v>
      </c>
      <c r="BE69" s="268">
        <v>0</v>
      </c>
      <c r="BF69" s="268">
        <f t="shared" si="24"/>
        <v>18.09478125</v>
      </c>
      <c r="BH69" s="268">
        <f t="shared" si="25"/>
        <v>0</v>
      </c>
      <c r="BI69" s="268">
        <f t="shared" si="26"/>
        <v>0</v>
      </c>
      <c r="BJ69" s="268">
        <f t="shared" si="27"/>
        <v>0</v>
      </c>
      <c r="BL69" s="268">
        <v>27</v>
      </c>
      <c r="BW69" s="268" t="str">
        <f t="shared" si="28"/>
        <v>12</v>
      </c>
      <c r="BX69" s="268" t="s">
        <v>185</v>
      </c>
    </row>
    <row r="70" spans="1:76" s="230" customFormat="1" ht="6.75" customHeight="1" x14ac:dyDescent="0.25">
      <c r="A70" s="274">
        <v>0.13</v>
      </c>
      <c r="B70" s="276"/>
      <c r="C70" s="275">
        <v>5.25</v>
      </c>
      <c r="D70" s="541">
        <v>10.5</v>
      </c>
      <c r="E70" s="238" t="s">
        <v>823</v>
      </c>
      <c r="F70" s="237" t="s">
        <v>94</v>
      </c>
      <c r="G70" s="236">
        <f>A70*C70*D70</f>
        <v>7.1662499999999998</v>
      </c>
      <c r="H70" s="235"/>
      <c r="I70" s="235"/>
      <c r="J70" s="234"/>
      <c r="K70" s="234"/>
      <c r="L70" s="233"/>
      <c r="M70" s="233"/>
      <c r="N70" s="232"/>
      <c r="O70" s="231"/>
    </row>
    <row r="71" spans="1:76" s="268" customFormat="1" x14ac:dyDescent="0.2">
      <c r="A71" s="251">
        <f>A69+1</f>
        <v>16</v>
      </c>
      <c r="B71" s="250" t="s">
        <v>43</v>
      </c>
      <c r="C71" s="249" t="s">
        <v>186</v>
      </c>
      <c r="D71" s="248" t="s">
        <v>187</v>
      </c>
      <c r="E71" s="248"/>
      <c r="F71" s="247" t="s">
        <v>82</v>
      </c>
      <c r="G71" s="269">
        <f>SUM(G72:G72)</f>
        <v>0.18393374999999984</v>
      </c>
      <c r="H71" s="245"/>
      <c r="I71" s="244" t="s">
        <v>95</v>
      </c>
      <c r="J71" s="233">
        <f t="shared" si="3"/>
        <v>0</v>
      </c>
      <c r="K71" s="243">
        <f t="shared" si="4"/>
        <v>0</v>
      </c>
      <c r="L71" s="242">
        <f t="shared" si="5"/>
        <v>0</v>
      </c>
      <c r="M71" s="233">
        <f t="shared" si="6"/>
        <v>0</v>
      </c>
      <c r="N71" s="241">
        <v>1.07874</v>
      </c>
      <c r="O71" s="240">
        <f t="shared" si="7"/>
        <v>0.19841669347499982</v>
      </c>
      <c r="P71" s="213" t="s">
        <v>769</v>
      </c>
      <c r="Z71" s="268">
        <f t="shared" si="8"/>
        <v>0</v>
      </c>
      <c r="AB71" s="268">
        <f t="shared" si="9"/>
        <v>0</v>
      </c>
      <c r="AC71" s="268">
        <f t="shared" si="10"/>
        <v>0</v>
      </c>
      <c r="AD71" s="268">
        <f t="shared" si="11"/>
        <v>0</v>
      </c>
      <c r="AE71" s="268">
        <f t="shared" si="12"/>
        <v>0</v>
      </c>
      <c r="AF71" s="268">
        <f t="shared" si="13"/>
        <v>0</v>
      </c>
      <c r="AG71" s="268">
        <f t="shared" si="14"/>
        <v>0</v>
      </c>
      <c r="AH71" s="268">
        <f t="shared" si="15"/>
        <v>0</v>
      </c>
      <c r="AI71" s="268" t="s">
        <v>43</v>
      </c>
      <c r="AJ71" s="268">
        <f t="shared" si="16"/>
        <v>0</v>
      </c>
      <c r="AK71" s="268">
        <f t="shared" si="17"/>
        <v>0</v>
      </c>
      <c r="AL71" s="268">
        <f t="shared" si="18"/>
        <v>0</v>
      </c>
      <c r="AN71" s="268">
        <v>12</v>
      </c>
      <c r="AO71" s="268">
        <f>H71*0.7995811</f>
        <v>0</v>
      </c>
      <c r="AP71" s="268">
        <f>H71*(1-0.7995811)</f>
        <v>0</v>
      </c>
      <c r="AQ71" s="268" t="s">
        <v>91</v>
      </c>
      <c r="AV71" s="268">
        <f t="shared" si="19"/>
        <v>0</v>
      </c>
      <c r="AW71" s="268">
        <f t="shared" si="20"/>
        <v>0</v>
      </c>
      <c r="AX71" s="268">
        <f t="shared" si="21"/>
        <v>0</v>
      </c>
      <c r="AY71" s="268" t="s">
        <v>178</v>
      </c>
      <c r="AZ71" s="268" t="s">
        <v>179</v>
      </c>
      <c r="BA71" s="268" t="s">
        <v>85</v>
      </c>
      <c r="BC71" s="268">
        <f t="shared" si="22"/>
        <v>0</v>
      </c>
      <c r="BD71" s="268">
        <f t="shared" si="23"/>
        <v>0</v>
      </c>
      <c r="BE71" s="268">
        <v>0</v>
      </c>
      <c r="BF71" s="268">
        <f t="shared" si="24"/>
        <v>0.19841669347499982</v>
      </c>
      <c r="BH71" s="268">
        <f t="shared" si="25"/>
        <v>0</v>
      </c>
      <c r="BI71" s="268">
        <f t="shared" si="26"/>
        <v>0</v>
      </c>
      <c r="BJ71" s="268">
        <f t="shared" si="27"/>
        <v>0</v>
      </c>
      <c r="BL71" s="268">
        <v>27</v>
      </c>
      <c r="BW71" s="268" t="str">
        <f t="shared" si="28"/>
        <v>12</v>
      </c>
      <c r="BX71" s="268" t="s">
        <v>187</v>
      </c>
    </row>
    <row r="72" spans="1:76" s="230" customFormat="1" ht="6.75" customHeight="1" x14ac:dyDescent="0.25">
      <c r="A72" s="274">
        <f>C70*D70</f>
        <v>55.125</v>
      </c>
      <c r="B72" s="276"/>
      <c r="C72" s="277" t="s">
        <v>90</v>
      </c>
      <c r="D72" s="545">
        <f>0.00303333333333333*1.1</f>
        <v>3.3366666666666636E-3</v>
      </c>
      <c r="E72" s="238" t="s">
        <v>236</v>
      </c>
      <c r="F72" s="237" t="s">
        <v>82</v>
      </c>
      <c r="G72" s="236">
        <f>A72*D72</f>
        <v>0.18393374999999984</v>
      </c>
      <c r="H72" s="235"/>
      <c r="I72" s="235"/>
      <c r="J72" s="234"/>
      <c r="K72" s="234"/>
      <c r="L72" s="233"/>
      <c r="M72" s="233"/>
      <c r="N72" s="232"/>
      <c r="O72" s="231"/>
    </row>
    <row r="73" spans="1:76" s="268" customFormat="1" x14ac:dyDescent="0.2">
      <c r="A73" s="251">
        <f>A71+1</f>
        <v>17</v>
      </c>
      <c r="B73" s="250" t="s">
        <v>43</v>
      </c>
      <c r="C73" s="249" t="s">
        <v>188</v>
      </c>
      <c r="D73" s="248" t="s">
        <v>189</v>
      </c>
      <c r="E73" s="248"/>
      <c r="F73" s="247" t="s">
        <v>94</v>
      </c>
      <c r="G73" s="269">
        <f>SUM(G74:G83)</f>
        <v>33.844093749999999</v>
      </c>
      <c r="H73" s="245"/>
      <c r="I73" s="244" t="s">
        <v>95</v>
      </c>
      <c r="J73" s="233">
        <f t="shared" si="3"/>
        <v>0</v>
      </c>
      <c r="K73" s="243">
        <f t="shared" si="4"/>
        <v>0</v>
      </c>
      <c r="L73" s="242">
        <f t="shared" si="5"/>
        <v>0</v>
      </c>
      <c r="M73" s="233">
        <f t="shared" si="6"/>
        <v>0</v>
      </c>
      <c r="N73" s="241">
        <v>2.5249999999999999</v>
      </c>
      <c r="O73" s="240">
        <f t="shared" si="7"/>
        <v>85.456336718749995</v>
      </c>
      <c r="P73" s="213" t="s">
        <v>769</v>
      </c>
      <c r="Z73" s="268">
        <f t="shared" si="8"/>
        <v>0</v>
      </c>
      <c r="AB73" s="268">
        <f t="shared" si="9"/>
        <v>0</v>
      </c>
      <c r="AC73" s="268">
        <f t="shared" si="10"/>
        <v>0</v>
      </c>
      <c r="AD73" s="268">
        <f t="shared" si="11"/>
        <v>0</v>
      </c>
      <c r="AE73" s="268">
        <f t="shared" si="12"/>
        <v>0</v>
      </c>
      <c r="AF73" s="268">
        <f t="shared" si="13"/>
        <v>0</v>
      </c>
      <c r="AG73" s="268">
        <f t="shared" si="14"/>
        <v>0</v>
      </c>
      <c r="AH73" s="268">
        <f t="shared" si="15"/>
        <v>0</v>
      </c>
      <c r="AI73" s="268" t="s">
        <v>43</v>
      </c>
      <c r="AJ73" s="268">
        <f t="shared" si="16"/>
        <v>0</v>
      </c>
      <c r="AK73" s="268">
        <f t="shared" si="17"/>
        <v>0</v>
      </c>
      <c r="AL73" s="268">
        <f t="shared" si="18"/>
        <v>0</v>
      </c>
      <c r="AN73" s="268">
        <v>12</v>
      </c>
      <c r="AO73" s="268">
        <f>H73*0.916232225</f>
        <v>0</v>
      </c>
      <c r="AP73" s="268">
        <f>H73*(1-0.916232225)</f>
        <v>0</v>
      </c>
      <c r="AQ73" s="268" t="s">
        <v>91</v>
      </c>
      <c r="AV73" s="268">
        <f t="shared" si="19"/>
        <v>0</v>
      </c>
      <c r="AW73" s="268">
        <f t="shared" si="20"/>
        <v>0</v>
      </c>
      <c r="AX73" s="268">
        <f t="shared" si="21"/>
        <v>0</v>
      </c>
      <c r="AY73" s="268" t="s">
        <v>178</v>
      </c>
      <c r="AZ73" s="268" t="s">
        <v>179</v>
      </c>
      <c r="BA73" s="268" t="s">
        <v>85</v>
      </c>
      <c r="BC73" s="268">
        <f t="shared" si="22"/>
        <v>0</v>
      </c>
      <c r="BD73" s="268">
        <f t="shared" si="23"/>
        <v>0</v>
      </c>
      <c r="BE73" s="268">
        <v>0</v>
      </c>
      <c r="BF73" s="268">
        <f t="shared" si="24"/>
        <v>85.456336718749995</v>
      </c>
      <c r="BH73" s="268">
        <f t="shared" si="25"/>
        <v>0</v>
      </c>
      <c r="BI73" s="268">
        <f t="shared" si="26"/>
        <v>0</v>
      </c>
      <c r="BJ73" s="268">
        <f t="shared" si="27"/>
        <v>0</v>
      </c>
      <c r="BL73" s="268">
        <v>27</v>
      </c>
      <c r="BW73" s="268" t="str">
        <f t="shared" si="28"/>
        <v>12</v>
      </c>
      <c r="BX73" s="268" t="s">
        <v>189</v>
      </c>
    </row>
    <row r="74" spans="1:76" s="230" customFormat="1" ht="6.75" customHeight="1" x14ac:dyDescent="0.25">
      <c r="A74" s="274">
        <f>1.52-0.23</f>
        <v>1.29</v>
      </c>
      <c r="B74" s="276"/>
      <c r="C74" s="275">
        <v>0.6</v>
      </c>
      <c r="D74" s="541">
        <f>8.9+0.6+3.15</f>
        <v>12.65</v>
      </c>
      <c r="E74" s="238" t="s">
        <v>231</v>
      </c>
      <c r="F74" s="265" t="s">
        <v>94</v>
      </c>
      <c r="G74" s="236">
        <f t="shared" ref="G74:G82" si="32">A74*C74*D74</f>
        <v>9.7911000000000001</v>
      </c>
      <c r="H74" s="235"/>
      <c r="I74" s="235"/>
      <c r="J74" s="234"/>
      <c r="K74" s="234"/>
      <c r="L74" s="233"/>
      <c r="M74" s="233"/>
      <c r="N74" s="232"/>
      <c r="O74" s="231"/>
    </row>
    <row r="75" spans="1:76" s="230" customFormat="1" ht="6.75" customHeight="1" x14ac:dyDescent="0.25">
      <c r="A75" s="274">
        <f>1.72-0.23</f>
        <v>1.49</v>
      </c>
      <c r="B75" s="276"/>
      <c r="C75" s="275">
        <v>0.6</v>
      </c>
      <c r="D75" s="541">
        <f>0.4+0.6+0.9</f>
        <v>1.9</v>
      </c>
      <c r="E75" s="238" t="s">
        <v>232</v>
      </c>
      <c r="F75" s="265" t="s">
        <v>94</v>
      </c>
      <c r="G75" s="236">
        <f t="shared" si="32"/>
        <v>1.6985999999999999</v>
      </c>
      <c r="H75" s="235"/>
      <c r="I75" s="235"/>
      <c r="J75" s="234"/>
      <c r="K75" s="234"/>
      <c r="L75" s="233"/>
      <c r="M75" s="233"/>
      <c r="N75" s="232"/>
      <c r="O75" s="231"/>
    </row>
    <row r="76" spans="1:76" s="230" customFormat="1" ht="6.75" customHeight="1" x14ac:dyDescent="0.25">
      <c r="A76" s="274">
        <f>1.92-0.23</f>
        <v>1.69</v>
      </c>
      <c r="B76" s="276"/>
      <c r="C76" s="275">
        <v>0.6</v>
      </c>
      <c r="D76" s="541">
        <v>1.125</v>
      </c>
      <c r="E76" s="238" t="s">
        <v>237</v>
      </c>
      <c r="F76" s="265" t="s">
        <v>94</v>
      </c>
      <c r="G76" s="236">
        <f t="shared" si="32"/>
        <v>1.1407499999999999</v>
      </c>
      <c r="H76" s="235"/>
      <c r="I76" s="235"/>
      <c r="J76" s="234"/>
      <c r="K76" s="234"/>
      <c r="L76" s="233"/>
      <c r="M76" s="233"/>
      <c r="N76" s="232"/>
      <c r="O76" s="231"/>
    </row>
    <row r="77" spans="1:76" s="230" customFormat="1" ht="6.75" customHeight="1" x14ac:dyDescent="0.25">
      <c r="A77" s="274">
        <f>2.12-0.23</f>
        <v>1.8900000000000001</v>
      </c>
      <c r="B77" s="276"/>
      <c r="C77" s="275">
        <v>0.6</v>
      </c>
      <c r="D77" s="541">
        <v>1.625</v>
      </c>
      <c r="E77" s="238" t="s">
        <v>238</v>
      </c>
      <c r="F77" s="265" t="s">
        <v>94</v>
      </c>
      <c r="G77" s="236">
        <f t="shared" si="32"/>
        <v>1.8427500000000001</v>
      </c>
      <c r="H77" s="235"/>
      <c r="I77" s="235"/>
      <c r="J77" s="234"/>
      <c r="K77" s="234"/>
      <c r="L77" s="233"/>
      <c r="M77" s="233"/>
      <c r="N77" s="232"/>
      <c r="O77" s="231"/>
    </row>
    <row r="78" spans="1:76" s="230" customFormat="1" ht="6.75" customHeight="1" x14ac:dyDescent="0.25">
      <c r="A78" s="274">
        <f>2.63-0.23</f>
        <v>2.4</v>
      </c>
      <c r="B78" s="276"/>
      <c r="C78" s="275">
        <v>0.6</v>
      </c>
      <c r="D78" s="541">
        <f>0.9*2+0.6</f>
        <v>2.4</v>
      </c>
      <c r="E78" s="238" t="s">
        <v>239</v>
      </c>
      <c r="F78" s="265" t="s">
        <v>94</v>
      </c>
      <c r="G78" s="236">
        <f t="shared" si="32"/>
        <v>3.456</v>
      </c>
      <c r="H78" s="235"/>
      <c r="I78" s="235"/>
      <c r="J78" s="234"/>
      <c r="K78" s="234"/>
      <c r="L78" s="233"/>
      <c r="M78" s="233"/>
      <c r="N78" s="232"/>
      <c r="O78" s="231"/>
    </row>
    <row r="79" spans="1:76" s="230" customFormat="1" ht="6.75" customHeight="1" x14ac:dyDescent="0.25">
      <c r="A79" s="274">
        <f>3.13-0.23</f>
        <v>2.9</v>
      </c>
      <c r="B79" s="276"/>
      <c r="C79" s="275">
        <v>0.6</v>
      </c>
      <c r="D79" s="541">
        <v>3.75</v>
      </c>
      <c r="E79" s="238" t="s">
        <v>240</v>
      </c>
      <c r="F79" s="265" t="s">
        <v>94</v>
      </c>
      <c r="G79" s="236">
        <f t="shared" si="32"/>
        <v>6.5250000000000004</v>
      </c>
      <c r="H79" s="235"/>
      <c r="I79" s="235"/>
      <c r="J79" s="234"/>
      <c r="K79" s="234"/>
      <c r="L79" s="233"/>
      <c r="M79" s="233"/>
      <c r="N79" s="232"/>
      <c r="O79" s="231"/>
    </row>
    <row r="80" spans="1:76" s="230" customFormat="1" ht="6.75" customHeight="1" x14ac:dyDescent="0.25">
      <c r="A80" s="274">
        <f>3.73-0.23</f>
        <v>3.5</v>
      </c>
      <c r="B80" s="276"/>
      <c r="C80" s="275">
        <v>0.6</v>
      </c>
      <c r="D80" s="541">
        <f>4.65+0.6+0.4</f>
        <v>5.65</v>
      </c>
      <c r="E80" s="238" t="s">
        <v>241</v>
      </c>
      <c r="F80" s="265" t="s">
        <v>94</v>
      </c>
      <c r="G80" s="236">
        <f t="shared" si="32"/>
        <v>11.865000000000002</v>
      </c>
      <c r="H80" s="235"/>
      <c r="I80" s="235"/>
      <c r="J80" s="234"/>
      <c r="K80" s="234"/>
      <c r="L80" s="233"/>
      <c r="M80" s="233"/>
      <c r="N80" s="232"/>
      <c r="O80" s="231"/>
    </row>
    <row r="81" spans="1:76" s="230" customFormat="1" ht="6.75" customHeight="1" x14ac:dyDescent="0.25">
      <c r="A81" s="274">
        <f>2.43-0.1</f>
        <v>2.33</v>
      </c>
      <c r="B81" s="276"/>
      <c r="C81" s="275">
        <v>0.5</v>
      </c>
      <c r="D81" s="541">
        <v>2.5</v>
      </c>
      <c r="E81" s="238" t="s">
        <v>243</v>
      </c>
      <c r="F81" s="265" t="s">
        <v>94</v>
      </c>
      <c r="G81" s="236">
        <f t="shared" si="32"/>
        <v>2.9125000000000001</v>
      </c>
      <c r="H81" s="235"/>
      <c r="I81" s="235"/>
      <c r="J81" s="234"/>
      <c r="K81" s="234"/>
      <c r="L81" s="233"/>
      <c r="M81" s="233"/>
      <c r="N81" s="232"/>
      <c r="O81" s="231"/>
    </row>
    <row r="82" spans="1:76" s="230" customFormat="1" ht="6.75" customHeight="1" x14ac:dyDescent="0.25">
      <c r="A82" s="274">
        <f>3.2-0.1</f>
        <v>3.1</v>
      </c>
      <c r="B82" s="276"/>
      <c r="C82" s="275">
        <v>0.69199999999999995</v>
      </c>
      <c r="D82" s="541">
        <v>1.5</v>
      </c>
      <c r="E82" s="238" t="s">
        <v>242</v>
      </c>
      <c r="F82" s="265" t="s">
        <v>94</v>
      </c>
      <c r="G82" s="236">
        <f t="shared" si="32"/>
        <v>3.2178</v>
      </c>
      <c r="H82" s="235"/>
      <c r="I82" s="235"/>
      <c r="J82" s="234"/>
      <c r="K82" s="234"/>
      <c r="L82" s="233"/>
      <c r="M82" s="233"/>
      <c r="N82" s="232"/>
      <c r="O82" s="231"/>
    </row>
    <row r="83" spans="1:76" s="230" customFormat="1" ht="6.75" customHeight="1" x14ac:dyDescent="0.25">
      <c r="A83" s="274">
        <f>G101</f>
        <v>8.6054062499999997</v>
      </c>
      <c r="B83" s="276"/>
      <c r="C83" s="275" t="s">
        <v>149</v>
      </c>
      <c r="D83" s="541">
        <v>-1</v>
      </c>
      <c r="E83" s="238" t="str">
        <f>D101</f>
        <v>Zdivo nadzákl.z lom.kam., obkladní bez dodávky kamene</v>
      </c>
      <c r="F83" s="265" t="s">
        <v>94</v>
      </c>
      <c r="G83" s="236">
        <f>D83*A83</f>
        <v>-8.6054062499999997</v>
      </c>
      <c r="H83" s="235"/>
      <c r="I83" s="235"/>
      <c r="J83" s="234"/>
      <c r="K83" s="234"/>
      <c r="L83" s="233"/>
      <c r="M83" s="233"/>
      <c r="N83" s="232"/>
      <c r="O83" s="231"/>
    </row>
    <row r="84" spans="1:76" s="268" customFormat="1" x14ac:dyDescent="0.2">
      <c r="A84" s="251">
        <f>A73+1</f>
        <v>18</v>
      </c>
      <c r="B84" s="250" t="s">
        <v>43</v>
      </c>
      <c r="C84" s="249" t="s">
        <v>190</v>
      </c>
      <c r="D84" s="248" t="s">
        <v>191</v>
      </c>
      <c r="E84" s="248"/>
      <c r="F84" s="247" t="s">
        <v>92</v>
      </c>
      <c r="G84" s="269">
        <f>SUM(G85:G93)</f>
        <v>142.01400000000001</v>
      </c>
      <c r="H84" s="245"/>
      <c r="I84" s="244" t="s">
        <v>95</v>
      </c>
      <c r="J84" s="233">
        <f t="shared" si="3"/>
        <v>0</v>
      </c>
      <c r="K84" s="243">
        <f t="shared" si="4"/>
        <v>0</v>
      </c>
      <c r="L84" s="242">
        <f t="shared" si="5"/>
        <v>0</v>
      </c>
      <c r="M84" s="233">
        <f t="shared" si="6"/>
        <v>0</v>
      </c>
      <c r="N84" s="241">
        <v>3.916E-2</v>
      </c>
      <c r="O84" s="240">
        <f t="shared" si="7"/>
        <v>5.5612682400000004</v>
      </c>
      <c r="P84" s="213" t="s">
        <v>769</v>
      </c>
      <c r="Z84" s="268">
        <f t="shared" si="8"/>
        <v>0</v>
      </c>
      <c r="AB84" s="268">
        <f t="shared" si="9"/>
        <v>0</v>
      </c>
      <c r="AC84" s="268">
        <f t="shared" si="10"/>
        <v>0</v>
      </c>
      <c r="AD84" s="268">
        <f t="shared" si="11"/>
        <v>0</v>
      </c>
      <c r="AE84" s="268">
        <f t="shared" si="12"/>
        <v>0</v>
      </c>
      <c r="AF84" s="268">
        <f t="shared" si="13"/>
        <v>0</v>
      </c>
      <c r="AG84" s="268">
        <f t="shared" si="14"/>
        <v>0</v>
      </c>
      <c r="AH84" s="268">
        <f t="shared" si="15"/>
        <v>0</v>
      </c>
      <c r="AI84" s="268" t="s">
        <v>43</v>
      </c>
      <c r="AJ84" s="268">
        <f t="shared" si="16"/>
        <v>0</v>
      </c>
      <c r="AK84" s="268">
        <f t="shared" si="17"/>
        <v>0</v>
      </c>
      <c r="AL84" s="268">
        <f t="shared" si="18"/>
        <v>0</v>
      </c>
      <c r="AN84" s="268">
        <v>12</v>
      </c>
      <c r="AO84" s="268">
        <f>H84*0.322449256</f>
        <v>0</v>
      </c>
      <c r="AP84" s="268">
        <f>H84*(1-0.322449256)</f>
        <v>0</v>
      </c>
      <c r="AQ84" s="268" t="s">
        <v>91</v>
      </c>
      <c r="AV84" s="268">
        <f t="shared" si="19"/>
        <v>0</v>
      </c>
      <c r="AW84" s="268">
        <f t="shared" si="20"/>
        <v>0</v>
      </c>
      <c r="AX84" s="268">
        <f t="shared" si="21"/>
        <v>0</v>
      </c>
      <c r="AY84" s="268" t="s">
        <v>178</v>
      </c>
      <c r="AZ84" s="268" t="s">
        <v>179</v>
      </c>
      <c r="BA84" s="268" t="s">
        <v>85</v>
      </c>
      <c r="BC84" s="268">
        <f t="shared" si="22"/>
        <v>0</v>
      </c>
      <c r="BD84" s="268">
        <f t="shared" si="23"/>
        <v>0</v>
      </c>
      <c r="BE84" s="268">
        <v>0</v>
      </c>
      <c r="BF84" s="268">
        <f t="shared" si="24"/>
        <v>5.5612682400000004</v>
      </c>
      <c r="BH84" s="268">
        <f t="shared" si="25"/>
        <v>0</v>
      </c>
      <c r="BI84" s="268">
        <f t="shared" si="26"/>
        <v>0</v>
      </c>
      <c r="BJ84" s="268">
        <f t="shared" si="27"/>
        <v>0</v>
      </c>
      <c r="BL84" s="268">
        <v>27</v>
      </c>
      <c r="BW84" s="268" t="str">
        <f t="shared" si="28"/>
        <v>12</v>
      </c>
      <c r="BX84" s="268" t="s">
        <v>191</v>
      </c>
    </row>
    <row r="85" spans="1:76" s="230" customFormat="1" ht="6.75" customHeight="1" x14ac:dyDescent="0.25">
      <c r="A85" s="274">
        <f>A74</f>
        <v>1.29</v>
      </c>
      <c r="B85" s="276"/>
      <c r="C85" s="277" t="s">
        <v>90</v>
      </c>
      <c r="D85" s="541">
        <f>D74</f>
        <v>12.65</v>
      </c>
      <c r="E85" s="238" t="str">
        <f>E74</f>
        <v>základ pro kamenný sokl na kótě -1,520</v>
      </c>
      <c r="F85" s="265" t="s">
        <v>92</v>
      </c>
      <c r="G85" s="236">
        <f>A85*2*D85</f>
        <v>32.637</v>
      </c>
      <c r="H85" s="235"/>
      <c r="I85" s="235"/>
      <c r="J85" s="234"/>
      <c r="K85" s="234"/>
      <c r="L85" s="233"/>
      <c r="M85" s="233"/>
      <c r="N85" s="232"/>
      <c r="O85" s="231"/>
    </row>
    <row r="86" spans="1:76" s="230" customFormat="1" ht="6.75" customHeight="1" x14ac:dyDescent="0.25">
      <c r="A86" s="274">
        <f t="shared" ref="A86:A93" si="33">A75</f>
        <v>1.49</v>
      </c>
      <c r="B86" s="276"/>
      <c r="C86" s="277" t="s">
        <v>90</v>
      </c>
      <c r="D86" s="541">
        <f t="shared" ref="D86:E86" si="34">D75</f>
        <v>1.9</v>
      </c>
      <c r="E86" s="238" t="str">
        <f t="shared" si="34"/>
        <v>základ pro kamenný sokl na kótě -1,720</v>
      </c>
      <c r="F86" s="265" t="s">
        <v>92</v>
      </c>
      <c r="G86" s="236">
        <f t="shared" ref="G86:G93" si="35">A86*2*D86</f>
        <v>5.6619999999999999</v>
      </c>
      <c r="H86" s="235"/>
      <c r="I86" s="235"/>
      <c r="J86" s="234"/>
      <c r="K86" s="234"/>
      <c r="L86" s="233"/>
      <c r="M86" s="233"/>
      <c r="N86" s="232"/>
      <c r="O86" s="231"/>
    </row>
    <row r="87" spans="1:76" s="230" customFormat="1" ht="6.75" customHeight="1" x14ac:dyDescent="0.25">
      <c r="A87" s="274">
        <f t="shared" si="33"/>
        <v>1.69</v>
      </c>
      <c r="B87" s="276"/>
      <c r="C87" s="277" t="s">
        <v>90</v>
      </c>
      <c r="D87" s="541">
        <f t="shared" ref="D87:E87" si="36">D76</f>
        <v>1.125</v>
      </c>
      <c r="E87" s="238" t="str">
        <f t="shared" si="36"/>
        <v>základ pro kamenný sokl na kótě -1,920</v>
      </c>
      <c r="F87" s="265" t="s">
        <v>92</v>
      </c>
      <c r="G87" s="236">
        <f t="shared" si="35"/>
        <v>3.8024999999999998</v>
      </c>
      <c r="H87" s="235"/>
      <c r="I87" s="235"/>
      <c r="J87" s="234"/>
      <c r="K87" s="234"/>
      <c r="L87" s="233"/>
      <c r="M87" s="233"/>
      <c r="N87" s="232"/>
      <c r="O87" s="231"/>
    </row>
    <row r="88" spans="1:76" s="230" customFormat="1" ht="6.75" customHeight="1" x14ac:dyDescent="0.25">
      <c r="A88" s="274">
        <f t="shared" si="33"/>
        <v>1.8900000000000001</v>
      </c>
      <c r="B88" s="276"/>
      <c r="C88" s="277" t="s">
        <v>90</v>
      </c>
      <c r="D88" s="541">
        <f t="shared" ref="D88:E88" si="37">D77</f>
        <v>1.625</v>
      </c>
      <c r="E88" s="238" t="str">
        <f t="shared" si="37"/>
        <v>základ pro kamenný sokl na kótě -2,120</v>
      </c>
      <c r="F88" s="265" t="s">
        <v>92</v>
      </c>
      <c r="G88" s="236">
        <f t="shared" si="35"/>
        <v>6.1425000000000001</v>
      </c>
      <c r="H88" s="235"/>
      <c r="I88" s="235"/>
      <c r="J88" s="234"/>
      <c r="K88" s="234"/>
      <c r="L88" s="233"/>
      <c r="M88" s="233"/>
      <c r="N88" s="232"/>
      <c r="O88" s="231"/>
    </row>
    <row r="89" spans="1:76" s="230" customFormat="1" ht="6.75" customHeight="1" x14ac:dyDescent="0.25">
      <c r="A89" s="274">
        <f t="shared" si="33"/>
        <v>2.4</v>
      </c>
      <c r="B89" s="276"/>
      <c r="C89" s="277" t="s">
        <v>90</v>
      </c>
      <c r="D89" s="541">
        <f t="shared" ref="D89:E89" si="38">D78</f>
        <v>2.4</v>
      </c>
      <c r="E89" s="238" t="str">
        <f t="shared" si="38"/>
        <v>základ pro kamenný sokl na kótě -2,630</v>
      </c>
      <c r="F89" s="265" t="s">
        <v>92</v>
      </c>
      <c r="G89" s="236">
        <f t="shared" si="35"/>
        <v>11.52</v>
      </c>
      <c r="H89" s="235"/>
      <c r="I89" s="235"/>
      <c r="J89" s="234"/>
      <c r="K89" s="234"/>
      <c r="L89" s="233"/>
      <c r="M89" s="233"/>
      <c r="N89" s="232"/>
      <c r="O89" s="231"/>
    </row>
    <row r="90" spans="1:76" s="230" customFormat="1" ht="6.75" customHeight="1" x14ac:dyDescent="0.25">
      <c r="A90" s="274">
        <f t="shared" si="33"/>
        <v>2.9</v>
      </c>
      <c r="B90" s="276"/>
      <c r="C90" s="277" t="s">
        <v>90</v>
      </c>
      <c r="D90" s="541">
        <f t="shared" ref="D90:E90" si="39">D79</f>
        <v>3.75</v>
      </c>
      <c r="E90" s="238" t="str">
        <f t="shared" si="39"/>
        <v>základ pro kamenný sokl na kótě -3,130</v>
      </c>
      <c r="F90" s="265" t="s">
        <v>92</v>
      </c>
      <c r="G90" s="236">
        <f t="shared" si="35"/>
        <v>21.75</v>
      </c>
      <c r="H90" s="235"/>
      <c r="I90" s="235"/>
      <c r="J90" s="234"/>
      <c r="K90" s="234"/>
      <c r="L90" s="233"/>
      <c r="M90" s="233"/>
      <c r="N90" s="232"/>
      <c r="O90" s="231"/>
    </row>
    <row r="91" spans="1:76" s="230" customFormat="1" ht="6.75" customHeight="1" x14ac:dyDescent="0.25">
      <c r="A91" s="274">
        <f t="shared" si="33"/>
        <v>3.5</v>
      </c>
      <c r="B91" s="276"/>
      <c r="C91" s="277" t="s">
        <v>90</v>
      </c>
      <c r="D91" s="541">
        <f t="shared" ref="D91:E91" si="40">D80</f>
        <v>5.65</v>
      </c>
      <c r="E91" s="238" t="str">
        <f t="shared" si="40"/>
        <v>základ pro kamenný sokl na kótě -3,730</v>
      </c>
      <c r="F91" s="265" t="s">
        <v>92</v>
      </c>
      <c r="G91" s="236">
        <f t="shared" si="35"/>
        <v>39.550000000000004</v>
      </c>
      <c r="H91" s="235"/>
      <c r="I91" s="235"/>
      <c r="J91" s="234"/>
      <c r="K91" s="234"/>
      <c r="L91" s="233"/>
      <c r="M91" s="233"/>
      <c r="N91" s="232"/>
      <c r="O91" s="231"/>
    </row>
    <row r="92" spans="1:76" s="230" customFormat="1" ht="6.75" customHeight="1" x14ac:dyDescent="0.25">
      <c r="A92" s="274">
        <f t="shared" si="33"/>
        <v>2.33</v>
      </c>
      <c r="B92" s="276"/>
      <c r="C92" s="277" t="s">
        <v>90</v>
      </c>
      <c r="D92" s="541">
        <f t="shared" ref="D92:E92" si="41">D81</f>
        <v>2.5</v>
      </c>
      <c r="E92" s="238" t="str">
        <f t="shared" si="41"/>
        <v>základ pro opěrku roh východní část na kótě -2,430</v>
      </c>
      <c r="F92" s="265" t="s">
        <v>92</v>
      </c>
      <c r="G92" s="236">
        <f t="shared" si="35"/>
        <v>11.65</v>
      </c>
      <c r="H92" s="235"/>
      <c r="I92" s="235"/>
      <c r="J92" s="234"/>
      <c r="K92" s="234"/>
      <c r="L92" s="233"/>
      <c r="M92" s="233"/>
      <c r="N92" s="232"/>
      <c r="O92" s="231"/>
    </row>
    <row r="93" spans="1:76" s="230" customFormat="1" ht="6.75" customHeight="1" x14ac:dyDescent="0.25">
      <c r="A93" s="274">
        <f t="shared" si="33"/>
        <v>3.1</v>
      </c>
      <c r="B93" s="276"/>
      <c r="C93" s="277" t="s">
        <v>90</v>
      </c>
      <c r="D93" s="541">
        <f t="shared" ref="D93:E93" si="42">D82</f>
        <v>1.5</v>
      </c>
      <c r="E93" s="238" t="str">
        <f t="shared" si="42"/>
        <v>základ - opěrka mezi soklem a náhrobkem na kótě -3,200</v>
      </c>
      <c r="F93" s="265" t="s">
        <v>92</v>
      </c>
      <c r="G93" s="236">
        <f t="shared" si="35"/>
        <v>9.3000000000000007</v>
      </c>
      <c r="H93" s="235"/>
      <c r="I93" s="235"/>
      <c r="J93" s="234"/>
      <c r="K93" s="234"/>
      <c r="L93" s="233"/>
      <c r="M93" s="233"/>
      <c r="N93" s="232"/>
      <c r="O93" s="231"/>
    </row>
    <row r="94" spans="1:76" s="268" customFormat="1" x14ac:dyDescent="0.2">
      <c r="A94" s="251">
        <f>A84+1</f>
        <v>19</v>
      </c>
      <c r="B94" s="250" t="s">
        <v>43</v>
      </c>
      <c r="C94" s="249" t="s">
        <v>192</v>
      </c>
      <c r="D94" s="248" t="s">
        <v>193</v>
      </c>
      <c r="E94" s="248"/>
      <c r="F94" s="247" t="s">
        <v>92</v>
      </c>
      <c r="G94" s="269">
        <f>SUM(G95:G95)</f>
        <v>142.01400000000001</v>
      </c>
      <c r="H94" s="245"/>
      <c r="I94" s="244" t="s">
        <v>95</v>
      </c>
      <c r="J94" s="233">
        <f t="shared" si="3"/>
        <v>0</v>
      </c>
      <c r="K94" s="243">
        <f t="shared" si="4"/>
        <v>0</v>
      </c>
      <c r="L94" s="242">
        <f t="shared" si="5"/>
        <v>0</v>
      </c>
      <c r="M94" s="233">
        <f t="shared" si="6"/>
        <v>0</v>
      </c>
      <c r="N94" s="241">
        <v>0</v>
      </c>
      <c r="O94" s="240">
        <f t="shared" si="7"/>
        <v>0</v>
      </c>
      <c r="P94" s="213" t="s">
        <v>769</v>
      </c>
      <c r="Z94" s="268">
        <f t="shared" si="8"/>
        <v>0</v>
      </c>
      <c r="AB94" s="268">
        <f t="shared" si="9"/>
        <v>0</v>
      </c>
      <c r="AC94" s="268">
        <f t="shared" si="10"/>
        <v>0</v>
      </c>
      <c r="AD94" s="268">
        <f t="shared" si="11"/>
        <v>0</v>
      </c>
      <c r="AE94" s="268">
        <f t="shared" si="12"/>
        <v>0</v>
      </c>
      <c r="AF94" s="268">
        <f t="shared" si="13"/>
        <v>0</v>
      </c>
      <c r="AG94" s="268">
        <f t="shared" si="14"/>
        <v>0</v>
      </c>
      <c r="AH94" s="268">
        <f t="shared" si="15"/>
        <v>0</v>
      </c>
      <c r="AI94" s="268" t="s">
        <v>43</v>
      </c>
      <c r="AJ94" s="268">
        <f t="shared" si="16"/>
        <v>0</v>
      </c>
      <c r="AK94" s="268">
        <f t="shared" si="17"/>
        <v>0</v>
      </c>
      <c r="AL94" s="268">
        <f t="shared" si="18"/>
        <v>0</v>
      </c>
      <c r="AN94" s="268">
        <v>12</v>
      </c>
      <c r="AO94" s="268">
        <f>H94*0</f>
        <v>0</v>
      </c>
      <c r="AP94" s="268">
        <f>H94*(1-0)</f>
        <v>0</v>
      </c>
      <c r="AQ94" s="268" t="s">
        <v>91</v>
      </c>
      <c r="AV94" s="268">
        <f t="shared" si="19"/>
        <v>0</v>
      </c>
      <c r="AW94" s="268">
        <f t="shared" si="20"/>
        <v>0</v>
      </c>
      <c r="AX94" s="268">
        <f t="shared" si="21"/>
        <v>0</v>
      </c>
      <c r="AY94" s="268" t="s">
        <v>178</v>
      </c>
      <c r="AZ94" s="268" t="s">
        <v>179</v>
      </c>
      <c r="BA94" s="268" t="s">
        <v>85</v>
      </c>
      <c r="BC94" s="268">
        <f t="shared" si="22"/>
        <v>0</v>
      </c>
      <c r="BD94" s="268">
        <f t="shared" si="23"/>
        <v>0</v>
      </c>
      <c r="BE94" s="268">
        <v>0</v>
      </c>
      <c r="BF94" s="268">
        <f t="shared" si="24"/>
        <v>0</v>
      </c>
      <c r="BH94" s="268">
        <f t="shared" si="25"/>
        <v>0</v>
      </c>
      <c r="BI94" s="268">
        <f t="shared" si="26"/>
        <v>0</v>
      </c>
      <c r="BJ94" s="268">
        <f t="shared" si="27"/>
        <v>0</v>
      </c>
      <c r="BL94" s="268">
        <v>27</v>
      </c>
      <c r="BW94" s="268" t="str">
        <f t="shared" si="28"/>
        <v>12</v>
      </c>
      <c r="BX94" s="268" t="s">
        <v>193</v>
      </c>
    </row>
    <row r="95" spans="1:76" s="230" customFormat="1" ht="6.75" customHeight="1" x14ac:dyDescent="0.25">
      <c r="A95" s="274"/>
      <c r="B95" s="276"/>
      <c r="C95" s="277" t="s">
        <v>90</v>
      </c>
      <c r="D95" s="541"/>
      <c r="E95" s="238" t="str">
        <f>D84</f>
        <v>Bednění stěn základových pasů - zřízení</v>
      </c>
      <c r="F95" s="265" t="s">
        <v>92</v>
      </c>
      <c r="G95" s="236">
        <f>G84</f>
        <v>142.01400000000001</v>
      </c>
      <c r="H95" s="235"/>
      <c r="I95" s="235"/>
      <c r="J95" s="234"/>
      <c r="K95" s="234"/>
      <c r="L95" s="233"/>
      <c r="M95" s="233"/>
      <c r="N95" s="232"/>
      <c r="O95" s="231"/>
    </row>
    <row r="96" spans="1:76" s="268" customFormat="1" x14ac:dyDescent="0.2">
      <c r="A96" s="251">
        <f>A94+1</f>
        <v>20</v>
      </c>
      <c r="B96" s="250" t="s">
        <v>43</v>
      </c>
      <c r="C96" s="249" t="s">
        <v>981</v>
      </c>
      <c r="D96" s="248" t="s">
        <v>982</v>
      </c>
      <c r="E96" s="248"/>
      <c r="F96" s="247" t="s">
        <v>272</v>
      </c>
      <c r="G96" s="269">
        <f>G97</f>
        <v>34.650000000000006</v>
      </c>
      <c r="H96" s="245"/>
      <c r="I96" s="244" t="s">
        <v>95</v>
      </c>
      <c r="J96" s="233">
        <f>G96*AO96</f>
        <v>0</v>
      </c>
      <c r="K96" s="243">
        <f>G96*AP96</f>
        <v>0</v>
      </c>
      <c r="L96" s="242">
        <f>G96*H96</f>
        <v>0</v>
      </c>
      <c r="M96" s="233">
        <f>L96*(1+BW96/100)</f>
        <v>0</v>
      </c>
      <c r="N96" s="281">
        <v>9.8999999999999999E-4</v>
      </c>
      <c r="O96" s="240">
        <f>G96*N96</f>
        <v>3.4303500000000008E-2</v>
      </c>
      <c r="P96" s="213" t="s">
        <v>769</v>
      </c>
      <c r="Z96" s="268">
        <f>IF(AQ96="5",BJ96,0)</f>
        <v>0</v>
      </c>
      <c r="AB96" s="268">
        <f>IF(AQ96="1",BH96,0)</f>
        <v>0</v>
      </c>
      <c r="AC96" s="268">
        <f>IF(AQ96="1",BI96,0)</f>
        <v>0</v>
      </c>
      <c r="AD96" s="268">
        <f>IF(AQ96="7",BH96,0)</f>
        <v>0</v>
      </c>
      <c r="AE96" s="268">
        <f>IF(AQ96="7",BI96,0)</f>
        <v>0</v>
      </c>
      <c r="AF96" s="268">
        <f>IF(AQ96="2",BH96,0)</f>
        <v>0</v>
      </c>
      <c r="AG96" s="268">
        <f>IF(AQ96="2",BI96,0)</f>
        <v>0</v>
      </c>
      <c r="AH96" s="268">
        <f>IF(AQ96="0",BJ96,0)</f>
        <v>0</v>
      </c>
      <c r="AI96" s="268" t="s">
        <v>43</v>
      </c>
      <c r="AJ96" s="268">
        <f>IF(AN96=0,L96,0)</f>
        <v>0</v>
      </c>
      <c r="AK96" s="268">
        <f>IF(AN96=12,L96,0)</f>
        <v>0</v>
      </c>
      <c r="AL96" s="268">
        <f>IF(AN96=21,L96,0)</f>
        <v>0</v>
      </c>
      <c r="AN96" s="268">
        <v>12</v>
      </c>
      <c r="AO96" s="268">
        <f>H96*0.11378998</f>
        <v>0</v>
      </c>
      <c r="AP96" s="268">
        <f>H96*(1-0.11378998)</f>
        <v>0</v>
      </c>
      <c r="AQ96" s="268" t="s">
        <v>91</v>
      </c>
      <c r="AV96" s="268">
        <f>AW96+AX96</f>
        <v>0</v>
      </c>
      <c r="AW96" s="268">
        <f>G96*AO96</f>
        <v>0</v>
      </c>
      <c r="AX96" s="268">
        <f>G96*AP96</f>
        <v>0</v>
      </c>
      <c r="AY96" s="268" t="s">
        <v>794</v>
      </c>
      <c r="AZ96" s="268" t="s">
        <v>260</v>
      </c>
      <c r="BA96" s="268" t="s">
        <v>85</v>
      </c>
      <c r="BC96" s="268">
        <f>AW96+AX96</f>
        <v>0</v>
      </c>
      <c r="BD96" s="268">
        <f>H96/(100-BE96)*100</f>
        <v>0</v>
      </c>
      <c r="BE96" s="268">
        <v>0</v>
      </c>
      <c r="BF96" s="268">
        <f>O96</f>
        <v>3.4303500000000008E-2</v>
      </c>
      <c r="BH96" s="268">
        <f>G96*AO96</f>
        <v>0</v>
      </c>
      <c r="BI96" s="268">
        <f>G96*AP96</f>
        <v>0</v>
      </c>
      <c r="BJ96" s="268">
        <f>G96*H96</f>
        <v>0</v>
      </c>
      <c r="BL96" s="268">
        <v>64</v>
      </c>
      <c r="BW96" s="268" t="str">
        <f>I96</f>
        <v>12</v>
      </c>
      <c r="BX96" s="268" t="s">
        <v>793</v>
      </c>
    </row>
    <row r="97" spans="1:76" s="230" customFormat="1" ht="6.75" customHeight="1" x14ac:dyDescent="0.25">
      <c r="A97" s="274">
        <v>1.1000000000000001</v>
      </c>
      <c r="B97" s="276"/>
      <c r="C97" s="267">
        <f>C70</f>
        <v>5.25</v>
      </c>
      <c r="D97" s="274">
        <f>D70</f>
        <v>10.5</v>
      </c>
      <c r="E97" s="238" t="s">
        <v>983</v>
      </c>
      <c r="F97" s="237" t="s">
        <v>272</v>
      </c>
      <c r="G97" s="236">
        <f>2*(D97+C97)*A97</f>
        <v>34.650000000000006</v>
      </c>
      <c r="H97" s="235"/>
      <c r="I97" s="235"/>
      <c r="J97" s="234"/>
      <c r="K97" s="234"/>
      <c r="L97" s="233"/>
      <c r="M97" s="233"/>
      <c r="N97" s="232"/>
      <c r="O97" s="231"/>
    </row>
    <row r="98" spans="1:76" s="268" customFormat="1" x14ac:dyDescent="0.2">
      <c r="A98" s="251">
        <f>A96+1</f>
        <v>21</v>
      </c>
      <c r="B98" s="250"/>
      <c r="C98" s="249" t="s">
        <v>984</v>
      </c>
      <c r="D98" s="248" t="s">
        <v>985</v>
      </c>
      <c r="E98" s="248"/>
      <c r="F98" s="247" t="s">
        <v>272</v>
      </c>
      <c r="G98" s="269">
        <f>G99</f>
        <v>6.16</v>
      </c>
      <c r="H98" s="245"/>
      <c r="I98" s="244" t="s">
        <v>95</v>
      </c>
      <c r="J98" s="233">
        <f>G98*AO98</f>
        <v>0</v>
      </c>
      <c r="K98" s="243">
        <f>G98*AP98</f>
        <v>0</v>
      </c>
      <c r="L98" s="242">
        <f>G98*H98</f>
        <v>0</v>
      </c>
      <c r="M98" s="233">
        <f>L98*(1+BW98/100)</f>
        <v>0</v>
      </c>
      <c r="N98" s="281">
        <v>1.0499999999999999E-3</v>
      </c>
      <c r="O98" s="240">
        <f>G98*N98</f>
        <v>6.4679999999999998E-3</v>
      </c>
      <c r="P98" s="213" t="s">
        <v>769</v>
      </c>
      <c r="Z98" s="268">
        <f>IF(AQ98="5",BJ98,0)</f>
        <v>0</v>
      </c>
      <c r="AB98" s="268">
        <f>IF(AQ98="1",BH98,0)</f>
        <v>0</v>
      </c>
      <c r="AC98" s="268">
        <f>IF(AQ98="1",BI98,0)</f>
        <v>0</v>
      </c>
      <c r="AD98" s="268">
        <f>IF(AQ98="7",BH98,0)</f>
        <v>0</v>
      </c>
      <c r="AE98" s="268">
        <f>IF(AQ98="7",BI98,0)</f>
        <v>0</v>
      </c>
      <c r="AF98" s="268">
        <f>IF(AQ98="2",BH98,0)</f>
        <v>0</v>
      </c>
      <c r="AG98" s="268">
        <f>IF(AQ98="2",BI98,0)</f>
        <v>0</v>
      </c>
      <c r="AH98" s="268">
        <f>IF(AQ98="0",BJ98,0)</f>
        <v>0</v>
      </c>
      <c r="AI98" s="268" t="s">
        <v>43</v>
      </c>
      <c r="AJ98" s="268">
        <f>IF(AN98=0,L98,0)</f>
        <v>0</v>
      </c>
      <c r="AK98" s="268">
        <f>IF(AN98=12,L98,0)</f>
        <v>0</v>
      </c>
      <c r="AL98" s="268">
        <f>IF(AN98=21,L98,0)</f>
        <v>0</v>
      </c>
      <c r="AN98" s="268">
        <v>12</v>
      </c>
      <c r="AO98" s="268">
        <f>H98*0.11378998</f>
        <v>0</v>
      </c>
      <c r="AP98" s="268">
        <f>H98*(1-0.11378998)</f>
        <v>0</v>
      </c>
      <c r="AQ98" s="268" t="s">
        <v>91</v>
      </c>
      <c r="AV98" s="268">
        <f>AW98+AX98</f>
        <v>0</v>
      </c>
      <c r="AW98" s="268">
        <f>G98*AO98</f>
        <v>0</v>
      </c>
      <c r="AX98" s="268">
        <f>G98*AP98</f>
        <v>0</v>
      </c>
      <c r="AY98" s="268" t="s">
        <v>794</v>
      </c>
      <c r="AZ98" s="268" t="s">
        <v>260</v>
      </c>
      <c r="BA98" s="268" t="s">
        <v>85</v>
      </c>
      <c r="BC98" s="268">
        <f>AW98+AX98</f>
        <v>0</v>
      </c>
      <c r="BD98" s="268">
        <f>H98/(100-BE98)*100</f>
        <v>0</v>
      </c>
      <c r="BE98" s="268">
        <v>0</v>
      </c>
      <c r="BF98" s="268">
        <f>O98</f>
        <v>6.4679999999999998E-3</v>
      </c>
      <c r="BH98" s="268">
        <f>G98*AO98</f>
        <v>0</v>
      </c>
      <c r="BI98" s="268">
        <f>G98*AP98</f>
        <v>0</v>
      </c>
      <c r="BJ98" s="268">
        <f>G98*H98</f>
        <v>0</v>
      </c>
      <c r="BL98" s="268">
        <v>64</v>
      </c>
      <c r="BW98" s="268" t="str">
        <f>I98</f>
        <v>12</v>
      </c>
      <c r="BX98" s="268" t="s">
        <v>793</v>
      </c>
    </row>
    <row r="99" spans="1:76" s="230" customFormat="1" ht="6.75" customHeight="1" x14ac:dyDescent="0.25">
      <c r="A99" s="266">
        <v>1.1000000000000001</v>
      </c>
      <c r="B99" s="239"/>
      <c r="C99" s="267">
        <v>1.4</v>
      </c>
      <c r="D99" s="266">
        <v>4</v>
      </c>
      <c r="E99" s="238" t="s">
        <v>986</v>
      </c>
      <c r="F99" s="237" t="s">
        <v>272</v>
      </c>
      <c r="G99" s="236">
        <f>(D99*C99)*A99</f>
        <v>6.16</v>
      </c>
      <c r="H99" s="235"/>
      <c r="I99" s="234"/>
      <c r="J99" s="234"/>
      <c r="K99" s="233"/>
      <c r="L99" s="232"/>
      <c r="M99" s="231"/>
    </row>
    <row r="100" spans="1:76" x14ac:dyDescent="0.25">
      <c r="A100" s="264" t="s">
        <v>43</v>
      </c>
      <c r="B100" s="263" t="s">
        <v>43</v>
      </c>
      <c r="C100" s="262"/>
      <c r="D100" s="261" t="str">
        <f>'1-Rekapitulace'!B16</f>
        <v>32 : zdi přehradní a opěrné</v>
      </c>
      <c r="E100" s="261"/>
      <c r="F100" s="260" t="s">
        <v>49</v>
      </c>
      <c r="G100" s="259" t="s">
        <v>49</v>
      </c>
      <c r="H100" s="258"/>
      <c r="I100" s="257" t="s">
        <v>49</v>
      </c>
      <c r="J100" s="256">
        <f>SUM(J101:J101)</f>
        <v>0</v>
      </c>
      <c r="K100" s="256">
        <f>SUM(K101:K101)</f>
        <v>0</v>
      </c>
      <c r="L100" s="255">
        <f>SUM(L101:L114)</f>
        <v>0</v>
      </c>
      <c r="M100" s="254"/>
      <c r="N100" s="253"/>
      <c r="O100" s="252">
        <f>SUM(O101:O114)</f>
        <v>25.486102617499999</v>
      </c>
      <c r="P100" s="213" t="s">
        <v>43</v>
      </c>
      <c r="AI100" s="212" t="s">
        <v>43</v>
      </c>
      <c r="AS100" s="212">
        <f>SUM(AJ101:AJ101)</f>
        <v>0</v>
      </c>
      <c r="AT100" s="212">
        <f>SUM(AK101:AK101)</f>
        <v>0</v>
      </c>
      <c r="AU100" s="212">
        <f>SUM(AL101:AL101)</f>
        <v>0</v>
      </c>
    </row>
    <row r="101" spans="1:76" s="268" customFormat="1" x14ac:dyDescent="0.2">
      <c r="A101" s="251">
        <f>A98+1</f>
        <v>22</v>
      </c>
      <c r="B101" s="250" t="s">
        <v>43</v>
      </c>
      <c r="C101" s="249" t="s">
        <v>226</v>
      </c>
      <c r="D101" s="248" t="s">
        <v>227</v>
      </c>
      <c r="E101" s="248"/>
      <c r="F101" s="247" t="s">
        <v>94</v>
      </c>
      <c r="G101" s="269">
        <f>SUM(G102:G107)</f>
        <v>8.6054062499999997</v>
      </c>
      <c r="H101" s="245"/>
      <c r="I101" s="244" t="s">
        <v>95</v>
      </c>
      <c r="J101" s="233">
        <f>G101*AO101</f>
        <v>0</v>
      </c>
      <c r="K101" s="243">
        <f>G101*AP101</f>
        <v>0</v>
      </c>
      <c r="L101" s="242">
        <f>G101*H101</f>
        <v>0</v>
      </c>
      <c r="M101" s="233">
        <f>L101*(1+BW101/100)</f>
        <v>0</v>
      </c>
      <c r="N101" s="241">
        <v>2.8831199999999999</v>
      </c>
      <c r="O101" s="240">
        <f>G101*N101</f>
        <v>24.810418867499997</v>
      </c>
      <c r="P101" s="213" t="s">
        <v>769</v>
      </c>
      <c r="Z101" s="268">
        <f>IF(AQ101="5",BJ101,0)</f>
        <v>0</v>
      </c>
      <c r="AB101" s="268">
        <f>IF(AQ101="1",BH101,0)</f>
        <v>0</v>
      </c>
      <c r="AC101" s="268">
        <f>IF(AQ101="1",BI101,0)</f>
        <v>0</v>
      </c>
      <c r="AD101" s="268">
        <f>IF(AQ101="7",BH101,0)</f>
        <v>0</v>
      </c>
      <c r="AE101" s="268">
        <f>IF(AQ101="7",BI101,0)</f>
        <v>0</v>
      </c>
      <c r="AF101" s="268">
        <f>IF(AQ101="2",BH101,0)</f>
        <v>0</v>
      </c>
      <c r="AG101" s="268">
        <f>IF(AQ101="2",BI101,0)</f>
        <v>0</v>
      </c>
      <c r="AH101" s="268">
        <f>IF(AQ101="0",BJ101,0)</f>
        <v>0</v>
      </c>
      <c r="AI101" s="268" t="s">
        <v>43</v>
      </c>
      <c r="AJ101" s="268">
        <f>IF(AN101=0,L101,0)</f>
        <v>0</v>
      </c>
      <c r="AK101" s="268">
        <f>IF(AN101=12,L101,0)</f>
        <v>0</v>
      </c>
      <c r="AL101" s="268">
        <f>IF(AN101=21,L101,0)</f>
        <v>0</v>
      </c>
      <c r="AN101" s="268">
        <v>12</v>
      </c>
      <c r="AO101" s="268">
        <f>H101*0.167081202</f>
        <v>0</v>
      </c>
      <c r="AP101" s="268">
        <f>H101*(1-0.167081202)</f>
        <v>0</v>
      </c>
      <c r="AQ101" s="268" t="s">
        <v>91</v>
      </c>
      <c r="AV101" s="268">
        <f>AW101+AX101</f>
        <v>0</v>
      </c>
      <c r="AW101" s="268">
        <f>G101*AO101</f>
        <v>0</v>
      </c>
      <c r="AX101" s="268">
        <f>G101*AP101</f>
        <v>0</v>
      </c>
      <c r="AY101" s="268" t="s">
        <v>228</v>
      </c>
      <c r="AZ101" s="268" t="s">
        <v>229</v>
      </c>
      <c r="BA101" s="268" t="s">
        <v>85</v>
      </c>
      <c r="BC101" s="268">
        <f>AW101+AX101</f>
        <v>0</v>
      </c>
      <c r="BD101" s="268">
        <f>H101/(100-BE101)*100</f>
        <v>0</v>
      </c>
      <c r="BE101" s="268">
        <v>0</v>
      </c>
      <c r="BF101" s="268">
        <f>O101</f>
        <v>24.810418867499997</v>
      </c>
      <c r="BH101" s="268">
        <f>G101*AO101</f>
        <v>0</v>
      </c>
      <c r="BI101" s="268">
        <f>G101*AP101</f>
        <v>0</v>
      </c>
      <c r="BJ101" s="268">
        <f>G101*H101</f>
        <v>0</v>
      </c>
      <c r="BL101" s="268">
        <v>32</v>
      </c>
      <c r="BW101" s="268" t="str">
        <f>I101</f>
        <v>12</v>
      </c>
      <c r="BX101" s="268" t="s">
        <v>227</v>
      </c>
    </row>
    <row r="102" spans="1:76" s="230" customFormat="1" ht="6.75" customHeight="1" x14ac:dyDescent="0.25">
      <c r="A102" s="361">
        <v>0.27</v>
      </c>
      <c r="B102" s="276"/>
      <c r="C102" s="275">
        <v>0.45</v>
      </c>
      <c r="D102" s="541">
        <v>10.5</v>
      </c>
      <c r="E102" s="238" t="s">
        <v>167</v>
      </c>
      <c r="F102" s="265" t="s">
        <v>94</v>
      </c>
      <c r="G102" s="236">
        <f t="shared" ref="G102:G107" si="43">A102*C102*D102</f>
        <v>1.2757500000000002</v>
      </c>
      <c r="H102" s="235"/>
      <c r="I102" s="235"/>
      <c r="J102" s="234"/>
      <c r="K102" s="234"/>
      <c r="L102" s="233"/>
      <c r="M102" s="233"/>
      <c r="N102" s="232"/>
      <c r="O102" s="231"/>
    </row>
    <row r="103" spans="1:76" s="230" customFormat="1" ht="6.75" customHeight="1" x14ac:dyDescent="0.25">
      <c r="A103" s="361">
        <v>0.27</v>
      </c>
      <c r="B103" s="276"/>
      <c r="C103" s="275">
        <v>0.45</v>
      </c>
      <c r="D103" s="541">
        <v>5.25</v>
      </c>
      <c r="E103" s="238" t="s">
        <v>164</v>
      </c>
      <c r="F103" s="265" t="s">
        <v>94</v>
      </c>
      <c r="G103" s="236">
        <f t="shared" si="43"/>
        <v>0.63787500000000008</v>
      </c>
      <c r="H103" s="235"/>
      <c r="I103" s="235"/>
      <c r="J103" s="234"/>
      <c r="K103" s="234"/>
      <c r="L103" s="233"/>
      <c r="M103" s="233"/>
      <c r="N103" s="232"/>
      <c r="O103" s="231"/>
    </row>
    <row r="104" spans="1:76" s="230" customFormat="1" ht="6.75" customHeight="1" x14ac:dyDescent="0.25">
      <c r="A104" s="361">
        <v>0.27</v>
      </c>
      <c r="B104" s="276"/>
      <c r="C104" s="275">
        <f>(1.75+0.45)/2</f>
        <v>1.1000000000000001</v>
      </c>
      <c r="D104" s="541">
        <f>D102</f>
        <v>10.5</v>
      </c>
      <c r="E104" s="238" t="s">
        <v>166</v>
      </c>
      <c r="F104" s="265" t="s">
        <v>94</v>
      </c>
      <c r="G104" s="236">
        <f t="shared" ref="G104:G105" si="44">A104*C104*D104</f>
        <v>3.1185000000000005</v>
      </c>
      <c r="H104" s="235"/>
      <c r="I104" s="235"/>
      <c r="J104" s="234"/>
      <c r="K104" s="234"/>
      <c r="L104" s="233"/>
      <c r="M104" s="233"/>
      <c r="N104" s="232"/>
      <c r="O104" s="231"/>
    </row>
    <row r="105" spans="1:76" s="230" customFormat="1" ht="6.75" customHeight="1" x14ac:dyDescent="0.25">
      <c r="A105" s="361">
        <v>0.27</v>
      </c>
      <c r="B105" s="276"/>
      <c r="C105" s="275">
        <f>(2.425+1.25)/2</f>
        <v>1.8374999999999999</v>
      </c>
      <c r="D105" s="541">
        <f>D103</f>
        <v>5.25</v>
      </c>
      <c r="E105" s="238" t="s">
        <v>165</v>
      </c>
      <c r="F105" s="265" t="s">
        <v>94</v>
      </c>
      <c r="G105" s="236">
        <f t="shared" si="44"/>
        <v>2.6046562500000001</v>
      </c>
      <c r="H105" s="235"/>
      <c r="I105" s="235"/>
      <c r="J105" s="234"/>
      <c r="K105" s="234"/>
      <c r="L105" s="233"/>
      <c r="M105" s="233"/>
      <c r="N105" s="232"/>
      <c r="O105" s="231"/>
    </row>
    <row r="106" spans="1:76" s="230" customFormat="1" ht="6.75" customHeight="1" x14ac:dyDescent="0.25">
      <c r="A106" s="361">
        <v>0.27</v>
      </c>
      <c r="B106" s="276"/>
      <c r="C106" s="275">
        <f>(1.25)/2</f>
        <v>0.625</v>
      </c>
      <c r="D106" s="541">
        <v>2.5</v>
      </c>
      <c r="E106" s="238" t="s">
        <v>261</v>
      </c>
      <c r="F106" s="265" t="s">
        <v>94</v>
      </c>
      <c r="G106" s="236">
        <f t="shared" si="43"/>
        <v>0.421875</v>
      </c>
      <c r="H106" s="235"/>
      <c r="I106" s="235"/>
      <c r="J106" s="234"/>
      <c r="K106" s="234"/>
      <c r="L106" s="233"/>
      <c r="M106" s="233"/>
      <c r="N106" s="232"/>
      <c r="O106" s="231"/>
    </row>
    <row r="107" spans="1:76" s="230" customFormat="1" ht="6.75" customHeight="1" x14ac:dyDescent="0.25">
      <c r="A107" s="361">
        <v>0.27</v>
      </c>
      <c r="B107" s="276"/>
      <c r="C107" s="275">
        <v>1.35</v>
      </c>
      <c r="D107" s="541">
        <v>1.5</v>
      </c>
      <c r="E107" s="238" t="s">
        <v>262</v>
      </c>
      <c r="F107" s="265" t="s">
        <v>94</v>
      </c>
      <c r="G107" s="236">
        <f t="shared" si="43"/>
        <v>0.54675000000000007</v>
      </c>
      <c r="H107" s="235"/>
      <c r="I107" s="235"/>
      <c r="J107" s="234"/>
      <c r="K107" s="234"/>
      <c r="L107" s="233"/>
      <c r="M107" s="233"/>
      <c r="N107" s="232"/>
      <c r="O107" s="231"/>
    </row>
    <row r="108" spans="1:76" s="268" customFormat="1" x14ac:dyDescent="0.2">
      <c r="A108" s="251">
        <f>A101+1</f>
        <v>23</v>
      </c>
      <c r="B108" s="250" t="s">
        <v>43</v>
      </c>
      <c r="C108" s="249" t="s">
        <v>257</v>
      </c>
      <c r="D108" s="248" t="s">
        <v>258</v>
      </c>
      <c r="E108" s="248"/>
      <c r="F108" s="247" t="s">
        <v>92</v>
      </c>
      <c r="G108" s="269">
        <f>SUM(G109:G114)</f>
        <v>31.871875000000003</v>
      </c>
      <c r="H108" s="245"/>
      <c r="I108" s="244" t="s">
        <v>95</v>
      </c>
      <c r="J108" s="233">
        <f>G108*AO108</f>
        <v>0</v>
      </c>
      <c r="K108" s="243">
        <f>G108*AP108</f>
        <v>0</v>
      </c>
      <c r="L108" s="242">
        <f>G108*H108</f>
        <v>0</v>
      </c>
      <c r="M108" s="233">
        <f>L108*(1+BW108/100)</f>
        <v>0</v>
      </c>
      <c r="N108" s="241">
        <v>2.12E-2</v>
      </c>
      <c r="O108" s="240">
        <f>G108*N108</f>
        <v>0.67568375000000003</v>
      </c>
      <c r="P108" s="213" t="s">
        <v>769</v>
      </c>
      <c r="Z108" s="268">
        <f>IF(AQ108="5",BJ108,0)</f>
        <v>0</v>
      </c>
      <c r="AB108" s="268">
        <f>IF(AQ108="1",BH108,0)</f>
        <v>0</v>
      </c>
      <c r="AC108" s="268">
        <f>IF(AQ108="1",BI108,0)</f>
        <v>0</v>
      </c>
      <c r="AD108" s="268">
        <f>IF(AQ108="7",BH108,0)</f>
        <v>0</v>
      </c>
      <c r="AE108" s="268">
        <f>IF(AQ108="7",BI108,0)</f>
        <v>0</v>
      </c>
      <c r="AF108" s="268">
        <f>IF(AQ108="2",BH108,0)</f>
        <v>0</v>
      </c>
      <c r="AG108" s="268">
        <f>IF(AQ108="2",BI108,0)</f>
        <v>0</v>
      </c>
      <c r="AH108" s="268">
        <f>IF(AQ108="0",BJ108,0)</f>
        <v>0</v>
      </c>
      <c r="AI108" s="268" t="s">
        <v>43</v>
      </c>
      <c r="AJ108" s="268">
        <f>IF(AN108=0,L108,0)</f>
        <v>0</v>
      </c>
      <c r="AK108" s="268">
        <f>IF(AN108=12,L108,0)</f>
        <v>0</v>
      </c>
      <c r="AL108" s="268">
        <f>IF(AN108=21,L108,0)</f>
        <v>0</v>
      </c>
      <c r="AN108" s="268">
        <v>12</v>
      </c>
      <c r="AO108" s="268">
        <f>H108*0.034914784</f>
        <v>0</v>
      </c>
      <c r="AP108" s="268">
        <f>H108*(1-0.034914784)</f>
        <v>0</v>
      </c>
      <c r="AQ108" s="268" t="s">
        <v>91</v>
      </c>
      <c r="AV108" s="268">
        <f>AW108+AX108</f>
        <v>0</v>
      </c>
      <c r="AW108" s="268">
        <f>G108*AO108</f>
        <v>0</v>
      </c>
      <c r="AX108" s="268">
        <f>G108*AP108</f>
        <v>0</v>
      </c>
      <c r="AY108" s="268" t="s">
        <v>259</v>
      </c>
      <c r="AZ108" s="268" t="s">
        <v>260</v>
      </c>
      <c r="BA108" s="268" t="s">
        <v>85</v>
      </c>
      <c r="BC108" s="268">
        <f>AW108+AX108</f>
        <v>0</v>
      </c>
      <c r="BD108" s="268">
        <f>H108/(100-BE108)*100</f>
        <v>0</v>
      </c>
      <c r="BE108" s="268">
        <v>0</v>
      </c>
      <c r="BF108" s="268">
        <f>O108</f>
        <v>0.67568375000000003</v>
      </c>
      <c r="BH108" s="268">
        <f>G108*AO108</f>
        <v>0</v>
      </c>
      <c r="BI108" s="268">
        <f>G108*AP108</f>
        <v>0</v>
      </c>
      <c r="BJ108" s="268">
        <f>G108*H108</f>
        <v>0</v>
      </c>
      <c r="BL108" s="268">
        <v>62</v>
      </c>
      <c r="BW108" s="268" t="str">
        <f>I108</f>
        <v>12</v>
      </c>
      <c r="BX108" s="268" t="s">
        <v>258</v>
      </c>
    </row>
    <row r="109" spans="1:76" s="230" customFormat="1" ht="6.75" customHeight="1" x14ac:dyDescent="0.25">
      <c r="A109" s="274"/>
      <c r="B109" s="276"/>
      <c r="C109" s="277" t="s">
        <v>90</v>
      </c>
      <c r="D109" s="541">
        <f t="shared" ref="D109:D114" si="45">D102*C102</f>
        <v>4.7250000000000005</v>
      </c>
      <c r="E109" s="238" t="str">
        <f t="shared" ref="E109:E114" si="46">E102</f>
        <v>kamenný sokl (rozebráno pro zpětné použití) východní část</v>
      </c>
      <c r="F109" s="265" t="s">
        <v>92</v>
      </c>
      <c r="G109" s="236">
        <f>D109</f>
        <v>4.7250000000000005</v>
      </c>
      <c r="H109" s="235"/>
      <c r="I109" s="235"/>
      <c r="J109" s="234"/>
      <c r="K109" s="234"/>
      <c r="L109" s="233"/>
      <c r="M109" s="233"/>
      <c r="N109" s="232"/>
      <c r="O109" s="231"/>
    </row>
    <row r="110" spans="1:76" s="230" customFormat="1" ht="6.75" customHeight="1" x14ac:dyDescent="0.25">
      <c r="A110" s="274"/>
      <c r="B110" s="276"/>
      <c r="C110" s="277" t="s">
        <v>90</v>
      </c>
      <c r="D110" s="541">
        <f t="shared" si="45"/>
        <v>2.3625000000000003</v>
      </c>
      <c r="E110" s="238" t="str">
        <f t="shared" si="46"/>
        <v>kamenný sokl (rozebráno pro zpětné použití) jižní část</v>
      </c>
      <c r="F110" s="265" t="s">
        <v>92</v>
      </c>
      <c r="G110" s="236">
        <f t="shared" ref="G110:G114" si="47">D110</f>
        <v>2.3625000000000003</v>
      </c>
      <c r="H110" s="235"/>
      <c r="I110" s="235"/>
      <c r="J110" s="234"/>
      <c r="K110" s="234"/>
      <c r="L110" s="233"/>
      <c r="M110" s="233"/>
      <c r="N110" s="232"/>
      <c r="O110" s="231"/>
    </row>
    <row r="111" spans="1:76" s="230" customFormat="1" ht="6.75" customHeight="1" x14ac:dyDescent="0.25">
      <c r="A111" s="274"/>
      <c r="B111" s="276"/>
      <c r="C111" s="277" t="s">
        <v>90</v>
      </c>
      <c r="D111" s="541">
        <f t="shared" si="45"/>
        <v>11.55</v>
      </c>
      <c r="E111" s="238" t="str">
        <f t="shared" si="46"/>
        <v>kamenný sokl (rozebráno pro zpětné použití) severní část</v>
      </c>
      <c r="F111" s="265" t="s">
        <v>92</v>
      </c>
      <c r="G111" s="236">
        <f t="shared" si="47"/>
        <v>11.55</v>
      </c>
      <c r="H111" s="235"/>
      <c r="I111" s="235"/>
      <c r="J111" s="234"/>
      <c r="K111" s="234"/>
      <c r="L111" s="233"/>
      <c r="M111" s="233"/>
      <c r="N111" s="232"/>
      <c r="O111" s="231"/>
    </row>
    <row r="112" spans="1:76" s="230" customFormat="1" ht="6.75" customHeight="1" x14ac:dyDescent="0.25">
      <c r="A112" s="274"/>
      <c r="B112" s="276"/>
      <c r="C112" s="277" t="s">
        <v>90</v>
      </c>
      <c r="D112" s="541">
        <f t="shared" si="45"/>
        <v>9.6468749999999996</v>
      </c>
      <c r="E112" s="238" t="str">
        <f t="shared" si="46"/>
        <v>kamenný sokl (rozebráno pro zpětné použití) západní část</v>
      </c>
      <c r="F112" s="265" t="s">
        <v>92</v>
      </c>
      <c r="G112" s="236">
        <f t="shared" si="47"/>
        <v>9.6468749999999996</v>
      </c>
      <c r="H112" s="235"/>
      <c r="I112" s="235"/>
      <c r="J112" s="234"/>
      <c r="K112" s="234"/>
      <c r="L112" s="233"/>
      <c r="M112" s="233"/>
      <c r="N112" s="232"/>
      <c r="O112" s="231"/>
    </row>
    <row r="113" spans="1:76" s="230" customFormat="1" ht="6.75" customHeight="1" x14ac:dyDescent="0.25">
      <c r="A113" s="274"/>
      <c r="B113" s="276"/>
      <c r="C113" s="277" t="s">
        <v>90</v>
      </c>
      <c r="D113" s="541">
        <f t="shared" si="45"/>
        <v>1.5625</v>
      </c>
      <c r="E113" s="238" t="str">
        <f t="shared" si="46"/>
        <v>kamenný stupeň a opěrka východní část</v>
      </c>
      <c r="F113" s="265" t="s">
        <v>92</v>
      </c>
      <c r="G113" s="236">
        <f t="shared" si="47"/>
        <v>1.5625</v>
      </c>
      <c r="H113" s="235"/>
      <c r="I113" s="235"/>
      <c r="J113" s="234"/>
      <c r="K113" s="234"/>
      <c r="L113" s="233"/>
      <c r="M113" s="233"/>
      <c r="N113" s="232"/>
      <c r="O113" s="231"/>
    </row>
    <row r="114" spans="1:76" s="230" customFormat="1" ht="6.75" customHeight="1" x14ac:dyDescent="0.25">
      <c r="A114" s="274"/>
      <c r="B114" s="276"/>
      <c r="C114" s="277" t="s">
        <v>90</v>
      </c>
      <c r="D114" s="541">
        <f t="shared" si="45"/>
        <v>2.0250000000000004</v>
      </c>
      <c r="E114" s="238" t="str">
        <f t="shared" si="46"/>
        <v>kamenná opěrka mezi soklem a náhrobkem severní část</v>
      </c>
      <c r="F114" s="265" t="s">
        <v>92</v>
      </c>
      <c r="G114" s="236">
        <f t="shared" si="47"/>
        <v>2.0250000000000004</v>
      </c>
      <c r="H114" s="235"/>
      <c r="I114" s="235"/>
      <c r="J114" s="234"/>
      <c r="K114" s="234"/>
      <c r="L114" s="233"/>
      <c r="M114" s="233"/>
      <c r="N114" s="232"/>
      <c r="O114" s="231"/>
    </row>
    <row r="115" spans="1:76" x14ac:dyDescent="0.25">
      <c r="A115" s="264" t="s">
        <v>43</v>
      </c>
      <c r="B115" s="263" t="s">
        <v>43</v>
      </c>
      <c r="C115" s="262"/>
      <c r="D115" s="261" t="str">
        <f>'1-Rekapitulace'!B18</f>
        <v>63 : podlahy a podlahové konstrukce</v>
      </c>
      <c r="E115" s="261"/>
      <c r="F115" s="260" t="s">
        <v>49</v>
      </c>
      <c r="G115" s="259" t="s">
        <v>49</v>
      </c>
      <c r="H115" s="258"/>
      <c r="I115" s="257" t="s">
        <v>49</v>
      </c>
      <c r="J115" s="256">
        <f>SUM(J116:J122)</f>
        <v>0</v>
      </c>
      <c r="K115" s="256">
        <f>SUM(K116:K122)</f>
        <v>0</v>
      </c>
      <c r="L115" s="255">
        <f>SUM(L116:L122)</f>
        <v>0</v>
      </c>
      <c r="M115" s="254">
        <f>SUM(M116:M122)</f>
        <v>0</v>
      </c>
      <c r="N115" s="253" t="s">
        <v>43</v>
      </c>
      <c r="O115" s="252">
        <f>SUM(O116:O122)</f>
        <v>11.25176955735</v>
      </c>
      <c r="P115" s="213" t="s">
        <v>43</v>
      </c>
      <c r="AI115" s="212" t="s">
        <v>43</v>
      </c>
      <c r="AS115" s="212">
        <f>SUM(AJ116:AJ122)</f>
        <v>0</v>
      </c>
      <c r="AT115" s="212">
        <f>SUM(AK116:AK122)</f>
        <v>0</v>
      </c>
      <c r="AU115" s="212">
        <f>SUM(AL116:AL122)</f>
        <v>0</v>
      </c>
    </row>
    <row r="116" spans="1:76" s="268" customFormat="1" x14ac:dyDescent="0.2">
      <c r="A116" s="251">
        <f>A108+1</f>
        <v>24</v>
      </c>
      <c r="B116" s="250" t="s">
        <v>43</v>
      </c>
      <c r="C116" s="249" t="s">
        <v>783</v>
      </c>
      <c r="D116" s="248" t="s">
        <v>784</v>
      </c>
      <c r="E116" s="248"/>
      <c r="F116" s="247" t="s">
        <v>94</v>
      </c>
      <c r="G116" s="269">
        <f>SUM(G117:G117)</f>
        <v>2.7562500000000001</v>
      </c>
      <c r="H116" s="245"/>
      <c r="I116" s="244" t="s">
        <v>95</v>
      </c>
      <c r="J116" s="233">
        <f>G116*AO116</f>
        <v>0</v>
      </c>
      <c r="K116" s="243">
        <f>G116*AP116</f>
        <v>0</v>
      </c>
      <c r="L116" s="242">
        <f>G116*H116</f>
        <v>0</v>
      </c>
      <c r="M116" s="233">
        <f>L116*(1+BW116/100)</f>
        <v>0</v>
      </c>
      <c r="N116" s="241">
        <v>2.5249999999999999</v>
      </c>
      <c r="O116" s="240">
        <f>G116*N116</f>
        <v>6.9595312500000004</v>
      </c>
      <c r="P116" s="213" t="s">
        <v>769</v>
      </c>
      <c r="Z116" s="268">
        <f>IF(AQ116="5",BJ116,0)</f>
        <v>0</v>
      </c>
      <c r="AB116" s="268">
        <f>IF(AQ116="1",BH116,0)</f>
        <v>0</v>
      </c>
      <c r="AC116" s="268">
        <f>IF(AQ116="1",BI116,0)</f>
        <v>0</v>
      </c>
      <c r="AD116" s="268">
        <f>IF(AQ116="7",BH116,0)</f>
        <v>0</v>
      </c>
      <c r="AE116" s="268">
        <f>IF(AQ116="7",BI116,0)</f>
        <v>0</v>
      </c>
      <c r="AF116" s="268">
        <f>IF(AQ116="2",BH116,0)</f>
        <v>0</v>
      </c>
      <c r="AG116" s="268">
        <f>IF(AQ116="2",BI116,0)</f>
        <v>0</v>
      </c>
      <c r="AH116" s="268">
        <f>IF(AQ116="0",BJ116,0)</f>
        <v>0</v>
      </c>
      <c r="AI116" s="268" t="s">
        <v>43</v>
      </c>
      <c r="AJ116" s="268">
        <f>IF(AN116=0,L116,0)</f>
        <v>0</v>
      </c>
      <c r="AK116" s="268">
        <f>IF(AN116=12,L116,0)</f>
        <v>0</v>
      </c>
      <c r="AL116" s="268">
        <f>IF(AN116=21,L116,0)</f>
        <v>0</v>
      </c>
      <c r="AN116" s="268">
        <v>12</v>
      </c>
      <c r="AO116" s="268">
        <f>H116*0.678834915</f>
        <v>0</v>
      </c>
      <c r="AP116" s="268">
        <f>H116*(1-0.678834915)</f>
        <v>0</v>
      </c>
      <c r="AQ116" s="268" t="s">
        <v>91</v>
      </c>
      <c r="AV116" s="268">
        <f>AW116+AX116</f>
        <v>0</v>
      </c>
      <c r="AW116" s="268">
        <f>G116*AO116</f>
        <v>0</v>
      </c>
      <c r="AX116" s="268">
        <f>G116*AP116</f>
        <v>0</v>
      </c>
      <c r="AY116" s="268" t="s">
        <v>785</v>
      </c>
      <c r="AZ116" s="268" t="s">
        <v>260</v>
      </c>
      <c r="BA116" s="268" t="s">
        <v>85</v>
      </c>
      <c r="BC116" s="268">
        <f>AW116+AX116</f>
        <v>0</v>
      </c>
      <c r="BD116" s="268">
        <f>H116/(100-BE116)*100</f>
        <v>0</v>
      </c>
      <c r="BE116" s="268">
        <v>0</v>
      </c>
      <c r="BF116" s="268">
        <f>O116</f>
        <v>6.9595312500000004</v>
      </c>
      <c r="BH116" s="268">
        <f>G116*AO116</f>
        <v>0</v>
      </c>
      <c r="BI116" s="268">
        <f>G116*AP116</f>
        <v>0</v>
      </c>
      <c r="BJ116" s="268">
        <f>G116*H116</f>
        <v>0</v>
      </c>
      <c r="BL116" s="268">
        <v>63</v>
      </c>
      <c r="BW116" s="268" t="str">
        <f>I116</f>
        <v>12</v>
      </c>
      <c r="BX116" s="268" t="s">
        <v>784</v>
      </c>
    </row>
    <row r="117" spans="1:76" s="230" customFormat="1" ht="6.75" customHeight="1" x14ac:dyDescent="0.25">
      <c r="A117" s="274">
        <v>0.05</v>
      </c>
      <c r="B117" s="276"/>
      <c r="C117" s="275">
        <v>5.25</v>
      </c>
      <c r="D117" s="541">
        <v>10.5</v>
      </c>
      <c r="E117" s="238" t="s">
        <v>824</v>
      </c>
      <c r="F117" s="265" t="s">
        <v>94</v>
      </c>
      <c r="G117" s="236">
        <f>A117*C117*D117</f>
        <v>2.7562500000000001</v>
      </c>
      <c r="H117" s="235"/>
      <c r="I117" s="235"/>
      <c r="J117" s="234"/>
      <c r="K117" s="234"/>
      <c r="L117" s="233"/>
      <c r="M117" s="233"/>
      <c r="N117" s="232"/>
      <c r="O117" s="231"/>
    </row>
    <row r="118" spans="1:76" s="268" customFormat="1" x14ac:dyDescent="0.2">
      <c r="A118" s="251">
        <f>A116+1</f>
        <v>25</v>
      </c>
      <c r="B118" s="250" t="s">
        <v>43</v>
      </c>
      <c r="C118" s="249" t="s">
        <v>786</v>
      </c>
      <c r="D118" s="248" t="s">
        <v>787</v>
      </c>
      <c r="E118" s="248"/>
      <c r="F118" s="247" t="s">
        <v>94</v>
      </c>
      <c r="G118" s="269">
        <f>SUM(G119:G119)</f>
        <v>2.7562500000000001</v>
      </c>
      <c r="H118" s="245"/>
      <c r="I118" s="244" t="s">
        <v>95</v>
      </c>
      <c r="J118" s="233">
        <f>G118*AO118</f>
        <v>0</v>
      </c>
      <c r="K118" s="243">
        <f>G118*AP118</f>
        <v>0</v>
      </c>
      <c r="L118" s="242">
        <f>G118*H118</f>
        <v>0</v>
      </c>
      <c r="M118" s="233">
        <f>L118*(1+BW118/100)</f>
        <v>0</v>
      </c>
      <c r="N118" s="241">
        <v>0</v>
      </c>
      <c r="O118" s="240">
        <f>G118*N118</f>
        <v>0</v>
      </c>
      <c r="P118" s="213" t="s">
        <v>769</v>
      </c>
      <c r="Z118" s="268">
        <f>IF(AQ118="5",BJ118,0)</f>
        <v>0</v>
      </c>
      <c r="AB118" s="268">
        <f>IF(AQ118="1",BH118,0)</f>
        <v>0</v>
      </c>
      <c r="AC118" s="268">
        <f>IF(AQ118="1",BI118,0)</f>
        <v>0</v>
      </c>
      <c r="AD118" s="268">
        <f>IF(AQ118="7",BH118,0)</f>
        <v>0</v>
      </c>
      <c r="AE118" s="268">
        <f>IF(AQ118="7",BI118,0)</f>
        <v>0</v>
      </c>
      <c r="AF118" s="268">
        <f>IF(AQ118="2",BH118,0)</f>
        <v>0</v>
      </c>
      <c r="AG118" s="268">
        <f>IF(AQ118="2",BI118,0)</f>
        <v>0</v>
      </c>
      <c r="AH118" s="268">
        <f>IF(AQ118="0",BJ118,0)</f>
        <v>0</v>
      </c>
      <c r="AI118" s="268" t="s">
        <v>43</v>
      </c>
      <c r="AJ118" s="268">
        <f>IF(AN118=0,L118,0)</f>
        <v>0</v>
      </c>
      <c r="AK118" s="268">
        <f>IF(AN118=12,L118,0)</f>
        <v>0</v>
      </c>
      <c r="AL118" s="268">
        <f>IF(AN118=21,L118,0)</f>
        <v>0</v>
      </c>
      <c r="AN118" s="268">
        <v>12</v>
      </c>
      <c r="AO118" s="268">
        <f>H118*0</f>
        <v>0</v>
      </c>
      <c r="AP118" s="268">
        <f>H118*(1-0)</f>
        <v>0</v>
      </c>
      <c r="AQ118" s="268" t="s">
        <v>91</v>
      </c>
      <c r="AV118" s="268">
        <f>AW118+AX118</f>
        <v>0</v>
      </c>
      <c r="AW118" s="268">
        <f>G118*AO118</f>
        <v>0</v>
      </c>
      <c r="AX118" s="268">
        <f>G118*AP118</f>
        <v>0</v>
      </c>
      <c r="AY118" s="268" t="s">
        <v>785</v>
      </c>
      <c r="AZ118" s="268" t="s">
        <v>260</v>
      </c>
      <c r="BA118" s="268" t="s">
        <v>85</v>
      </c>
      <c r="BC118" s="268">
        <f>AW118+AX118</f>
        <v>0</v>
      </c>
      <c r="BD118" s="268">
        <f>H118/(100-BE118)*100</f>
        <v>0</v>
      </c>
      <c r="BE118" s="268">
        <v>0</v>
      </c>
      <c r="BF118" s="268">
        <f>O118</f>
        <v>0</v>
      </c>
      <c r="BH118" s="268">
        <f>G118*AO118</f>
        <v>0</v>
      </c>
      <c r="BI118" s="268">
        <f>G118*AP118</f>
        <v>0</v>
      </c>
      <c r="BJ118" s="268">
        <f>G118*H118</f>
        <v>0</v>
      </c>
      <c r="BL118" s="268">
        <v>63</v>
      </c>
      <c r="BW118" s="268" t="str">
        <f>I118</f>
        <v>12</v>
      </c>
      <c r="BX118" s="268" t="s">
        <v>787</v>
      </c>
    </row>
    <row r="119" spans="1:76" s="230" customFormat="1" ht="6.75" customHeight="1" x14ac:dyDescent="0.25">
      <c r="A119" s="362"/>
      <c r="B119" s="276"/>
      <c r="C119" s="275" t="s">
        <v>90</v>
      </c>
      <c r="D119" s="541"/>
      <c r="E119" s="238" t="str">
        <f>D116</f>
        <v>Mazanina betonová tl. 5 - 8 cm C 20/25</v>
      </c>
      <c r="F119" s="265" t="s">
        <v>92</v>
      </c>
      <c r="G119" s="236">
        <f>G116</f>
        <v>2.7562500000000001</v>
      </c>
      <c r="H119" s="235"/>
      <c r="I119" s="235"/>
      <c r="J119" s="234"/>
      <c r="K119" s="234"/>
      <c r="L119" s="233"/>
      <c r="M119" s="233"/>
      <c r="N119" s="232"/>
      <c r="O119" s="231"/>
    </row>
    <row r="120" spans="1:76" s="268" customFormat="1" x14ac:dyDescent="0.2">
      <c r="A120" s="251">
        <f>A118+1</f>
        <v>26</v>
      </c>
      <c r="B120" s="250" t="s">
        <v>43</v>
      </c>
      <c r="C120" s="249" t="s">
        <v>788</v>
      </c>
      <c r="D120" s="248" t="s">
        <v>789</v>
      </c>
      <c r="E120" s="248"/>
      <c r="F120" s="247" t="s">
        <v>82</v>
      </c>
      <c r="G120" s="269">
        <f>SUM(G121:G121)</f>
        <v>0.18393374999999984</v>
      </c>
      <c r="H120" s="245"/>
      <c r="I120" s="244" t="s">
        <v>95</v>
      </c>
      <c r="J120" s="233">
        <f>G120*AO120</f>
        <v>0</v>
      </c>
      <c r="K120" s="243">
        <f>G120*AP120</f>
        <v>0</v>
      </c>
      <c r="L120" s="242">
        <f>G120*H120</f>
        <v>0</v>
      </c>
      <c r="M120" s="233">
        <f>L120*(1+BW120/100)</f>
        <v>0</v>
      </c>
      <c r="N120" s="241">
        <v>1.0800399999999999</v>
      </c>
      <c r="O120" s="240">
        <f>G120*N120</f>
        <v>0.1986558073499998</v>
      </c>
      <c r="P120" s="213" t="s">
        <v>769</v>
      </c>
      <c r="Z120" s="268">
        <f>IF(AQ120="5",BJ120,0)</f>
        <v>0</v>
      </c>
      <c r="AB120" s="268">
        <f>IF(AQ120="1",BH120,0)</f>
        <v>0</v>
      </c>
      <c r="AC120" s="268">
        <f>IF(AQ120="1",BI120,0)</f>
        <v>0</v>
      </c>
      <c r="AD120" s="268">
        <f>IF(AQ120="7",BH120,0)</f>
        <v>0</v>
      </c>
      <c r="AE120" s="268">
        <f>IF(AQ120="7",BI120,0)</f>
        <v>0</v>
      </c>
      <c r="AF120" s="268">
        <f>IF(AQ120="2",BH120,0)</f>
        <v>0</v>
      </c>
      <c r="AG120" s="268">
        <f>IF(AQ120="2",BI120,0)</f>
        <v>0</v>
      </c>
      <c r="AH120" s="268">
        <f>IF(AQ120="0",BJ120,0)</f>
        <v>0</v>
      </c>
      <c r="AI120" s="268" t="s">
        <v>43</v>
      </c>
      <c r="AJ120" s="268">
        <f>IF(AN120=0,L120,0)</f>
        <v>0</v>
      </c>
      <c r="AK120" s="268">
        <f>IF(AN120=12,L120,0)</f>
        <v>0</v>
      </c>
      <c r="AL120" s="268">
        <f>IF(AN120=21,L120,0)</f>
        <v>0</v>
      </c>
      <c r="AN120" s="268">
        <v>12</v>
      </c>
      <c r="AO120" s="268">
        <f>H120*0.776079772</f>
        <v>0</v>
      </c>
      <c r="AP120" s="268">
        <f>H120*(1-0.776079772)</f>
        <v>0</v>
      </c>
      <c r="AQ120" s="268" t="s">
        <v>91</v>
      </c>
      <c r="AV120" s="268">
        <f>AW120+AX120</f>
        <v>0</v>
      </c>
      <c r="AW120" s="268">
        <f>G120*AO120</f>
        <v>0</v>
      </c>
      <c r="AX120" s="268">
        <f>G120*AP120</f>
        <v>0</v>
      </c>
      <c r="AY120" s="268" t="s">
        <v>785</v>
      </c>
      <c r="AZ120" s="268" t="s">
        <v>260</v>
      </c>
      <c r="BA120" s="268" t="s">
        <v>85</v>
      </c>
      <c r="BC120" s="268">
        <f>AW120+AX120</f>
        <v>0</v>
      </c>
      <c r="BD120" s="268">
        <f>H120/(100-BE120)*100</f>
        <v>0</v>
      </c>
      <c r="BE120" s="268">
        <v>0</v>
      </c>
      <c r="BF120" s="268">
        <f>O120</f>
        <v>0.1986558073499998</v>
      </c>
      <c r="BH120" s="268">
        <f>G120*AO120</f>
        <v>0</v>
      </c>
      <c r="BI120" s="268">
        <f>G120*AP120</f>
        <v>0</v>
      </c>
      <c r="BJ120" s="268">
        <f>G120*H120</f>
        <v>0</v>
      </c>
      <c r="BL120" s="268">
        <v>63</v>
      </c>
      <c r="BW120" s="268" t="str">
        <f>I120</f>
        <v>12</v>
      </c>
      <c r="BX120" s="268" t="s">
        <v>789</v>
      </c>
    </row>
    <row r="121" spans="1:76" s="230" customFormat="1" ht="6.75" customHeight="1" x14ac:dyDescent="0.25">
      <c r="A121" s="362">
        <f>0.00303333333333333*1.1</f>
        <v>3.3366666666666636E-3</v>
      </c>
      <c r="B121" s="276"/>
      <c r="C121" s="275">
        <v>5.25</v>
      </c>
      <c r="D121" s="541">
        <v>10.5</v>
      </c>
      <c r="E121" s="238" t="s">
        <v>824</v>
      </c>
      <c r="F121" s="265" t="s">
        <v>82</v>
      </c>
      <c r="G121" s="236">
        <f>A121*C121*D121</f>
        <v>0.18393374999999984</v>
      </c>
      <c r="H121" s="235"/>
      <c r="I121" s="235"/>
      <c r="J121" s="234"/>
      <c r="K121" s="234"/>
      <c r="L121" s="233"/>
      <c r="M121" s="233"/>
      <c r="N121" s="232"/>
      <c r="O121" s="231"/>
    </row>
    <row r="122" spans="1:76" s="268" customFormat="1" x14ac:dyDescent="0.2">
      <c r="A122" s="251">
        <f>A120+1</f>
        <v>27</v>
      </c>
      <c r="B122" s="250" t="s">
        <v>43</v>
      </c>
      <c r="C122" s="249" t="s">
        <v>790</v>
      </c>
      <c r="D122" s="248" t="s">
        <v>791</v>
      </c>
      <c r="E122" s="248"/>
      <c r="F122" s="247" t="s">
        <v>92</v>
      </c>
      <c r="G122" s="269">
        <f>SUM(G123:G123)</f>
        <v>55.125</v>
      </c>
      <c r="H122" s="245"/>
      <c r="I122" s="244" t="s">
        <v>95</v>
      </c>
      <c r="J122" s="233">
        <f>G122*AO122</f>
        <v>0</v>
      </c>
      <c r="K122" s="243">
        <f>G122*AP122</f>
        <v>0</v>
      </c>
      <c r="L122" s="242">
        <f>G122*H122</f>
        <v>0</v>
      </c>
      <c r="M122" s="233">
        <f>L122*(1+BW122/100)</f>
        <v>0</v>
      </c>
      <c r="N122" s="241">
        <v>7.4260000000000007E-2</v>
      </c>
      <c r="O122" s="240">
        <f>G122*N122</f>
        <v>4.0935825000000001</v>
      </c>
      <c r="P122" s="213" t="s">
        <v>769</v>
      </c>
      <c r="Z122" s="268">
        <f>IF(AQ122="5",BJ122,0)</f>
        <v>0</v>
      </c>
      <c r="AB122" s="268">
        <f>IF(AQ122="1",BH122,0)</f>
        <v>0</v>
      </c>
      <c r="AC122" s="268">
        <f>IF(AQ122="1",BI122,0)</f>
        <v>0</v>
      </c>
      <c r="AD122" s="268">
        <f>IF(AQ122="7",BH122,0)</f>
        <v>0</v>
      </c>
      <c r="AE122" s="268">
        <f>IF(AQ122="7",BI122,0)</f>
        <v>0</v>
      </c>
      <c r="AF122" s="268">
        <f>IF(AQ122="2",BH122,0)</f>
        <v>0</v>
      </c>
      <c r="AG122" s="268">
        <f>IF(AQ122="2",BI122,0)</f>
        <v>0</v>
      </c>
      <c r="AH122" s="268">
        <f>IF(AQ122="0",BJ122,0)</f>
        <v>0</v>
      </c>
      <c r="AI122" s="268" t="s">
        <v>43</v>
      </c>
      <c r="AJ122" s="268">
        <f>IF(AN122=0,L122,0)</f>
        <v>0</v>
      </c>
      <c r="AK122" s="268">
        <f>IF(AN122=12,L122,0)</f>
        <v>0</v>
      </c>
      <c r="AL122" s="268">
        <f>IF(AN122=21,L122,0)</f>
        <v>0</v>
      </c>
      <c r="AN122" s="268">
        <v>12</v>
      </c>
      <c r="AO122" s="268">
        <f>H122*0.373090211</f>
        <v>0</v>
      </c>
      <c r="AP122" s="268">
        <f>H122*(1-0.373090211)</f>
        <v>0</v>
      </c>
      <c r="AQ122" s="268" t="s">
        <v>91</v>
      </c>
      <c r="AV122" s="268">
        <f>AW122+AX122</f>
        <v>0</v>
      </c>
      <c r="AW122" s="268">
        <f>G122*AO122</f>
        <v>0</v>
      </c>
      <c r="AX122" s="268">
        <f>G122*AP122</f>
        <v>0</v>
      </c>
      <c r="AY122" s="268" t="s">
        <v>785</v>
      </c>
      <c r="AZ122" s="268" t="s">
        <v>260</v>
      </c>
      <c r="BA122" s="268" t="s">
        <v>85</v>
      </c>
      <c r="BC122" s="268">
        <f>AW122+AX122</f>
        <v>0</v>
      </c>
      <c r="BD122" s="268">
        <f>H122/(100-BE122)*100</f>
        <v>0</v>
      </c>
      <c r="BE122" s="268">
        <v>0</v>
      </c>
      <c r="BF122" s="268">
        <f>O122</f>
        <v>4.0935825000000001</v>
      </c>
      <c r="BH122" s="268">
        <f>G122*AO122</f>
        <v>0</v>
      </c>
      <c r="BI122" s="268">
        <f>G122*AP122</f>
        <v>0</v>
      </c>
      <c r="BJ122" s="268">
        <f>G122*H122</f>
        <v>0</v>
      </c>
      <c r="BL122" s="268">
        <v>63</v>
      </c>
      <c r="BW122" s="268" t="str">
        <f>I122</f>
        <v>12</v>
      </c>
      <c r="BX122" s="268" t="s">
        <v>791</v>
      </c>
    </row>
    <row r="123" spans="1:76" s="230" customFormat="1" ht="6.75" customHeight="1" x14ac:dyDescent="0.25">
      <c r="A123" s="274"/>
      <c r="B123" s="276"/>
      <c r="C123" s="275">
        <v>5.25</v>
      </c>
      <c r="D123" s="541">
        <v>10.5</v>
      </c>
      <c r="E123" s="238" t="s">
        <v>824</v>
      </c>
      <c r="F123" s="265" t="s">
        <v>92</v>
      </c>
      <c r="G123" s="236">
        <f>C123*D123</f>
        <v>55.125</v>
      </c>
      <c r="H123" s="235"/>
      <c r="I123" s="235"/>
      <c r="J123" s="234"/>
      <c r="K123" s="234"/>
      <c r="L123" s="233"/>
      <c r="M123" s="233"/>
      <c r="N123" s="232"/>
      <c r="O123" s="231"/>
    </row>
    <row r="124" spans="1:76" x14ac:dyDescent="0.25">
      <c r="A124" s="264"/>
      <c r="B124" s="263" t="s">
        <v>43</v>
      </c>
      <c r="C124" s="262"/>
      <c r="D124" s="261" t="str">
        <f>'1-Rekapitulace'!B19</f>
        <v>64 : osazování výplní otvorů</v>
      </c>
      <c r="E124" s="261"/>
      <c r="F124" s="260" t="s">
        <v>49</v>
      </c>
      <c r="G124" s="259"/>
      <c r="H124" s="258"/>
      <c r="I124" s="257" t="s">
        <v>49</v>
      </c>
      <c r="J124" s="256">
        <f>SUM(J125:J125)</f>
        <v>0</v>
      </c>
      <c r="K124" s="256">
        <f>SUM(K125:K125)</f>
        <v>0</v>
      </c>
      <c r="L124" s="255">
        <f>SUM(L125:L125)</f>
        <v>0</v>
      </c>
      <c r="M124" s="254">
        <f>SUM(M125:M125)</f>
        <v>0</v>
      </c>
      <c r="N124" s="253" t="s">
        <v>43</v>
      </c>
      <c r="O124" s="252">
        <f>SUM(O125:O125)</f>
        <v>0</v>
      </c>
      <c r="P124" s="213" t="s">
        <v>43</v>
      </c>
      <c r="AI124" s="212" t="s">
        <v>43</v>
      </c>
      <c r="AS124" s="212">
        <f>SUM(AJ125:AJ125)</f>
        <v>0</v>
      </c>
      <c r="AT124" s="212">
        <f>SUM(AK125:AK125)</f>
        <v>0</v>
      </c>
      <c r="AU124" s="212">
        <f>SUM(AL125:AL125)</f>
        <v>0</v>
      </c>
    </row>
    <row r="125" spans="1:76" s="268" customFormat="1" x14ac:dyDescent="0.2">
      <c r="A125" s="251">
        <f>A122+1</f>
        <v>28</v>
      </c>
      <c r="B125" s="250" t="s">
        <v>43</v>
      </c>
      <c r="C125" s="249" t="s">
        <v>792</v>
      </c>
      <c r="D125" s="248" t="s">
        <v>793</v>
      </c>
      <c r="E125" s="248"/>
      <c r="F125" s="247" t="s">
        <v>272</v>
      </c>
      <c r="G125" s="269">
        <f>SUM(G126:G128)</f>
        <v>50.399999999999991</v>
      </c>
      <c r="H125" s="245"/>
      <c r="I125" s="244" t="s">
        <v>95</v>
      </c>
      <c r="J125" s="233">
        <f>G125*AO125</f>
        <v>0</v>
      </c>
      <c r="K125" s="243">
        <f>G125*AP125</f>
        <v>0</v>
      </c>
      <c r="L125" s="242">
        <f>G125*H125</f>
        <v>0</v>
      </c>
      <c r="M125" s="233">
        <f>L125*(1+BW125/100)</f>
        <v>0</v>
      </c>
      <c r="N125" s="241">
        <v>0</v>
      </c>
      <c r="O125" s="240">
        <f>G125*N125</f>
        <v>0</v>
      </c>
      <c r="P125" s="213" t="s">
        <v>769</v>
      </c>
      <c r="Z125" s="268">
        <f>IF(AQ125="5",BJ125,0)</f>
        <v>0</v>
      </c>
      <c r="AB125" s="268">
        <f>IF(AQ125="1",BH125,0)</f>
        <v>0</v>
      </c>
      <c r="AC125" s="268">
        <f>IF(AQ125="1",BI125,0)</f>
        <v>0</v>
      </c>
      <c r="AD125" s="268">
        <f>IF(AQ125="7",BH125,0)</f>
        <v>0</v>
      </c>
      <c r="AE125" s="268">
        <f>IF(AQ125="7",BI125,0)</f>
        <v>0</v>
      </c>
      <c r="AF125" s="268">
        <f>IF(AQ125="2",BH125,0)</f>
        <v>0</v>
      </c>
      <c r="AG125" s="268">
        <f>IF(AQ125="2",BI125,0)</f>
        <v>0</v>
      </c>
      <c r="AH125" s="268">
        <f>IF(AQ125="0",BJ125,0)</f>
        <v>0</v>
      </c>
      <c r="AI125" s="268" t="s">
        <v>43</v>
      </c>
      <c r="AJ125" s="268">
        <f>IF(AN125=0,L125,0)</f>
        <v>0</v>
      </c>
      <c r="AK125" s="268">
        <f>IF(AN125=12,L125,0)</f>
        <v>0</v>
      </c>
      <c r="AL125" s="268">
        <f>IF(AN125=21,L125,0)</f>
        <v>0</v>
      </c>
      <c r="AN125" s="268">
        <v>12</v>
      </c>
      <c r="AO125" s="268">
        <f>H125*0.11378998</f>
        <v>0</v>
      </c>
      <c r="AP125" s="268">
        <f>H125*(1-0.11378998)</f>
        <v>0</v>
      </c>
      <c r="AQ125" s="268" t="s">
        <v>91</v>
      </c>
      <c r="AV125" s="268">
        <f>AW125+AX125</f>
        <v>0</v>
      </c>
      <c r="AW125" s="268">
        <f>G125*AO125</f>
        <v>0</v>
      </c>
      <c r="AX125" s="268">
        <f>G125*AP125</f>
        <v>0</v>
      </c>
      <c r="AY125" s="268" t="s">
        <v>794</v>
      </c>
      <c r="AZ125" s="268" t="s">
        <v>260</v>
      </c>
      <c r="BA125" s="268" t="s">
        <v>85</v>
      </c>
      <c r="BC125" s="268">
        <f>AW125+AX125</f>
        <v>0</v>
      </c>
      <c r="BD125" s="268">
        <f>H125/(100-BE125)*100</f>
        <v>0</v>
      </c>
      <c r="BE125" s="268">
        <v>0</v>
      </c>
      <c r="BF125" s="268">
        <f>O125</f>
        <v>0</v>
      </c>
      <c r="BH125" s="268">
        <f>G125*AO125</f>
        <v>0</v>
      </c>
      <c r="BI125" s="268">
        <f>G125*AP125</f>
        <v>0</v>
      </c>
      <c r="BJ125" s="268">
        <f>G125*H125</f>
        <v>0</v>
      </c>
      <c r="BL125" s="268">
        <v>64</v>
      </c>
      <c r="BW125" s="268" t="str">
        <f>I125</f>
        <v>12</v>
      </c>
      <c r="BX125" s="268" t="s">
        <v>793</v>
      </c>
    </row>
    <row r="126" spans="1:76" s="230" customFormat="1" ht="6.75" customHeight="1" x14ac:dyDescent="0.25">
      <c r="A126" s="274"/>
      <c r="B126" s="276"/>
      <c r="C126" s="275" t="s">
        <v>90</v>
      </c>
      <c r="D126" s="274"/>
      <c r="E126" s="238" t="s">
        <v>827</v>
      </c>
      <c r="F126" s="265" t="s">
        <v>272</v>
      </c>
      <c r="G126" s="236">
        <f>C389*D389</f>
        <v>29.68</v>
      </c>
      <c r="H126" s="235"/>
      <c r="I126" s="235"/>
      <c r="J126" s="234"/>
      <c r="K126" s="234"/>
      <c r="L126" s="233"/>
      <c r="M126" s="233"/>
      <c r="N126" s="232"/>
      <c r="O126" s="231"/>
    </row>
    <row r="127" spans="1:76" s="230" customFormat="1" ht="6.75" customHeight="1" x14ac:dyDescent="0.25">
      <c r="A127" s="274"/>
      <c r="B127" s="276"/>
      <c r="C127" s="275" t="s">
        <v>90</v>
      </c>
      <c r="D127" s="274"/>
      <c r="E127" s="238" t="s">
        <v>828</v>
      </c>
      <c r="F127" s="265" t="s">
        <v>272</v>
      </c>
      <c r="G127" s="236">
        <f t="shared" ref="G127:G128" si="48">C390*D390</f>
        <v>12.48</v>
      </c>
      <c r="H127" s="235"/>
      <c r="I127" s="235"/>
      <c r="J127" s="234"/>
      <c r="K127" s="234"/>
      <c r="L127" s="233"/>
      <c r="M127" s="233"/>
      <c r="N127" s="232"/>
      <c r="O127" s="231"/>
    </row>
    <row r="128" spans="1:76" s="230" customFormat="1" ht="6.75" customHeight="1" x14ac:dyDescent="0.25">
      <c r="A128" s="274"/>
      <c r="B128" s="276"/>
      <c r="C128" s="275" t="s">
        <v>90</v>
      </c>
      <c r="D128" s="274"/>
      <c r="E128" s="238" t="s">
        <v>829</v>
      </c>
      <c r="F128" s="265" t="s">
        <v>272</v>
      </c>
      <c r="G128" s="236">
        <f t="shared" si="48"/>
        <v>8.2399999999999984</v>
      </c>
      <c r="H128" s="235"/>
      <c r="I128" s="235"/>
      <c r="J128" s="234"/>
      <c r="K128" s="234"/>
      <c r="L128" s="233"/>
      <c r="M128" s="233"/>
      <c r="N128" s="232"/>
      <c r="O128" s="231"/>
    </row>
    <row r="129" spans="1:76" x14ac:dyDescent="0.25">
      <c r="A129" s="264"/>
      <c r="B129" s="263" t="s">
        <v>43</v>
      </c>
      <c r="C129" s="262"/>
      <c r="D129" s="261" t="str">
        <f>'1-Rekapitulace'!B23</f>
        <v>711 : Izolace proti vodě</v>
      </c>
      <c r="E129" s="261"/>
      <c r="F129" s="260" t="s">
        <v>49</v>
      </c>
      <c r="G129" s="259"/>
      <c r="H129" s="258"/>
      <c r="I129" s="257" t="s">
        <v>49</v>
      </c>
      <c r="J129" s="256">
        <f>SUM(J130:J134)</f>
        <v>0</v>
      </c>
      <c r="K129" s="256">
        <f>SUM(K130:K134)</f>
        <v>0</v>
      </c>
      <c r="L129" s="255">
        <f>SUM(L130:L134)</f>
        <v>0</v>
      </c>
      <c r="M129" s="254">
        <f>SUM(M130:M134)</f>
        <v>0</v>
      </c>
      <c r="N129" s="253" t="s">
        <v>43</v>
      </c>
      <c r="O129" s="252">
        <f>SUM(O130:O134)</f>
        <v>0.35004374999999999</v>
      </c>
      <c r="P129" s="213" t="s">
        <v>43</v>
      </c>
      <c r="AI129" s="212" t="s">
        <v>43</v>
      </c>
      <c r="AS129" s="212">
        <f>SUM(AJ130:AJ134)</f>
        <v>0</v>
      </c>
      <c r="AT129" s="212">
        <f>SUM(AK130:AK134)</f>
        <v>0</v>
      </c>
      <c r="AU129" s="212">
        <f>SUM(AL130:AL134)</f>
        <v>0</v>
      </c>
    </row>
    <row r="130" spans="1:76" s="268" customFormat="1" x14ac:dyDescent="0.2">
      <c r="A130" s="251">
        <f>A125+1</f>
        <v>29</v>
      </c>
      <c r="B130" s="250" t="s">
        <v>43</v>
      </c>
      <c r="C130" s="249" t="s">
        <v>795</v>
      </c>
      <c r="D130" s="248" t="s">
        <v>825</v>
      </c>
      <c r="E130" s="248"/>
      <c r="F130" s="247" t="s">
        <v>92</v>
      </c>
      <c r="G130" s="269">
        <f>SUM(G131:G131)</f>
        <v>55.125</v>
      </c>
      <c r="H130" s="245"/>
      <c r="I130" s="244" t="s">
        <v>95</v>
      </c>
      <c r="J130" s="233">
        <f>G130*AO130</f>
        <v>0</v>
      </c>
      <c r="K130" s="243">
        <f>G130*AP130</f>
        <v>0</v>
      </c>
      <c r="L130" s="242">
        <f>G130*H130</f>
        <v>0</v>
      </c>
      <c r="M130" s="233">
        <f>L130*(1+BW130/100)</f>
        <v>0</v>
      </c>
      <c r="N130" s="241">
        <v>8.8000000000000003E-4</v>
      </c>
      <c r="O130" s="240">
        <f>G130*N130</f>
        <v>4.8510000000000005E-2</v>
      </c>
      <c r="P130" s="213" t="s">
        <v>769</v>
      </c>
      <c r="Z130" s="268">
        <f>IF(AQ130="5",BJ130,0)</f>
        <v>0</v>
      </c>
      <c r="AB130" s="268">
        <f>IF(AQ130="1",BH130,0)</f>
        <v>0</v>
      </c>
      <c r="AC130" s="268">
        <f>IF(AQ130="1",BI130,0)</f>
        <v>0</v>
      </c>
      <c r="AD130" s="268">
        <f>IF(AQ130="7",BH130,0)</f>
        <v>0</v>
      </c>
      <c r="AE130" s="268">
        <f>IF(AQ130="7",BI130,0)</f>
        <v>0</v>
      </c>
      <c r="AF130" s="268">
        <f>IF(AQ130="2",BH130,0)</f>
        <v>0</v>
      </c>
      <c r="AG130" s="268">
        <f>IF(AQ130="2",BI130,0)</f>
        <v>0</v>
      </c>
      <c r="AH130" s="268">
        <f>IF(AQ130="0",BJ130,0)</f>
        <v>0</v>
      </c>
      <c r="AI130" s="268" t="s">
        <v>43</v>
      </c>
      <c r="AJ130" s="268">
        <f>IF(AN130=0,L130,0)</f>
        <v>0</v>
      </c>
      <c r="AK130" s="268">
        <f>IF(AN130=12,L130,0)</f>
        <v>0</v>
      </c>
      <c r="AL130" s="268">
        <f>IF(AN130=21,L130,0)</f>
        <v>0</v>
      </c>
      <c r="AN130" s="268">
        <v>12</v>
      </c>
      <c r="AO130" s="268">
        <f>H130*0.675228426</f>
        <v>0</v>
      </c>
      <c r="AP130" s="268">
        <f>H130*(1-0.675228426)</f>
        <v>0</v>
      </c>
      <c r="AQ130" s="268" t="s">
        <v>93</v>
      </c>
      <c r="AV130" s="268">
        <f>AW130+AX130</f>
        <v>0</v>
      </c>
      <c r="AW130" s="268">
        <f>G130*AO130</f>
        <v>0</v>
      </c>
      <c r="AX130" s="268">
        <f>G130*AP130</f>
        <v>0</v>
      </c>
      <c r="AY130" s="268" t="s">
        <v>797</v>
      </c>
      <c r="AZ130" s="268" t="s">
        <v>798</v>
      </c>
      <c r="BA130" s="268" t="s">
        <v>85</v>
      </c>
      <c r="BC130" s="268">
        <f>AW130+AX130</f>
        <v>0</v>
      </c>
      <c r="BD130" s="268">
        <f>H130/(100-BE130)*100</f>
        <v>0</v>
      </c>
      <c r="BE130" s="268">
        <v>0</v>
      </c>
      <c r="BF130" s="268">
        <f>O130</f>
        <v>4.8510000000000005E-2</v>
      </c>
      <c r="BH130" s="268">
        <f>G130*AO130</f>
        <v>0</v>
      </c>
      <c r="BI130" s="268">
        <f>G130*AP130</f>
        <v>0</v>
      </c>
      <c r="BJ130" s="268">
        <f>G130*H130</f>
        <v>0</v>
      </c>
      <c r="BL130" s="268">
        <v>711</v>
      </c>
      <c r="BW130" s="268" t="str">
        <f>I130</f>
        <v>12</v>
      </c>
      <c r="BX130" s="268" t="s">
        <v>796</v>
      </c>
    </row>
    <row r="131" spans="1:76" s="230" customFormat="1" ht="6.75" customHeight="1" x14ac:dyDescent="0.25">
      <c r="A131" s="274"/>
      <c r="B131" s="276"/>
      <c r="C131" s="275" t="s">
        <v>90</v>
      </c>
      <c r="D131" s="274"/>
      <c r="E131" s="238" t="str">
        <f>D122</f>
        <v>Vyrovnávací potěr MC 15, v ploše, tl. 30 mm</v>
      </c>
      <c r="F131" s="265" t="s">
        <v>92</v>
      </c>
      <c r="G131" s="236">
        <f>G122</f>
        <v>55.125</v>
      </c>
      <c r="H131" s="235"/>
      <c r="I131" s="235"/>
      <c r="J131" s="234"/>
      <c r="K131" s="234"/>
      <c r="L131" s="233"/>
      <c r="M131" s="233"/>
      <c r="N131" s="232"/>
      <c r="O131" s="231"/>
    </row>
    <row r="132" spans="1:76" s="268" customFormat="1" x14ac:dyDescent="0.2">
      <c r="A132" s="251">
        <f>A130+1</f>
        <v>30</v>
      </c>
      <c r="B132" s="250" t="s">
        <v>43</v>
      </c>
      <c r="C132" s="249" t="s">
        <v>799</v>
      </c>
      <c r="D132" s="248" t="s">
        <v>826</v>
      </c>
      <c r="E132" s="248"/>
      <c r="F132" s="247" t="s">
        <v>92</v>
      </c>
      <c r="G132" s="269">
        <f>SUM(G133:G133)</f>
        <v>55.125</v>
      </c>
      <c r="H132" s="245"/>
      <c r="I132" s="244" t="s">
        <v>95</v>
      </c>
      <c r="J132" s="233">
        <f>G132*AO132</f>
        <v>0</v>
      </c>
      <c r="K132" s="243">
        <f>G132*AP132</f>
        <v>0</v>
      </c>
      <c r="L132" s="242">
        <f>G132*H132</f>
        <v>0</v>
      </c>
      <c r="M132" s="233">
        <f>L132*(1+BW132/100)</f>
        <v>0</v>
      </c>
      <c r="N132" s="241">
        <v>5.47E-3</v>
      </c>
      <c r="O132" s="240">
        <f>G132*N132</f>
        <v>0.30153374999999999</v>
      </c>
      <c r="P132" s="213" t="s">
        <v>769</v>
      </c>
      <c r="Z132" s="268">
        <f>IF(AQ132="5",BJ132,0)</f>
        <v>0</v>
      </c>
      <c r="AB132" s="268">
        <f>IF(AQ132="1",BH132,0)</f>
        <v>0</v>
      </c>
      <c r="AC132" s="268">
        <f>IF(AQ132="1",BI132,0)</f>
        <v>0</v>
      </c>
      <c r="AD132" s="268">
        <f>IF(AQ132="7",BH132,0)</f>
        <v>0</v>
      </c>
      <c r="AE132" s="268">
        <f>IF(AQ132="7",BI132,0)</f>
        <v>0</v>
      </c>
      <c r="AF132" s="268">
        <f>IF(AQ132="2",BH132,0)</f>
        <v>0</v>
      </c>
      <c r="AG132" s="268">
        <f>IF(AQ132="2",BI132,0)</f>
        <v>0</v>
      </c>
      <c r="AH132" s="268">
        <f>IF(AQ132="0",BJ132,0)</f>
        <v>0</v>
      </c>
      <c r="AI132" s="268" t="s">
        <v>43</v>
      </c>
      <c r="AJ132" s="268">
        <f>IF(AN132=0,L132,0)</f>
        <v>0</v>
      </c>
      <c r="AK132" s="268">
        <f>IF(AN132=12,L132,0)</f>
        <v>0</v>
      </c>
      <c r="AL132" s="268">
        <f>IF(AN132=21,L132,0)</f>
        <v>0</v>
      </c>
      <c r="AN132" s="268">
        <v>12</v>
      </c>
      <c r="AO132" s="268">
        <f>H132*0.743625601</f>
        <v>0</v>
      </c>
      <c r="AP132" s="268">
        <f>H132*(1-0.743625601)</f>
        <v>0</v>
      </c>
      <c r="AQ132" s="268" t="s">
        <v>93</v>
      </c>
      <c r="AV132" s="268">
        <f>AW132+AX132</f>
        <v>0</v>
      </c>
      <c r="AW132" s="268">
        <f>G132*AO132</f>
        <v>0</v>
      </c>
      <c r="AX132" s="268">
        <f>G132*AP132</f>
        <v>0</v>
      </c>
      <c r="AY132" s="268" t="s">
        <v>797</v>
      </c>
      <c r="AZ132" s="268" t="s">
        <v>798</v>
      </c>
      <c r="BA132" s="268" t="s">
        <v>85</v>
      </c>
      <c r="BC132" s="268">
        <f>AW132+AX132</f>
        <v>0</v>
      </c>
      <c r="BD132" s="268">
        <f>H132/(100-BE132)*100</f>
        <v>0</v>
      </c>
      <c r="BE132" s="268">
        <v>0</v>
      </c>
      <c r="BF132" s="268">
        <f>O132</f>
        <v>0.30153374999999999</v>
      </c>
      <c r="BH132" s="268">
        <f>G132*AO132</f>
        <v>0</v>
      </c>
      <c r="BI132" s="268">
        <f>G132*AP132</f>
        <v>0</v>
      </c>
      <c r="BJ132" s="268">
        <f>G132*H132</f>
        <v>0</v>
      </c>
      <c r="BL132" s="268">
        <v>711</v>
      </c>
      <c r="BW132" s="268" t="str">
        <f>I132</f>
        <v>12</v>
      </c>
      <c r="BX132" s="268" t="s">
        <v>800</v>
      </c>
    </row>
    <row r="133" spans="1:76" s="230" customFormat="1" ht="6.75" customHeight="1" x14ac:dyDescent="0.25">
      <c r="A133" s="362"/>
      <c r="B133" s="276"/>
      <c r="C133" s="275" t="s">
        <v>90</v>
      </c>
      <c r="D133" s="541"/>
      <c r="E133" s="238" t="str">
        <f>D130</f>
        <v>Izolace proti vlhkosti na ploše vodorovné,2x nátěr vč.dod.asfalt.laku</v>
      </c>
      <c r="F133" s="265" t="s">
        <v>92</v>
      </c>
      <c r="G133" s="236">
        <f>G130</f>
        <v>55.125</v>
      </c>
      <c r="H133" s="235"/>
      <c r="I133" s="235"/>
      <c r="J133" s="234"/>
      <c r="K133" s="234"/>
      <c r="L133" s="233"/>
      <c r="M133" s="233"/>
      <c r="N133" s="232"/>
      <c r="O133" s="231"/>
    </row>
    <row r="134" spans="1:76" s="268" customFormat="1" x14ac:dyDescent="0.2">
      <c r="A134" s="251">
        <f t="shared" ref="A134" si="49">A132+1</f>
        <v>31</v>
      </c>
      <c r="B134" s="250" t="s">
        <v>43</v>
      </c>
      <c r="C134" s="249" t="s">
        <v>801</v>
      </c>
      <c r="D134" s="248" t="s">
        <v>802</v>
      </c>
      <c r="E134" s="248"/>
      <c r="F134" s="247" t="s">
        <v>82</v>
      </c>
      <c r="G134" s="269">
        <f>O129</f>
        <v>0.35004374999999999</v>
      </c>
      <c r="H134" s="245"/>
      <c r="I134" s="244" t="s">
        <v>95</v>
      </c>
      <c r="J134" s="233">
        <f>G134*AO134</f>
        <v>0</v>
      </c>
      <c r="K134" s="243">
        <f>G134*AP134</f>
        <v>0</v>
      </c>
      <c r="L134" s="242">
        <f>G134*H134</f>
        <v>0</v>
      </c>
      <c r="M134" s="233">
        <f>L134*(1+BW134/100)</f>
        <v>0</v>
      </c>
      <c r="N134" s="241">
        <v>0</v>
      </c>
      <c r="O134" s="240">
        <v>0</v>
      </c>
      <c r="P134" s="213" t="s">
        <v>769</v>
      </c>
      <c r="Z134" s="268">
        <f>IF(AQ134="5",BJ134,0)</f>
        <v>0</v>
      </c>
      <c r="AB134" s="268">
        <f>IF(AQ134="1",BH134,0)</f>
        <v>0</v>
      </c>
      <c r="AC134" s="268">
        <f>IF(AQ134="1",BI134,0)</f>
        <v>0</v>
      </c>
      <c r="AD134" s="268">
        <f>IF(AQ134="7",BH134,0)</f>
        <v>0</v>
      </c>
      <c r="AE134" s="268">
        <f>IF(AQ134="7",BI134,0)</f>
        <v>0</v>
      </c>
      <c r="AF134" s="268">
        <f>IF(AQ134="2",BH134,0)</f>
        <v>0</v>
      </c>
      <c r="AG134" s="268">
        <f>IF(AQ134="2",BI134,0)</f>
        <v>0</v>
      </c>
      <c r="AH134" s="268">
        <f>IF(AQ134="0",BJ134,0)</f>
        <v>0</v>
      </c>
      <c r="AI134" s="268" t="s">
        <v>43</v>
      </c>
      <c r="AJ134" s="268">
        <f>IF(AN134=0,L134,0)</f>
        <v>0</v>
      </c>
      <c r="AK134" s="268">
        <f>IF(AN134=12,L134,0)</f>
        <v>0</v>
      </c>
      <c r="AL134" s="268">
        <f>IF(AN134=21,L134,0)</f>
        <v>0</v>
      </c>
      <c r="AN134" s="268">
        <v>12</v>
      </c>
      <c r="AO134" s="268">
        <f>H134*0</f>
        <v>0</v>
      </c>
      <c r="AP134" s="268">
        <f>H134*(1-0)</f>
        <v>0</v>
      </c>
      <c r="AQ134" s="268" t="s">
        <v>88</v>
      </c>
      <c r="AV134" s="268">
        <f>AW134+AX134</f>
        <v>0</v>
      </c>
      <c r="AW134" s="268">
        <f>G134*AO134</f>
        <v>0</v>
      </c>
      <c r="AX134" s="268">
        <f>G134*AP134</f>
        <v>0</v>
      </c>
      <c r="AY134" s="268" t="s">
        <v>797</v>
      </c>
      <c r="AZ134" s="268" t="s">
        <v>798</v>
      </c>
      <c r="BA134" s="268" t="s">
        <v>85</v>
      </c>
      <c r="BC134" s="268">
        <f>AW134+AX134</f>
        <v>0</v>
      </c>
      <c r="BD134" s="268">
        <f>H134/(100-BE134)*100</f>
        <v>0</v>
      </c>
      <c r="BE134" s="268">
        <v>0</v>
      </c>
      <c r="BF134" s="268">
        <f>O134</f>
        <v>0</v>
      </c>
      <c r="BH134" s="268">
        <f>G134*AO134</f>
        <v>0</v>
      </c>
      <c r="BI134" s="268">
        <f>G134*AP134</f>
        <v>0</v>
      </c>
      <c r="BJ134" s="268">
        <f>G134*H134</f>
        <v>0</v>
      </c>
      <c r="BL134" s="268">
        <v>711</v>
      </c>
      <c r="BW134" s="268" t="str">
        <f>I134</f>
        <v>12</v>
      </c>
      <c r="BX134" s="268" t="s">
        <v>802</v>
      </c>
    </row>
    <row r="135" spans="1:76" x14ac:dyDescent="0.25">
      <c r="A135" s="264" t="s">
        <v>43</v>
      </c>
      <c r="B135" s="263" t="s">
        <v>43</v>
      </c>
      <c r="C135" s="262"/>
      <c r="D135" s="261" t="str">
        <f>'1-Rekapitulace'!B24</f>
        <v>713 : Izolace tepelné</v>
      </c>
      <c r="E135" s="261"/>
      <c r="F135" s="260" t="s">
        <v>49</v>
      </c>
      <c r="G135" s="259" t="s">
        <v>49</v>
      </c>
      <c r="H135" s="258"/>
      <c r="I135" s="257" t="s">
        <v>49</v>
      </c>
      <c r="J135" s="256">
        <f>SUM(J136:J154)</f>
        <v>0</v>
      </c>
      <c r="K135" s="256">
        <f>SUM(K136:K154)</f>
        <v>0</v>
      </c>
      <c r="L135" s="255">
        <f>SUM(L136:L154)</f>
        <v>0</v>
      </c>
      <c r="M135" s="254">
        <f>SUM(M136:M154)</f>
        <v>0</v>
      </c>
      <c r="N135" s="253" t="s">
        <v>43</v>
      </c>
      <c r="O135" s="252">
        <f>SUM(O136:O154)</f>
        <v>1.0687578649</v>
      </c>
      <c r="P135" s="213" t="s">
        <v>43</v>
      </c>
      <c r="AI135" s="212" t="s">
        <v>43</v>
      </c>
      <c r="AS135" s="212">
        <f>SUM(AJ136:AJ154)</f>
        <v>0</v>
      </c>
      <c r="AT135" s="212">
        <f>SUM(AK136:AK154)</f>
        <v>0</v>
      </c>
      <c r="AU135" s="212">
        <f>SUM(AL136:AL154)</f>
        <v>0</v>
      </c>
    </row>
    <row r="136" spans="1:76" s="268" customFormat="1" x14ac:dyDescent="0.2">
      <c r="A136" s="251">
        <f>A134+1</f>
        <v>32</v>
      </c>
      <c r="B136" s="250" t="s">
        <v>43</v>
      </c>
      <c r="C136" s="249" t="s">
        <v>803</v>
      </c>
      <c r="D136" s="248" t="s">
        <v>818</v>
      </c>
      <c r="E136" s="248"/>
      <c r="F136" s="247" t="s">
        <v>92</v>
      </c>
      <c r="G136" s="269">
        <f>SUM(G137:G138)</f>
        <v>83.907150000000016</v>
      </c>
      <c r="H136" s="245"/>
      <c r="I136" s="244" t="s">
        <v>95</v>
      </c>
      <c r="J136" s="233">
        <f t="shared" ref="J136:J154" si="50">G136*AO136</f>
        <v>0</v>
      </c>
      <c r="K136" s="243">
        <f t="shared" ref="K136:K154" si="51">G136*AP136</f>
        <v>0</v>
      </c>
      <c r="L136" s="242">
        <f t="shared" ref="L136:L154" si="52">G136*H136</f>
        <v>0</v>
      </c>
      <c r="M136" s="233">
        <f t="shared" ref="M136:M154" si="53">L136*(1+BW136/100)</f>
        <v>0</v>
      </c>
      <c r="N136" s="241">
        <v>3.1E-4</v>
      </c>
      <c r="O136" s="240">
        <f t="shared" ref="O136:O152" si="54">G136*N136</f>
        <v>2.6011216500000003E-2</v>
      </c>
      <c r="P136" s="213" t="s">
        <v>769</v>
      </c>
      <c r="Z136" s="268">
        <f t="shared" ref="Z136:Z154" si="55">IF(AQ136="5",BJ136,0)</f>
        <v>0</v>
      </c>
      <c r="AB136" s="268">
        <f t="shared" ref="AB136:AB154" si="56">IF(AQ136="1",BH136,0)</f>
        <v>0</v>
      </c>
      <c r="AC136" s="268">
        <f t="shared" ref="AC136:AC154" si="57">IF(AQ136="1",BI136,0)</f>
        <v>0</v>
      </c>
      <c r="AD136" s="268">
        <f t="shared" ref="AD136:AD154" si="58">IF(AQ136="7",BH136,0)</f>
        <v>0</v>
      </c>
      <c r="AE136" s="268">
        <f t="shared" ref="AE136:AE154" si="59">IF(AQ136="7",BI136,0)</f>
        <v>0</v>
      </c>
      <c r="AF136" s="268">
        <f t="shared" ref="AF136:AF154" si="60">IF(AQ136="2",BH136,0)</f>
        <v>0</v>
      </c>
      <c r="AG136" s="268">
        <f t="shared" ref="AG136:AG154" si="61">IF(AQ136="2",BI136,0)</f>
        <v>0</v>
      </c>
      <c r="AH136" s="268">
        <f t="shared" ref="AH136:AH154" si="62">IF(AQ136="0",BJ136,0)</f>
        <v>0</v>
      </c>
      <c r="AI136" s="268" t="s">
        <v>43</v>
      </c>
      <c r="AJ136" s="268">
        <f t="shared" ref="AJ136:AJ154" si="63">IF(AN136=0,L136,0)</f>
        <v>0</v>
      </c>
      <c r="AK136" s="268">
        <f t="shared" ref="AK136:AK154" si="64">IF(AN136=12,L136,0)</f>
        <v>0</v>
      </c>
      <c r="AL136" s="268">
        <f t="shared" ref="AL136:AL154" si="65">IF(AN136=21,L136,0)</f>
        <v>0</v>
      </c>
      <c r="AN136" s="268">
        <v>12</v>
      </c>
      <c r="AO136" s="268">
        <f>H136*0.482618669</f>
        <v>0</v>
      </c>
      <c r="AP136" s="268">
        <f>H136*(1-0.482618669)</f>
        <v>0</v>
      </c>
      <c r="AQ136" s="268" t="s">
        <v>93</v>
      </c>
      <c r="AV136" s="268">
        <f t="shared" ref="AV136:AV154" si="66">AW136+AX136</f>
        <v>0</v>
      </c>
      <c r="AW136" s="268">
        <f t="shared" ref="AW136:AW154" si="67">G136*AO136</f>
        <v>0</v>
      </c>
      <c r="AX136" s="268">
        <f t="shared" ref="AX136:AX154" si="68">G136*AP136</f>
        <v>0</v>
      </c>
      <c r="AY136" s="268" t="s">
        <v>805</v>
      </c>
      <c r="AZ136" s="268" t="s">
        <v>798</v>
      </c>
      <c r="BA136" s="268" t="s">
        <v>85</v>
      </c>
      <c r="BC136" s="268">
        <f t="shared" ref="BC136:BC154" si="69">AW136+AX136</f>
        <v>0</v>
      </c>
      <c r="BD136" s="268">
        <f t="shared" ref="BD136:BD154" si="70">H136/(100-BE136)*100</f>
        <v>0</v>
      </c>
      <c r="BE136" s="268">
        <v>0</v>
      </c>
      <c r="BF136" s="268">
        <f t="shared" ref="BF136:BF154" si="71">O136</f>
        <v>2.6011216500000003E-2</v>
      </c>
      <c r="BH136" s="268">
        <f t="shared" ref="BH136:BH154" si="72">G136*AO136</f>
        <v>0</v>
      </c>
      <c r="BI136" s="268">
        <f t="shared" ref="BI136:BI154" si="73">G136*AP136</f>
        <v>0</v>
      </c>
      <c r="BJ136" s="268">
        <f t="shared" ref="BJ136:BJ154" si="74">G136*H136</f>
        <v>0</v>
      </c>
      <c r="BL136" s="268">
        <v>713</v>
      </c>
      <c r="BW136" s="268" t="str">
        <f t="shared" ref="BW136:BW154" si="75">I136</f>
        <v>12</v>
      </c>
      <c r="BX136" s="268" t="s">
        <v>804</v>
      </c>
    </row>
    <row r="137" spans="1:76" s="230" customFormat="1" ht="6.75" customHeight="1" x14ac:dyDescent="0.25">
      <c r="A137" s="274"/>
      <c r="B137" s="276"/>
      <c r="C137" s="275" t="s">
        <v>90</v>
      </c>
      <c r="D137" s="274"/>
      <c r="E137" s="238" t="str">
        <f>D416</f>
        <v>Obložení stěn aglomer. desky nad 1,5 m2</v>
      </c>
      <c r="F137" s="265" t="s">
        <v>92</v>
      </c>
      <c r="G137" s="236">
        <f>G416</f>
        <v>64.919900000000013</v>
      </c>
      <c r="H137" s="235"/>
      <c r="I137" s="235"/>
      <c r="J137" s="234"/>
      <c r="K137" s="234"/>
      <c r="L137" s="233"/>
      <c r="M137" s="233"/>
      <c r="N137" s="232"/>
      <c r="O137" s="231"/>
    </row>
    <row r="138" spans="1:76" s="230" customFormat="1" ht="6.75" customHeight="1" x14ac:dyDescent="0.25">
      <c r="A138" s="361"/>
      <c r="B138" s="276"/>
      <c r="C138" s="275" t="s">
        <v>90</v>
      </c>
      <c r="D138" s="541"/>
      <c r="E138" s="238" t="str">
        <f>E380</f>
        <v>stěny vnitřní příčky</v>
      </c>
      <c r="F138" s="265" t="s">
        <v>92</v>
      </c>
      <c r="G138" s="236">
        <f>G380</f>
        <v>18.98725</v>
      </c>
      <c r="H138" s="235"/>
      <c r="I138" s="235"/>
      <c r="J138" s="234"/>
      <c r="K138" s="234"/>
      <c r="L138" s="233"/>
      <c r="M138" s="233"/>
      <c r="N138" s="232"/>
      <c r="O138" s="231"/>
    </row>
    <row r="139" spans="1:76" s="268" customFormat="1" x14ac:dyDescent="0.2">
      <c r="A139" s="251">
        <f>A136+1</f>
        <v>33</v>
      </c>
      <c r="B139" s="250" t="s">
        <v>43</v>
      </c>
      <c r="C139" s="249" t="s">
        <v>806</v>
      </c>
      <c r="D139" s="248" t="s">
        <v>819</v>
      </c>
      <c r="E139" s="248"/>
      <c r="F139" s="247" t="s">
        <v>92</v>
      </c>
      <c r="G139" s="269">
        <f>SUM(G140:G141)</f>
        <v>70.113492000000008</v>
      </c>
      <c r="H139" s="245"/>
      <c r="I139" s="244" t="s">
        <v>95</v>
      </c>
      <c r="J139" s="233">
        <f>G139*AO139</f>
        <v>0</v>
      </c>
      <c r="K139" s="243">
        <f>G139*AP139</f>
        <v>0</v>
      </c>
      <c r="L139" s="242">
        <f>G139*H139</f>
        <v>0</v>
      </c>
      <c r="M139" s="233">
        <f>L139*(1+BW139/100)</f>
        <v>0</v>
      </c>
      <c r="N139" s="241">
        <v>1.12E-2</v>
      </c>
      <c r="O139" s="240">
        <f>G139*N139</f>
        <v>0.78527111040000008</v>
      </c>
      <c r="P139" s="213" t="s">
        <v>769</v>
      </c>
      <c r="Z139" s="268">
        <f>IF(AQ139="5",BJ139,0)</f>
        <v>0</v>
      </c>
      <c r="AB139" s="268">
        <f>IF(AQ139="1",BH139,0)</f>
        <v>0</v>
      </c>
      <c r="AC139" s="268">
        <f>IF(AQ139="1",BI139,0)</f>
        <v>0</v>
      </c>
      <c r="AD139" s="268">
        <f>IF(AQ139="7",BH139,0)</f>
        <v>0</v>
      </c>
      <c r="AE139" s="268">
        <f>IF(AQ139="7",BI139,0)</f>
        <v>0</v>
      </c>
      <c r="AF139" s="268">
        <f>IF(AQ139="2",BH139,0)</f>
        <v>0</v>
      </c>
      <c r="AG139" s="268">
        <f>IF(AQ139="2",BI139,0)</f>
        <v>0</v>
      </c>
      <c r="AH139" s="268">
        <f>IF(AQ139="0",BJ139,0)</f>
        <v>0</v>
      </c>
      <c r="AI139" s="268" t="s">
        <v>43</v>
      </c>
      <c r="AJ139" s="268">
        <f>IF(AN139=0,L139,0)</f>
        <v>0</v>
      </c>
      <c r="AK139" s="268">
        <f>IF(AN139=12,L139,0)</f>
        <v>0</v>
      </c>
      <c r="AL139" s="268">
        <f>IF(AN139=21,L139,0)</f>
        <v>0</v>
      </c>
      <c r="AN139" s="268">
        <v>12</v>
      </c>
      <c r="AO139" s="268">
        <f>H139*1</f>
        <v>0</v>
      </c>
      <c r="AP139" s="268">
        <f>H139*(1-1)</f>
        <v>0</v>
      </c>
      <c r="AQ139" s="268" t="s">
        <v>285</v>
      </c>
      <c r="AV139" s="268">
        <f>AW139+AX139</f>
        <v>0</v>
      </c>
      <c r="AW139" s="268">
        <f>G139*AO139</f>
        <v>0</v>
      </c>
      <c r="AX139" s="268">
        <f>G139*AP139</f>
        <v>0</v>
      </c>
      <c r="AY139" s="268" t="s">
        <v>286</v>
      </c>
      <c r="AZ139" s="268" t="s">
        <v>287</v>
      </c>
      <c r="BA139" s="268" t="s">
        <v>85</v>
      </c>
      <c r="BC139" s="268">
        <f>AW139+AX139</f>
        <v>0</v>
      </c>
      <c r="BD139" s="268">
        <f>H139/(100-BE139)*100</f>
        <v>0</v>
      </c>
      <c r="BE139" s="268">
        <v>0</v>
      </c>
      <c r="BF139" s="268">
        <f>O139</f>
        <v>0.78527111040000008</v>
      </c>
      <c r="BH139" s="268">
        <f>G139*AO139</f>
        <v>0</v>
      </c>
      <c r="BI139" s="268">
        <f>G139*AP139</f>
        <v>0</v>
      </c>
      <c r="BJ139" s="268">
        <f>G139*H139</f>
        <v>0</v>
      </c>
      <c r="BW139" s="268" t="str">
        <f>I139</f>
        <v>12</v>
      </c>
      <c r="BX139" s="268" t="s">
        <v>807</v>
      </c>
    </row>
    <row r="140" spans="1:76" s="230" customFormat="1" ht="6.75" customHeight="1" x14ac:dyDescent="0.25">
      <c r="A140" s="362"/>
      <c r="B140" s="276"/>
      <c r="C140" s="275" t="s">
        <v>90</v>
      </c>
      <c r="D140" s="541"/>
      <c r="E140" s="238" t="str">
        <f>E137</f>
        <v>Obložení stěn aglomer. desky nad 1,5 m2</v>
      </c>
      <c r="F140" s="265" t="s">
        <v>92</v>
      </c>
      <c r="G140" s="236">
        <f>G137</f>
        <v>64.919900000000013</v>
      </c>
      <c r="H140" s="235"/>
      <c r="I140" s="235"/>
      <c r="J140" s="234"/>
      <c r="K140" s="234"/>
      <c r="L140" s="233"/>
      <c r="M140" s="233"/>
      <c r="N140" s="232"/>
      <c r="O140" s="231"/>
    </row>
    <row r="141" spans="1:76" s="230" customFormat="1" ht="6.75" customHeight="1" x14ac:dyDescent="0.25">
      <c r="A141" s="361">
        <f>SUM(G140:G140)</f>
        <v>64.919900000000013</v>
      </c>
      <c r="B141" s="542"/>
      <c r="C141" s="277"/>
      <c r="D141" s="543">
        <v>0.08</v>
      </c>
      <c r="E141" s="238" t="s">
        <v>320</v>
      </c>
      <c r="F141" s="265" t="s">
        <v>92</v>
      </c>
      <c r="G141" s="236">
        <f>D141*A141</f>
        <v>5.1935920000000015</v>
      </c>
      <c r="H141" s="235"/>
      <c r="I141" s="235"/>
      <c r="J141" s="234"/>
      <c r="K141" s="234"/>
      <c r="L141" s="233"/>
      <c r="M141" s="233"/>
      <c r="N141" s="232"/>
      <c r="O141" s="231"/>
    </row>
    <row r="142" spans="1:76" s="268" customFormat="1" x14ac:dyDescent="0.2">
      <c r="A142" s="251">
        <f>A139+1</f>
        <v>34</v>
      </c>
      <c r="B142" s="250" t="s">
        <v>43</v>
      </c>
      <c r="C142" s="249" t="s">
        <v>821</v>
      </c>
      <c r="D142" s="248" t="s">
        <v>822</v>
      </c>
      <c r="E142" s="248"/>
      <c r="F142" s="247" t="s">
        <v>92</v>
      </c>
      <c r="G142" s="269">
        <f>SUM(G143:G144)</f>
        <v>20.506229999999999</v>
      </c>
      <c r="H142" s="245"/>
      <c r="I142" s="244" t="s">
        <v>95</v>
      </c>
      <c r="J142" s="233">
        <f t="shared" ref="J142" si="76">G142*AO142</f>
        <v>0</v>
      </c>
      <c r="K142" s="243">
        <f t="shared" ref="K142" si="77">G142*AP142</f>
        <v>0</v>
      </c>
      <c r="L142" s="242">
        <f t="shared" ref="L142" si="78">G142*H142</f>
        <v>0</v>
      </c>
      <c r="M142" s="233">
        <f t="shared" ref="M142" si="79">L142*(1+BW142/100)</f>
        <v>0</v>
      </c>
      <c r="N142" s="241">
        <v>2E-3</v>
      </c>
      <c r="O142" s="240">
        <f t="shared" ref="O142" si="80">G142*N142</f>
        <v>4.1012460000000001E-2</v>
      </c>
      <c r="P142" s="213" t="s">
        <v>769</v>
      </c>
      <c r="Z142" s="268">
        <f t="shared" ref="Z142" si="81">IF(AQ142="5",BJ142,0)</f>
        <v>0</v>
      </c>
      <c r="AB142" s="268">
        <f t="shared" ref="AB142" si="82">IF(AQ142="1",BH142,0)</f>
        <v>0</v>
      </c>
      <c r="AC142" s="268">
        <f t="shared" ref="AC142" si="83">IF(AQ142="1",BI142,0)</f>
        <v>0</v>
      </c>
      <c r="AD142" s="268">
        <f t="shared" ref="AD142" si="84">IF(AQ142="7",BH142,0)</f>
        <v>0</v>
      </c>
      <c r="AE142" s="268">
        <f t="shared" ref="AE142" si="85">IF(AQ142="7",BI142,0)</f>
        <v>0</v>
      </c>
      <c r="AF142" s="268">
        <f t="shared" ref="AF142" si="86">IF(AQ142="2",BH142,0)</f>
        <v>0</v>
      </c>
      <c r="AG142" s="268">
        <f t="shared" ref="AG142" si="87">IF(AQ142="2",BI142,0)</f>
        <v>0</v>
      </c>
      <c r="AH142" s="268">
        <f t="shared" ref="AH142" si="88">IF(AQ142="0",BJ142,0)</f>
        <v>0</v>
      </c>
      <c r="AI142" s="268" t="s">
        <v>43</v>
      </c>
      <c r="AJ142" s="268">
        <f t="shared" ref="AJ142" si="89">IF(AN142=0,L142,0)</f>
        <v>0</v>
      </c>
      <c r="AK142" s="268">
        <f t="shared" ref="AK142" si="90">IF(AN142=12,L142,0)</f>
        <v>0</v>
      </c>
      <c r="AL142" s="268">
        <f t="shared" ref="AL142" si="91">IF(AN142=21,L142,0)</f>
        <v>0</v>
      </c>
      <c r="AN142" s="268">
        <v>12</v>
      </c>
      <c r="AO142" s="268">
        <f>H142*1</f>
        <v>0</v>
      </c>
      <c r="AP142" s="268">
        <f>H142*(1-1)</f>
        <v>0</v>
      </c>
      <c r="AQ142" s="268" t="s">
        <v>93</v>
      </c>
      <c r="AV142" s="268">
        <f t="shared" ref="AV142" si="92">AW142+AX142</f>
        <v>0</v>
      </c>
      <c r="AW142" s="268">
        <f t="shared" ref="AW142" si="93">G142*AO142</f>
        <v>0</v>
      </c>
      <c r="AX142" s="268">
        <f t="shared" ref="AX142" si="94">G142*AP142</f>
        <v>0</v>
      </c>
      <c r="AY142" s="268" t="s">
        <v>805</v>
      </c>
      <c r="AZ142" s="268" t="s">
        <v>798</v>
      </c>
      <c r="BA142" s="268" t="s">
        <v>85</v>
      </c>
      <c r="BC142" s="268">
        <f t="shared" ref="BC142" si="95">AW142+AX142</f>
        <v>0</v>
      </c>
      <c r="BD142" s="268">
        <f t="shared" ref="BD142" si="96">H142/(100-BE142)*100</f>
        <v>0</v>
      </c>
      <c r="BE142" s="268">
        <v>0</v>
      </c>
      <c r="BF142" s="268">
        <f t="shared" ref="BF142" si="97">O142</f>
        <v>4.1012460000000001E-2</v>
      </c>
      <c r="BH142" s="268">
        <f t="shared" ref="BH142" si="98">G142*AO142</f>
        <v>0</v>
      </c>
      <c r="BI142" s="268">
        <f t="shared" ref="BI142" si="99">G142*AP142</f>
        <v>0</v>
      </c>
      <c r="BJ142" s="268">
        <f t="shared" ref="BJ142" si="100">G142*H142</f>
        <v>0</v>
      </c>
      <c r="BL142" s="268">
        <v>713</v>
      </c>
      <c r="BW142" s="268" t="str">
        <f t="shared" ref="BW142" si="101">I142</f>
        <v>12</v>
      </c>
      <c r="BX142" s="268" t="s">
        <v>813</v>
      </c>
    </row>
    <row r="143" spans="1:76" s="230" customFormat="1" ht="6.75" customHeight="1" x14ac:dyDescent="0.25">
      <c r="A143" s="362"/>
      <c r="B143" s="276"/>
      <c r="C143" s="275" t="s">
        <v>90</v>
      </c>
      <c r="D143" s="541"/>
      <c r="E143" s="238" t="str">
        <f>E138</f>
        <v>stěny vnitřní příčky</v>
      </c>
      <c r="F143" s="265" t="s">
        <v>92</v>
      </c>
      <c r="G143" s="236">
        <f>G138</f>
        <v>18.98725</v>
      </c>
      <c r="H143" s="235"/>
      <c r="I143" s="235"/>
      <c r="J143" s="234"/>
      <c r="K143" s="234"/>
      <c r="L143" s="233"/>
      <c r="M143" s="233"/>
      <c r="N143" s="232"/>
      <c r="O143" s="231"/>
    </row>
    <row r="144" spans="1:76" s="230" customFormat="1" ht="6.75" customHeight="1" x14ac:dyDescent="0.25">
      <c r="A144" s="361">
        <f>SUM(G143:G143)</f>
        <v>18.98725</v>
      </c>
      <c r="B144" s="542"/>
      <c r="C144" s="277"/>
      <c r="D144" s="543">
        <v>0.08</v>
      </c>
      <c r="E144" s="238" t="s">
        <v>320</v>
      </c>
      <c r="F144" s="265" t="s">
        <v>92</v>
      </c>
      <c r="G144" s="236">
        <f>D144*A144</f>
        <v>1.51898</v>
      </c>
      <c r="H144" s="235"/>
      <c r="I144" s="235"/>
      <c r="J144" s="234"/>
      <c r="K144" s="234"/>
      <c r="L144" s="233"/>
      <c r="M144" s="233"/>
      <c r="N144" s="232"/>
      <c r="O144" s="231"/>
    </row>
    <row r="145" spans="1:76" s="268" customFormat="1" x14ac:dyDescent="0.2">
      <c r="A145" s="251">
        <f>A142+1</f>
        <v>35</v>
      </c>
      <c r="B145" s="250" t="s">
        <v>43</v>
      </c>
      <c r="C145" s="249" t="s">
        <v>808</v>
      </c>
      <c r="D145" s="248" t="s">
        <v>820</v>
      </c>
      <c r="E145" s="248"/>
      <c r="F145" s="247" t="s">
        <v>92</v>
      </c>
      <c r="G145" s="269">
        <f>SUM(G146:G146)</f>
        <v>76.362300000000005</v>
      </c>
      <c r="H145" s="245"/>
      <c r="I145" s="244" t="s">
        <v>95</v>
      </c>
      <c r="J145" s="233">
        <f t="shared" si="50"/>
        <v>0</v>
      </c>
      <c r="K145" s="243">
        <f t="shared" si="51"/>
        <v>0</v>
      </c>
      <c r="L145" s="242">
        <f t="shared" si="52"/>
        <v>0</v>
      </c>
      <c r="M145" s="233">
        <f t="shared" si="53"/>
        <v>0</v>
      </c>
      <c r="N145" s="241">
        <v>2.5999999999999998E-4</v>
      </c>
      <c r="O145" s="240">
        <f t="shared" si="54"/>
        <v>1.9854198E-2</v>
      </c>
      <c r="P145" s="213" t="s">
        <v>769</v>
      </c>
      <c r="Z145" s="268">
        <f t="shared" si="55"/>
        <v>0</v>
      </c>
      <c r="AB145" s="268">
        <f t="shared" si="56"/>
        <v>0</v>
      </c>
      <c r="AC145" s="268">
        <f t="shared" si="57"/>
        <v>0</v>
      </c>
      <c r="AD145" s="268">
        <f t="shared" si="58"/>
        <v>0</v>
      </c>
      <c r="AE145" s="268">
        <f t="shared" si="59"/>
        <v>0</v>
      </c>
      <c r="AF145" s="268">
        <f t="shared" si="60"/>
        <v>0</v>
      </c>
      <c r="AG145" s="268">
        <f t="shared" si="61"/>
        <v>0</v>
      </c>
      <c r="AH145" s="268">
        <f t="shared" si="62"/>
        <v>0</v>
      </c>
      <c r="AI145" s="268" t="s">
        <v>43</v>
      </c>
      <c r="AJ145" s="268">
        <f t="shared" si="63"/>
        <v>0</v>
      </c>
      <c r="AK145" s="268">
        <f t="shared" si="64"/>
        <v>0</v>
      </c>
      <c r="AL145" s="268">
        <f t="shared" si="65"/>
        <v>0</v>
      </c>
      <c r="AN145" s="268">
        <v>12</v>
      </c>
      <c r="AO145" s="268">
        <f>H145*0.680834725</f>
        <v>0</v>
      </c>
      <c r="AP145" s="268">
        <f>H145*(1-0.680834725)</f>
        <v>0</v>
      </c>
      <c r="AQ145" s="268" t="s">
        <v>93</v>
      </c>
      <c r="AV145" s="268">
        <f t="shared" si="66"/>
        <v>0</v>
      </c>
      <c r="AW145" s="268">
        <f t="shared" si="67"/>
        <v>0</v>
      </c>
      <c r="AX145" s="268">
        <f t="shared" si="68"/>
        <v>0</v>
      </c>
      <c r="AY145" s="268" t="s">
        <v>805</v>
      </c>
      <c r="AZ145" s="268" t="s">
        <v>798</v>
      </c>
      <c r="BA145" s="268" t="s">
        <v>85</v>
      </c>
      <c r="BC145" s="268">
        <f t="shared" si="69"/>
        <v>0</v>
      </c>
      <c r="BD145" s="268">
        <f t="shared" si="70"/>
        <v>0</v>
      </c>
      <c r="BE145" s="268">
        <v>0</v>
      </c>
      <c r="BF145" s="268">
        <f t="shared" si="71"/>
        <v>1.9854198E-2</v>
      </c>
      <c r="BH145" s="268">
        <f t="shared" si="72"/>
        <v>0</v>
      </c>
      <c r="BI145" s="268">
        <f t="shared" si="73"/>
        <v>0</v>
      </c>
      <c r="BJ145" s="268">
        <f t="shared" si="74"/>
        <v>0</v>
      </c>
      <c r="BL145" s="268">
        <v>713</v>
      </c>
      <c r="BW145" s="268" t="str">
        <f t="shared" si="75"/>
        <v>12</v>
      </c>
      <c r="BX145" s="268" t="s">
        <v>809</v>
      </c>
    </row>
    <row r="146" spans="1:76" s="230" customFormat="1" ht="6.75" customHeight="1" x14ac:dyDescent="0.25">
      <c r="A146" s="361"/>
      <c r="B146" s="276"/>
      <c r="C146" s="275" t="s">
        <v>90</v>
      </c>
      <c r="D146" s="541"/>
      <c r="E146" s="238" t="str">
        <f>D382</f>
        <v>Obložení stěn palubkami MD, š. do 10 cm</v>
      </c>
      <c r="F146" s="265" t="s">
        <v>92</v>
      </c>
      <c r="G146" s="236">
        <f>G382</f>
        <v>76.362300000000005</v>
      </c>
      <c r="H146" s="235"/>
      <c r="I146" s="235"/>
      <c r="J146" s="234"/>
      <c r="K146" s="234"/>
      <c r="L146" s="233"/>
      <c r="M146" s="233"/>
      <c r="N146" s="232"/>
      <c r="O146" s="231"/>
    </row>
    <row r="147" spans="1:76" s="268" customFormat="1" x14ac:dyDescent="0.2">
      <c r="A147" s="251">
        <f>A145+1</f>
        <v>36</v>
      </c>
      <c r="B147" s="250" t="s">
        <v>43</v>
      </c>
      <c r="C147" s="249" t="s">
        <v>810</v>
      </c>
      <c r="D147" s="248" t="s">
        <v>811</v>
      </c>
      <c r="E147" s="248"/>
      <c r="F147" s="247" t="s">
        <v>92</v>
      </c>
      <c r="G147" s="269">
        <f>SUM(G148:G148)</f>
        <v>47.86</v>
      </c>
      <c r="H147" s="245"/>
      <c r="I147" s="244" t="s">
        <v>95</v>
      </c>
      <c r="J147" s="233">
        <f t="shared" si="50"/>
        <v>0</v>
      </c>
      <c r="K147" s="243">
        <f t="shared" si="51"/>
        <v>0</v>
      </c>
      <c r="L147" s="242">
        <f t="shared" si="52"/>
        <v>0</v>
      </c>
      <c r="M147" s="233">
        <f t="shared" si="53"/>
        <v>0</v>
      </c>
      <c r="N147" s="241">
        <v>0</v>
      </c>
      <c r="O147" s="240">
        <f t="shared" si="54"/>
        <v>0</v>
      </c>
      <c r="P147" s="213" t="s">
        <v>769</v>
      </c>
      <c r="Z147" s="268">
        <f t="shared" si="55"/>
        <v>0</v>
      </c>
      <c r="AB147" s="268">
        <f t="shared" si="56"/>
        <v>0</v>
      </c>
      <c r="AC147" s="268">
        <f t="shared" si="57"/>
        <v>0</v>
      </c>
      <c r="AD147" s="268">
        <f t="shared" si="58"/>
        <v>0</v>
      </c>
      <c r="AE147" s="268">
        <f t="shared" si="59"/>
        <v>0</v>
      </c>
      <c r="AF147" s="268">
        <f t="shared" si="60"/>
        <v>0</v>
      </c>
      <c r="AG147" s="268">
        <f t="shared" si="61"/>
        <v>0</v>
      </c>
      <c r="AH147" s="268">
        <f t="shared" si="62"/>
        <v>0</v>
      </c>
      <c r="AI147" s="268" t="s">
        <v>43</v>
      </c>
      <c r="AJ147" s="268">
        <f t="shared" si="63"/>
        <v>0</v>
      </c>
      <c r="AK147" s="268">
        <f t="shared" si="64"/>
        <v>0</v>
      </c>
      <c r="AL147" s="268">
        <f t="shared" si="65"/>
        <v>0</v>
      </c>
      <c r="AN147" s="268">
        <v>12</v>
      </c>
      <c r="AO147" s="268">
        <f>H147*0</f>
        <v>0</v>
      </c>
      <c r="AP147" s="268">
        <f>H147*(1-0)</f>
        <v>0</v>
      </c>
      <c r="AQ147" s="268" t="s">
        <v>93</v>
      </c>
      <c r="AV147" s="268">
        <f t="shared" si="66"/>
        <v>0</v>
      </c>
      <c r="AW147" s="268">
        <f t="shared" si="67"/>
        <v>0</v>
      </c>
      <c r="AX147" s="268">
        <f t="shared" si="68"/>
        <v>0</v>
      </c>
      <c r="AY147" s="268" t="s">
        <v>805</v>
      </c>
      <c r="AZ147" s="268" t="s">
        <v>798</v>
      </c>
      <c r="BA147" s="268" t="s">
        <v>85</v>
      </c>
      <c r="BC147" s="268">
        <f t="shared" si="69"/>
        <v>0</v>
      </c>
      <c r="BD147" s="268">
        <f t="shared" si="70"/>
        <v>0</v>
      </c>
      <c r="BE147" s="268">
        <v>0</v>
      </c>
      <c r="BF147" s="268">
        <f t="shared" si="71"/>
        <v>0</v>
      </c>
      <c r="BH147" s="268">
        <f t="shared" si="72"/>
        <v>0</v>
      </c>
      <c r="BI147" s="268">
        <f t="shared" si="73"/>
        <v>0</v>
      </c>
      <c r="BJ147" s="268">
        <f t="shared" si="74"/>
        <v>0</v>
      </c>
      <c r="BL147" s="268">
        <v>713</v>
      </c>
      <c r="BW147" s="268" t="str">
        <f t="shared" si="75"/>
        <v>12</v>
      </c>
      <c r="BX147" s="268" t="s">
        <v>811</v>
      </c>
    </row>
    <row r="148" spans="1:76" s="230" customFormat="1" ht="6.75" customHeight="1" x14ac:dyDescent="0.25">
      <c r="A148" s="362"/>
      <c r="B148" s="276"/>
      <c r="C148" s="275" t="s">
        <v>90</v>
      </c>
      <c r="D148" s="541"/>
      <c r="E148" s="238" t="str">
        <f>D419</f>
        <v>Obložení podhledů aglom. desky nad 1,5 m2</v>
      </c>
      <c r="F148" s="265" t="s">
        <v>92</v>
      </c>
      <c r="G148" s="236">
        <f>G419</f>
        <v>47.86</v>
      </c>
      <c r="H148" s="583"/>
      <c r="I148" s="235"/>
      <c r="J148" s="234"/>
      <c r="K148" s="234"/>
      <c r="L148" s="233"/>
      <c r="M148" s="233"/>
      <c r="N148" s="232"/>
      <c r="O148" s="231"/>
    </row>
    <row r="149" spans="1:76" s="268" customFormat="1" x14ac:dyDescent="0.2">
      <c r="A149" s="251">
        <f>A147+1</f>
        <v>37</v>
      </c>
      <c r="B149" s="250" t="s">
        <v>43</v>
      </c>
      <c r="C149" s="249" t="s">
        <v>812</v>
      </c>
      <c r="D149" s="248" t="s">
        <v>813</v>
      </c>
      <c r="E149" s="248"/>
      <c r="F149" s="247" t="s">
        <v>92</v>
      </c>
      <c r="G149" s="269">
        <f>SUM(G150:G151)</f>
        <v>51.688800000000001</v>
      </c>
      <c r="H149" s="245"/>
      <c r="I149" s="244" t="s">
        <v>95</v>
      </c>
      <c r="J149" s="233">
        <f t="shared" si="50"/>
        <v>0</v>
      </c>
      <c r="K149" s="243">
        <f t="shared" si="51"/>
        <v>0</v>
      </c>
      <c r="L149" s="242">
        <f t="shared" si="52"/>
        <v>0</v>
      </c>
      <c r="M149" s="233">
        <f t="shared" si="53"/>
        <v>0</v>
      </c>
      <c r="N149" s="241">
        <v>3.5999999999999999E-3</v>
      </c>
      <c r="O149" s="240">
        <f t="shared" si="54"/>
        <v>0.18607968</v>
      </c>
      <c r="P149" s="213" t="s">
        <v>769</v>
      </c>
      <c r="Z149" s="268">
        <f t="shared" si="55"/>
        <v>0</v>
      </c>
      <c r="AB149" s="268">
        <f t="shared" si="56"/>
        <v>0</v>
      </c>
      <c r="AC149" s="268">
        <f t="shared" si="57"/>
        <v>0</v>
      </c>
      <c r="AD149" s="268">
        <f t="shared" si="58"/>
        <v>0</v>
      </c>
      <c r="AE149" s="268">
        <f t="shared" si="59"/>
        <v>0</v>
      </c>
      <c r="AF149" s="268">
        <f t="shared" si="60"/>
        <v>0</v>
      </c>
      <c r="AG149" s="268">
        <f t="shared" si="61"/>
        <v>0</v>
      </c>
      <c r="AH149" s="268">
        <f t="shared" si="62"/>
        <v>0</v>
      </c>
      <c r="AI149" s="268" t="s">
        <v>43</v>
      </c>
      <c r="AJ149" s="268">
        <f t="shared" si="63"/>
        <v>0</v>
      </c>
      <c r="AK149" s="268">
        <f t="shared" si="64"/>
        <v>0</v>
      </c>
      <c r="AL149" s="268">
        <f t="shared" si="65"/>
        <v>0</v>
      </c>
      <c r="AN149" s="268">
        <v>12</v>
      </c>
      <c r="AO149" s="268">
        <f>H149*1</f>
        <v>0</v>
      </c>
      <c r="AP149" s="268">
        <f>H149*(1-1)</f>
        <v>0</v>
      </c>
      <c r="AQ149" s="268" t="s">
        <v>93</v>
      </c>
      <c r="AV149" s="268">
        <f t="shared" si="66"/>
        <v>0</v>
      </c>
      <c r="AW149" s="268">
        <f t="shared" si="67"/>
        <v>0</v>
      </c>
      <c r="AX149" s="268">
        <f t="shared" si="68"/>
        <v>0</v>
      </c>
      <c r="AY149" s="268" t="s">
        <v>805</v>
      </c>
      <c r="AZ149" s="268" t="s">
        <v>798</v>
      </c>
      <c r="BA149" s="268" t="s">
        <v>85</v>
      </c>
      <c r="BC149" s="268">
        <f t="shared" si="69"/>
        <v>0</v>
      </c>
      <c r="BD149" s="268">
        <f t="shared" si="70"/>
        <v>0</v>
      </c>
      <c r="BE149" s="268">
        <v>0</v>
      </c>
      <c r="BF149" s="268">
        <f t="shared" si="71"/>
        <v>0.18607968</v>
      </c>
      <c r="BH149" s="268">
        <f t="shared" si="72"/>
        <v>0</v>
      </c>
      <c r="BI149" s="268">
        <f t="shared" si="73"/>
        <v>0</v>
      </c>
      <c r="BJ149" s="268">
        <f t="shared" si="74"/>
        <v>0</v>
      </c>
      <c r="BL149" s="268">
        <v>713</v>
      </c>
      <c r="BW149" s="268" t="str">
        <f t="shared" si="75"/>
        <v>12</v>
      </c>
      <c r="BX149" s="268" t="s">
        <v>813</v>
      </c>
    </row>
    <row r="150" spans="1:76" s="230" customFormat="1" ht="6.75" customHeight="1" x14ac:dyDescent="0.25">
      <c r="A150" s="362"/>
      <c r="B150" s="276"/>
      <c r="C150" s="275" t="s">
        <v>90</v>
      </c>
      <c r="D150" s="541"/>
      <c r="E150" s="238" t="str">
        <f>D147</f>
        <v>Montáž tepelné izolace stropů vrchem kladené, volně</v>
      </c>
      <c r="F150" s="265" t="s">
        <v>92</v>
      </c>
      <c r="G150" s="236">
        <f>G147</f>
        <v>47.86</v>
      </c>
      <c r="H150" s="235"/>
      <c r="I150" s="235"/>
      <c r="J150" s="234"/>
      <c r="K150" s="234"/>
      <c r="L150" s="233"/>
      <c r="M150" s="233"/>
      <c r="N150" s="232"/>
      <c r="O150" s="231"/>
    </row>
    <row r="151" spans="1:76" s="230" customFormat="1" ht="6.75" customHeight="1" x14ac:dyDescent="0.25">
      <c r="A151" s="361">
        <f>SUM(G150:G150)</f>
        <v>47.86</v>
      </c>
      <c r="B151" s="542"/>
      <c r="C151" s="277"/>
      <c r="D151" s="543">
        <v>0.08</v>
      </c>
      <c r="E151" s="238" t="s">
        <v>320</v>
      </c>
      <c r="F151" s="265" t="s">
        <v>92</v>
      </c>
      <c r="G151" s="236">
        <f>D151*A151</f>
        <v>3.8288000000000002</v>
      </c>
      <c r="H151" s="235"/>
      <c r="I151" s="235"/>
      <c r="J151" s="234"/>
      <c r="K151" s="234"/>
      <c r="L151" s="233"/>
      <c r="M151" s="233"/>
      <c r="N151" s="232"/>
      <c r="O151" s="231"/>
    </row>
    <row r="152" spans="1:76" s="268" customFormat="1" x14ac:dyDescent="0.2">
      <c r="A152" s="251">
        <f>A149+1</f>
        <v>38</v>
      </c>
      <c r="B152" s="250" t="s">
        <v>43</v>
      </c>
      <c r="C152" s="249" t="s">
        <v>814</v>
      </c>
      <c r="D152" s="248" t="s">
        <v>815</v>
      </c>
      <c r="E152" s="248"/>
      <c r="F152" s="247" t="s">
        <v>92</v>
      </c>
      <c r="G152" s="269">
        <f>SUM(G153:G153)</f>
        <v>47.86</v>
      </c>
      <c r="H152" s="245"/>
      <c r="I152" s="244" t="s">
        <v>95</v>
      </c>
      <c r="J152" s="233">
        <f t="shared" si="50"/>
        <v>0</v>
      </c>
      <c r="K152" s="243">
        <f t="shared" si="51"/>
        <v>0</v>
      </c>
      <c r="L152" s="242">
        <f t="shared" si="52"/>
        <v>0</v>
      </c>
      <c r="M152" s="233">
        <f t="shared" si="53"/>
        <v>0</v>
      </c>
      <c r="N152" s="241">
        <v>2.2000000000000001E-4</v>
      </c>
      <c r="O152" s="240">
        <f t="shared" si="54"/>
        <v>1.0529200000000001E-2</v>
      </c>
      <c r="P152" s="213" t="s">
        <v>769</v>
      </c>
      <c r="Z152" s="268">
        <f t="shared" si="55"/>
        <v>0</v>
      </c>
      <c r="AB152" s="268">
        <f t="shared" si="56"/>
        <v>0</v>
      </c>
      <c r="AC152" s="268">
        <f t="shared" si="57"/>
        <v>0</v>
      </c>
      <c r="AD152" s="268">
        <f t="shared" si="58"/>
        <v>0</v>
      </c>
      <c r="AE152" s="268">
        <f t="shared" si="59"/>
        <v>0</v>
      </c>
      <c r="AF152" s="268">
        <f t="shared" si="60"/>
        <v>0</v>
      </c>
      <c r="AG152" s="268">
        <f t="shared" si="61"/>
        <v>0</v>
      </c>
      <c r="AH152" s="268">
        <f t="shared" si="62"/>
        <v>0</v>
      </c>
      <c r="AI152" s="268" t="s">
        <v>43</v>
      </c>
      <c r="AJ152" s="268">
        <f t="shared" si="63"/>
        <v>0</v>
      </c>
      <c r="AK152" s="268">
        <f t="shared" si="64"/>
        <v>0</v>
      </c>
      <c r="AL152" s="268">
        <f t="shared" si="65"/>
        <v>0</v>
      </c>
      <c r="AN152" s="268">
        <v>12</v>
      </c>
      <c r="AO152" s="268">
        <f>H152*0.301463415</f>
        <v>0</v>
      </c>
      <c r="AP152" s="268">
        <f>H152*(1-0.301463415)</f>
        <v>0</v>
      </c>
      <c r="AQ152" s="268" t="s">
        <v>93</v>
      </c>
      <c r="AV152" s="268">
        <f t="shared" si="66"/>
        <v>0</v>
      </c>
      <c r="AW152" s="268">
        <f t="shared" si="67"/>
        <v>0</v>
      </c>
      <c r="AX152" s="268">
        <f t="shared" si="68"/>
        <v>0</v>
      </c>
      <c r="AY152" s="268" t="s">
        <v>805</v>
      </c>
      <c r="AZ152" s="268" t="s">
        <v>798</v>
      </c>
      <c r="BA152" s="268" t="s">
        <v>85</v>
      </c>
      <c r="BC152" s="268">
        <f t="shared" si="69"/>
        <v>0</v>
      </c>
      <c r="BD152" s="268">
        <f t="shared" si="70"/>
        <v>0</v>
      </c>
      <c r="BE152" s="268">
        <v>0</v>
      </c>
      <c r="BF152" s="268">
        <f t="shared" si="71"/>
        <v>1.0529200000000001E-2</v>
      </c>
      <c r="BH152" s="268">
        <f t="shared" si="72"/>
        <v>0</v>
      </c>
      <c r="BI152" s="268">
        <f t="shared" si="73"/>
        <v>0</v>
      </c>
      <c r="BJ152" s="268">
        <f t="shared" si="74"/>
        <v>0</v>
      </c>
      <c r="BL152" s="268">
        <v>713</v>
      </c>
      <c r="BW152" s="268" t="str">
        <f t="shared" si="75"/>
        <v>12</v>
      </c>
      <c r="BX152" s="268" t="s">
        <v>815</v>
      </c>
    </row>
    <row r="153" spans="1:76" s="230" customFormat="1" ht="6.75" customHeight="1" x14ac:dyDescent="0.25">
      <c r="A153" s="362"/>
      <c r="B153" s="276"/>
      <c r="C153" s="275" t="s">
        <v>90</v>
      </c>
      <c r="D153" s="541"/>
      <c r="E153" s="238" t="str">
        <f>E148</f>
        <v>Obložení podhledů aglom. desky nad 1,5 m2</v>
      </c>
      <c r="F153" s="265" t="s">
        <v>92</v>
      </c>
      <c r="G153" s="236">
        <f>G148</f>
        <v>47.86</v>
      </c>
      <c r="H153" s="235"/>
      <c r="I153" s="235"/>
      <c r="J153" s="234"/>
      <c r="K153" s="234"/>
      <c r="L153" s="233"/>
      <c r="M153" s="233"/>
      <c r="N153" s="232"/>
      <c r="O153" s="231"/>
    </row>
    <row r="154" spans="1:76" s="268" customFormat="1" x14ac:dyDescent="0.2">
      <c r="A154" s="251">
        <f t="shared" ref="A154" si="102">A152+1</f>
        <v>39</v>
      </c>
      <c r="B154" s="250" t="s">
        <v>43</v>
      </c>
      <c r="C154" s="249" t="s">
        <v>816</v>
      </c>
      <c r="D154" s="248" t="s">
        <v>817</v>
      </c>
      <c r="E154" s="248"/>
      <c r="F154" s="247" t="s">
        <v>82</v>
      </c>
      <c r="G154" s="269">
        <f>O135</f>
        <v>1.0687578649</v>
      </c>
      <c r="H154" s="245"/>
      <c r="I154" s="244" t="s">
        <v>95</v>
      </c>
      <c r="J154" s="233">
        <f t="shared" si="50"/>
        <v>0</v>
      </c>
      <c r="K154" s="243">
        <f t="shared" si="51"/>
        <v>0</v>
      </c>
      <c r="L154" s="242">
        <f t="shared" si="52"/>
        <v>0</v>
      </c>
      <c r="M154" s="233">
        <f t="shared" si="53"/>
        <v>0</v>
      </c>
      <c r="N154" s="241">
        <v>0</v>
      </c>
      <c r="O154" s="240">
        <v>0</v>
      </c>
      <c r="P154" s="213" t="s">
        <v>769</v>
      </c>
      <c r="Z154" s="268">
        <f t="shared" si="55"/>
        <v>0</v>
      </c>
      <c r="AB154" s="268">
        <f t="shared" si="56"/>
        <v>0</v>
      </c>
      <c r="AC154" s="268">
        <f t="shared" si="57"/>
        <v>0</v>
      </c>
      <c r="AD154" s="268">
        <f t="shared" si="58"/>
        <v>0</v>
      </c>
      <c r="AE154" s="268">
        <f t="shared" si="59"/>
        <v>0</v>
      </c>
      <c r="AF154" s="268">
        <f t="shared" si="60"/>
        <v>0</v>
      </c>
      <c r="AG154" s="268">
        <f t="shared" si="61"/>
        <v>0</v>
      </c>
      <c r="AH154" s="268">
        <f t="shared" si="62"/>
        <v>0</v>
      </c>
      <c r="AI154" s="268" t="s">
        <v>43</v>
      </c>
      <c r="AJ154" s="268">
        <f t="shared" si="63"/>
        <v>0</v>
      </c>
      <c r="AK154" s="268">
        <f t="shared" si="64"/>
        <v>0</v>
      </c>
      <c r="AL154" s="268">
        <f t="shared" si="65"/>
        <v>0</v>
      </c>
      <c r="AN154" s="268">
        <v>12</v>
      </c>
      <c r="AO154" s="268">
        <f>H154*0</f>
        <v>0</v>
      </c>
      <c r="AP154" s="268">
        <f>H154*(1-0)</f>
        <v>0</v>
      </c>
      <c r="AQ154" s="268" t="s">
        <v>88</v>
      </c>
      <c r="AV154" s="268">
        <f t="shared" si="66"/>
        <v>0</v>
      </c>
      <c r="AW154" s="268">
        <f t="shared" si="67"/>
        <v>0</v>
      </c>
      <c r="AX154" s="268">
        <f t="shared" si="68"/>
        <v>0</v>
      </c>
      <c r="AY154" s="268" t="s">
        <v>805</v>
      </c>
      <c r="AZ154" s="268" t="s">
        <v>798</v>
      </c>
      <c r="BA154" s="268" t="s">
        <v>85</v>
      </c>
      <c r="BC154" s="268">
        <f t="shared" si="69"/>
        <v>0</v>
      </c>
      <c r="BD154" s="268">
        <f t="shared" si="70"/>
        <v>0</v>
      </c>
      <c r="BE154" s="268">
        <v>0</v>
      </c>
      <c r="BF154" s="268">
        <f t="shared" si="71"/>
        <v>0</v>
      </c>
      <c r="BH154" s="268">
        <f t="shared" si="72"/>
        <v>0</v>
      </c>
      <c r="BI154" s="268">
        <f t="shared" si="73"/>
        <v>0</v>
      </c>
      <c r="BJ154" s="268">
        <f t="shared" si="74"/>
        <v>0</v>
      </c>
      <c r="BL154" s="268">
        <v>713</v>
      </c>
      <c r="BW154" s="268" t="str">
        <f t="shared" si="75"/>
        <v>12</v>
      </c>
      <c r="BX154" s="268" t="s">
        <v>817</v>
      </c>
    </row>
    <row r="155" spans="1:76" x14ac:dyDescent="0.25">
      <c r="A155" s="264" t="s">
        <v>43</v>
      </c>
      <c r="B155" s="263" t="s">
        <v>43</v>
      </c>
      <c r="C155" s="262"/>
      <c r="D155" s="261" t="str">
        <f>'1-Rekapitulace'!B26</f>
        <v>762 : Konstrukce tesařské</v>
      </c>
      <c r="E155" s="261"/>
      <c r="F155" s="260" t="s">
        <v>49</v>
      </c>
      <c r="G155" s="259" t="s">
        <v>49</v>
      </c>
      <c r="H155" s="258"/>
      <c r="I155" s="257" t="s">
        <v>49</v>
      </c>
      <c r="J155" s="256">
        <f>SUM(J156:J248)</f>
        <v>0</v>
      </c>
      <c r="K155" s="256">
        <f>SUM(K156:K248)</f>
        <v>0</v>
      </c>
      <c r="L155" s="255">
        <f>SUM(L156:L248)</f>
        <v>0</v>
      </c>
      <c r="M155" s="254">
        <f>SUM(M156:M248)</f>
        <v>0</v>
      </c>
      <c r="N155" s="253" t="s">
        <v>43</v>
      </c>
      <c r="O155" s="252">
        <f>SUM(O156:O248)</f>
        <v>5.4548509800808809</v>
      </c>
      <c r="P155" s="213" t="s">
        <v>43</v>
      </c>
      <c r="AI155" s="212" t="s">
        <v>43</v>
      </c>
      <c r="AS155" s="212">
        <f>SUM(AJ156:AJ248)</f>
        <v>0</v>
      </c>
      <c r="AT155" s="212">
        <f>SUM(AK156:AK248)</f>
        <v>0</v>
      </c>
      <c r="AU155" s="212">
        <f>SUM(AL156:AL248)</f>
        <v>0</v>
      </c>
    </row>
    <row r="156" spans="1:76" s="268" customFormat="1" x14ac:dyDescent="0.2">
      <c r="A156" s="251">
        <f>A154+1</f>
        <v>40</v>
      </c>
      <c r="B156" s="250" t="s">
        <v>43</v>
      </c>
      <c r="C156" s="249" t="s">
        <v>263</v>
      </c>
      <c r="D156" s="248" t="s">
        <v>264</v>
      </c>
      <c r="E156" s="248"/>
      <c r="F156" s="247" t="s">
        <v>265</v>
      </c>
      <c r="G156" s="269">
        <f>SUM(G157:G158)</f>
        <v>42</v>
      </c>
      <c r="H156" s="245"/>
      <c r="I156" s="244" t="s">
        <v>95</v>
      </c>
      <c r="J156" s="233">
        <f t="shared" ref="J156:J232" si="103">G156*AO156</f>
        <v>0</v>
      </c>
      <c r="K156" s="243">
        <f t="shared" ref="K156:K232" si="104">G156*AP156</f>
        <v>0</v>
      </c>
      <c r="L156" s="242">
        <f t="shared" ref="L156:L232" si="105">G156*H156</f>
        <v>0</v>
      </c>
      <c r="M156" s="233">
        <f t="shared" ref="M156:M232" si="106">L156*(1+BW156/100)</f>
        <v>0</v>
      </c>
      <c r="N156" s="241">
        <v>0</v>
      </c>
      <c r="O156" s="240">
        <f t="shared" ref="O156:O232" si="107">G156*N156</f>
        <v>0</v>
      </c>
      <c r="P156" s="213" t="s">
        <v>769</v>
      </c>
      <c r="Z156" s="268">
        <f t="shared" ref="Z156:Z243" si="108">IF(AQ156="5",BJ156,0)</f>
        <v>0</v>
      </c>
      <c r="AB156" s="268">
        <f t="shared" ref="AB156:AB243" si="109">IF(AQ156="1",BH156,0)</f>
        <v>0</v>
      </c>
      <c r="AC156" s="268">
        <f t="shared" ref="AC156:AC243" si="110">IF(AQ156="1",BI156,0)</f>
        <v>0</v>
      </c>
      <c r="AD156" s="268">
        <f t="shared" ref="AD156:AD243" si="111">IF(AQ156="7",BH156,0)</f>
        <v>0</v>
      </c>
      <c r="AE156" s="268">
        <f t="shared" ref="AE156:AE243" si="112">IF(AQ156="7",BI156,0)</f>
        <v>0</v>
      </c>
      <c r="AF156" s="268">
        <f t="shared" ref="AF156:AF243" si="113">IF(AQ156="2",BH156,0)</f>
        <v>0</v>
      </c>
      <c r="AG156" s="268">
        <f t="shared" ref="AG156:AG243" si="114">IF(AQ156="2",BI156,0)</f>
        <v>0</v>
      </c>
      <c r="AH156" s="268">
        <f t="shared" ref="AH156:AH243" si="115">IF(AQ156="0",BJ156,0)</f>
        <v>0</v>
      </c>
      <c r="AI156" s="268" t="s">
        <v>43</v>
      </c>
      <c r="AJ156" s="268">
        <f t="shared" ref="AJ156:AJ243" si="116">IF(AN156=0,L156,0)</f>
        <v>0</v>
      </c>
      <c r="AK156" s="268">
        <f t="shared" ref="AK156:AK243" si="117">IF(AN156=12,L156,0)</f>
        <v>0</v>
      </c>
      <c r="AL156" s="268">
        <f t="shared" ref="AL156:AL243" si="118">IF(AN156=21,L156,0)</f>
        <v>0</v>
      </c>
      <c r="AN156" s="268">
        <v>12</v>
      </c>
      <c r="AO156" s="268">
        <f>H156*0</f>
        <v>0</v>
      </c>
      <c r="AP156" s="268">
        <f>H156*(1-0)</f>
        <v>0</v>
      </c>
      <c r="AQ156" s="268" t="s">
        <v>93</v>
      </c>
      <c r="AV156" s="268">
        <f t="shared" ref="AV156:AV243" si="119">AW156+AX156</f>
        <v>0</v>
      </c>
      <c r="AW156" s="268">
        <f t="shared" ref="AW156:AW243" si="120">G156*AO156</f>
        <v>0</v>
      </c>
      <c r="AX156" s="268">
        <f t="shared" ref="AX156:AX243" si="121">G156*AP156</f>
        <v>0</v>
      </c>
      <c r="AY156" s="268" t="s">
        <v>266</v>
      </c>
      <c r="AZ156" s="268" t="s">
        <v>267</v>
      </c>
      <c r="BA156" s="268" t="s">
        <v>85</v>
      </c>
      <c r="BC156" s="268">
        <f t="shared" ref="BC156:BC243" si="122">AW156+AX156</f>
        <v>0</v>
      </c>
      <c r="BD156" s="268">
        <f t="shared" ref="BD156:BD243" si="123">H156/(100-BE156)*100</f>
        <v>0</v>
      </c>
      <c r="BE156" s="268">
        <v>0</v>
      </c>
      <c r="BF156" s="268">
        <f t="shared" ref="BF156:BF243" si="124">O156</f>
        <v>0</v>
      </c>
      <c r="BH156" s="268">
        <f t="shared" ref="BH156:BH243" si="125">G156*AO156</f>
        <v>0</v>
      </c>
      <c r="BI156" s="268">
        <f t="shared" ref="BI156:BI243" si="126">G156*AP156</f>
        <v>0</v>
      </c>
      <c r="BJ156" s="268">
        <f t="shared" ref="BJ156:BJ243" si="127">G156*H156</f>
        <v>0</v>
      </c>
      <c r="BL156" s="268">
        <v>762</v>
      </c>
      <c r="BW156" s="268" t="str">
        <f t="shared" ref="BW156:BW243" si="128">I156</f>
        <v>12</v>
      </c>
      <c r="BX156" s="268" t="s">
        <v>264</v>
      </c>
    </row>
    <row r="157" spans="1:76" s="230" customFormat="1" ht="6.75" customHeight="1" x14ac:dyDescent="0.25">
      <c r="A157" s="361"/>
      <c r="B157" s="276"/>
      <c r="C157" s="277"/>
      <c r="D157" s="541"/>
      <c r="E157" s="238" t="s">
        <v>765</v>
      </c>
      <c r="F157" s="265" t="s">
        <v>265</v>
      </c>
      <c r="G157" s="236">
        <v>38</v>
      </c>
      <c r="H157" s="235"/>
      <c r="I157" s="235"/>
      <c r="J157" s="234"/>
      <c r="K157" s="234"/>
      <c r="L157" s="233"/>
      <c r="M157" s="233"/>
      <c r="N157" s="232"/>
      <c r="O157" s="231"/>
    </row>
    <row r="158" spans="1:76" s="230" customFormat="1" ht="6.75" customHeight="1" x14ac:dyDescent="0.25">
      <c r="A158" s="361"/>
      <c r="B158" s="276"/>
      <c r="C158" s="277"/>
      <c r="D158" s="541"/>
      <c r="E158" s="238" t="s">
        <v>764</v>
      </c>
      <c r="F158" s="265" t="s">
        <v>265</v>
      </c>
      <c r="G158" s="236">
        <v>4</v>
      </c>
      <c r="H158" s="235"/>
      <c r="I158" s="235"/>
      <c r="J158" s="234"/>
      <c r="K158" s="234"/>
      <c r="L158" s="233"/>
      <c r="M158" s="233"/>
      <c r="N158" s="232"/>
      <c r="O158" s="231"/>
    </row>
    <row r="159" spans="1:76" s="268" customFormat="1" x14ac:dyDescent="0.2">
      <c r="A159" s="251">
        <f>A156+1</f>
        <v>41</v>
      </c>
      <c r="B159" s="250" t="s">
        <v>43</v>
      </c>
      <c r="C159" s="249" t="s">
        <v>268</v>
      </c>
      <c r="D159" s="248" t="s">
        <v>269</v>
      </c>
      <c r="E159" s="248"/>
      <c r="F159" s="247" t="s">
        <v>92</v>
      </c>
      <c r="G159" s="269">
        <f>SUM(G160:G161)</f>
        <v>7.8</v>
      </c>
      <c r="H159" s="245"/>
      <c r="I159" s="244" t="s">
        <v>95</v>
      </c>
      <c r="J159" s="233">
        <f t="shared" si="103"/>
        <v>0</v>
      </c>
      <c r="K159" s="243">
        <f t="shared" si="104"/>
        <v>0</v>
      </c>
      <c r="L159" s="242">
        <f t="shared" si="105"/>
        <v>0</v>
      </c>
      <c r="M159" s="233">
        <f t="shared" si="106"/>
        <v>0</v>
      </c>
      <c r="N159" s="241">
        <v>0</v>
      </c>
      <c r="O159" s="240">
        <f t="shared" si="107"/>
        <v>0</v>
      </c>
      <c r="P159" s="213" t="s">
        <v>769</v>
      </c>
      <c r="Z159" s="268">
        <f t="shared" si="108"/>
        <v>0</v>
      </c>
      <c r="AB159" s="268">
        <f t="shared" si="109"/>
        <v>0</v>
      </c>
      <c r="AC159" s="268">
        <f t="shared" si="110"/>
        <v>0</v>
      </c>
      <c r="AD159" s="268">
        <f t="shared" si="111"/>
        <v>0</v>
      </c>
      <c r="AE159" s="268">
        <f t="shared" si="112"/>
        <v>0</v>
      </c>
      <c r="AF159" s="268">
        <f t="shared" si="113"/>
        <v>0</v>
      </c>
      <c r="AG159" s="268">
        <f t="shared" si="114"/>
        <v>0</v>
      </c>
      <c r="AH159" s="268">
        <f t="shared" si="115"/>
        <v>0</v>
      </c>
      <c r="AI159" s="268" t="s">
        <v>43</v>
      </c>
      <c r="AJ159" s="268">
        <f t="shared" si="116"/>
        <v>0</v>
      </c>
      <c r="AK159" s="268">
        <f t="shared" si="117"/>
        <v>0</v>
      </c>
      <c r="AL159" s="268">
        <f t="shared" si="118"/>
        <v>0</v>
      </c>
      <c r="AN159" s="268">
        <v>12</v>
      </c>
      <c r="AO159" s="268">
        <f>H159*0</f>
        <v>0</v>
      </c>
      <c r="AP159" s="268">
        <f>H159*(1-0)</f>
        <v>0</v>
      </c>
      <c r="AQ159" s="268" t="s">
        <v>93</v>
      </c>
      <c r="AV159" s="268">
        <f t="shared" si="119"/>
        <v>0</v>
      </c>
      <c r="AW159" s="268">
        <f t="shared" si="120"/>
        <v>0</v>
      </c>
      <c r="AX159" s="268">
        <f t="shared" si="121"/>
        <v>0</v>
      </c>
      <c r="AY159" s="268" t="s">
        <v>266</v>
      </c>
      <c r="AZ159" s="268" t="s">
        <v>267</v>
      </c>
      <c r="BA159" s="268" t="s">
        <v>85</v>
      </c>
      <c r="BC159" s="268">
        <f t="shared" si="122"/>
        <v>0</v>
      </c>
      <c r="BD159" s="268">
        <f t="shared" si="123"/>
        <v>0</v>
      </c>
      <c r="BE159" s="268">
        <v>0</v>
      </c>
      <c r="BF159" s="268">
        <f t="shared" si="124"/>
        <v>0</v>
      </c>
      <c r="BH159" s="268">
        <f t="shared" si="125"/>
        <v>0</v>
      </c>
      <c r="BI159" s="268">
        <f t="shared" si="126"/>
        <v>0</v>
      </c>
      <c r="BJ159" s="268">
        <f t="shared" si="127"/>
        <v>0</v>
      </c>
      <c r="BL159" s="268">
        <v>762</v>
      </c>
      <c r="BW159" s="268" t="str">
        <f t="shared" si="128"/>
        <v>12</v>
      </c>
      <c r="BX159" s="268" t="s">
        <v>269</v>
      </c>
    </row>
    <row r="160" spans="1:76" s="230" customFormat="1" ht="6.75" customHeight="1" x14ac:dyDescent="0.25">
      <c r="A160" s="274">
        <v>0.3</v>
      </c>
      <c r="B160" s="276"/>
      <c r="C160" s="277" t="s">
        <v>90</v>
      </c>
      <c r="D160" s="541">
        <f>2*(0.12+0.18)</f>
        <v>0.6</v>
      </c>
      <c r="E160" s="238" t="str">
        <f>E157</f>
        <v>konce krokví 12/18</v>
      </c>
      <c r="F160" s="265" t="s">
        <v>92</v>
      </c>
      <c r="G160" s="236">
        <f>G157*D160*A160</f>
        <v>6.84</v>
      </c>
      <c r="H160" s="235"/>
      <c r="I160" s="235"/>
      <c r="J160" s="234"/>
      <c r="K160" s="234"/>
      <c r="L160" s="233"/>
      <c r="M160" s="233"/>
      <c r="N160" s="232"/>
      <c r="O160" s="231"/>
    </row>
    <row r="161" spans="1:76" s="230" customFormat="1" ht="6.75" customHeight="1" x14ac:dyDescent="0.25">
      <c r="A161" s="274">
        <f>A160</f>
        <v>0.3</v>
      </c>
      <c r="B161" s="276"/>
      <c r="C161" s="277" t="s">
        <v>90</v>
      </c>
      <c r="D161" s="541">
        <f>2*(0.16+0.24)</f>
        <v>0.8</v>
      </c>
      <c r="E161" s="238" t="str">
        <f>E158</f>
        <v>konce nároží  16/24</v>
      </c>
      <c r="F161" s="265" t="s">
        <v>92</v>
      </c>
      <c r="G161" s="236">
        <f>G158*D161*A161</f>
        <v>0.96</v>
      </c>
      <c r="H161" s="235"/>
      <c r="I161" s="235"/>
      <c r="J161" s="234"/>
      <c r="K161" s="234"/>
      <c r="L161" s="233"/>
      <c r="M161" s="233"/>
      <c r="N161" s="232"/>
      <c r="O161" s="231"/>
    </row>
    <row r="162" spans="1:76" s="268" customFormat="1" x14ac:dyDescent="0.2">
      <c r="A162" s="251">
        <f>A159+1</f>
        <v>42</v>
      </c>
      <c r="B162" s="250" t="s">
        <v>43</v>
      </c>
      <c r="C162" s="249" t="s">
        <v>768</v>
      </c>
      <c r="D162" s="248" t="s">
        <v>767</v>
      </c>
      <c r="E162" s="248"/>
      <c r="F162" s="247" t="s">
        <v>265</v>
      </c>
      <c r="G162" s="269">
        <f>SUM(G163:G163)</f>
        <v>2</v>
      </c>
      <c r="H162" s="245"/>
      <c r="I162" s="244" t="s">
        <v>95</v>
      </c>
      <c r="J162" s="233">
        <f t="shared" ref="J162" si="129">G162*AO162</f>
        <v>0</v>
      </c>
      <c r="K162" s="243">
        <f t="shared" ref="K162" si="130">G162*AP162</f>
        <v>0</v>
      </c>
      <c r="L162" s="242">
        <f t="shared" ref="L162" si="131">G162*H162</f>
        <v>0</v>
      </c>
      <c r="M162" s="233">
        <f t="shared" ref="M162" si="132">L162*(1+BW162/100)</f>
        <v>0</v>
      </c>
      <c r="N162" s="241">
        <v>0</v>
      </c>
      <c r="O162" s="240">
        <f t="shared" ref="O162" si="133">G162*N162</f>
        <v>0</v>
      </c>
      <c r="P162" s="213" t="s">
        <v>769</v>
      </c>
      <c r="Z162" s="268">
        <f t="shared" ref="Z162" si="134">IF(AQ162="5",BJ162,0)</f>
        <v>0</v>
      </c>
      <c r="AB162" s="268">
        <f t="shared" ref="AB162" si="135">IF(AQ162="1",BH162,0)</f>
        <v>0</v>
      </c>
      <c r="AC162" s="268">
        <f t="shared" ref="AC162" si="136">IF(AQ162="1",BI162,0)</f>
        <v>0</v>
      </c>
      <c r="AD162" s="268">
        <f t="shared" ref="AD162" si="137">IF(AQ162="7",BH162,0)</f>
        <v>0</v>
      </c>
      <c r="AE162" s="268">
        <f t="shared" ref="AE162" si="138">IF(AQ162="7",BI162,0)</f>
        <v>0</v>
      </c>
      <c r="AF162" s="268">
        <f t="shared" ref="AF162" si="139">IF(AQ162="2",BH162,0)</f>
        <v>0</v>
      </c>
      <c r="AG162" s="268">
        <f t="shared" ref="AG162" si="140">IF(AQ162="2",BI162,0)</f>
        <v>0</v>
      </c>
      <c r="AH162" s="268">
        <f t="shared" ref="AH162" si="141">IF(AQ162="0",BJ162,0)</f>
        <v>0</v>
      </c>
      <c r="AI162" s="268" t="s">
        <v>43</v>
      </c>
      <c r="AJ162" s="268">
        <f t="shared" ref="AJ162" si="142">IF(AN162=0,L162,0)</f>
        <v>0</v>
      </c>
      <c r="AK162" s="268">
        <f t="shared" ref="AK162" si="143">IF(AN162=12,L162,0)</f>
        <v>0</v>
      </c>
      <c r="AL162" s="268">
        <f t="shared" ref="AL162" si="144">IF(AN162=21,L162,0)</f>
        <v>0</v>
      </c>
      <c r="AN162" s="268">
        <v>12</v>
      </c>
      <c r="AO162" s="268">
        <f>H162*0</f>
        <v>0</v>
      </c>
      <c r="AP162" s="268">
        <f>H162*(1-0)</f>
        <v>0</v>
      </c>
      <c r="AQ162" s="268" t="s">
        <v>93</v>
      </c>
      <c r="AV162" s="268">
        <f t="shared" ref="AV162" si="145">AW162+AX162</f>
        <v>0</v>
      </c>
      <c r="AW162" s="268">
        <f t="shared" ref="AW162" si="146">G162*AO162</f>
        <v>0</v>
      </c>
      <c r="AX162" s="268">
        <f t="shared" ref="AX162" si="147">G162*AP162</f>
        <v>0</v>
      </c>
      <c r="AY162" s="268" t="s">
        <v>266</v>
      </c>
      <c r="AZ162" s="268" t="s">
        <v>267</v>
      </c>
      <c r="BA162" s="268" t="s">
        <v>85</v>
      </c>
      <c r="BC162" s="268">
        <f t="shared" ref="BC162" si="148">AW162+AX162</f>
        <v>0</v>
      </c>
      <c r="BD162" s="268">
        <f t="shared" ref="BD162" si="149">H162/(100-BE162)*100</f>
        <v>0</v>
      </c>
      <c r="BE162" s="268">
        <v>0</v>
      </c>
      <c r="BF162" s="268">
        <f t="shared" ref="BF162" si="150">O162</f>
        <v>0</v>
      </c>
      <c r="BH162" s="268">
        <f t="shared" ref="BH162" si="151">G162*AO162</f>
        <v>0</v>
      </c>
      <c r="BI162" s="268">
        <f t="shared" ref="BI162" si="152">G162*AP162</f>
        <v>0</v>
      </c>
      <c r="BJ162" s="268">
        <f t="shared" ref="BJ162" si="153">G162*H162</f>
        <v>0</v>
      </c>
      <c r="BL162" s="268">
        <v>762</v>
      </c>
      <c r="BW162" s="268" t="str">
        <f t="shared" ref="BW162" si="154">I162</f>
        <v>12</v>
      </c>
      <c r="BX162" s="268" t="s">
        <v>264</v>
      </c>
    </row>
    <row r="163" spans="1:76" s="230" customFormat="1" ht="6.75" customHeight="1" x14ac:dyDescent="0.25">
      <c r="A163" s="361"/>
      <c r="B163" s="276"/>
      <c r="C163" s="277"/>
      <c r="D163" s="541"/>
      <c r="E163" s="238" t="s">
        <v>766</v>
      </c>
      <c r="F163" s="265" t="s">
        <v>265</v>
      </c>
      <c r="G163" s="236">
        <v>2</v>
      </c>
      <c r="H163" s="235"/>
      <c r="I163" s="235"/>
      <c r="J163" s="234"/>
      <c r="K163" s="234"/>
      <c r="L163" s="233"/>
      <c r="M163" s="233"/>
      <c r="N163" s="232"/>
      <c r="O163" s="231"/>
    </row>
    <row r="164" spans="1:76" s="268" customFormat="1" x14ac:dyDescent="0.2">
      <c r="A164" s="251">
        <f>A162+1</f>
        <v>43</v>
      </c>
      <c r="B164" s="250" t="s">
        <v>43</v>
      </c>
      <c r="C164" s="249" t="s">
        <v>270</v>
      </c>
      <c r="D164" s="248" t="s">
        <v>271</v>
      </c>
      <c r="E164" s="248"/>
      <c r="F164" s="247" t="s">
        <v>272</v>
      </c>
      <c r="G164" s="246">
        <f>SUM(G165:G173)</f>
        <v>76.504000000000005</v>
      </c>
      <c r="H164" s="245"/>
      <c r="I164" s="244" t="s">
        <v>95</v>
      </c>
      <c r="J164" s="233">
        <f t="shared" si="103"/>
        <v>0</v>
      </c>
      <c r="K164" s="243">
        <f t="shared" si="104"/>
        <v>0</v>
      </c>
      <c r="L164" s="242">
        <f t="shared" si="105"/>
        <v>0</v>
      </c>
      <c r="M164" s="233">
        <f t="shared" si="106"/>
        <v>0</v>
      </c>
      <c r="N164" s="241">
        <v>9.8999999999999999E-4</v>
      </c>
      <c r="O164" s="240">
        <f t="shared" si="107"/>
        <v>7.5738960000000008E-2</v>
      </c>
      <c r="P164" s="213" t="s">
        <v>769</v>
      </c>
      <c r="Z164" s="268">
        <f t="shared" si="108"/>
        <v>0</v>
      </c>
      <c r="AB164" s="268">
        <f t="shared" si="109"/>
        <v>0</v>
      </c>
      <c r="AC164" s="268">
        <f t="shared" si="110"/>
        <v>0</v>
      </c>
      <c r="AD164" s="268">
        <f t="shared" si="111"/>
        <v>0</v>
      </c>
      <c r="AE164" s="268">
        <f t="shared" si="112"/>
        <v>0</v>
      </c>
      <c r="AF164" s="268">
        <f t="shared" si="113"/>
        <v>0</v>
      </c>
      <c r="AG164" s="268">
        <f t="shared" si="114"/>
        <v>0</v>
      </c>
      <c r="AH164" s="268">
        <f t="shared" si="115"/>
        <v>0</v>
      </c>
      <c r="AI164" s="268" t="s">
        <v>43</v>
      </c>
      <c r="AJ164" s="268">
        <f t="shared" si="116"/>
        <v>0</v>
      </c>
      <c r="AK164" s="268">
        <f t="shared" si="117"/>
        <v>0</v>
      </c>
      <c r="AL164" s="268">
        <f t="shared" si="118"/>
        <v>0</v>
      </c>
      <c r="AN164" s="268">
        <v>12</v>
      </c>
      <c r="AO164" s="268">
        <f>H164*0.041931664</f>
        <v>0</v>
      </c>
      <c r="AP164" s="268">
        <f>H164*(1-0.041931664)</f>
        <v>0</v>
      </c>
      <c r="AQ164" s="268" t="s">
        <v>93</v>
      </c>
      <c r="AV164" s="268">
        <f t="shared" si="119"/>
        <v>0</v>
      </c>
      <c r="AW164" s="268">
        <f t="shared" si="120"/>
        <v>0</v>
      </c>
      <c r="AX164" s="268">
        <f t="shared" si="121"/>
        <v>0</v>
      </c>
      <c r="AY164" s="268" t="s">
        <v>266</v>
      </c>
      <c r="AZ164" s="268" t="s">
        <v>267</v>
      </c>
      <c r="BA164" s="268" t="s">
        <v>85</v>
      </c>
      <c r="BC164" s="268">
        <f t="shared" si="122"/>
        <v>0</v>
      </c>
      <c r="BD164" s="268">
        <f t="shared" si="123"/>
        <v>0</v>
      </c>
      <c r="BE164" s="268">
        <v>0</v>
      </c>
      <c r="BF164" s="268">
        <f t="shared" si="124"/>
        <v>7.5738960000000008E-2</v>
      </c>
      <c r="BH164" s="268">
        <f t="shared" si="125"/>
        <v>0</v>
      </c>
      <c r="BI164" s="268">
        <f t="shared" si="126"/>
        <v>0</v>
      </c>
      <c r="BJ164" s="268">
        <f t="shared" si="127"/>
        <v>0</v>
      </c>
      <c r="BL164" s="268">
        <v>762</v>
      </c>
      <c r="BW164" s="268" t="str">
        <f t="shared" si="128"/>
        <v>12</v>
      </c>
      <c r="BX164" s="268" t="s">
        <v>271</v>
      </c>
    </row>
    <row r="165" spans="1:76" s="230" customFormat="1" ht="6.75" customHeight="1" x14ac:dyDescent="0.25">
      <c r="A165" s="361">
        <f>C198</f>
        <v>1.2</v>
      </c>
      <c r="B165" s="276"/>
      <c r="C165" s="277" t="s">
        <v>90</v>
      </c>
      <c r="D165" s="541">
        <f>D198</f>
        <v>8</v>
      </c>
      <c r="E165" s="238" t="str">
        <f>E198</f>
        <v>poz.č.:9-10 profil: 100/100</v>
      </c>
      <c r="F165" s="265" t="s">
        <v>272</v>
      </c>
      <c r="G165" s="236">
        <f>A165*D165</f>
        <v>9.6</v>
      </c>
      <c r="H165" s="235"/>
      <c r="I165" s="235"/>
      <c r="J165" s="234"/>
      <c r="K165" s="234"/>
      <c r="L165" s="233"/>
      <c r="M165" s="233"/>
      <c r="N165" s="232"/>
      <c r="O165" s="231"/>
    </row>
    <row r="166" spans="1:76" s="230" customFormat="1" ht="6.75" customHeight="1" x14ac:dyDescent="0.25">
      <c r="A166" s="361">
        <f>C203</f>
        <v>10.54</v>
      </c>
      <c r="B166" s="276"/>
      <c r="C166" s="277" t="s">
        <v>90</v>
      </c>
      <c r="D166" s="541">
        <f>D203</f>
        <v>1</v>
      </c>
      <c r="E166" s="238" t="str">
        <f>E203</f>
        <v>poz.č.:22-23 profil: 160/60</v>
      </c>
      <c r="F166" s="265" t="s">
        <v>272</v>
      </c>
      <c r="G166" s="236">
        <f>A166*D166</f>
        <v>10.54</v>
      </c>
      <c r="H166" s="235"/>
      <c r="I166" s="235"/>
      <c r="J166" s="234"/>
      <c r="K166" s="234"/>
      <c r="L166" s="233"/>
      <c r="M166" s="233"/>
      <c r="N166" s="232"/>
      <c r="O166" s="231"/>
    </row>
    <row r="167" spans="1:76" s="230" customFormat="1" ht="6.75" customHeight="1" x14ac:dyDescent="0.25">
      <c r="A167" s="361">
        <f>C206</f>
        <v>5</v>
      </c>
      <c r="B167" s="276"/>
      <c r="C167" s="277" t="s">
        <v>90</v>
      </c>
      <c r="D167" s="541">
        <f>D206</f>
        <v>1</v>
      </c>
      <c r="E167" s="238" t="str">
        <f>E206</f>
        <v>poz.č.:31 profil: 160/60</v>
      </c>
      <c r="F167" s="265" t="s">
        <v>272</v>
      </c>
      <c r="G167" s="236">
        <f>A167*D167</f>
        <v>5</v>
      </c>
      <c r="H167" s="235"/>
      <c r="I167" s="235"/>
      <c r="J167" s="234"/>
      <c r="K167" s="234"/>
      <c r="L167" s="233"/>
      <c r="M167" s="233"/>
      <c r="N167" s="232"/>
      <c r="O167" s="231"/>
    </row>
    <row r="168" spans="1:76" s="230" customFormat="1" ht="6.75" customHeight="1" x14ac:dyDescent="0.25">
      <c r="A168" s="361">
        <f>C212</f>
        <v>10.54</v>
      </c>
      <c r="B168" s="276"/>
      <c r="C168" s="277" t="s">
        <v>90</v>
      </c>
      <c r="D168" s="541">
        <f>D212</f>
        <v>1</v>
      </c>
      <c r="E168" s="238" t="str">
        <f>E212</f>
        <v>poz.č.:43-44 profil: 160/60</v>
      </c>
      <c r="F168" s="265" t="s">
        <v>272</v>
      </c>
      <c r="G168" s="236">
        <f>A168*D168</f>
        <v>10.54</v>
      </c>
      <c r="H168" s="235"/>
      <c r="I168" s="235"/>
      <c r="J168" s="234"/>
      <c r="K168" s="234"/>
      <c r="L168" s="233"/>
      <c r="M168" s="233"/>
      <c r="N168" s="232"/>
      <c r="O168" s="231"/>
    </row>
    <row r="169" spans="1:76" s="230" customFormat="1" ht="6.75" customHeight="1" x14ac:dyDescent="0.25">
      <c r="A169" s="361">
        <f>C214</f>
        <v>5</v>
      </c>
      <c r="B169" s="276"/>
      <c r="C169" s="277" t="s">
        <v>90</v>
      </c>
      <c r="D169" s="541">
        <f t="shared" ref="D169:E173" si="155">D214</f>
        <v>1</v>
      </c>
      <c r="E169" s="238" t="str">
        <f t="shared" si="155"/>
        <v>poz.č.:51 profil: 160/60</v>
      </c>
      <c r="F169" s="265" t="s">
        <v>272</v>
      </c>
      <c r="G169" s="236">
        <f>A169*D169</f>
        <v>5</v>
      </c>
      <c r="H169" s="235"/>
      <c r="I169" s="235"/>
      <c r="J169" s="234"/>
      <c r="K169" s="234"/>
      <c r="L169" s="233"/>
      <c r="M169" s="233"/>
      <c r="N169" s="232"/>
      <c r="O169" s="231"/>
    </row>
    <row r="170" spans="1:76" s="230" customFormat="1" ht="6.75" customHeight="1" x14ac:dyDescent="0.25">
      <c r="A170" s="361">
        <f>C215</f>
        <v>0.74399999999999999</v>
      </c>
      <c r="B170" s="276"/>
      <c r="C170" s="277" t="s">
        <v>90</v>
      </c>
      <c r="D170" s="541">
        <f t="shared" si="155"/>
        <v>8</v>
      </c>
      <c r="E170" s="238" t="str">
        <f t="shared" si="155"/>
        <v>poz.č.:52;54;56;58;60;62;64;66 profil: 60/120</v>
      </c>
      <c r="F170" s="265" t="s">
        <v>272</v>
      </c>
      <c r="G170" s="236">
        <f t="shared" ref="G170" si="156">A170*D170</f>
        <v>5.952</v>
      </c>
      <c r="H170" s="235"/>
      <c r="I170" s="235"/>
      <c r="J170" s="234"/>
      <c r="K170" s="234"/>
      <c r="L170" s="233"/>
      <c r="M170" s="233"/>
      <c r="N170" s="232"/>
      <c r="O170" s="231"/>
    </row>
    <row r="171" spans="1:76" s="230" customFormat="1" ht="6.75" customHeight="1" x14ac:dyDescent="0.25">
      <c r="A171" s="361">
        <f>C216</f>
        <v>0.95799999999999996</v>
      </c>
      <c r="B171" s="276"/>
      <c r="C171" s="277" t="s">
        <v>90</v>
      </c>
      <c r="D171" s="541">
        <f t="shared" si="155"/>
        <v>8</v>
      </c>
      <c r="E171" s="238" t="str">
        <f t="shared" si="155"/>
        <v>poz.č.:53;55;57;59;61;63;65;67 profil: 100/100</v>
      </c>
      <c r="F171" s="265" t="s">
        <v>272</v>
      </c>
      <c r="G171" s="236">
        <f t="shared" ref="G171:G173" si="157">A171*D171</f>
        <v>7.6639999999999997</v>
      </c>
      <c r="H171" s="235"/>
      <c r="I171" s="235"/>
      <c r="J171" s="234"/>
      <c r="K171" s="234"/>
      <c r="L171" s="233"/>
      <c r="M171" s="233"/>
      <c r="N171" s="232"/>
      <c r="O171" s="231"/>
    </row>
    <row r="172" spans="1:76" s="230" customFormat="1" ht="6.75" customHeight="1" x14ac:dyDescent="0.25">
      <c r="A172" s="361">
        <f>C217</f>
        <v>0.79800000000000004</v>
      </c>
      <c r="B172" s="276"/>
      <c r="C172" s="277" t="s">
        <v>90</v>
      </c>
      <c r="D172" s="541">
        <f t="shared" si="155"/>
        <v>8</v>
      </c>
      <c r="E172" s="238" t="str">
        <f t="shared" si="155"/>
        <v>poz.č.:140;143;146;149;152;155;158;161 profil: 100/100</v>
      </c>
      <c r="F172" s="265" t="s">
        <v>272</v>
      </c>
      <c r="G172" s="236">
        <f t="shared" si="157"/>
        <v>6.3840000000000003</v>
      </c>
      <c r="H172" s="235"/>
      <c r="I172" s="235"/>
      <c r="J172" s="234"/>
      <c r="K172" s="234"/>
      <c r="L172" s="233"/>
      <c r="M172" s="233"/>
      <c r="N172" s="232"/>
      <c r="O172" s="231"/>
    </row>
    <row r="173" spans="1:76" s="230" customFormat="1" ht="6.75" customHeight="1" x14ac:dyDescent="0.25">
      <c r="A173" s="361">
        <f>C218</f>
        <v>0.98899999999999999</v>
      </c>
      <c r="B173" s="276"/>
      <c r="C173" s="277" t="s">
        <v>90</v>
      </c>
      <c r="D173" s="541">
        <f t="shared" si="155"/>
        <v>16</v>
      </c>
      <c r="E173" s="238" t="str">
        <f t="shared" si="155"/>
        <v>poz.č.:141-163 profil: 100/100</v>
      </c>
      <c r="F173" s="265" t="s">
        <v>272</v>
      </c>
      <c r="G173" s="236">
        <f t="shared" si="157"/>
        <v>15.824</v>
      </c>
      <c r="H173" s="235"/>
      <c r="I173" s="235"/>
      <c r="J173" s="234"/>
      <c r="K173" s="234"/>
      <c r="L173" s="233"/>
      <c r="M173" s="233"/>
      <c r="N173" s="232"/>
      <c r="O173" s="231"/>
    </row>
    <row r="174" spans="1:76" s="268" customFormat="1" x14ac:dyDescent="0.2">
      <c r="A174" s="251">
        <f>A164+1</f>
        <v>44</v>
      </c>
      <c r="B174" s="250" t="s">
        <v>43</v>
      </c>
      <c r="C174" s="249" t="s">
        <v>273</v>
      </c>
      <c r="D174" s="248" t="s">
        <v>274</v>
      </c>
      <c r="E174" s="248"/>
      <c r="F174" s="247" t="s">
        <v>272</v>
      </c>
      <c r="G174" s="246">
        <f>SUM(G175:G183)</f>
        <v>210.208</v>
      </c>
      <c r="H174" s="245"/>
      <c r="I174" s="244" t="s">
        <v>95</v>
      </c>
      <c r="J174" s="233">
        <f t="shared" si="103"/>
        <v>0</v>
      </c>
      <c r="K174" s="243">
        <f t="shared" si="104"/>
        <v>0</v>
      </c>
      <c r="L174" s="242">
        <f t="shared" si="105"/>
        <v>0</v>
      </c>
      <c r="M174" s="233">
        <f t="shared" si="106"/>
        <v>0</v>
      </c>
      <c r="N174" s="241">
        <v>9.8999999999999999E-4</v>
      </c>
      <c r="O174" s="240">
        <f t="shared" si="107"/>
        <v>0.20810592</v>
      </c>
      <c r="P174" s="213" t="s">
        <v>769</v>
      </c>
      <c r="Z174" s="268">
        <f t="shared" si="108"/>
        <v>0</v>
      </c>
      <c r="AB174" s="268">
        <f t="shared" si="109"/>
        <v>0</v>
      </c>
      <c r="AC174" s="268">
        <f t="shared" si="110"/>
        <v>0</v>
      </c>
      <c r="AD174" s="268">
        <f t="shared" si="111"/>
        <v>0</v>
      </c>
      <c r="AE174" s="268">
        <f t="shared" si="112"/>
        <v>0</v>
      </c>
      <c r="AF174" s="268">
        <f t="shared" si="113"/>
        <v>0</v>
      </c>
      <c r="AG174" s="268">
        <f t="shared" si="114"/>
        <v>0</v>
      </c>
      <c r="AH174" s="268">
        <f t="shared" si="115"/>
        <v>0</v>
      </c>
      <c r="AI174" s="268" t="s">
        <v>43</v>
      </c>
      <c r="AJ174" s="268">
        <f t="shared" si="116"/>
        <v>0</v>
      </c>
      <c r="AK174" s="268">
        <f t="shared" si="117"/>
        <v>0</v>
      </c>
      <c r="AL174" s="268">
        <f t="shared" si="118"/>
        <v>0</v>
      </c>
      <c r="AN174" s="268">
        <v>12</v>
      </c>
      <c r="AO174" s="268">
        <f>H174*0.030790042</f>
        <v>0</v>
      </c>
      <c r="AP174" s="268">
        <f>H174*(1-0.030790042)</f>
        <v>0</v>
      </c>
      <c r="AQ174" s="268" t="s">
        <v>93</v>
      </c>
      <c r="AV174" s="268">
        <f t="shared" si="119"/>
        <v>0</v>
      </c>
      <c r="AW174" s="268">
        <f t="shared" si="120"/>
        <v>0</v>
      </c>
      <c r="AX174" s="268">
        <f t="shared" si="121"/>
        <v>0</v>
      </c>
      <c r="AY174" s="268" t="s">
        <v>266</v>
      </c>
      <c r="AZ174" s="268" t="s">
        <v>267</v>
      </c>
      <c r="BA174" s="268" t="s">
        <v>85</v>
      </c>
      <c r="BC174" s="268">
        <f t="shared" si="122"/>
        <v>0</v>
      </c>
      <c r="BD174" s="268">
        <f t="shared" si="123"/>
        <v>0</v>
      </c>
      <c r="BE174" s="268">
        <v>0</v>
      </c>
      <c r="BF174" s="268">
        <f t="shared" si="124"/>
        <v>0.20810592</v>
      </c>
      <c r="BH174" s="268">
        <f t="shared" si="125"/>
        <v>0</v>
      </c>
      <c r="BI174" s="268">
        <f t="shared" si="126"/>
        <v>0</v>
      </c>
      <c r="BJ174" s="268">
        <f t="shared" si="127"/>
        <v>0</v>
      </c>
      <c r="BL174" s="268">
        <v>762</v>
      </c>
      <c r="BW174" s="268" t="str">
        <f t="shared" si="128"/>
        <v>12</v>
      </c>
      <c r="BX174" s="268" t="s">
        <v>274</v>
      </c>
    </row>
    <row r="175" spans="1:76" s="230" customFormat="1" ht="6.75" customHeight="1" x14ac:dyDescent="0.25">
      <c r="A175" s="361">
        <f>C194</f>
        <v>5.7</v>
      </c>
      <c r="B175" s="276"/>
      <c r="C175" s="277" t="s">
        <v>90</v>
      </c>
      <c r="D175" s="541">
        <f>D194</f>
        <v>22</v>
      </c>
      <c r="E175" s="238" t="str">
        <f>E194</f>
        <v>poz.č.:1 profil: 80/180</v>
      </c>
      <c r="F175" s="265" t="s">
        <v>272</v>
      </c>
      <c r="G175" s="236">
        <f>A175*D175</f>
        <v>125.4</v>
      </c>
      <c r="H175" s="235"/>
      <c r="I175" s="235"/>
      <c r="J175" s="234"/>
      <c r="K175" s="234"/>
      <c r="L175" s="233"/>
      <c r="M175" s="233"/>
      <c r="N175" s="232"/>
      <c r="O175" s="231"/>
    </row>
    <row r="176" spans="1:76" s="230" customFormat="1" ht="6.75" customHeight="1" x14ac:dyDescent="0.25">
      <c r="A176" s="361">
        <f>C199</f>
        <v>5.4969999999999999</v>
      </c>
      <c r="B176" s="276"/>
      <c r="C176" s="277" t="s">
        <v>90</v>
      </c>
      <c r="D176" s="541">
        <f t="shared" ref="D176:E176" si="158">D199</f>
        <v>1</v>
      </c>
      <c r="E176" s="238" t="str">
        <f t="shared" si="158"/>
        <v>poz.č.:11-13 profil: 120/180</v>
      </c>
      <c r="F176" s="265" t="s">
        <v>272</v>
      </c>
      <c r="G176" s="236">
        <f t="shared" ref="G176:G183" si="159">A176*D176</f>
        <v>5.4969999999999999</v>
      </c>
      <c r="H176" s="235"/>
      <c r="I176" s="235"/>
      <c r="J176" s="234"/>
      <c r="K176" s="234"/>
      <c r="L176" s="233"/>
      <c r="M176" s="233"/>
      <c r="N176" s="232"/>
      <c r="O176" s="231"/>
    </row>
    <row r="177" spans="1:76" s="230" customFormat="1" ht="6.75" customHeight="1" x14ac:dyDescent="0.25">
      <c r="A177" s="361">
        <f>C201</f>
        <v>3.8</v>
      </c>
      <c r="B177" s="276"/>
      <c r="C177" s="277" t="s">
        <v>90</v>
      </c>
      <c r="D177" s="541">
        <f t="shared" ref="D177:E177" si="160">D201</f>
        <v>5</v>
      </c>
      <c r="E177" s="238" t="str">
        <f t="shared" si="160"/>
        <v>poz.č.:15-17 profil: 120/180</v>
      </c>
      <c r="F177" s="265" t="s">
        <v>272</v>
      </c>
      <c r="G177" s="236">
        <f t="shared" si="159"/>
        <v>19</v>
      </c>
      <c r="H177" s="235"/>
      <c r="I177" s="235"/>
      <c r="J177" s="234"/>
      <c r="K177" s="234"/>
      <c r="L177" s="233"/>
      <c r="M177" s="233"/>
      <c r="N177" s="232"/>
      <c r="O177" s="231"/>
    </row>
    <row r="178" spans="1:76" s="230" customFormat="1" ht="6.75" customHeight="1" x14ac:dyDescent="0.25">
      <c r="A178" s="361">
        <f>C202</f>
        <v>5.4969999999999999</v>
      </c>
      <c r="B178" s="276"/>
      <c r="C178" s="277" t="s">
        <v>90</v>
      </c>
      <c r="D178" s="541">
        <f t="shared" ref="D178:E178" si="161">D202</f>
        <v>1</v>
      </c>
      <c r="E178" s="238" t="str">
        <f t="shared" si="161"/>
        <v>poz.č.:19-21 profil: 120/180</v>
      </c>
      <c r="F178" s="265" t="s">
        <v>272</v>
      </c>
      <c r="G178" s="236">
        <f t="shared" si="159"/>
        <v>5.4969999999999999</v>
      </c>
      <c r="H178" s="235"/>
      <c r="I178" s="235"/>
      <c r="J178" s="234"/>
      <c r="K178" s="234"/>
      <c r="L178" s="233"/>
      <c r="M178" s="233"/>
      <c r="N178" s="232"/>
      <c r="O178" s="231"/>
    </row>
    <row r="179" spans="1:76" s="230" customFormat="1" ht="6.75" customHeight="1" x14ac:dyDescent="0.25">
      <c r="A179" s="361">
        <f>C205</f>
        <v>12.41</v>
      </c>
      <c r="B179" s="276"/>
      <c r="C179" s="277" t="s">
        <v>90</v>
      </c>
      <c r="D179" s="541">
        <f t="shared" ref="D179:E179" si="162">D205</f>
        <v>1</v>
      </c>
      <c r="E179" s="238" t="str">
        <f t="shared" si="162"/>
        <v>poz.č.:25-30 profil: 120/180</v>
      </c>
      <c r="F179" s="265" t="s">
        <v>272</v>
      </c>
      <c r="G179" s="236">
        <f t="shared" si="159"/>
        <v>12.41</v>
      </c>
      <c r="H179" s="235"/>
      <c r="I179" s="235"/>
      <c r="J179" s="234"/>
      <c r="K179" s="234"/>
      <c r="L179" s="233"/>
      <c r="M179" s="233"/>
      <c r="N179" s="232"/>
      <c r="O179" s="231"/>
    </row>
    <row r="180" spans="1:76" s="230" customFormat="1" ht="6.75" customHeight="1" x14ac:dyDescent="0.25">
      <c r="A180" s="361">
        <f>C207</f>
        <v>5.4969999999999999</v>
      </c>
      <c r="B180" s="276"/>
      <c r="C180" s="277" t="s">
        <v>90</v>
      </c>
      <c r="D180" s="541">
        <f t="shared" ref="D180:E180" si="163">D207</f>
        <v>1</v>
      </c>
      <c r="E180" s="238" t="str">
        <f t="shared" si="163"/>
        <v>poz.č.:32-34 profil: 120/180</v>
      </c>
      <c r="F180" s="265" t="s">
        <v>272</v>
      </c>
      <c r="G180" s="236">
        <f t="shared" si="159"/>
        <v>5.4969999999999999</v>
      </c>
      <c r="H180" s="235"/>
      <c r="I180" s="235"/>
      <c r="J180" s="234"/>
      <c r="K180" s="234"/>
      <c r="L180" s="233"/>
      <c r="M180" s="233"/>
      <c r="N180" s="232"/>
      <c r="O180" s="231"/>
    </row>
    <row r="181" spans="1:76" s="230" customFormat="1" ht="6.75" customHeight="1" x14ac:dyDescent="0.25">
      <c r="A181" s="361">
        <f>C209</f>
        <v>3.8</v>
      </c>
      <c r="B181" s="276"/>
      <c r="C181" s="277" t="s">
        <v>90</v>
      </c>
      <c r="D181" s="541">
        <f t="shared" ref="D181:E181" si="164">D209</f>
        <v>5</v>
      </c>
      <c r="E181" s="238" t="str">
        <f t="shared" si="164"/>
        <v>poz.č.:36-38 profil: 120/180</v>
      </c>
      <c r="F181" s="265" t="s">
        <v>272</v>
      </c>
      <c r="G181" s="236">
        <f t="shared" si="159"/>
        <v>19</v>
      </c>
      <c r="H181" s="235"/>
      <c r="I181" s="235"/>
      <c r="J181" s="234"/>
      <c r="K181" s="234"/>
      <c r="L181" s="233"/>
      <c r="M181" s="233"/>
      <c r="N181" s="232"/>
      <c r="O181" s="231"/>
    </row>
    <row r="182" spans="1:76" s="230" customFormat="1" ht="6.75" customHeight="1" x14ac:dyDescent="0.25">
      <c r="A182" s="361">
        <f>C211</f>
        <v>5.4969999999999999</v>
      </c>
      <c r="B182" s="276"/>
      <c r="C182" s="277" t="s">
        <v>90</v>
      </c>
      <c r="D182" s="541">
        <f t="shared" ref="D182:E182" si="165">D211</f>
        <v>1</v>
      </c>
      <c r="E182" s="238" t="str">
        <f t="shared" si="165"/>
        <v>poz.č.:40-42 profil: 120/180</v>
      </c>
      <c r="F182" s="265" t="s">
        <v>272</v>
      </c>
      <c r="G182" s="236">
        <f t="shared" si="159"/>
        <v>5.4969999999999999</v>
      </c>
      <c r="H182" s="235"/>
      <c r="I182" s="235"/>
      <c r="J182" s="234"/>
      <c r="K182" s="234"/>
      <c r="L182" s="233"/>
      <c r="M182" s="233"/>
      <c r="N182" s="232"/>
      <c r="O182" s="231"/>
    </row>
    <row r="183" spans="1:76" s="230" customFormat="1" ht="6.75" customHeight="1" x14ac:dyDescent="0.25">
      <c r="A183" s="361">
        <f t="shared" ref="A183" si="166">C213</f>
        <v>12.41</v>
      </c>
      <c r="B183" s="276"/>
      <c r="C183" s="277" t="s">
        <v>90</v>
      </c>
      <c r="D183" s="541">
        <f t="shared" ref="D183:E183" si="167">D213</f>
        <v>1</v>
      </c>
      <c r="E183" s="238" t="str">
        <f t="shared" si="167"/>
        <v>poz.č.:45-50 profil: 120/180</v>
      </c>
      <c r="F183" s="265" t="s">
        <v>272</v>
      </c>
      <c r="G183" s="236">
        <f t="shared" si="159"/>
        <v>12.41</v>
      </c>
      <c r="H183" s="235"/>
      <c r="I183" s="235"/>
      <c r="J183" s="234"/>
      <c r="K183" s="234"/>
      <c r="L183" s="233"/>
      <c r="M183" s="233"/>
      <c r="N183" s="232"/>
      <c r="O183" s="231"/>
    </row>
    <row r="184" spans="1:76" s="268" customFormat="1" x14ac:dyDescent="0.2">
      <c r="A184" s="251">
        <f>A174+1</f>
        <v>45</v>
      </c>
      <c r="B184" s="250" t="s">
        <v>43</v>
      </c>
      <c r="C184" s="249" t="s">
        <v>321</v>
      </c>
      <c r="D184" s="248" t="s">
        <v>322</v>
      </c>
      <c r="E184" s="248"/>
      <c r="F184" s="247" t="s">
        <v>272</v>
      </c>
      <c r="G184" s="246">
        <f>SUM(G185:G190)</f>
        <v>36.83</v>
      </c>
      <c r="H184" s="245"/>
      <c r="I184" s="244" t="s">
        <v>95</v>
      </c>
      <c r="J184" s="233">
        <f t="shared" ref="J184:J191" si="168">G184*AO184</f>
        <v>0</v>
      </c>
      <c r="K184" s="243">
        <f t="shared" ref="K184:K191" si="169">G184*AP184</f>
        <v>0</v>
      </c>
      <c r="L184" s="242">
        <f t="shared" ref="L184:L191" si="170">G184*H184</f>
        <v>0</v>
      </c>
      <c r="M184" s="233">
        <f t="shared" ref="M184:M191" si="171">L184*(1+BW184/100)</f>
        <v>0</v>
      </c>
      <c r="N184" s="241">
        <v>9.8999999999999999E-4</v>
      </c>
      <c r="O184" s="240">
        <f t="shared" ref="O184:O191" si="172">G184*N184</f>
        <v>3.64617E-2</v>
      </c>
      <c r="P184" s="213" t="s">
        <v>769</v>
      </c>
      <c r="Z184" s="268">
        <f t="shared" ref="Z184:Z191" si="173">IF(AQ184="5",BJ184,0)</f>
        <v>0</v>
      </c>
      <c r="AB184" s="268">
        <f t="shared" ref="AB184:AB191" si="174">IF(AQ184="1",BH184,0)</f>
        <v>0</v>
      </c>
      <c r="AC184" s="268">
        <f t="shared" ref="AC184:AC191" si="175">IF(AQ184="1",BI184,0)</f>
        <v>0</v>
      </c>
      <c r="AD184" s="268">
        <f t="shared" ref="AD184:AD191" si="176">IF(AQ184="7",BH184,0)</f>
        <v>0</v>
      </c>
      <c r="AE184" s="268">
        <f t="shared" ref="AE184:AE191" si="177">IF(AQ184="7",BI184,0)</f>
        <v>0</v>
      </c>
      <c r="AF184" s="268">
        <f t="shared" ref="AF184:AF191" si="178">IF(AQ184="2",BH184,0)</f>
        <v>0</v>
      </c>
      <c r="AG184" s="268">
        <f t="shared" ref="AG184:AG191" si="179">IF(AQ184="2",BI184,0)</f>
        <v>0</v>
      </c>
      <c r="AH184" s="268">
        <f t="shared" ref="AH184:AH191" si="180">IF(AQ184="0",BJ184,0)</f>
        <v>0</v>
      </c>
      <c r="AI184" s="268" t="s">
        <v>43</v>
      </c>
      <c r="AJ184" s="268">
        <f t="shared" ref="AJ184:AJ191" si="181">IF(AN184=0,L184,0)</f>
        <v>0</v>
      </c>
      <c r="AK184" s="268">
        <f t="shared" ref="AK184:AK191" si="182">IF(AN184=12,L184,0)</f>
        <v>0</v>
      </c>
      <c r="AL184" s="268">
        <f t="shared" ref="AL184:AL191" si="183">IF(AN184=21,L184,0)</f>
        <v>0</v>
      </c>
      <c r="AN184" s="268">
        <v>12</v>
      </c>
      <c r="AO184" s="268">
        <f>H184*0.024142024</f>
        <v>0</v>
      </c>
      <c r="AP184" s="268">
        <f>H184*(1-0.024142024)</f>
        <v>0</v>
      </c>
      <c r="AQ184" s="268" t="s">
        <v>93</v>
      </c>
      <c r="AV184" s="268">
        <f t="shared" ref="AV184:AV191" si="184">AW184+AX184</f>
        <v>0</v>
      </c>
      <c r="AW184" s="268">
        <f t="shared" ref="AW184:AW191" si="185">G184*AO184</f>
        <v>0</v>
      </c>
      <c r="AX184" s="268">
        <f t="shared" ref="AX184:AX191" si="186">G184*AP184</f>
        <v>0</v>
      </c>
      <c r="AY184" s="268" t="s">
        <v>266</v>
      </c>
      <c r="AZ184" s="268" t="s">
        <v>267</v>
      </c>
      <c r="BA184" s="268" t="s">
        <v>85</v>
      </c>
      <c r="BC184" s="268">
        <f t="shared" ref="BC184:BC191" si="187">AW184+AX184</f>
        <v>0</v>
      </c>
      <c r="BD184" s="268">
        <f t="shared" ref="BD184:BD191" si="188">H184/(100-BE184)*100</f>
        <v>0</v>
      </c>
      <c r="BE184" s="268">
        <v>0</v>
      </c>
      <c r="BF184" s="268">
        <f t="shared" ref="BF184:BF191" si="189">O184</f>
        <v>3.64617E-2</v>
      </c>
      <c r="BH184" s="268">
        <f t="shared" ref="BH184:BH191" si="190">G184*AO184</f>
        <v>0</v>
      </c>
      <c r="BI184" s="268">
        <f t="shared" ref="BI184:BI191" si="191">G184*AP184</f>
        <v>0</v>
      </c>
      <c r="BJ184" s="268">
        <f t="shared" ref="BJ184:BJ191" si="192">G184*H184</f>
        <v>0</v>
      </c>
      <c r="BL184" s="268">
        <v>762</v>
      </c>
      <c r="BW184" s="268" t="str">
        <f t="shared" ref="BW184:BW191" si="193">I184</f>
        <v>12</v>
      </c>
      <c r="BX184" s="268" t="s">
        <v>322</v>
      </c>
    </row>
    <row r="185" spans="1:76" s="230" customFormat="1" ht="6.75" customHeight="1" x14ac:dyDescent="0.25">
      <c r="A185" s="361">
        <f>C196</f>
        <v>0.96</v>
      </c>
      <c r="B185" s="276"/>
      <c r="C185" s="277" t="s">
        <v>90</v>
      </c>
      <c r="D185" s="541">
        <f>D196</f>
        <v>8</v>
      </c>
      <c r="E185" s="238" t="str">
        <f>E196</f>
        <v>poz.č.:4 profil: 140/200</v>
      </c>
      <c r="F185" s="265" t="s">
        <v>272</v>
      </c>
      <c r="G185" s="236">
        <f t="shared" ref="G185:G190" si="194">A185*D185</f>
        <v>7.68</v>
      </c>
      <c r="H185" s="235"/>
      <c r="I185" s="235"/>
      <c r="J185" s="234"/>
      <c r="K185" s="234"/>
      <c r="L185" s="233"/>
      <c r="M185" s="233"/>
      <c r="N185" s="232"/>
      <c r="O185" s="231"/>
    </row>
    <row r="186" spans="1:76" s="230" customFormat="1" ht="6.75" customHeight="1" x14ac:dyDescent="0.25">
      <c r="A186" s="361">
        <f>C197</f>
        <v>1.65</v>
      </c>
      <c r="B186" s="276"/>
      <c r="C186" s="277" t="s">
        <v>90</v>
      </c>
      <c r="D186" s="541">
        <f>D197</f>
        <v>5</v>
      </c>
      <c r="E186" s="238" t="str">
        <f>E197</f>
        <v>poz.č.:5-8 profil: 160/160</v>
      </c>
      <c r="F186" s="265" t="s">
        <v>272</v>
      </c>
      <c r="G186" s="236">
        <f t="shared" si="194"/>
        <v>8.25</v>
      </c>
      <c r="H186" s="235"/>
      <c r="I186" s="235"/>
      <c r="J186" s="234"/>
      <c r="K186" s="234"/>
      <c r="L186" s="233"/>
      <c r="M186" s="233"/>
      <c r="N186" s="232"/>
      <c r="O186" s="231"/>
    </row>
    <row r="187" spans="1:76" s="230" customFormat="1" ht="6.75" customHeight="1" x14ac:dyDescent="0.25">
      <c r="A187" s="361">
        <f>C200</f>
        <v>3.8</v>
      </c>
      <c r="B187" s="276"/>
      <c r="C187" s="277" t="s">
        <v>90</v>
      </c>
      <c r="D187" s="541">
        <f>D200</f>
        <v>2</v>
      </c>
      <c r="E187" s="238" t="str">
        <f>E200</f>
        <v>poz.č.:14;18 profil: 140/180</v>
      </c>
      <c r="F187" s="265" t="s">
        <v>272</v>
      </c>
      <c r="G187" s="236">
        <f t="shared" si="194"/>
        <v>7.6</v>
      </c>
      <c r="H187" s="235"/>
      <c r="I187" s="235"/>
      <c r="J187" s="234"/>
      <c r="K187" s="234"/>
      <c r="L187" s="233"/>
      <c r="M187" s="233"/>
      <c r="N187" s="232"/>
      <c r="O187" s="231"/>
    </row>
    <row r="188" spans="1:76" s="230" customFormat="1" ht="6.75" customHeight="1" x14ac:dyDescent="0.25">
      <c r="A188" s="361">
        <f>C204</f>
        <v>5.7</v>
      </c>
      <c r="B188" s="276"/>
      <c r="C188" s="277" t="s">
        <v>90</v>
      </c>
      <c r="D188" s="541">
        <f>D204</f>
        <v>1</v>
      </c>
      <c r="E188" s="238" t="str">
        <f>E204</f>
        <v>poz.č.:24 profil: 160/180</v>
      </c>
      <c r="F188" s="265" t="s">
        <v>272</v>
      </c>
      <c r="G188" s="236">
        <f t="shared" si="194"/>
        <v>5.7</v>
      </c>
      <c r="H188" s="235"/>
      <c r="I188" s="235"/>
      <c r="J188" s="234"/>
      <c r="K188" s="234"/>
      <c r="L188" s="233"/>
      <c r="M188" s="233"/>
      <c r="N188" s="232"/>
      <c r="O188" s="231"/>
    </row>
    <row r="189" spans="1:76" s="230" customFormat="1" ht="6.75" customHeight="1" x14ac:dyDescent="0.25">
      <c r="A189" s="361">
        <f>C208</f>
        <v>3.8</v>
      </c>
      <c r="B189" s="276"/>
      <c r="C189" s="277" t="s">
        <v>90</v>
      </c>
      <c r="D189" s="541">
        <f>D208</f>
        <v>1</v>
      </c>
      <c r="E189" s="238" t="str">
        <f>E208</f>
        <v>poz.č.:35 profil: 140/180</v>
      </c>
      <c r="F189" s="265" t="s">
        <v>272</v>
      </c>
      <c r="G189" s="236">
        <f t="shared" si="194"/>
        <v>3.8</v>
      </c>
      <c r="H189" s="235"/>
      <c r="I189" s="235"/>
      <c r="J189" s="234"/>
      <c r="K189" s="234"/>
      <c r="L189" s="233"/>
      <c r="M189" s="233"/>
      <c r="N189" s="232"/>
      <c r="O189" s="231"/>
    </row>
    <row r="190" spans="1:76" s="230" customFormat="1" ht="6.75" customHeight="1" x14ac:dyDescent="0.25">
      <c r="A190" s="361">
        <f>C210</f>
        <v>3.8</v>
      </c>
      <c r="B190" s="276"/>
      <c r="C190" s="277" t="s">
        <v>90</v>
      </c>
      <c r="D190" s="541">
        <f>D210</f>
        <v>1</v>
      </c>
      <c r="E190" s="238" t="str">
        <f>E210</f>
        <v>poz.č.:39 profil: 140/180</v>
      </c>
      <c r="F190" s="265" t="s">
        <v>272</v>
      </c>
      <c r="G190" s="236">
        <f t="shared" si="194"/>
        <v>3.8</v>
      </c>
      <c r="H190" s="235"/>
      <c r="I190" s="235"/>
      <c r="J190" s="234"/>
      <c r="K190" s="234"/>
      <c r="L190" s="233"/>
      <c r="M190" s="233"/>
      <c r="N190" s="232"/>
      <c r="O190" s="231"/>
    </row>
    <row r="191" spans="1:76" s="268" customFormat="1" x14ac:dyDescent="0.2">
      <c r="A191" s="251">
        <f>A184+1</f>
        <v>46</v>
      </c>
      <c r="B191" s="250" t="s">
        <v>43</v>
      </c>
      <c r="C191" s="249" t="s">
        <v>323</v>
      </c>
      <c r="D191" s="248" t="s">
        <v>324</v>
      </c>
      <c r="E191" s="248"/>
      <c r="F191" s="247" t="s">
        <v>272</v>
      </c>
      <c r="G191" s="269">
        <f>SUM(G192:G192)</f>
        <v>19.600000000000001</v>
      </c>
      <c r="H191" s="245"/>
      <c r="I191" s="244" t="s">
        <v>95</v>
      </c>
      <c r="J191" s="233">
        <f t="shared" si="168"/>
        <v>0</v>
      </c>
      <c r="K191" s="243">
        <f t="shared" si="169"/>
        <v>0</v>
      </c>
      <c r="L191" s="242">
        <f t="shared" si="170"/>
        <v>0</v>
      </c>
      <c r="M191" s="233">
        <f t="shared" si="171"/>
        <v>0</v>
      </c>
      <c r="N191" s="241">
        <v>9.8999999999999999E-4</v>
      </c>
      <c r="O191" s="240">
        <f t="shared" si="172"/>
        <v>1.9404000000000001E-2</v>
      </c>
      <c r="P191" s="213" t="s">
        <v>769</v>
      </c>
      <c r="Z191" s="268">
        <f t="shared" si="173"/>
        <v>0</v>
      </c>
      <c r="AB191" s="268">
        <f t="shared" si="174"/>
        <v>0</v>
      </c>
      <c r="AC191" s="268">
        <f t="shared" si="175"/>
        <v>0</v>
      </c>
      <c r="AD191" s="268">
        <f t="shared" si="176"/>
        <v>0</v>
      </c>
      <c r="AE191" s="268">
        <f t="shared" si="177"/>
        <v>0</v>
      </c>
      <c r="AF191" s="268">
        <f t="shared" si="178"/>
        <v>0</v>
      </c>
      <c r="AG191" s="268">
        <f t="shared" si="179"/>
        <v>0</v>
      </c>
      <c r="AH191" s="268">
        <f t="shared" si="180"/>
        <v>0</v>
      </c>
      <c r="AI191" s="268" t="s">
        <v>43</v>
      </c>
      <c r="AJ191" s="268">
        <f t="shared" si="181"/>
        <v>0</v>
      </c>
      <c r="AK191" s="268">
        <f t="shared" si="182"/>
        <v>0</v>
      </c>
      <c r="AL191" s="268">
        <f t="shared" si="183"/>
        <v>0</v>
      </c>
      <c r="AN191" s="268">
        <v>12</v>
      </c>
      <c r="AO191" s="268">
        <f>H191*0.022284902</f>
        <v>0</v>
      </c>
      <c r="AP191" s="268">
        <f>H191*(1-0.022284902)</f>
        <v>0</v>
      </c>
      <c r="AQ191" s="268" t="s">
        <v>93</v>
      </c>
      <c r="AV191" s="268">
        <f t="shared" si="184"/>
        <v>0</v>
      </c>
      <c r="AW191" s="268">
        <f t="shared" si="185"/>
        <v>0</v>
      </c>
      <c r="AX191" s="268">
        <f t="shared" si="186"/>
        <v>0</v>
      </c>
      <c r="AY191" s="268" t="s">
        <v>266</v>
      </c>
      <c r="AZ191" s="268" t="s">
        <v>267</v>
      </c>
      <c r="BA191" s="268" t="s">
        <v>85</v>
      </c>
      <c r="BC191" s="268">
        <f t="shared" si="187"/>
        <v>0</v>
      </c>
      <c r="BD191" s="268">
        <f t="shared" si="188"/>
        <v>0</v>
      </c>
      <c r="BE191" s="268">
        <v>0</v>
      </c>
      <c r="BF191" s="268">
        <f t="shared" si="189"/>
        <v>1.9404000000000001E-2</v>
      </c>
      <c r="BH191" s="268">
        <f t="shared" si="190"/>
        <v>0</v>
      </c>
      <c r="BI191" s="268">
        <f t="shared" si="191"/>
        <v>0</v>
      </c>
      <c r="BJ191" s="268">
        <f t="shared" si="192"/>
        <v>0</v>
      </c>
      <c r="BL191" s="268">
        <v>762</v>
      </c>
      <c r="BW191" s="268" t="str">
        <f t="shared" si="193"/>
        <v>12</v>
      </c>
      <c r="BX191" s="268" t="s">
        <v>324</v>
      </c>
    </row>
    <row r="192" spans="1:76" s="230" customFormat="1" ht="6.75" customHeight="1" x14ac:dyDescent="0.25">
      <c r="A192" s="361">
        <f>C195</f>
        <v>4.9000000000000004</v>
      </c>
      <c r="B192" s="276"/>
      <c r="C192" s="277" t="s">
        <v>90</v>
      </c>
      <c r="D192" s="541">
        <f>D195</f>
        <v>4</v>
      </c>
      <c r="E192" s="238" t="str">
        <f>E195</f>
        <v>poz.č.:2-3 profil: 160/240</v>
      </c>
      <c r="F192" s="265" t="s">
        <v>272</v>
      </c>
      <c r="G192" s="236">
        <f>A192*D192</f>
        <v>19.600000000000001</v>
      </c>
      <c r="H192" s="235"/>
      <c r="I192" s="235"/>
      <c r="J192" s="234"/>
      <c r="K192" s="234"/>
      <c r="L192" s="233"/>
      <c r="M192" s="233"/>
      <c r="N192" s="232"/>
      <c r="O192" s="231"/>
    </row>
    <row r="193" spans="1:76" s="268" customFormat="1" x14ac:dyDescent="0.2">
      <c r="A193" s="251">
        <f>A191+1</f>
        <v>47</v>
      </c>
      <c r="B193" s="250" t="s">
        <v>43</v>
      </c>
      <c r="C193" s="249" t="s">
        <v>283</v>
      </c>
      <c r="D193" s="248" t="s">
        <v>335</v>
      </c>
      <c r="E193" s="248"/>
      <c r="F193" s="247" t="s">
        <v>94</v>
      </c>
      <c r="G193" s="246">
        <f>SUM(G194:G219)</f>
        <v>6.7705950720000008</v>
      </c>
      <c r="H193" s="245"/>
      <c r="I193" s="244" t="s">
        <v>95</v>
      </c>
      <c r="J193" s="233">
        <f>G193*AO193</f>
        <v>0</v>
      </c>
      <c r="K193" s="243">
        <f>G193*AP193</f>
        <v>0</v>
      </c>
      <c r="L193" s="242">
        <f>G193*H193</f>
        <v>0</v>
      </c>
      <c r="M193" s="233">
        <f>L193*(1+BW193/100)</f>
        <v>0</v>
      </c>
      <c r="N193" s="241">
        <v>0.5</v>
      </c>
      <c r="O193" s="240">
        <f>G193*N193</f>
        <v>3.3852975360000004</v>
      </c>
      <c r="P193" s="213" t="s">
        <v>769</v>
      </c>
      <c r="Z193" s="268">
        <f>IF(AQ193="5",BJ193,0)</f>
        <v>0</v>
      </c>
      <c r="AB193" s="268">
        <f>IF(AQ193="1",BH193,0)</f>
        <v>0</v>
      </c>
      <c r="AC193" s="268">
        <f>IF(AQ193="1",BI193,0)</f>
        <v>0</v>
      </c>
      <c r="AD193" s="268">
        <f>IF(AQ193="7",BH193,0)</f>
        <v>0</v>
      </c>
      <c r="AE193" s="268">
        <f>IF(AQ193="7",BI193,0)</f>
        <v>0</v>
      </c>
      <c r="AF193" s="268">
        <f>IF(AQ193="2",BH193,0)</f>
        <v>0</v>
      </c>
      <c r="AG193" s="268">
        <f>IF(AQ193="2",BI193,0)</f>
        <v>0</v>
      </c>
      <c r="AH193" s="268">
        <f>IF(AQ193="0",BJ193,0)</f>
        <v>0</v>
      </c>
      <c r="AI193" s="268" t="s">
        <v>43</v>
      </c>
      <c r="AJ193" s="268">
        <f>IF(AN193=0,L193,0)</f>
        <v>0</v>
      </c>
      <c r="AK193" s="268">
        <f>IF(AN193=12,L193,0)</f>
        <v>0</v>
      </c>
      <c r="AL193" s="268">
        <f>IF(AN193=21,L193,0)</f>
        <v>0</v>
      </c>
      <c r="AN193" s="268">
        <v>12</v>
      </c>
      <c r="AO193" s="268">
        <f>H193*1</f>
        <v>0</v>
      </c>
      <c r="AP193" s="268">
        <f>H193*(1-1)</f>
        <v>0</v>
      </c>
      <c r="AQ193" s="268" t="s">
        <v>285</v>
      </c>
      <c r="AV193" s="268">
        <f>AW193+AX193</f>
        <v>0</v>
      </c>
      <c r="AW193" s="268">
        <f>G193*AO193</f>
        <v>0</v>
      </c>
      <c r="AX193" s="268">
        <f>G193*AP193</f>
        <v>0</v>
      </c>
      <c r="AY193" s="268" t="s">
        <v>286</v>
      </c>
      <c r="AZ193" s="268" t="s">
        <v>287</v>
      </c>
      <c r="BA193" s="268" t="s">
        <v>85</v>
      </c>
      <c r="BC193" s="268">
        <f>AW193+AX193</f>
        <v>0</v>
      </c>
      <c r="BD193" s="268">
        <f>H193/(100-BE193)*100</f>
        <v>0</v>
      </c>
      <c r="BE193" s="268">
        <v>0</v>
      </c>
      <c r="BF193" s="268">
        <f>O193</f>
        <v>3.3852975360000004</v>
      </c>
      <c r="BH193" s="268">
        <f>G193*AO193</f>
        <v>0</v>
      </c>
      <c r="BI193" s="268">
        <f>G193*AP193</f>
        <v>0</v>
      </c>
      <c r="BJ193" s="268">
        <f>G193*H193</f>
        <v>0</v>
      </c>
      <c r="BW193" s="268" t="str">
        <f>I193</f>
        <v>12</v>
      </c>
      <c r="BX193" s="268" t="s">
        <v>284</v>
      </c>
    </row>
    <row r="194" spans="1:76" s="230" customFormat="1" ht="6.75" customHeight="1" x14ac:dyDescent="0.25">
      <c r="A194" s="362">
        <f>0.08*0.18</f>
        <v>1.44E-2</v>
      </c>
      <c r="B194" s="276"/>
      <c r="C194" s="275">
        <v>5.7</v>
      </c>
      <c r="D194" s="541">
        <v>22</v>
      </c>
      <c r="E194" s="238" t="s">
        <v>295</v>
      </c>
      <c r="F194" s="265" t="s">
        <v>94</v>
      </c>
      <c r="G194" s="236">
        <f t="shared" ref="G194" si="195">A194*C194*D194</f>
        <v>1.80576</v>
      </c>
      <c r="H194" s="235"/>
      <c r="I194" s="235"/>
      <c r="J194" s="234"/>
      <c r="K194" s="234"/>
      <c r="L194" s="233"/>
      <c r="M194" s="233"/>
      <c r="N194" s="232"/>
      <c r="O194" s="231"/>
    </row>
    <row r="195" spans="1:76" s="230" customFormat="1" ht="6.75" customHeight="1" x14ac:dyDescent="0.25">
      <c r="A195" s="362">
        <f>0.16*0.24</f>
        <v>3.8399999999999997E-2</v>
      </c>
      <c r="B195" s="276"/>
      <c r="C195" s="275">
        <v>4.9000000000000004</v>
      </c>
      <c r="D195" s="541">
        <v>4</v>
      </c>
      <c r="E195" s="238" t="s">
        <v>296</v>
      </c>
      <c r="F195" s="265" t="s">
        <v>94</v>
      </c>
      <c r="G195" s="236">
        <f t="shared" ref="G195" si="196">A195*C195*D195</f>
        <v>0.75263999999999998</v>
      </c>
      <c r="H195" s="235"/>
      <c r="I195" s="235"/>
      <c r="J195" s="234"/>
      <c r="K195" s="234"/>
      <c r="L195" s="233"/>
      <c r="M195" s="233"/>
      <c r="N195" s="232"/>
      <c r="O195" s="231"/>
    </row>
    <row r="196" spans="1:76" s="230" customFormat="1" ht="6.75" customHeight="1" x14ac:dyDescent="0.25">
      <c r="A196" s="362">
        <f>0.14*0.2</f>
        <v>2.8000000000000004E-2</v>
      </c>
      <c r="B196" s="276"/>
      <c r="C196" s="275">
        <v>0.96</v>
      </c>
      <c r="D196" s="541">
        <v>8</v>
      </c>
      <c r="E196" s="238" t="s">
        <v>297</v>
      </c>
      <c r="F196" s="265" t="s">
        <v>94</v>
      </c>
      <c r="G196" s="236">
        <f t="shared" ref="G196" si="197">A196*C196*D196</f>
        <v>0.21504000000000004</v>
      </c>
      <c r="H196" s="235"/>
      <c r="I196" s="235"/>
      <c r="J196" s="234"/>
      <c r="K196" s="234"/>
      <c r="L196" s="233"/>
      <c r="M196" s="233"/>
      <c r="N196" s="232"/>
      <c r="O196" s="231"/>
    </row>
    <row r="197" spans="1:76" s="230" customFormat="1" ht="6.75" customHeight="1" x14ac:dyDescent="0.25">
      <c r="A197" s="362">
        <f>0.16*0.16</f>
        <v>2.5600000000000001E-2</v>
      </c>
      <c r="B197" s="276"/>
      <c r="C197" s="275">
        <v>1.65</v>
      </c>
      <c r="D197" s="541">
        <v>5</v>
      </c>
      <c r="E197" s="238" t="s">
        <v>298</v>
      </c>
      <c r="F197" s="265" t="s">
        <v>94</v>
      </c>
      <c r="G197" s="236">
        <f t="shared" ref="G197" si="198">A197*C197*D197</f>
        <v>0.2112</v>
      </c>
      <c r="H197" s="235"/>
      <c r="I197" s="235"/>
      <c r="J197" s="234"/>
      <c r="K197" s="234"/>
      <c r="L197" s="233"/>
      <c r="M197" s="233"/>
      <c r="N197" s="232"/>
      <c r="O197" s="231"/>
    </row>
    <row r="198" spans="1:76" s="230" customFormat="1" ht="6.75" customHeight="1" x14ac:dyDescent="0.25">
      <c r="A198" s="362">
        <f>0.1*0.1</f>
        <v>1.0000000000000002E-2</v>
      </c>
      <c r="B198" s="276"/>
      <c r="C198" s="275">
        <v>1.2</v>
      </c>
      <c r="D198" s="541">
        <v>8</v>
      </c>
      <c r="E198" s="238" t="s">
        <v>299</v>
      </c>
      <c r="F198" s="265" t="s">
        <v>94</v>
      </c>
      <c r="G198" s="236">
        <f t="shared" ref="G198" si="199">A198*C198*D198</f>
        <v>9.6000000000000016E-2</v>
      </c>
      <c r="H198" s="235"/>
      <c r="I198" s="235"/>
      <c r="J198" s="234"/>
      <c r="K198" s="234"/>
      <c r="L198" s="233"/>
      <c r="M198" s="233"/>
      <c r="N198" s="232"/>
      <c r="O198" s="231"/>
    </row>
    <row r="199" spans="1:76" s="230" customFormat="1" ht="6.75" customHeight="1" x14ac:dyDescent="0.25">
      <c r="A199" s="362">
        <f>0.12*0.18</f>
        <v>2.1599999999999998E-2</v>
      </c>
      <c r="B199" s="276"/>
      <c r="C199" s="275">
        <f>2.78+1.832+0.885</f>
        <v>5.4969999999999999</v>
      </c>
      <c r="D199" s="541">
        <v>1</v>
      </c>
      <c r="E199" s="238" t="s">
        <v>300</v>
      </c>
      <c r="F199" s="265" t="s">
        <v>94</v>
      </c>
      <c r="G199" s="236">
        <f t="shared" ref="G199" si="200">A199*C199*D199</f>
        <v>0.11873519999999999</v>
      </c>
      <c r="H199" s="235"/>
      <c r="I199" s="235"/>
      <c r="J199" s="234"/>
      <c r="K199" s="234"/>
      <c r="L199" s="233"/>
      <c r="M199" s="233"/>
      <c r="N199" s="232"/>
      <c r="O199" s="231"/>
    </row>
    <row r="200" spans="1:76" s="230" customFormat="1" ht="6.75" customHeight="1" x14ac:dyDescent="0.25">
      <c r="A200" s="362">
        <f>0.14*0.18</f>
        <v>2.52E-2</v>
      </c>
      <c r="B200" s="276"/>
      <c r="C200" s="275">
        <v>3.8</v>
      </c>
      <c r="D200" s="541">
        <v>2</v>
      </c>
      <c r="E200" s="238" t="s">
        <v>301</v>
      </c>
      <c r="F200" s="265" t="s">
        <v>94</v>
      </c>
      <c r="G200" s="236">
        <f t="shared" ref="G200:G203" si="201">A200*C200*D200</f>
        <v>0.19152</v>
      </c>
      <c r="H200" s="235"/>
      <c r="I200" s="235"/>
      <c r="J200" s="234"/>
      <c r="K200" s="234"/>
      <c r="L200" s="233"/>
      <c r="M200" s="233"/>
      <c r="N200" s="232"/>
      <c r="O200" s="231"/>
    </row>
    <row r="201" spans="1:76" s="230" customFormat="1" ht="6.75" customHeight="1" x14ac:dyDescent="0.25">
      <c r="A201" s="362">
        <f>0.12*0.18</f>
        <v>2.1599999999999998E-2</v>
      </c>
      <c r="B201" s="276"/>
      <c r="C201" s="275">
        <v>3.8</v>
      </c>
      <c r="D201" s="541">
        <v>5</v>
      </c>
      <c r="E201" s="238" t="s">
        <v>302</v>
      </c>
      <c r="F201" s="265" t="s">
        <v>94</v>
      </c>
      <c r="G201" s="236">
        <f t="shared" si="201"/>
        <v>0.41039999999999993</v>
      </c>
      <c r="H201" s="235"/>
      <c r="I201" s="235"/>
      <c r="J201" s="234"/>
      <c r="K201" s="234"/>
      <c r="L201" s="233"/>
      <c r="M201" s="233"/>
      <c r="N201" s="232"/>
      <c r="O201" s="231"/>
    </row>
    <row r="202" spans="1:76" s="230" customFormat="1" ht="6.75" customHeight="1" x14ac:dyDescent="0.25">
      <c r="A202" s="362">
        <f>0.12*0.18</f>
        <v>2.1599999999999998E-2</v>
      </c>
      <c r="B202" s="276"/>
      <c r="C202" s="275">
        <f>2.78+1.832+0.885</f>
        <v>5.4969999999999999</v>
      </c>
      <c r="D202" s="541">
        <v>1</v>
      </c>
      <c r="E202" s="238" t="s">
        <v>303</v>
      </c>
      <c r="F202" s="265" t="s">
        <v>94</v>
      </c>
      <c r="G202" s="236">
        <f t="shared" si="201"/>
        <v>0.11873519999999999</v>
      </c>
      <c r="H202" s="235"/>
      <c r="I202" s="235"/>
      <c r="J202" s="234"/>
      <c r="K202" s="234"/>
      <c r="L202" s="233"/>
      <c r="M202" s="233"/>
      <c r="N202" s="232"/>
      <c r="O202" s="231"/>
    </row>
    <row r="203" spans="1:76" s="230" customFormat="1" ht="6.75" customHeight="1" x14ac:dyDescent="0.25">
      <c r="A203" s="362">
        <f>0.16*0.06</f>
        <v>9.5999999999999992E-3</v>
      </c>
      <c r="B203" s="276"/>
      <c r="C203" s="275">
        <f>4.7+5.84</f>
        <v>10.54</v>
      </c>
      <c r="D203" s="541">
        <v>1</v>
      </c>
      <c r="E203" s="238" t="s">
        <v>304</v>
      </c>
      <c r="F203" s="265" t="s">
        <v>94</v>
      </c>
      <c r="G203" s="236">
        <f t="shared" si="201"/>
        <v>0.10118399999999998</v>
      </c>
      <c r="H203" s="235"/>
      <c r="I203" s="235"/>
      <c r="J203" s="234"/>
      <c r="K203" s="234"/>
      <c r="L203" s="233"/>
      <c r="M203" s="233"/>
      <c r="N203" s="232"/>
      <c r="O203" s="231"/>
    </row>
    <row r="204" spans="1:76" s="230" customFormat="1" ht="6.75" customHeight="1" x14ac:dyDescent="0.25">
      <c r="A204" s="362">
        <f>0.16*0.18</f>
        <v>2.8799999999999999E-2</v>
      </c>
      <c r="B204" s="276"/>
      <c r="C204" s="275">
        <v>5.7</v>
      </c>
      <c r="D204" s="541">
        <v>1</v>
      </c>
      <c r="E204" s="238" t="s">
        <v>305</v>
      </c>
      <c r="F204" s="265" t="s">
        <v>94</v>
      </c>
      <c r="G204" s="236">
        <f t="shared" ref="G204:G209" si="202">A204*C204*D204</f>
        <v>0.16416</v>
      </c>
      <c r="H204" s="235"/>
      <c r="I204" s="235"/>
      <c r="J204" s="234"/>
      <c r="K204" s="234"/>
      <c r="L204" s="233"/>
      <c r="M204" s="233"/>
      <c r="N204" s="232"/>
      <c r="O204" s="231"/>
    </row>
    <row r="205" spans="1:76" s="230" customFormat="1" ht="6.75" customHeight="1" x14ac:dyDescent="0.25">
      <c r="A205" s="362">
        <f>0.12*0.18</f>
        <v>2.1599999999999998E-2</v>
      </c>
      <c r="B205" s="276"/>
      <c r="C205" s="275">
        <f>1.003*2+2.068*2+3.134*2</f>
        <v>12.41</v>
      </c>
      <c r="D205" s="541">
        <v>1</v>
      </c>
      <c r="E205" s="238" t="s">
        <v>306</v>
      </c>
      <c r="F205" s="265" t="s">
        <v>94</v>
      </c>
      <c r="G205" s="236">
        <f t="shared" si="202"/>
        <v>0.26805599999999996</v>
      </c>
      <c r="H205" s="235"/>
      <c r="I205" s="235"/>
      <c r="J205" s="234"/>
      <c r="K205" s="234"/>
      <c r="L205" s="233"/>
      <c r="M205" s="233"/>
      <c r="N205" s="232"/>
      <c r="O205" s="231"/>
    </row>
    <row r="206" spans="1:76" s="230" customFormat="1" ht="6.75" customHeight="1" x14ac:dyDescent="0.25">
      <c r="A206" s="362">
        <f>0.16*0.06</f>
        <v>9.5999999999999992E-3</v>
      </c>
      <c r="B206" s="276"/>
      <c r="C206" s="275">
        <v>5</v>
      </c>
      <c r="D206" s="541">
        <v>1</v>
      </c>
      <c r="E206" s="238" t="s">
        <v>307</v>
      </c>
      <c r="F206" s="265" t="s">
        <v>94</v>
      </c>
      <c r="G206" s="236">
        <f t="shared" si="202"/>
        <v>4.7999999999999994E-2</v>
      </c>
      <c r="H206" s="235"/>
      <c r="I206" s="235"/>
      <c r="J206" s="234"/>
      <c r="K206" s="234"/>
      <c r="L206" s="233"/>
      <c r="M206" s="233"/>
      <c r="N206" s="232"/>
      <c r="O206" s="231"/>
    </row>
    <row r="207" spans="1:76" s="230" customFormat="1" ht="6.75" customHeight="1" x14ac:dyDescent="0.25">
      <c r="A207" s="362">
        <f>0.12*0.18</f>
        <v>2.1599999999999998E-2</v>
      </c>
      <c r="B207" s="276"/>
      <c r="C207" s="275">
        <f>2.78+1.832+0.885</f>
        <v>5.4969999999999999</v>
      </c>
      <c r="D207" s="541">
        <v>1</v>
      </c>
      <c r="E207" s="238" t="s">
        <v>308</v>
      </c>
      <c r="F207" s="265" t="s">
        <v>94</v>
      </c>
      <c r="G207" s="236">
        <f t="shared" si="202"/>
        <v>0.11873519999999999</v>
      </c>
      <c r="H207" s="235"/>
      <c r="I207" s="235"/>
      <c r="J207" s="234"/>
      <c r="K207" s="234"/>
      <c r="L207" s="233"/>
      <c r="M207" s="233"/>
      <c r="N207" s="232"/>
      <c r="O207" s="231"/>
    </row>
    <row r="208" spans="1:76" s="230" customFormat="1" ht="6.75" customHeight="1" x14ac:dyDescent="0.25">
      <c r="A208" s="362">
        <f>0.14*0.18</f>
        <v>2.52E-2</v>
      </c>
      <c r="B208" s="276"/>
      <c r="C208" s="275">
        <v>3.8</v>
      </c>
      <c r="D208" s="541">
        <v>1</v>
      </c>
      <c r="E208" s="238" t="s">
        <v>309</v>
      </c>
      <c r="F208" s="265" t="s">
        <v>94</v>
      </c>
      <c r="G208" s="236">
        <f t="shared" si="202"/>
        <v>9.5759999999999998E-2</v>
      </c>
      <c r="H208" s="235"/>
      <c r="I208" s="235"/>
      <c r="J208" s="234"/>
      <c r="K208" s="234"/>
      <c r="L208" s="233"/>
      <c r="M208" s="233"/>
      <c r="N208" s="232"/>
      <c r="O208" s="231"/>
    </row>
    <row r="209" spans="1:76" s="230" customFormat="1" ht="6.75" customHeight="1" x14ac:dyDescent="0.25">
      <c r="A209" s="362">
        <f>0.12*0.18</f>
        <v>2.1599999999999998E-2</v>
      </c>
      <c r="B209" s="276"/>
      <c r="C209" s="275">
        <v>3.8</v>
      </c>
      <c r="D209" s="541">
        <v>5</v>
      </c>
      <c r="E209" s="238" t="s">
        <v>310</v>
      </c>
      <c r="F209" s="265" t="s">
        <v>94</v>
      </c>
      <c r="G209" s="236">
        <f t="shared" si="202"/>
        <v>0.41039999999999993</v>
      </c>
      <c r="H209" s="235"/>
      <c r="I209" s="235"/>
      <c r="J209" s="234"/>
      <c r="K209" s="234"/>
      <c r="L209" s="233"/>
      <c r="M209" s="233"/>
      <c r="N209" s="232"/>
      <c r="O209" s="231"/>
    </row>
    <row r="210" spans="1:76" s="230" customFormat="1" ht="6.75" customHeight="1" x14ac:dyDescent="0.25">
      <c r="A210" s="362">
        <f>0.14*0.18</f>
        <v>2.52E-2</v>
      </c>
      <c r="B210" s="276"/>
      <c r="C210" s="275">
        <v>3.8</v>
      </c>
      <c r="D210" s="541">
        <v>1</v>
      </c>
      <c r="E210" s="238" t="s">
        <v>311</v>
      </c>
      <c r="F210" s="265" t="s">
        <v>94</v>
      </c>
      <c r="G210" s="236">
        <f t="shared" ref="G210:G214" si="203">A210*C210*D210</f>
        <v>9.5759999999999998E-2</v>
      </c>
      <c r="H210" s="235"/>
      <c r="I210" s="235"/>
      <c r="J210" s="234"/>
      <c r="K210" s="234"/>
      <c r="L210" s="233"/>
      <c r="M210" s="233"/>
      <c r="N210" s="232"/>
      <c r="O210" s="231"/>
    </row>
    <row r="211" spans="1:76" s="230" customFormat="1" ht="6.75" customHeight="1" x14ac:dyDescent="0.25">
      <c r="A211" s="362">
        <f>0.12*0.18</f>
        <v>2.1599999999999998E-2</v>
      </c>
      <c r="B211" s="276"/>
      <c r="C211" s="275">
        <f>2.78+1.832+0.885</f>
        <v>5.4969999999999999</v>
      </c>
      <c r="D211" s="541">
        <v>1</v>
      </c>
      <c r="E211" s="238" t="s">
        <v>312</v>
      </c>
      <c r="F211" s="265" t="s">
        <v>94</v>
      </c>
      <c r="G211" s="236">
        <f t="shared" si="203"/>
        <v>0.11873519999999999</v>
      </c>
      <c r="H211" s="235"/>
      <c r="I211" s="235"/>
      <c r="J211" s="234"/>
      <c r="K211" s="234"/>
      <c r="L211" s="233"/>
      <c r="M211" s="233"/>
      <c r="N211" s="232"/>
      <c r="O211" s="231"/>
    </row>
    <row r="212" spans="1:76" s="230" customFormat="1" ht="6.75" customHeight="1" x14ac:dyDescent="0.25">
      <c r="A212" s="362">
        <f>0.16*0.06</f>
        <v>9.5999999999999992E-3</v>
      </c>
      <c r="B212" s="276"/>
      <c r="C212" s="275">
        <f>4.9+5.64</f>
        <v>10.54</v>
      </c>
      <c r="D212" s="541">
        <v>1</v>
      </c>
      <c r="E212" s="238" t="s">
        <v>313</v>
      </c>
      <c r="F212" s="265" t="s">
        <v>94</v>
      </c>
      <c r="G212" s="236">
        <f t="shared" si="203"/>
        <v>0.10118399999999998</v>
      </c>
      <c r="H212" s="235"/>
      <c r="I212" s="235"/>
      <c r="J212" s="234"/>
      <c r="K212" s="234"/>
      <c r="L212" s="233"/>
      <c r="M212" s="233"/>
      <c r="N212" s="232"/>
      <c r="O212" s="231"/>
    </row>
    <row r="213" spans="1:76" s="230" customFormat="1" ht="6.75" customHeight="1" x14ac:dyDescent="0.25">
      <c r="A213" s="362">
        <f>0.12*0.18</f>
        <v>2.1599999999999998E-2</v>
      </c>
      <c r="B213" s="276"/>
      <c r="C213" s="275">
        <f>1.003*2+2.068*2+3.134*2</f>
        <v>12.41</v>
      </c>
      <c r="D213" s="541">
        <v>1</v>
      </c>
      <c r="E213" s="238" t="s">
        <v>314</v>
      </c>
      <c r="F213" s="265" t="s">
        <v>94</v>
      </c>
      <c r="G213" s="236">
        <f t="shared" si="203"/>
        <v>0.26805599999999996</v>
      </c>
      <c r="H213" s="235"/>
      <c r="I213" s="235"/>
      <c r="J213" s="234"/>
      <c r="K213" s="234"/>
      <c r="L213" s="233"/>
      <c r="M213" s="233"/>
      <c r="N213" s="232"/>
      <c r="O213" s="231"/>
    </row>
    <row r="214" spans="1:76" s="230" customFormat="1" ht="6.75" customHeight="1" x14ac:dyDescent="0.25">
      <c r="A214" s="362">
        <f>0.16*0.06</f>
        <v>9.5999999999999992E-3</v>
      </c>
      <c r="B214" s="276"/>
      <c r="C214" s="275">
        <v>5</v>
      </c>
      <c r="D214" s="541">
        <v>1</v>
      </c>
      <c r="E214" s="238" t="s">
        <v>315</v>
      </c>
      <c r="F214" s="265" t="s">
        <v>94</v>
      </c>
      <c r="G214" s="236">
        <f t="shared" si="203"/>
        <v>4.7999999999999994E-2</v>
      </c>
      <c r="H214" s="235"/>
      <c r="I214" s="235"/>
      <c r="J214" s="234"/>
      <c r="K214" s="234"/>
      <c r="L214" s="233"/>
      <c r="M214" s="233"/>
      <c r="N214" s="232"/>
      <c r="O214" s="231"/>
    </row>
    <row r="215" spans="1:76" s="230" customFormat="1" ht="6.75" customHeight="1" x14ac:dyDescent="0.25">
      <c r="A215" s="362">
        <f>0.12*0.06</f>
        <v>7.1999999999999998E-3</v>
      </c>
      <c r="B215" s="276"/>
      <c r="C215" s="275">
        <v>0.74399999999999999</v>
      </c>
      <c r="D215" s="541">
        <v>8</v>
      </c>
      <c r="E215" s="238" t="s">
        <v>316</v>
      </c>
      <c r="F215" s="265" t="s">
        <v>94</v>
      </c>
      <c r="G215" s="236">
        <f t="shared" ref="G215:G216" si="204">A215*C215*D215</f>
        <v>4.2854400000000001E-2</v>
      </c>
      <c r="H215" s="235"/>
      <c r="I215" s="235"/>
      <c r="J215" s="234"/>
      <c r="K215" s="234"/>
      <c r="L215" s="233"/>
      <c r="M215" s="233"/>
      <c r="N215" s="232"/>
      <c r="O215" s="231"/>
    </row>
    <row r="216" spans="1:76" s="230" customFormat="1" ht="6.75" customHeight="1" x14ac:dyDescent="0.25">
      <c r="A216" s="362">
        <f>0.1*0.1</f>
        <v>1.0000000000000002E-2</v>
      </c>
      <c r="B216" s="276"/>
      <c r="C216" s="275">
        <v>0.95799999999999996</v>
      </c>
      <c r="D216" s="541">
        <v>8</v>
      </c>
      <c r="E216" s="238" t="s">
        <v>317</v>
      </c>
      <c r="F216" s="265" t="s">
        <v>94</v>
      </c>
      <c r="G216" s="236">
        <f t="shared" si="204"/>
        <v>7.6640000000000014E-2</v>
      </c>
      <c r="H216" s="235"/>
      <c r="I216" s="235"/>
      <c r="J216" s="234"/>
      <c r="K216" s="234"/>
      <c r="L216" s="233"/>
      <c r="M216" s="233"/>
      <c r="N216" s="232"/>
      <c r="O216" s="231"/>
    </row>
    <row r="217" spans="1:76" s="230" customFormat="1" ht="6.75" customHeight="1" x14ac:dyDescent="0.25">
      <c r="A217" s="362">
        <f>0.1*0.1</f>
        <v>1.0000000000000002E-2</v>
      </c>
      <c r="B217" s="276"/>
      <c r="C217" s="275">
        <v>0.79800000000000004</v>
      </c>
      <c r="D217" s="541">
        <v>8</v>
      </c>
      <c r="E217" s="238" t="s">
        <v>318</v>
      </c>
      <c r="F217" s="265" t="s">
        <v>94</v>
      </c>
      <c r="G217" s="236">
        <f t="shared" ref="G217" si="205">A217*C217*D217</f>
        <v>6.3840000000000022E-2</v>
      </c>
      <c r="H217" s="235"/>
      <c r="I217" s="235"/>
      <c r="J217" s="234"/>
      <c r="K217" s="234"/>
      <c r="L217" s="233"/>
      <c r="M217" s="233"/>
      <c r="N217" s="232"/>
      <c r="O217" s="231"/>
    </row>
    <row r="218" spans="1:76" s="230" customFormat="1" ht="6.75" customHeight="1" x14ac:dyDescent="0.25">
      <c r="A218" s="362">
        <f>0.1*0.1</f>
        <v>1.0000000000000002E-2</v>
      </c>
      <c r="B218" s="276"/>
      <c r="C218" s="275">
        <v>0.98899999999999999</v>
      </c>
      <c r="D218" s="541">
        <v>16</v>
      </c>
      <c r="E218" s="238" t="s">
        <v>319</v>
      </c>
      <c r="F218" s="265" t="s">
        <v>94</v>
      </c>
      <c r="G218" s="236">
        <f t="shared" ref="G218" si="206">A218*C218*D218</f>
        <v>0.15824000000000002</v>
      </c>
      <c r="H218" s="235"/>
      <c r="I218" s="235"/>
      <c r="J218" s="234"/>
      <c r="K218" s="234"/>
      <c r="L218" s="233"/>
      <c r="M218" s="233"/>
      <c r="N218" s="232"/>
      <c r="O218" s="231"/>
    </row>
    <row r="219" spans="1:76" s="230" customFormat="1" ht="6.75" customHeight="1" x14ac:dyDescent="0.25">
      <c r="A219" s="361">
        <f>SUM(G194:G218)</f>
        <v>6.0996352000000007</v>
      </c>
      <c r="B219" s="542"/>
      <c r="C219" s="277"/>
      <c r="D219" s="543">
        <v>0.11</v>
      </c>
      <c r="E219" s="238" t="s">
        <v>320</v>
      </c>
      <c r="F219" s="237" t="s">
        <v>94</v>
      </c>
      <c r="G219" s="236">
        <f>D219*A219</f>
        <v>0.67095987200000007</v>
      </c>
      <c r="H219" s="235"/>
      <c r="I219" s="235"/>
      <c r="J219" s="234"/>
      <c r="K219" s="234"/>
      <c r="L219" s="233"/>
      <c r="M219" s="233"/>
      <c r="N219" s="232"/>
      <c r="O219" s="231"/>
    </row>
    <row r="220" spans="1:76" s="268" customFormat="1" x14ac:dyDescent="0.2">
      <c r="A220" s="251">
        <f>A193+1</f>
        <v>48</v>
      </c>
      <c r="B220" s="250" t="s">
        <v>43</v>
      </c>
      <c r="C220" s="249" t="s">
        <v>275</v>
      </c>
      <c r="D220" s="248" t="s">
        <v>276</v>
      </c>
      <c r="E220" s="248"/>
      <c r="F220" s="247" t="s">
        <v>92</v>
      </c>
      <c r="G220" s="246">
        <f>SUM(G221:G223)</f>
        <v>96.132299999999987</v>
      </c>
      <c r="H220" s="245"/>
      <c r="I220" s="244" t="s">
        <v>95</v>
      </c>
      <c r="J220" s="233">
        <f t="shared" si="103"/>
        <v>0</v>
      </c>
      <c r="K220" s="243">
        <f t="shared" si="104"/>
        <v>0</v>
      </c>
      <c r="L220" s="242">
        <f t="shared" si="105"/>
        <v>0</v>
      </c>
      <c r="M220" s="233">
        <f t="shared" si="106"/>
        <v>0</v>
      </c>
      <c r="N220" s="241">
        <v>2.0000000000000002E-5</v>
      </c>
      <c r="O220" s="240">
        <f t="shared" si="107"/>
        <v>1.9226459999999999E-3</v>
      </c>
      <c r="P220" s="213" t="s">
        <v>769</v>
      </c>
      <c r="Z220" s="268">
        <f t="shared" si="108"/>
        <v>0</v>
      </c>
      <c r="AB220" s="268">
        <f t="shared" si="109"/>
        <v>0</v>
      </c>
      <c r="AC220" s="268">
        <f t="shared" si="110"/>
        <v>0</v>
      </c>
      <c r="AD220" s="268">
        <f t="shared" si="111"/>
        <v>0</v>
      </c>
      <c r="AE220" s="268">
        <f t="shared" si="112"/>
        <v>0</v>
      </c>
      <c r="AF220" s="268">
        <f t="shared" si="113"/>
        <v>0</v>
      </c>
      <c r="AG220" s="268">
        <f t="shared" si="114"/>
        <v>0</v>
      </c>
      <c r="AH220" s="268">
        <f t="shared" si="115"/>
        <v>0</v>
      </c>
      <c r="AI220" s="268" t="s">
        <v>43</v>
      </c>
      <c r="AJ220" s="268">
        <f t="shared" si="116"/>
        <v>0</v>
      </c>
      <c r="AK220" s="268">
        <f t="shared" si="117"/>
        <v>0</v>
      </c>
      <c r="AL220" s="268">
        <f t="shared" si="118"/>
        <v>0</v>
      </c>
      <c r="AN220" s="268">
        <v>12</v>
      </c>
      <c r="AO220" s="268">
        <f>H220*0.459234973</f>
        <v>0</v>
      </c>
      <c r="AP220" s="268">
        <f>H220*(1-0.459234973)</f>
        <v>0</v>
      </c>
      <c r="AQ220" s="268" t="s">
        <v>93</v>
      </c>
      <c r="AV220" s="268">
        <f t="shared" si="119"/>
        <v>0</v>
      </c>
      <c r="AW220" s="268">
        <f t="shared" si="120"/>
        <v>0</v>
      </c>
      <c r="AX220" s="268">
        <f t="shared" si="121"/>
        <v>0</v>
      </c>
      <c r="AY220" s="268" t="s">
        <v>266</v>
      </c>
      <c r="AZ220" s="268" t="s">
        <v>267</v>
      </c>
      <c r="BA220" s="268" t="s">
        <v>85</v>
      </c>
      <c r="BC220" s="268">
        <f t="shared" si="122"/>
        <v>0</v>
      </c>
      <c r="BD220" s="268">
        <f t="shared" si="123"/>
        <v>0</v>
      </c>
      <c r="BE220" s="268">
        <v>0</v>
      </c>
      <c r="BF220" s="268">
        <f t="shared" si="124"/>
        <v>1.9226459999999999E-3</v>
      </c>
      <c r="BH220" s="268">
        <f t="shared" si="125"/>
        <v>0</v>
      </c>
      <c r="BI220" s="268">
        <f t="shared" si="126"/>
        <v>0</v>
      </c>
      <c r="BJ220" s="268">
        <f t="shared" si="127"/>
        <v>0</v>
      </c>
      <c r="BL220" s="268">
        <v>762</v>
      </c>
      <c r="BW220" s="268" t="str">
        <f t="shared" si="128"/>
        <v>12</v>
      </c>
      <c r="BX220" s="268" t="s">
        <v>276</v>
      </c>
    </row>
    <row r="221" spans="1:76" s="230" customFormat="1" ht="6.75" customHeight="1" x14ac:dyDescent="0.25">
      <c r="A221" s="362"/>
      <c r="B221" s="276"/>
      <c r="C221" s="275" t="s">
        <v>90</v>
      </c>
      <c r="D221" s="541"/>
      <c r="E221" s="238" t="str">
        <f>D227</f>
        <v>Montáž bednění střech rovných, prkna hrubá na sraz</v>
      </c>
      <c r="F221" s="265" t="s">
        <v>92</v>
      </c>
      <c r="G221" s="236">
        <f>G227</f>
        <v>77.117499999999993</v>
      </c>
      <c r="H221" s="583"/>
      <c r="I221" s="235"/>
      <c r="J221" s="234"/>
      <c r="K221" s="234"/>
      <c r="L221" s="233"/>
      <c r="M221" s="233"/>
      <c r="N221" s="232"/>
      <c r="O221" s="231"/>
    </row>
    <row r="222" spans="1:76" s="230" customFormat="1" ht="6.75" customHeight="1" x14ac:dyDescent="0.25">
      <c r="A222" s="362"/>
      <c r="B222" s="276"/>
      <c r="C222" s="275" t="s">
        <v>90</v>
      </c>
      <c r="D222" s="541"/>
      <c r="E222" s="238" t="str">
        <f>D232</f>
        <v>Montáž bednění složité z prken hrubých na sraz</v>
      </c>
      <c r="F222" s="265" t="s">
        <v>92</v>
      </c>
      <c r="G222" s="236">
        <f>G232</f>
        <v>8.5447999999999986</v>
      </c>
      <c r="H222" s="583"/>
      <c r="I222" s="235"/>
      <c r="J222" s="234"/>
      <c r="K222" s="234"/>
      <c r="L222" s="233"/>
      <c r="M222" s="233"/>
      <c r="N222" s="232"/>
      <c r="O222" s="231"/>
    </row>
    <row r="223" spans="1:76" s="230" customFormat="1" ht="6.75" customHeight="1" x14ac:dyDescent="0.25">
      <c r="A223" s="362"/>
      <c r="B223" s="276"/>
      <c r="C223" s="275" t="s">
        <v>90</v>
      </c>
      <c r="D223" s="541"/>
      <c r="E223" s="238" t="str">
        <f>D241</f>
        <v>Montáž bednění okapových říms z palubek pero-drážka</v>
      </c>
      <c r="F223" s="265" t="s">
        <v>92</v>
      </c>
      <c r="G223" s="236">
        <f>G241</f>
        <v>10.469999999999999</v>
      </c>
      <c r="H223" s="583"/>
      <c r="I223" s="235"/>
      <c r="J223" s="234"/>
      <c r="K223" s="234"/>
      <c r="L223" s="233"/>
      <c r="M223" s="233"/>
      <c r="N223" s="232"/>
      <c r="O223" s="231"/>
    </row>
    <row r="224" spans="1:76" s="268" customFormat="1" x14ac:dyDescent="0.2">
      <c r="A224" s="251">
        <f>A220+1</f>
        <v>49</v>
      </c>
      <c r="B224" s="250" t="s">
        <v>43</v>
      </c>
      <c r="C224" s="249" t="s">
        <v>288</v>
      </c>
      <c r="D224" s="248" t="s">
        <v>289</v>
      </c>
      <c r="E224" s="248"/>
      <c r="F224" s="247" t="s">
        <v>272</v>
      </c>
      <c r="G224" s="246">
        <f>SUM(G225:G226)</f>
        <v>92.3964</v>
      </c>
      <c r="H224" s="245"/>
      <c r="I224" s="244" t="s">
        <v>95</v>
      </c>
      <c r="J224" s="233">
        <f t="shared" ref="J224" si="207">G224*AO224</f>
        <v>0</v>
      </c>
      <c r="K224" s="243">
        <f t="shared" ref="K224" si="208">G224*AP224</f>
        <v>0</v>
      </c>
      <c r="L224" s="242">
        <f t="shared" ref="L224" si="209">G224*H224</f>
        <v>0</v>
      </c>
      <c r="M224" s="233">
        <f t="shared" ref="M224" si="210">L224*(1+BW224/100)</f>
        <v>0</v>
      </c>
      <c r="N224" s="241">
        <v>1.32E-3</v>
      </c>
      <c r="O224" s="240">
        <f t="shared" ref="O224" si="211">G224*N224</f>
        <v>0.121963248</v>
      </c>
      <c r="P224" s="213" t="s">
        <v>769</v>
      </c>
      <c r="Z224" s="268">
        <f t="shared" ref="Z224" si="212">IF(AQ224="5",BJ224,0)</f>
        <v>0</v>
      </c>
      <c r="AB224" s="268">
        <f t="shared" ref="AB224" si="213">IF(AQ224="1",BH224,0)</f>
        <v>0</v>
      </c>
      <c r="AC224" s="268">
        <f t="shared" ref="AC224" si="214">IF(AQ224="1",BI224,0)</f>
        <v>0</v>
      </c>
      <c r="AD224" s="268">
        <f t="shared" ref="AD224" si="215">IF(AQ224="7",BH224,0)</f>
        <v>0</v>
      </c>
      <c r="AE224" s="268">
        <f t="shared" ref="AE224" si="216">IF(AQ224="7",BI224,0)</f>
        <v>0</v>
      </c>
      <c r="AF224" s="268">
        <f t="shared" ref="AF224" si="217">IF(AQ224="2",BH224,0)</f>
        <v>0</v>
      </c>
      <c r="AG224" s="268">
        <f t="shared" ref="AG224" si="218">IF(AQ224="2",BI224,0)</f>
        <v>0</v>
      </c>
      <c r="AH224" s="268">
        <f t="shared" ref="AH224" si="219">IF(AQ224="0",BJ224,0)</f>
        <v>0</v>
      </c>
      <c r="AI224" s="268" t="s">
        <v>43</v>
      </c>
      <c r="AJ224" s="268">
        <f t="shared" ref="AJ224" si="220">IF(AN224=0,L224,0)</f>
        <v>0</v>
      </c>
      <c r="AK224" s="268">
        <f t="shared" ref="AK224" si="221">IF(AN224=12,L224,0)</f>
        <v>0</v>
      </c>
      <c r="AL224" s="268">
        <f t="shared" ref="AL224" si="222">IF(AN224=21,L224,0)</f>
        <v>0</v>
      </c>
      <c r="AN224" s="268">
        <v>12</v>
      </c>
      <c r="AO224" s="268">
        <f t="shared" ref="AO224" si="223">H224*1</f>
        <v>0</v>
      </c>
      <c r="AP224" s="268">
        <f t="shared" ref="AP224" si="224">H224*(1-1)</f>
        <v>0</v>
      </c>
      <c r="AQ224" s="268" t="s">
        <v>285</v>
      </c>
      <c r="AV224" s="268">
        <f t="shared" ref="AV224" si="225">AW224+AX224</f>
        <v>0</v>
      </c>
      <c r="AW224" s="268">
        <f t="shared" ref="AW224" si="226">G224*AO224</f>
        <v>0</v>
      </c>
      <c r="AX224" s="268">
        <f t="shared" ref="AX224" si="227">G224*AP224</f>
        <v>0</v>
      </c>
      <c r="AY224" s="268" t="s">
        <v>286</v>
      </c>
      <c r="AZ224" s="268" t="s">
        <v>287</v>
      </c>
      <c r="BA224" s="268" t="s">
        <v>85</v>
      </c>
      <c r="BC224" s="268">
        <f t="shared" ref="BC224" si="228">AW224+AX224</f>
        <v>0</v>
      </c>
      <c r="BD224" s="268">
        <f t="shared" ref="BD224" si="229">H224/(100-BE224)*100</f>
        <v>0</v>
      </c>
      <c r="BE224" s="268">
        <v>0</v>
      </c>
      <c r="BF224" s="268">
        <f t="shared" ref="BF224" si="230">O224</f>
        <v>0.121963248</v>
      </c>
      <c r="BH224" s="268">
        <f t="shared" ref="BH224" si="231">G224*AO224</f>
        <v>0</v>
      </c>
      <c r="BI224" s="268">
        <f t="shared" ref="BI224" si="232">G224*AP224</f>
        <v>0</v>
      </c>
      <c r="BJ224" s="268">
        <f t="shared" ref="BJ224" si="233">G224*H224</f>
        <v>0</v>
      </c>
      <c r="BW224" s="268" t="str">
        <f t="shared" ref="BW224" si="234">I224</f>
        <v>12</v>
      </c>
      <c r="BX224" s="268" t="s">
        <v>289</v>
      </c>
    </row>
    <row r="225" spans="1:76" s="230" customFormat="1" ht="6.75" customHeight="1" x14ac:dyDescent="0.25">
      <c r="A225" s="362"/>
      <c r="B225" s="276"/>
      <c r="C225" s="275" t="s">
        <v>90</v>
      </c>
      <c r="D225" s="541">
        <f>SUM(G178:G183)+G176+G170+G185+G189</f>
        <v>83.24</v>
      </c>
      <c r="E225" s="238" t="str">
        <f>D220</f>
        <v>Montáž kontralatí na vruty, s těsnicí páskou</v>
      </c>
      <c r="F225" s="265" t="s">
        <v>272</v>
      </c>
      <c r="G225" s="236">
        <f>D225</f>
        <v>83.24</v>
      </c>
      <c r="H225" s="235"/>
      <c r="I225" s="235"/>
      <c r="J225" s="234"/>
      <c r="K225" s="234"/>
      <c r="L225" s="233"/>
      <c r="M225" s="233"/>
      <c r="N225" s="232"/>
      <c r="O225" s="231"/>
    </row>
    <row r="226" spans="1:76" s="230" customFormat="1" ht="6.75" customHeight="1" x14ac:dyDescent="0.25">
      <c r="A226" s="361">
        <f>SUM(G225:G225)</f>
        <v>83.24</v>
      </c>
      <c r="B226" s="542"/>
      <c r="C226" s="277"/>
      <c r="D226" s="543">
        <v>0.11</v>
      </c>
      <c r="E226" s="238" t="s">
        <v>320</v>
      </c>
      <c r="F226" s="265" t="s">
        <v>272</v>
      </c>
      <c r="G226" s="236">
        <f>D226*A226</f>
        <v>9.1563999999999997</v>
      </c>
      <c r="H226" s="235"/>
      <c r="I226" s="235"/>
      <c r="J226" s="234"/>
      <c r="K226" s="234"/>
      <c r="L226" s="233"/>
      <c r="M226" s="233"/>
      <c r="N226" s="232"/>
      <c r="O226" s="231"/>
    </row>
    <row r="227" spans="1:76" s="268" customFormat="1" x14ac:dyDescent="0.2">
      <c r="A227" s="251">
        <f>A224+1</f>
        <v>50</v>
      </c>
      <c r="B227" s="250" t="s">
        <v>43</v>
      </c>
      <c r="C227" s="249" t="s">
        <v>277</v>
      </c>
      <c r="D227" s="248" t="s">
        <v>278</v>
      </c>
      <c r="E227" s="248"/>
      <c r="F227" s="247" t="s">
        <v>92</v>
      </c>
      <c r="G227" s="246">
        <f>SUM(G228:G231)</f>
        <v>77.117499999999993</v>
      </c>
      <c r="H227" s="245"/>
      <c r="I227" s="244" t="s">
        <v>95</v>
      </c>
      <c r="J227" s="233">
        <f t="shared" si="103"/>
        <v>0</v>
      </c>
      <c r="K227" s="243">
        <f t="shared" si="104"/>
        <v>0</v>
      </c>
      <c r="L227" s="242">
        <f t="shared" si="105"/>
        <v>0</v>
      </c>
      <c r="M227" s="233">
        <f t="shared" si="106"/>
        <v>0</v>
      </c>
      <c r="N227" s="241">
        <v>0</v>
      </c>
      <c r="O227" s="240">
        <f t="shared" si="107"/>
        <v>0</v>
      </c>
      <c r="P227" s="213" t="s">
        <v>769</v>
      </c>
      <c r="Z227" s="268">
        <f t="shared" si="108"/>
        <v>0</v>
      </c>
      <c r="AB227" s="268">
        <f t="shared" si="109"/>
        <v>0</v>
      </c>
      <c r="AC227" s="268">
        <f t="shared" si="110"/>
        <v>0</v>
      </c>
      <c r="AD227" s="268">
        <f t="shared" si="111"/>
        <v>0</v>
      </c>
      <c r="AE227" s="268">
        <f t="shared" si="112"/>
        <v>0</v>
      </c>
      <c r="AF227" s="268">
        <f t="shared" si="113"/>
        <v>0</v>
      </c>
      <c r="AG227" s="268">
        <f t="shared" si="114"/>
        <v>0</v>
      </c>
      <c r="AH227" s="268">
        <f t="shared" si="115"/>
        <v>0</v>
      </c>
      <c r="AI227" s="268" t="s">
        <v>43</v>
      </c>
      <c r="AJ227" s="268">
        <f t="shared" si="116"/>
        <v>0</v>
      </c>
      <c r="AK227" s="268">
        <f t="shared" si="117"/>
        <v>0</v>
      </c>
      <c r="AL227" s="268">
        <f t="shared" si="118"/>
        <v>0</v>
      </c>
      <c r="AN227" s="268">
        <v>12</v>
      </c>
      <c r="AO227" s="268">
        <f>H227*0</f>
        <v>0</v>
      </c>
      <c r="AP227" s="268">
        <f>H227*(1-0)</f>
        <v>0</v>
      </c>
      <c r="AQ227" s="268" t="s">
        <v>93</v>
      </c>
      <c r="AV227" s="268">
        <f t="shared" si="119"/>
        <v>0</v>
      </c>
      <c r="AW227" s="268">
        <f t="shared" si="120"/>
        <v>0</v>
      </c>
      <c r="AX227" s="268">
        <f t="shared" si="121"/>
        <v>0</v>
      </c>
      <c r="AY227" s="268" t="s">
        <v>266</v>
      </c>
      <c r="AZ227" s="268" t="s">
        <v>267</v>
      </c>
      <c r="BA227" s="268" t="s">
        <v>85</v>
      </c>
      <c r="BC227" s="268">
        <f t="shared" si="122"/>
        <v>0</v>
      </c>
      <c r="BD227" s="268">
        <f t="shared" si="123"/>
        <v>0</v>
      </c>
      <c r="BE227" s="268">
        <v>0</v>
      </c>
      <c r="BF227" s="268">
        <f t="shared" si="124"/>
        <v>0</v>
      </c>
      <c r="BH227" s="268">
        <f t="shared" si="125"/>
        <v>0</v>
      </c>
      <c r="BI227" s="268">
        <f t="shared" si="126"/>
        <v>0</v>
      </c>
      <c r="BJ227" s="268">
        <f t="shared" si="127"/>
        <v>0</v>
      </c>
      <c r="BL227" s="268">
        <v>762</v>
      </c>
      <c r="BW227" s="268" t="str">
        <f t="shared" si="128"/>
        <v>12</v>
      </c>
      <c r="BX227" s="268" t="s">
        <v>278</v>
      </c>
    </row>
    <row r="228" spans="1:76" s="230" customFormat="1" ht="6.75" customHeight="1" x14ac:dyDescent="0.25">
      <c r="A228" s="361">
        <v>3.85</v>
      </c>
      <c r="B228" s="276"/>
      <c r="C228" s="275">
        <v>5.3</v>
      </c>
      <c r="D228" s="541">
        <v>11.35</v>
      </c>
      <c r="E228" s="238" t="s">
        <v>755</v>
      </c>
      <c r="F228" s="265" t="s">
        <v>92</v>
      </c>
      <c r="G228" s="236">
        <f>A228*(C228+D228)/2</f>
        <v>32.051249999999996</v>
      </c>
      <c r="H228" s="235"/>
      <c r="I228" s="235"/>
      <c r="J228" s="234"/>
      <c r="K228" s="234"/>
      <c r="L228" s="233"/>
      <c r="M228" s="233"/>
      <c r="N228" s="232"/>
      <c r="O228" s="231"/>
    </row>
    <row r="229" spans="1:76" s="230" customFormat="1" ht="6.75" customHeight="1" x14ac:dyDescent="0.25">
      <c r="A229" s="361">
        <v>3.85</v>
      </c>
      <c r="B229" s="276"/>
      <c r="C229" s="275">
        <v>0.5</v>
      </c>
      <c r="D229" s="541">
        <v>6.1</v>
      </c>
      <c r="E229" s="238" t="s">
        <v>756</v>
      </c>
      <c r="F229" s="265" t="s">
        <v>92</v>
      </c>
      <c r="G229" s="236">
        <f t="shared" ref="G229" si="235">A229*C229*D229</f>
        <v>11.7425</v>
      </c>
      <c r="H229" s="235"/>
      <c r="I229" s="235"/>
      <c r="J229" s="234"/>
      <c r="K229" s="234"/>
      <c r="L229" s="233"/>
      <c r="M229" s="233"/>
      <c r="N229" s="232"/>
      <c r="O229" s="231"/>
    </row>
    <row r="230" spans="1:76" s="230" customFormat="1" ht="6.75" customHeight="1" x14ac:dyDescent="0.25">
      <c r="A230" s="361"/>
      <c r="B230" s="276"/>
      <c r="C230" s="275"/>
      <c r="D230" s="541"/>
      <c r="E230" s="238" t="s">
        <v>757</v>
      </c>
      <c r="F230" s="265" t="s">
        <v>92</v>
      </c>
      <c r="G230" s="236">
        <f>SUM(G228:G229)</f>
        <v>43.793749999999996</v>
      </c>
      <c r="H230" s="235"/>
      <c r="I230" s="235"/>
      <c r="J230" s="234"/>
      <c r="K230" s="234"/>
      <c r="L230" s="233"/>
      <c r="M230" s="233"/>
      <c r="N230" s="232"/>
      <c r="O230" s="231"/>
    </row>
    <row r="231" spans="1:76" s="230" customFormat="1" ht="6.75" customHeight="1" x14ac:dyDescent="0.25">
      <c r="A231" s="361">
        <f>G241</f>
        <v>10.469999999999999</v>
      </c>
      <c r="B231" s="276"/>
      <c r="C231" s="275" t="s">
        <v>149</v>
      </c>
      <c r="D231" s="541">
        <v>-1</v>
      </c>
      <c r="E231" s="238" t="str">
        <f>D241</f>
        <v>Montáž bednění okapových říms z palubek pero-drážka</v>
      </c>
      <c r="F231" s="265" t="s">
        <v>92</v>
      </c>
      <c r="G231" s="236">
        <f>A231*D231</f>
        <v>-10.469999999999999</v>
      </c>
      <c r="H231" s="235"/>
      <c r="I231" s="235"/>
      <c r="J231" s="234"/>
      <c r="K231" s="234"/>
      <c r="L231" s="233"/>
      <c r="M231" s="233"/>
      <c r="N231" s="232"/>
      <c r="O231" s="231"/>
    </row>
    <row r="232" spans="1:76" s="268" customFormat="1" x14ac:dyDescent="0.2">
      <c r="A232" s="251">
        <f>A227+1</f>
        <v>51</v>
      </c>
      <c r="B232" s="250" t="s">
        <v>43</v>
      </c>
      <c r="C232" s="249" t="s">
        <v>279</v>
      </c>
      <c r="D232" s="248" t="s">
        <v>751</v>
      </c>
      <c r="E232" s="248"/>
      <c r="F232" s="247" t="s">
        <v>92</v>
      </c>
      <c r="G232" s="246">
        <f>SUM(G233:G236)</f>
        <v>8.5447999999999986</v>
      </c>
      <c r="H232" s="245"/>
      <c r="I232" s="244" t="s">
        <v>95</v>
      </c>
      <c r="J232" s="233">
        <f t="shared" si="103"/>
        <v>0</v>
      </c>
      <c r="K232" s="243">
        <f t="shared" si="104"/>
        <v>0</v>
      </c>
      <c r="L232" s="242">
        <f t="shared" si="105"/>
        <v>0</v>
      </c>
      <c r="M232" s="233">
        <f t="shared" si="106"/>
        <v>0</v>
      </c>
      <c r="N232" s="241">
        <v>0</v>
      </c>
      <c r="O232" s="240">
        <f t="shared" si="107"/>
        <v>0</v>
      </c>
      <c r="P232" s="213" t="s">
        <v>769</v>
      </c>
      <c r="Z232" s="268">
        <f t="shared" si="108"/>
        <v>0</v>
      </c>
      <c r="AB232" s="268">
        <f t="shared" si="109"/>
        <v>0</v>
      </c>
      <c r="AC232" s="268">
        <f t="shared" si="110"/>
        <v>0</v>
      </c>
      <c r="AD232" s="268">
        <f t="shared" si="111"/>
        <v>0</v>
      </c>
      <c r="AE232" s="268">
        <f t="shared" si="112"/>
        <v>0</v>
      </c>
      <c r="AF232" s="268">
        <f t="shared" si="113"/>
        <v>0</v>
      </c>
      <c r="AG232" s="268">
        <f t="shared" si="114"/>
        <v>0</v>
      </c>
      <c r="AH232" s="268">
        <f t="shared" si="115"/>
        <v>0</v>
      </c>
      <c r="AI232" s="268" t="s">
        <v>43</v>
      </c>
      <c r="AJ232" s="268">
        <f t="shared" si="116"/>
        <v>0</v>
      </c>
      <c r="AK232" s="268">
        <f t="shared" si="117"/>
        <v>0</v>
      </c>
      <c r="AL232" s="268">
        <f t="shared" si="118"/>
        <v>0</v>
      </c>
      <c r="AN232" s="268">
        <v>12</v>
      </c>
      <c r="AO232" s="268">
        <f>H232*0</f>
        <v>0</v>
      </c>
      <c r="AP232" s="268">
        <f>H232*(1-0)</f>
        <v>0</v>
      </c>
      <c r="AQ232" s="268" t="s">
        <v>93</v>
      </c>
      <c r="AV232" s="268">
        <f t="shared" si="119"/>
        <v>0</v>
      </c>
      <c r="AW232" s="268">
        <f t="shared" si="120"/>
        <v>0</v>
      </c>
      <c r="AX232" s="268">
        <f t="shared" si="121"/>
        <v>0</v>
      </c>
      <c r="AY232" s="268" t="s">
        <v>266</v>
      </c>
      <c r="AZ232" s="268" t="s">
        <v>267</v>
      </c>
      <c r="BA232" s="268" t="s">
        <v>85</v>
      </c>
      <c r="BC232" s="268">
        <f t="shared" si="122"/>
        <v>0</v>
      </c>
      <c r="BD232" s="268">
        <f t="shared" si="123"/>
        <v>0</v>
      </c>
      <c r="BE232" s="268">
        <v>0</v>
      </c>
      <c r="BF232" s="268">
        <f t="shared" si="124"/>
        <v>0</v>
      </c>
      <c r="BH232" s="268">
        <f t="shared" si="125"/>
        <v>0</v>
      </c>
      <c r="BI232" s="268">
        <f t="shared" si="126"/>
        <v>0</v>
      </c>
      <c r="BJ232" s="268">
        <f t="shared" si="127"/>
        <v>0</v>
      </c>
      <c r="BL232" s="268">
        <v>762</v>
      </c>
      <c r="BW232" s="268" t="str">
        <f t="shared" si="128"/>
        <v>12</v>
      </c>
      <c r="BX232" s="268" t="s">
        <v>280</v>
      </c>
    </row>
    <row r="233" spans="1:76" s="230" customFormat="1" ht="6.75" customHeight="1" x14ac:dyDescent="0.25">
      <c r="A233" s="361">
        <v>4</v>
      </c>
      <c r="B233" s="276"/>
      <c r="C233" s="275">
        <v>1.2</v>
      </c>
      <c r="D233" s="541">
        <v>0.8</v>
      </c>
      <c r="E233" s="238" t="s">
        <v>752</v>
      </c>
      <c r="F233" s="265" t="s">
        <v>92</v>
      </c>
      <c r="G233" s="236">
        <f t="shared" ref="G233" si="236">A233*C233*D233</f>
        <v>3.84</v>
      </c>
      <c r="H233" s="235"/>
      <c r="I233" s="235"/>
      <c r="J233" s="234"/>
      <c r="K233" s="234"/>
      <c r="L233" s="233"/>
      <c r="M233" s="233"/>
      <c r="N233" s="232"/>
      <c r="O233" s="231"/>
    </row>
    <row r="234" spans="1:76" s="230" customFormat="1" ht="6.75" customHeight="1" x14ac:dyDescent="0.25">
      <c r="A234" s="361">
        <v>4</v>
      </c>
      <c r="B234" s="276"/>
      <c r="C234" s="275">
        <f>0.959/2</f>
        <v>0.47949999999999998</v>
      </c>
      <c r="D234" s="541">
        <v>0.8</v>
      </c>
      <c r="E234" s="238" t="s">
        <v>753</v>
      </c>
      <c r="F234" s="265" t="s">
        <v>92</v>
      </c>
      <c r="G234" s="236">
        <f t="shared" ref="G234" si="237">A234*C234*D234</f>
        <v>1.5344</v>
      </c>
      <c r="H234" s="235"/>
      <c r="I234" s="235"/>
      <c r="J234" s="234"/>
      <c r="K234" s="234"/>
      <c r="L234" s="233"/>
      <c r="M234" s="233"/>
      <c r="N234" s="232"/>
      <c r="O234" s="231"/>
    </row>
    <row r="235" spans="1:76" s="230" customFormat="1" ht="6.75" customHeight="1" x14ac:dyDescent="0.25">
      <c r="A235" s="361">
        <f>0.58*0.475</f>
        <v>0.27549999999999997</v>
      </c>
      <c r="B235" s="276"/>
      <c r="C235" s="275" t="s">
        <v>411</v>
      </c>
      <c r="D235" s="541">
        <v>-4</v>
      </c>
      <c r="E235" s="238" t="s">
        <v>424</v>
      </c>
      <c r="F235" s="265" t="s">
        <v>92</v>
      </c>
      <c r="G235" s="236">
        <f>A235*D235</f>
        <v>-1.1019999999999999</v>
      </c>
      <c r="H235" s="235"/>
      <c r="I235" s="235"/>
      <c r="J235" s="234"/>
      <c r="K235" s="234"/>
      <c r="L235" s="233"/>
      <c r="M235" s="233"/>
      <c r="N235" s="232"/>
      <c r="O235" s="231"/>
    </row>
    <row r="236" spans="1:76" s="230" customFormat="1" ht="6.75" customHeight="1" x14ac:dyDescent="0.25">
      <c r="A236" s="361"/>
      <c r="B236" s="276"/>
      <c r="C236" s="275"/>
      <c r="D236" s="541"/>
      <c r="E236" s="238" t="s">
        <v>754</v>
      </c>
      <c r="F236" s="265" t="s">
        <v>92</v>
      </c>
      <c r="G236" s="236">
        <f>SUM(G233:G235)</f>
        <v>4.2723999999999993</v>
      </c>
      <c r="H236" s="235"/>
      <c r="I236" s="235"/>
      <c r="J236" s="234"/>
      <c r="K236" s="234"/>
      <c r="L236" s="233"/>
      <c r="M236" s="233"/>
      <c r="N236" s="232"/>
      <c r="O236" s="231"/>
    </row>
    <row r="237" spans="1:76" s="268" customFormat="1" x14ac:dyDescent="0.2">
      <c r="A237" s="251">
        <f>A232+1</f>
        <v>52</v>
      </c>
      <c r="B237" s="250" t="s">
        <v>43</v>
      </c>
      <c r="C237" s="249" t="s">
        <v>290</v>
      </c>
      <c r="D237" s="248" t="s">
        <v>394</v>
      </c>
      <c r="E237" s="248"/>
      <c r="F237" s="247" t="s">
        <v>94</v>
      </c>
      <c r="G237" s="246">
        <f>SUM(G238:G240)</f>
        <v>2.2820436719999995</v>
      </c>
      <c r="H237" s="245"/>
      <c r="I237" s="244" t="s">
        <v>95</v>
      </c>
      <c r="J237" s="233">
        <f t="shared" ref="J237" si="238">G237*AO237</f>
        <v>0</v>
      </c>
      <c r="K237" s="243">
        <f t="shared" ref="K237" si="239">G237*AP237</f>
        <v>0</v>
      </c>
      <c r="L237" s="242">
        <f t="shared" ref="L237" si="240">G237*H237</f>
        <v>0</v>
      </c>
      <c r="M237" s="233">
        <f t="shared" ref="M237" si="241">L237*(1+BW237/100)</f>
        <v>0</v>
      </c>
      <c r="N237" s="241">
        <v>0.55000000000000004</v>
      </c>
      <c r="O237" s="240">
        <f t="shared" ref="O237" si="242">G237*N237</f>
        <v>1.2551240195999998</v>
      </c>
      <c r="P237" s="213" t="s">
        <v>769</v>
      </c>
      <c r="Z237" s="268">
        <f t="shared" ref="Z237" si="243">IF(AQ237="5",BJ237,0)</f>
        <v>0</v>
      </c>
      <c r="AB237" s="268">
        <f t="shared" ref="AB237" si="244">IF(AQ237="1",BH237,0)</f>
        <v>0</v>
      </c>
      <c r="AC237" s="268">
        <f t="shared" ref="AC237" si="245">IF(AQ237="1",BI237,0)</f>
        <v>0</v>
      </c>
      <c r="AD237" s="268">
        <f t="shared" ref="AD237" si="246">IF(AQ237="7",BH237,0)</f>
        <v>0</v>
      </c>
      <c r="AE237" s="268">
        <f t="shared" ref="AE237" si="247">IF(AQ237="7",BI237,0)</f>
        <v>0</v>
      </c>
      <c r="AF237" s="268">
        <f t="shared" ref="AF237" si="248">IF(AQ237="2",BH237,0)</f>
        <v>0</v>
      </c>
      <c r="AG237" s="268">
        <f t="shared" ref="AG237" si="249">IF(AQ237="2",BI237,0)</f>
        <v>0</v>
      </c>
      <c r="AH237" s="268">
        <f t="shared" ref="AH237" si="250">IF(AQ237="0",BJ237,0)</f>
        <v>0</v>
      </c>
      <c r="AI237" s="268" t="s">
        <v>43</v>
      </c>
      <c r="AJ237" s="268">
        <f t="shared" ref="AJ237" si="251">IF(AN237=0,L237,0)</f>
        <v>0</v>
      </c>
      <c r="AK237" s="268">
        <f t="shared" ref="AK237" si="252">IF(AN237=12,L237,0)</f>
        <v>0</v>
      </c>
      <c r="AL237" s="268">
        <f t="shared" ref="AL237" si="253">IF(AN237=21,L237,0)</f>
        <v>0</v>
      </c>
      <c r="AN237" s="268">
        <v>12</v>
      </c>
      <c r="AO237" s="268">
        <f t="shared" ref="AO237" si="254">H237*1</f>
        <v>0</v>
      </c>
      <c r="AP237" s="268">
        <f t="shared" ref="AP237" si="255">H237*(1-1)</f>
        <v>0</v>
      </c>
      <c r="AQ237" s="268" t="s">
        <v>285</v>
      </c>
      <c r="AV237" s="268">
        <f t="shared" ref="AV237" si="256">AW237+AX237</f>
        <v>0</v>
      </c>
      <c r="AW237" s="268">
        <f t="shared" ref="AW237" si="257">G237*AO237</f>
        <v>0</v>
      </c>
      <c r="AX237" s="268">
        <f t="shared" ref="AX237" si="258">G237*AP237</f>
        <v>0</v>
      </c>
      <c r="AY237" s="268" t="s">
        <v>286</v>
      </c>
      <c r="AZ237" s="268" t="s">
        <v>287</v>
      </c>
      <c r="BA237" s="268" t="s">
        <v>85</v>
      </c>
      <c r="BC237" s="268">
        <f t="shared" ref="BC237" si="259">AW237+AX237</f>
        <v>0</v>
      </c>
      <c r="BD237" s="268">
        <f t="shared" ref="BD237" si="260">H237/(100-BE237)*100</f>
        <v>0</v>
      </c>
      <c r="BE237" s="268">
        <v>0</v>
      </c>
      <c r="BF237" s="268">
        <f t="shared" ref="BF237" si="261">O237</f>
        <v>1.2551240195999998</v>
      </c>
      <c r="BH237" s="268">
        <f t="shared" ref="BH237" si="262">G237*AO237</f>
        <v>0</v>
      </c>
      <c r="BI237" s="268">
        <f t="shared" ref="BI237" si="263">G237*AP237</f>
        <v>0</v>
      </c>
      <c r="BJ237" s="268">
        <f t="shared" ref="BJ237" si="264">G237*H237</f>
        <v>0</v>
      </c>
      <c r="BW237" s="268" t="str">
        <f t="shared" ref="BW237" si="265">I237</f>
        <v>12</v>
      </c>
      <c r="BX237" s="268" t="s">
        <v>291</v>
      </c>
    </row>
    <row r="238" spans="1:76" s="230" customFormat="1" ht="6.75" customHeight="1" x14ac:dyDescent="0.25">
      <c r="A238" s="361">
        <f>G227</f>
        <v>77.117499999999993</v>
      </c>
      <c r="B238" s="276"/>
      <c r="C238" s="275" t="s">
        <v>90</v>
      </c>
      <c r="D238" s="545">
        <v>2.4E-2</v>
      </c>
      <c r="E238" s="238" t="str">
        <f>D227</f>
        <v>Montáž bednění střech rovných, prkna hrubá na sraz</v>
      </c>
      <c r="F238" s="265" t="s">
        <v>94</v>
      </c>
      <c r="G238" s="236">
        <f t="shared" ref="G238:G239" si="266">A238*D238</f>
        <v>1.8508199999999999</v>
      </c>
      <c r="H238" s="235"/>
      <c r="I238" s="235"/>
      <c r="J238" s="234"/>
      <c r="K238" s="234"/>
      <c r="L238" s="233"/>
      <c r="M238" s="233"/>
      <c r="N238" s="232"/>
      <c r="O238" s="231"/>
    </row>
    <row r="239" spans="1:76" s="230" customFormat="1" ht="6.75" customHeight="1" x14ac:dyDescent="0.25">
      <c r="A239" s="361">
        <f>G232</f>
        <v>8.5447999999999986</v>
      </c>
      <c r="B239" s="276"/>
      <c r="C239" s="275" t="s">
        <v>90</v>
      </c>
      <c r="D239" s="545">
        <v>2.4E-2</v>
      </c>
      <c r="E239" s="238" t="str">
        <f>D232</f>
        <v>Montáž bednění složité z prken hrubých na sraz</v>
      </c>
      <c r="F239" s="265" t="s">
        <v>94</v>
      </c>
      <c r="G239" s="236">
        <f t="shared" si="266"/>
        <v>0.20507519999999996</v>
      </c>
      <c r="H239" s="235"/>
      <c r="I239" s="235"/>
      <c r="J239" s="234"/>
      <c r="K239" s="234"/>
      <c r="L239" s="233"/>
      <c r="M239" s="233"/>
      <c r="N239" s="232"/>
      <c r="O239" s="231"/>
    </row>
    <row r="240" spans="1:76" s="230" customFormat="1" ht="6.75" customHeight="1" x14ac:dyDescent="0.25">
      <c r="A240" s="361">
        <f>SUM(G238:G239)</f>
        <v>2.0558951999999997</v>
      </c>
      <c r="B240" s="542"/>
      <c r="C240" s="277"/>
      <c r="D240" s="543">
        <v>0.11</v>
      </c>
      <c r="E240" s="238" t="s">
        <v>320</v>
      </c>
      <c r="F240" s="265" t="s">
        <v>94</v>
      </c>
      <c r="G240" s="236">
        <f>D240*A240</f>
        <v>0.22614847199999996</v>
      </c>
      <c r="H240" s="235"/>
      <c r="I240" s="235"/>
      <c r="J240" s="234"/>
      <c r="K240" s="234"/>
      <c r="L240" s="233"/>
      <c r="M240" s="233"/>
      <c r="N240" s="232"/>
      <c r="O240" s="231"/>
    </row>
    <row r="241" spans="1:76" s="268" customFormat="1" x14ac:dyDescent="0.2">
      <c r="A241" s="251">
        <f>A237+1</f>
        <v>53</v>
      </c>
      <c r="B241" s="250" t="s">
        <v>43</v>
      </c>
      <c r="C241" s="249" t="s">
        <v>758</v>
      </c>
      <c r="D241" s="248" t="s">
        <v>759</v>
      </c>
      <c r="E241" s="248"/>
      <c r="F241" s="247" t="s">
        <v>92</v>
      </c>
      <c r="G241" s="246">
        <f>SUM(G242:G242)</f>
        <v>10.469999999999999</v>
      </c>
      <c r="H241" s="245"/>
      <c r="I241" s="244" t="s">
        <v>95</v>
      </c>
      <c r="J241" s="233">
        <f t="shared" ref="J241:J243" si="267">G241*AO241</f>
        <v>0</v>
      </c>
      <c r="K241" s="243">
        <f t="shared" ref="K241:K243" si="268">G241*AP241</f>
        <v>0</v>
      </c>
      <c r="L241" s="242">
        <f t="shared" ref="L241:L243" si="269">G241*H241</f>
        <v>0</v>
      </c>
      <c r="M241" s="233">
        <f t="shared" ref="M241:M243" si="270">L241*(1+BW241/100)</f>
        <v>0</v>
      </c>
      <c r="N241" s="241">
        <v>0</v>
      </c>
      <c r="O241" s="240">
        <f t="shared" ref="O241:O243" si="271">G241*N241</f>
        <v>0</v>
      </c>
      <c r="P241" s="213" t="s">
        <v>769</v>
      </c>
      <c r="Z241" s="268">
        <f t="shared" si="108"/>
        <v>0</v>
      </c>
      <c r="AB241" s="268">
        <f t="shared" si="109"/>
        <v>0</v>
      </c>
      <c r="AC241" s="268">
        <f t="shared" si="110"/>
        <v>0</v>
      </c>
      <c r="AD241" s="268">
        <f t="shared" si="111"/>
        <v>0</v>
      </c>
      <c r="AE241" s="268">
        <f t="shared" si="112"/>
        <v>0</v>
      </c>
      <c r="AF241" s="268">
        <f t="shared" si="113"/>
        <v>0</v>
      </c>
      <c r="AG241" s="268">
        <f t="shared" si="114"/>
        <v>0</v>
      </c>
      <c r="AH241" s="268">
        <f t="shared" si="115"/>
        <v>0</v>
      </c>
      <c r="AI241" s="268" t="s">
        <v>43</v>
      </c>
      <c r="AJ241" s="268">
        <f t="shared" si="116"/>
        <v>0</v>
      </c>
      <c r="AK241" s="268">
        <f t="shared" si="117"/>
        <v>0</v>
      </c>
      <c r="AL241" s="268">
        <f t="shared" si="118"/>
        <v>0</v>
      </c>
      <c r="AN241" s="268">
        <v>12</v>
      </c>
      <c r="AO241" s="268">
        <f t="shared" ref="AO241:AO243" si="272">H241*1</f>
        <v>0</v>
      </c>
      <c r="AP241" s="268">
        <f t="shared" ref="AP241:AP243" si="273">H241*(1-1)</f>
        <v>0</v>
      </c>
      <c r="AQ241" s="268" t="s">
        <v>285</v>
      </c>
      <c r="AV241" s="268">
        <f t="shared" si="119"/>
        <v>0</v>
      </c>
      <c r="AW241" s="268">
        <f t="shared" si="120"/>
        <v>0</v>
      </c>
      <c r="AX241" s="268">
        <f t="shared" si="121"/>
        <v>0</v>
      </c>
      <c r="AY241" s="268" t="s">
        <v>286</v>
      </c>
      <c r="AZ241" s="268" t="s">
        <v>287</v>
      </c>
      <c r="BA241" s="268" t="s">
        <v>85</v>
      </c>
      <c r="BC241" s="268">
        <f t="shared" si="122"/>
        <v>0</v>
      </c>
      <c r="BD241" s="268">
        <f t="shared" si="123"/>
        <v>0</v>
      </c>
      <c r="BE241" s="268">
        <v>0</v>
      </c>
      <c r="BF241" s="268">
        <f t="shared" si="124"/>
        <v>0</v>
      </c>
      <c r="BH241" s="268">
        <f t="shared" si="125"/>
        <v>0</v>
      </c>
      <c r="BI241" s="268">
        <f t="shared" si="126"/>
        <v>0</v>
      </c>
      <c r="BJ241" s="268">
        <f t="shared" si="127"/>
        <v>0</v>
      </c>
      <c r="BW241" s="268" t="str">
        <f t="shared" si="128"/>
        <v>12</v>
      </c>
      <c r="BX241" s="268" t="s">
        <v>289</v>
      </c>
    </row>
    <row r="242" spans="1:76" s="230" customFormat="1" ht="6.75" customHeight="1" x14ac:dyDescent="0.25">
      <c r="A242" s="361">
        <v>0.3</v>
      </c>
      <c r="B242" s="276"/>
      <c r="C242" s="275">
        <f>D228</f>
        <v>11.35</v>
      </c>
      <c r="D242" s="541">
        <f>D229</f>
        <v>6.1</v>
      </c>
      <c r="E242" s="238" t="s">
        <v>762</v>
      </c>
      <c r="F242" s="265" t="s">
        <v>92</v>
      </c>
      <c r="G242" s="236">
        <f>A242*(C242+D242)*2</f>
        <v>10.469999999999999</v>
      </c>
      <c r="H242" s="235"/>
      <c r="I242" s="235"/>
      <c r="J242" s="234"/>
      <c r="K242" s="234"/>
      <c r="L242" s="233"/>
      <c r="M242" s="233"/>
      <c r="N242" s="232"/>
      <c r="O242" s="231"/>
    </row>
    <row r="243" spans="1:76" s="268" customFormat="1" ht="14.45" customHeight="1" x14ac:dyDescent="0.2">
      <c r="A243" s="251">
        <f>A241+1</f>
        <v>54</v>
      </c>
      <c r="B243" s="250" t="s">
        <v>43</v>
      </c>
      <c r="C243" s="249" t="s">
        <v>760</v>
      </c>
      <c r="D243" s="248" t="s">
        <v>761</v>
      </c>
      <c r="E243" s="248"/>
      <c r="F243" s="247" t="s">
        <v>92</v>
      </c>
      <c r="G243" s="246">
        <f>SUM(G244:G245)</f>
        <v>11.726399999999998</v>
      </c>
      <c r="H243" s="245"/>
      <c r="I243" s="244" t="s">
        <v>95</v>
      </c>
      <c r="J243" s="233">
        <f t="shared" si="267"/>
        <v>0</v>
      </c>
      <c r="K243" s="243">
        <f t="shared" si="268"/>
        <v>0</v>
      </c>
      <c r="L243" s="242">
        <f t="shared" si="269"/>
        <v>0</v>
      </c>
      <c r="M243" s="233">
        <f t="shared" si="270"/>
        <v>0</v>
      </c>
      <c r="N243" s="241">
        <v>1.12E-2</v>
      </c>
      <c r="O243" s="240">
        <f t="shared" si="271"/>
        <v>0.13133567999999998</v>
      </c>
      <c r="P243" s="213" t="s">
        <v>769</v>
      </c>
      <c r="Z243" s="268">
        <f t="shared" si="108"/>
        <v>0</v>
      </c>
      <c r="AB243" s="268">
        <f t="shared" si="109"/>
        <v>0</v>
      </c>
      <c r="AC243" s="268">
        <f t="shared" si="110"/>
        <v>0</v>
      </c>
      <c r="AD243" s="268">
        <f t="shared" si="111"/>
        <v>0</v>
      </c>
      <c r="AE243" s="268">
        <f t="shared" si="112"/>
        <v>0</v>
      </c>
      <c r="AF243" s="268">
        <f t="shared" si="113"/>
        <v>0</v>
      </c>
      <c r="AG243" s="268">
        <f t="shared" si="114"/>
        <v>0</v>
      </c>
      <c r="AH243" s="268">
        <f t="shared" si="115"/>
        <v>0</v>
      </c>
      <c r="AI243" s="268" t="s">
        <v>43</v>
      </c>
      <c r="AJ243" s="268">
        <f t="shared" si="116"/>
        <v>0</v>
      </c>
      <c r="AK243" s="268">
        <f t="shared" si="117"/>
        <v>0</v>
      </c>
      <c r="AL243" s="268">
        <f t="shared" si="118"/>
        <v>0</v>
      </c>
      <c r="AN243" s="268">
        <v>12</v>
      </c>
      <c r="AO243" s="268">
        <f t="shared" si="272"/>
        <v>0</v>
      </c>
      <c r="AP243" s="268">
        <f t="shared" si="273"/>
        <v>0</v>
      </c>
      <c r="AQ243" s="268" t="s">
        <v>285</v>
      </c>
      <c r="AV243" s="268">
        <f t="shared" si="119"/>
        <v>0</v>
      </c>
      <c r="AW243" s="268">
        <f t="shared" si="120"/>
        <v>0</v>
      </c>
      <c r="AX243" s="268">
        <f t="shared" si="121"/>
        <v>0</v>
      </c>
      <c r="AY243" s="268" t="s">
        <v>286</v>
      </c>
      <c r="AZ243" s="268" t="s">
        <v>287</v>
      </c>
      <c r="BA243" s="268" t="s">
        <v>85</v>
      </c>
      <c r="BC243" s="268">
        <f t="shared" si="122"/>
        <v>0</v>
      </c>
      <c r="BD243" s="268">
        <f t="shared" si="123"/>
        <v>0</v>
      </c>
      <c r="BE243" s="268">
        <v>0</v>
      </c>
      <c r="BF243" s="268">
        <f t="shared" si="124"/>
        <v>0.13133567999999998</v>
      </c>
      <c r="BH243" s="268">
        <f t="shared" si="125"/>
        <v>0</v>
      </c>
      <c r="BI243" s="268">
        <f t="shared" si="126"/>
        <v>0</v>
      </c>
      <c r="BJ243" s="268">
        <f t="shared" si="127"/>
        <v>0</v>
      </c>
      <c r="BW243" s="268" t="str">
        <f t="shared" si="128"/>
        <v>12</v>
      </c>
      <c r="BX243" s="268" t="s">
        <v>291</v>
      </c>
    </row>
    <row r="244" spans="1:76" s="230" customFormat="1" ht="6.75" customHeight="1" x14ac:dyDescent="0.25">
      <c r="A244" s="362"/>
      <c r="B244" s="276"/>
      <c r="C244" s="275" t="s">
        <v>90</v>
      </c>
      <c r="D244" s="541"/>
      <c r="E244" s="238" t="str">
        <f>D241</f>
        <v>Montáž bednění okapových říms z palubek pero-drážka</v>
      </c>
      <c r="F244" s="265" t="s">
        <v>92</v>
      </c>
      <c r="G244" s="236">
        <f>G241</f>
        <v>10.469999999999999</v>
      </c>
      <c r="H244" s="235"/>
      <c r="I244" s="235"/>
      <c r="J244" s="234"/>
      <c r="K244" s="234"/>
      <c r="L244" s="233"/>
      <c r="M244" s="233"/>
      <c r="N244" s="232"/>
      <c r="O244" s="231"/>
    </row>
    <row r="245" spans="1:76" s="230" customFormat="1" ht="6.75" customHeight="1" x14ac:dyDescent="0.25">
      <c r="A245" s="361">
        <f>SUM(G244:G244)</f>
        <v>10.469999999999999</v>
      </c>
      <c r="B245" s="542"/>
      <c r="C245" s="277"/>
      <c r="D245" s="543">
        <v>0.12</v>
      </c>
      <c r="E245" s="238" t="s">
        <v>320</v>
      </c>
      <c r="F245" s="265" t="s">
        <v>92</v>
      </c>
      <c r="G245" s="236">
        <f>D245*A245</f>
        <v>1.2563999999999997</v>
      </c>
      <c r="H245" s="235"/>
      <c r="I245" s="235"/>
      <c r="J245" s="234"/>
      <c r="K245" s="234"/>
      <c r="L245" s="233"/>
      <c r="M245" s="233"/>
      <c r="N245" s="232"/>
      <c r="O245" s="231"/>
    </row>
    <row r="246" spans="1:76" s="268" customFormat="1" x14ac:dyDescent="0.2">
      <c r="A246" s="251">
        <f>A243+1</f>
        <v>55</v>
      </c>
      <c r="B246" s="250" t="s">
        <v>43</v>
      </c>
      <c r="C246" s="249" t="s">
        <v>281</v>
      </c>
      <c r="D246" s="248" t="s">
        <v>282</v>
      </c>
      <c r="E246" s="248"/>
      <c r="F246" s="247" t="s">
        <v>94</v>
      </c>
      <c r="G246" s="246">
        <f>SUM(G247:G247)</f>
        <v>9.5558237039999998</v>
      </c>
      <c r="H246" s="245"/>
      <c r="I246" s="244" t="s">
        <v>95</v>
      </c>
      <c r="J246" s="233">
        <f t="shared" ref="J246" si="274">G246*AO246</f>
        <v>0</v>
      </c>
      <c r="K246" s="243">
        <f t="shared" ref="K246" si="275">G246*AP246</f>
        <v>0</v>
      </c>
      <c r="L246" s="242">
        <f t="shared" ref="L246" si="276">G246*H246</f>
        <v>0</v>
      </c>
      <c r="M246" s="233">
        <f t="shared" ref="M246" si="277">L246*(1+BW246/100)</f>
        <v>0</v>
      </c>
      <c r="N246" s="241">
        <v>2.2970000000000001E-2</v>
      </c>
      <c r="O246" s="240">
        <f t="shared" ref="O246" si="278">G246*N246</f>
        <v>0.21949727048088</v>
      </c>
      <c r="P246" s="213" t="s">
        <v>769</v>
      </c>
      <c r="Z246" s="268">
        <f t="shared" ref="Z246" si="279">IF(AQ246="5",BJ246,0)</f>
        <v>0</v>
      </c>
      <c r="AB246" s="268">
        <f t="shared" ref="AB246" si="280">IF(AQ246="1",BH246,0)</f>
        <v>0</v>
      </c>
      <c r="AC246" s="268">
        <f t="shared" ref="AC246" si="281">IF(AQ246="1",BI246,0)</f>
        <v>0</v>
      </c>
      <c r="AD246" s="268">
        <f t="shared" ref="AD246" si="282">IF(AQ246="7",BH246,0)</f>
        <v>0</v>
      </c>
      <c r="AE246" s="268">
        <f t="shared" ref="AE246" si="283">IF(AQ246="7",BI246,0)</f>
        <v>0</v>
      </c>
      <c r="AF246" s="268">
        <f t="shared" ref="AF246" si="284">IF(AQ246="2",BH246,0)</f>
        <v>0</v>
      </c>
      <c r="AG246" s="268">
        <f t="shared" ref="AG246" si="285">IF(AQ246="2",BI246,0)</f>
        <v>0</v>
      </c>
      <c r="AH246" s="268">
        <f t="shared" ref="AH246" si="286">IF(AQ246="0",BJ246,0)</f>
        <v>0</v>
      </c>
      <c r="AI246" s="268" t="s">
        <v>43</v>
      </c>
      <c r="AJ246" s="268">
        <f t="shared" ref="AJ246" si="287">IF(AN246=0,L246,0)</f>
        <v>0</v>
      </c>
      <c r="AK246" s="268">
        <f t="shared" ref="AK246" si="288">IF(AN246=12,L246,0)</f>
        <v>0</v>
      </c>
      <c r="AL246" s="268">
        <f t="shared" ref="AL246" si="289">IF(AN246=21,L246,0)</f>
        <v>0</v>
      </c>
      <c r="AN246" s="268">
        <v>12</v>
      </c>
      <c r="AO246" s="268">
        <f>H246*1</f>
        <v>0</v>
      </c>
      <c r="AP246" s="268">
        <f>H246*(1-1)</f>
        <v>0</v>
      </c>
      <c r="AQ246" s="268" t="s">
        <v>93</v>
      </c>
      <c r="AV246" s="268">
        <f t="shared" ref="AV246" si="290">AW246+AX246</f>
        <v>0</v>
      </c>
      <c r="AW246" s="268">
        <f t="shared" ref="AW246" si="291">G246*AO246</f>
        <v>0</v>
      </c>
      <c r="AX246" s="268">
        <f t="shared" ref="AX246" si="292">G246*AP246</f>
        <v>0</v>
      </c>
      <c r="AY246" s="268" t="s">
        <v>266</v>
      </c>
      <c r="AZ246" s="268" t="s">
        <v>267</v>
      </c>
      <c r="BA246" s="268" t="s">
        <v>85</v>
      </c>
      <c r="BC246" s="268">
        <f t="shared" ref="BC246" si="293">AW246+AX246</f>
        <v>0</v>
      </c>
      <c r="BD246" s="268">
        <f t="shared" ref="BD246" si="294">H246/(100-BE246)*100</f>
        <v>0</v>
      </c>
      <c r="BE246" s="268">
        <v>0</v>
      </c>
      <c r="BF246" s="268">
        <f t="shared" ref="BF246" si="295">O246</f>
        <v>0.21949727048088</v>
      </c>
      <c r="BH246" s="268">
        <f t="shared" ref="BH246" si="296">G246*AO246</f>
        <v>0</v>
      </c>
      <c r="BI246" s="268">
        <f t="shared" ref="BI246" si="297">G246*AP246</f>
        <v>0</v>
      </c>
      <c r="BJ246" s="268">
        <f t="shared" ref="BJ246" si="298">G246*H246</f>
        <v>0</v>
      </c>
      <c r="BL246" s="268">
        <v>762</v>
      </c>
      <c r="BW246" s="268" t="str">
        <f t="shared" ref="BW246" si="299">I246</f>
        <v>12</v>
      </c>
      <c r="BX246" s="268" t="s">
        <v>282</v>
      </c>
    </row>
    <row r="247" spans="1:76" s="230" customFormat="1" ht="6.75" customHeight="1" x14ac:dyDescent="0.25">
      <c r="A247" s="362"/>
      <c r="B247" s="276"/>
      <c r="C247" s="275" t="s">
        <v>90</v>
      </c>
      <c r="D247" s="541"/>
      <c r="E247" s="238" t="s">
        <v>763</v>
      </c>
      <c r="F247" s="265" t="s">
        <v>94</v>
      </c>
      <c r="G247" s="236">
        <f>G193+G237+G224*0.04*0.06+D239*G243</f>
        <v>9.5558237039999998</v>
      </c>
      <c r="H247" s="235"/>
      <c r="I247" s="235"/>
      <c r="J247" s="234"/>
      <c r="K247" s="234"/>
      <c r="L247" s="233"/>
      <c r="M247" s="233"/>
      <c r="N247" s="232"/>
      <c r="O247" s="231"/>
    </row>
    <row r="248" spans="1:76" s="268" customFormat="1" x14ac:dyDescent="0.2">
      <c r="A248" s="251">
        <f>A246+1</f>
        <v>56</v>
      </c>
      <c r="B248" s="250" t="s">
        <v>43</v>
      </c>
      <c r="C248" s="249" t="s">
        <v>292</v>
      </c>
      <c r="D248" s="248" t="s">
        <v>293</v>
      </c>
      <c r="E248" s="248"/>
      <c r="F248" s="247" t="s">
        <v>82</v>
      </c>
      <c r="G248" s="246">
        <f>O155</f>
        <v>5.4548509800808809</v>
      </c>
      <c r="H248" s="245"/>
      <c r="I248" s="244" t="s">
        <v>95</v>
      </c>
      <c r="J248" s="233">
        <f>G248*AO248</f>
        <v>0</v>
      </c>
      <c r="K248" s="243">
        <f>G248*AP248</f>
        <v>0</v>
      </c>
      <c r="L248" s="242">
        <f>G248*H248</f>
        <v>0</v>
      </c>
      <c r="M248" s="233">
        <f>L248*(1+BW248/100)</f>
        <v>0</v>
      </c>
      <c r="N248" s="241">
        <v>0</v>
      </c>
      <c r="O248" s="240">
        <v>0</v>
      </c>
      <c r="P248" s="213" t="s">
        <v>769</v>
      </c>
      <c r="Z248" s="268">
        <f>IF(AQ248="5",BJ248,0)</f>
        <v>0</v>
      </c>
      <c r="AB248" s="268">
        <f>IF(AQ248="1",BH248,0)</f>
        <v>0</v>
      </c>
      <c r="AC248" s="268">
        <f>IF(AQ248="1",BI248,0)</f>
        <v>0</v>
      </c>
      <c r="AD248" s="268">
        <f>IF(AQ248="7",BH248,0)</f>
        <v>0</v>
      </c>
      <c r="AE248" s="268">
        <f>IF(AQ248="7",BI248,0)</f>
        <v>0</v>
      </c>
      <c r="AF248" s="268">
        <f>IF(AQ248="2",BH248,0)</f>
        <v>0</v>
      </c>
      <c r="AG248" s="268">
        <f>IF(AQ248="2",BI248,0)</f>
        <v>0</v>
      </c>
      <c r="AH248" s="268">
        <f>IF(AQ248="0",BJ248,0)</f>
        <v>0</v>
      </c>
      <c r="AI248" s="268" t="s">
        <v>43</v>
      </c>
      <c r="AJ248" s="268">
        <f>IF(AN248=0,L248,0)</f>
        <v>0</v>
      </c>
      <c r="AK248" s="268">
        <f>IF(AN248=12,L248,0)</f>
        <v>0</v>
      </c>
      <c r="AL248" s="268">
        <f>IF(AN248=21,L248,0)</f>
        <v>0</v>
      </c>
      <c r="AN248" s="268">
        <v>12</v>
      </c>
      <c r="AO248" s="268">
        <f>H248*0</f>
        <v>0</v>
      </c>
      <c r="AP248" s="268">
        <f>H248*(1-0)</f>
        <v>0</v>
      </c>
      <c r="AQ248" s="268" t="s">
        <v>88</v>
      </c>
      <c r="AV248" s="268">
        <f>AW248+AX248</f>
        <v>0</v>
      </c>
      <c r="AW248" s="268">
        <f>G248*AO248</f>
        <v>0</v>
      </c>
      <c r="AX248" s="268">
        <f>G248*AP248</f>
        <v>0</v>
      </c>
      <c r="AY248" s="268" t="s">
        <v>294</v>
      </c>
      <c r="AZ248" s="268" t="s">
        <v>86</v>
      </c>
      <c r="BA248" s="268" t="s">
        <v>85</v>
      </c>
      <c r="BC248" s="268">
        <f>AW248+AX248</f>
        <v>0</v>
      </c>
      <c r="BD248" s="268">
        <f>H248/(100-BE248)*100</f>
        <v>0</v>
      </c>
      <c r="BE248" s="268">
        <v>0</v>
      </c>
      <c r="BF248" s="268">
        <f>O248</f>
        <v>0</v>
      </c>
      <c r="BH248" s="268">
        <f>G248*AO248</f>
        <v>0</v>
      </c>
      <c r="BI248" s="268">
        <f>G248*AP248</f>
        <v>0</v>
      </c>
      <c r="BJ248" s="268">
        <f>G248*H248</f>
        <v>0</v>
      </c>
      <c r="BW248" s="268" t="str">
        <f>I248</f>
        <v>12</v>
      </c>
      <c r="BX248" s="268" t="s">
        <v>293</v>
      </c>
    </row>
    <row r="249" spans="1:76" x14ac:dyDescent="0.25">
      <c r="A249" s="264" t="s">
        <v>43</v>
      </c>
      <c r="B249" s="263" t="s">
        <v>43</v>
      </c>
      <c r="C249" s="262"/>
      <c r="D249" s="261" t="str">
        <f>'1-Rekapitulace'!B27</f>
        <v>763 : Dřevostavby</v>
      </c>
      <c r="E249" s="261"/>
      <c r="F249" s="260" t="s">
        <v>49</v>
      </c>
      <c r="G249" s="259" t="s">
        <v>49</v>
      </c>
      <c r="H249" s="258"/>
      <c r="I249" s="257" t="s">
        <v>49</v>
      </c>
      <c r="J249" s="256">
        <f>SUM(J250:J327)</f>
        <v>0</v>
      </c>
      <c r="K249" s="256">
        <f>SUM(K250:K327)</f>
        <v>0</v>
      </c>
      <c r="L249" s="255">
        <f>SUM(L250:L327)</f>
        <v>0</v>
      </c>
      <c r="M249" s="254">
        <f>SUM(M250:M327)</f>
        <v>0</v>
      </c>
      <c r="N249" s="253" t="s">
        <v>43</v>
      </c>
      <c r="O249" s="252">
        <f>SUM(O250:O327)</f>
        <v>3.2118295187500001</v>
      </c>
      <c r="P249" s="213" t="s">
        <v>43</v>
      </c>
      <c r="AI249" s="212" t="s">
        <v>43</v>
      </c>
      <c r="AS249" s="212">
        <f>SUM(AJ250:AJ327)</f>
        <v>0</v>
      </c>
      <c r="AT249" s="212">
        <f>SUM(AK250:AK327)</f>
        <v>0</v>
      </c>
      <c r="AU249" s="212">
        <f>SUM(AL250:AL327)</f>
        <v>0</v>
      </c>
    </row>
    <row r="250" spans="1:76" x14ac:dyDescent="0.25">
      <c r="A250" s="251">
        <f>A248+1</f>
        <v>57</v>
      </c>
      <c r="B250" s="250" t="s">
        <v>43</v>
      </c>
      <c r="C250" s="249" t="s">
        <v>325</v>
      </c>
      <c r="D250" s="248" t="s">
        <v>336</v>
      </c>
      <c r="E250" s="248"/>
      <c r="F250" s="247" t="s">
        <v>272</v>
      </c>
      <c r="G250" s="246">
        <f>SUM(G251:G282)</f>
        <v>348.12700000000001</v>
      </c>
      <c r="H250" s="245"/>
      <c r="I250" s="244" t="s">
        <v>95</v>
      </c>
      <c r="J250" s="279">
        <f>G250*AO250</f>
        <v>0</v>
      </c>
      <c r="K250" s="279">
        <f>G250*AP250</f>
        <v>0</v>
      </c>
      <c r="L250" s="242">
        <f>G250*H250</f>
        <v>0</v>
      </c>
      <c r="M250" s="233">
        <f>L250*(1+BW250/100)</f>
        <v>0</v>
      </c>
      <c r="N250" s="241">
        <v>1.06E-3</v>
      </c>
      <c r="O250" s="240">
        <f>G250*N250</f>
        <v>0.36901462000000002</v>
      </c>
      <c r="P250" s="213" t="s">
        <v>769</v>
      </c>
      <c r="Z250" s="212">
        <f>IF(AQ250="5",BJ250,0)</f>
        <v>0</v>
      </c>
      <c r="AB250" s="212">
        <f>IF(AQ250="1",BH250,0)</f>
        <v>0</v>
      </c>
      <c r="AC250" s="212">
        <f>IF(AQ250="1",BI250,0)</f>
        <v>0</v>
      </c>
      <c r="AD250" s="212">
        <f>IF(AQ250="7",BH250,0)</f>
        <v>0</v>
      </c>
      <c r="AE250" s="212">
        <f>IF(AQ250="7",BI250,0)</f>
        <v>0</v>
      </c>
      <c r="AF250" s="212">
        <f>IF(AQ250="2",BH250,0)</f>
        <v>0</v>
      </c>
      <c r="AG250" s="212">
        <f>IF(AQ250="2",BI250,0)</f>
        <v>0</v>
      </c>
      <c r="AH250" s="212">
        <f>IF(AQ250="0",BJ250,0)</f>
        <v>0</v>
      </c>
      <c r="AI250" s="212" t="s">
        <v>43</v>
      </c>
      <c r="AJ250" s="212">
        <f>IF(AN250=0,L250,0)</f>
        <v>0</v>
      </c>
      <c r="AK250" s="212">
        <f>IF(AN250=12,L250,0)</f>
        <v>0</v>
      </c>
      <c r="AL250" s="212">
        <f>IF(AN250=21,L250,0)</f>
        <v>0</v>
      </c>
      <c r="AN250" s="212">
        <v>12</v>
      </c>
      <c r="AO250" s="212">
        <f>H250*0.205576528</f>
        <v>0</v>
      </c>
      <c r="AP250" s="212">
        <f>H250*(1-0.205576528)</f>
        <v>0</v>
      </c>
      <c r="AQ250" s="212" t="s">
        <v>93</v>
      </c>
      <c r="AV250" s="212">
        <f>AW250+AX250</f>
        <v>0</v>
      </c>
      <c r="AW250" s="212">
        <f>G250*AO250</f>
        <v>0</v>
      </c>
      <c r="AX250" s="212">
        <f>G250*AP250</f>
        <v>0</v>
      </c>
      <c r="AY250" s="212" t="s">
        <v>327</v>
      </c>
      <c r="AZ250" s="212" t="s">
        <v>267</v>
      </c>
      <c r="BA250" s="212" t="s">
        <v>85</v>
      </c>
      <c r="BC250" s="212">
        <f>AW250+AX250</f>
        <v>0</v>
      </c>
      <c r="BD250" s="212">
        <f>H250/(100-BE250)*100</f>
        <v>0</v>
      </c>
      <c r="BE250" s="212">
        <v>0</v>
      </c>
      <c r="BF250" s="212">
        <f>O250</f>
        <v>0.36901462000000002</v>
      </c>
      <c r="BH250" s="212">
        <f>G250*AO250</f>
        <v>0</v>
      </c>
      <c r="BI250" s="212">
        <f>G250*AP250</f>
        <v>0</v>
      </c>
      <c r="BJ250" s="212">
        <f>G250*H250</f>
        <v>0</v>
      </c>
      <c r="BL250" s="212">
        <v>763</v>
      </c>
      <c r="BW250" s="212" t="str">
        <f>I250</f>
        <v>12</v>
      </c>
      <c r="BX250" s="212" t="s">
        <v>326</v>
      </c>
    </row>
    <row r="251" spans="1:76" s="230" customFormat="1" ht="6.75" customHeight="1" x14ac:dyDescent="0.25">
      <c r="A251" s="361">
        <f>C287</f>
        <v>0.9</v>
      </c>
      <c r="B251" s="276"/>
      <c r="C251" s="277" t="s">
        <v>90</v>
      </c>
      <c r="D251" s="541">
        <f>D287</f>
        <v>10</v>
      </c>
      <c r="E251" s="238" t="str">
        <f>E287</f>
        <v>poz.č.:76 profil: 160/60</v>
      </c>
      <c r="F251" s="265" t="s">
        <v>272</v>
      </c>
      <c r="G251" s="236">
        <f>A251*D251</f>
        <v>9</v>
      </c>
      <c r="H251" s="235"/>
      <c r="I251" s="235"/>
      <c r="J251" s="234"/>
      <c r="K251" s="234"/>
      <c r="L251" s="233"/>
      <c r="M251" s="233"/>
      <c r="N251" s="232"/>
      <c r="O251" s="231"/>
    </row>
    <row r="252" spans="1:76" s="230" customFormat="1" ht="6.75" customHeight="1" x14ac:dyDescent="0.25">
      <c r="A252" s="361">
        <f t="shared" ref="A252:A270" si="300">C288</f>
        <v>4.0170000000000003</v>
      </c>
      <c r="B252" s="276"/>
      <c r="C252" s="277" t="s">
        <v>90</v>
      </c>
      <c r="D252" s="541">
        <f t="shared" ref="D252:E252" si="301">D288</f>
        <v>2</v>
      </c>
      <c r="E252" s="238" t="str">
        <f t="shared" si="301"/>
        <v>poz.č.:77;79 profil: 60/160</v>
      </c>
      <c r="F252" s="265" t="s">
        <v>272</v>
      </c>
      <c r="G252" s="236">
        <f t="shared" ref="G252:G270" si="302">A252*D252</f>
        <v>8.0340000000000007</v>
      </c>
      <c r="H252" s="235"/>
      <c r="I252" s="235"/>
      <c r="J252" s="234"/>
      <c r="K252" s="234"/>
      <c r="L252" s="233"/>
      <c r="M252" s="233"/>
      <c r="N252" s="232"/>
      <c r="O252" s="231"/>
    </row>
    <row r="253" spans="1:76" s="230" customFormat="1" ht="6.75" customHeight="1" x14ac:dyDescent="0.25">
      <c r="A253" s="361">
        <f t="shared" si="300"/>
        <v>6.2030000000000003</v>
      </c>
      <c r="B253" s="276"/>
      <c r="C253" s="277" t="s">
        <v>90</v>
      </c>
      <c r="D253" s="541">
        <f t="shared" ref="D253:E253" si="303">D289</f>
        <v>2</v>
      </c>
      <c r="E253" s="238" t="str">
        <f t="shared" si="303"/>
        <v>poz.č.:78;80 profil: 60/160</v>
      </c>
      <c r="F253" s="265" t="s">
        <v>272</v>
      </c>
      <c r="G253" s="236">
        <f t="shared" si="302"/>
        <v>12.406000000000001</v>
      </c>
      <c r="H253" s="235"/>
      <c r="I253" s="235"/>
      <c r="J253" s="234"/>
      <c r="K253" s="234"/>
      <c r="L253" s="233"/>
      <c r="M253" s="233"/>
      <c r="N253" s="232"/>
      <c r="O253" s="231"/>
    </row>
    <row r="254" spans="1:76" s="230" customFormat="1" ht="6.75" customHeight="1" x14ac:dyDescent="0.25">
      <c r="A254" s="361">
        <f t="shared" si="300"/>
        <v>0.78</v>
      </c>
      <c r="B254" s="276"/>
      <c r="C254" s="277" t="s">
        <v>90</v>
      </c>
      <c r="D254" s="541">
        <f t="shared" ref="D254:E254" si="304">D290</f>
        <v>10</v>
      </c>
      <c r="E254" s="238" t="str">
        <f t="shared" si="304"/>
        <v>poz.č.:81-82 profil: 60/160</v>
      </c>
      <c r="F254" s="265" t="s">
        <v>272</v>
      </c>
      <c r="G254" s="236">
        <f t="shared" si="302"/>
        <v>7.8000000000000007</v>
      </c>
      <c r="H254" s="235"/>
      <c r="I254" s="235"/>
      <c r="J254" s="234"/>
      <c r="K254" s="234"/>
      <c r="L254" s="233"/>
      <c r="M254" s="233"/>
      <c r="N254" s="232"/>
      <c r="O254" s="231"/>
    </row>
    <row r="255" spans="1:76" s="230" customFormat="1" ht="6.75" customHeight="1" x14ac:dyDescent="0.25">
      <c r="A255" s="361">
        <f t="shared" si="300"/>
        <v>2.5099999999999998</v>
      </c>
      <c r="B255" s="276"/>
      <c r="C255" s="277" t="s">
        <v>90</v>
      </c>
      <c r="D255" s="541">
        <f t="shared" ref="D255:E255" si="305">D291</f>
        <v>17</v>
      </c>
      <c r="E255" s="238" t="str">
        <f t="shared" si="305"/>
        <v>poz.č.:83-84;89 profil: 60/160</v>
      </c>
      <c r="F255" s="265" t="s">
        <v>272</v>
      </c>
      <c r="G255" s="236">
        <f t="shared" si="302"/>
        <v>42.669999999999995</v>
      </c>
      <c r="H255" s="235"/>
      <c r="I255" s="235"/>
      <c r="J255" s="234"/>
      <c r="K255" s="234"/>
      <c r="L255" s="233"/>
      <c r="M255" s="233"/>
      <c r="N255" s="232"/>
      <c r="O255" s="231"/>
    </row>
    <row r="256" spans="1:76" s="230" customFormat="1" ht="6.75" customHeight="1" x14ac:dyDescent="0.25">
      <c r="A256" s="361">
        <f t="shared" si="300"/>
        <v>2.33</v>
      </c>
      <c r="B256" s="276"/>
      <c r="C256" s="277" t="s">
        <v>90</v>
      </c>
      <c r="D256" s="541">
        <f t="shared" ref="D256:E256" si="306">D292</f>
        <v>17</v>
      </c>
      <c r="E256" s="238" t="str">
        <f t="shared" si="306"/>
        <v>poz.č.:85;88 profil: 60/160</v>
      </c>
      <c r="F256" s="265" t="s">
        <v>272</v>
      </c>
      <c r="G256" s="236">
        <f t="shared" si="302"/>
        <v>39.61</v>
      </c>
      <c r="H256" s="235"/>
      <c r="I256" s="235"/>
      <c r="J256" s="234"/>
      <c r="K256" s="234"/>
      <c r="L256" s="233"/>
      <c r="M256" s="233"/>
      <c r="N256" s="232"/>
      <c r="O256" s="231"/>
    </row>
    <row r="257" spans="1:15" s="230" customFormat="1" ht="6.75" customHeight="1" x14ac:dyDescent="0.25">
      <c r="A257" s="361">
        <f t="shared" si="300"/>
        <v>0.3</v>
      </c>
      <c r="B257" s="276"/>
      <c r="C257" s="277" t="s">
        <v>90</v>
      </c>
      <c r="D257" s="541">
        <f t="shared" ref="D257:E257" si="307">D293</f>
        <v>15</v>
      </c>
      <c r="E257" s="238" t="str">
        <f t="shared" si="307"/>
        <v>poz.č.:86 profil: 60/160</v>
      </c>
      <c r="F257" s="265" t="s">
        <v>272</v>
      </c>
      <c r="G257" s="236">
        <f t="shared" si="302"/>
        <v>4.5</v>
      </c>
      <c r="H257" s="235"/>
      <c r="I257" s="235"/>
      <c r="J257" s="234"/>
      <c r="K257" s="234"/>
      <c r="L257" s="233"/>
      <c r="M257" s="233"/>
      <c r="N257" s="232"/>
      <c r="O257" s="231"/>
    </row>
    <row r="258" spans="1:15" s="230" customFormat="1" ht="6.75" customHeight="1" x14ac:dyDescent="0.25">
      <c r="A258" s="361">
        <f t="shared" si="300"/>
        <v>0.83499999999999996</v>
      </c>
      <c r="B258" s="276"/>
      <c r="C258" s="277" t="s">
        <v>90</v>
      </c>
      <c r="D258" s="541">
        <f t="shared" ref="D258:E258" si="308">D294</f>
        <v>15</v>
      </c>
      <c r="E258" s="238" t="str">
        <f t="shared" si="308"/>
        <v>poz.č.:87 profil: 60/160</v>
      </c>
      <c r="F258" s="265" t="s">
        <v>272</v>
      </c>
      <c r="G258" s="236">
        <f t="shared" si="302"/>
        <v>12.524999999999999</v>
      </c>
      <c r="H258" s="235"/>
      <c r="I258" s="235"/>
      <c r="J258" s="234"/>
      <c r="K258" s="234"/>
      <c r="L258" s="233"/>
      <c r="M258" s="233"/>
      <c r="N258" s="232"/>
      <c r="O258" s="231"/>
    </row>
    <row r="259" spans="1:15" s="230" customFormat="1" ht="6.75" customHeight="1" x14ac:dyDescent="0.25">
      <c r="A259" s="361">
        <f t="shared" si="300"/>
        <v>4.9359999999999999</v>
      </c>
      <c r="B259" s="276"/>
      <c r="C259" s="277" t="s">
        <v>90</v>
      </c>
      <c r="D259" s="541">
        <f t="shared" ref="D259:E259" si="309">D295</f>
        <v>1</v>
      </c>
      <c r="E259" s="238" t="str">
        <f t="shared" si="309"/>
        <v>poz.č.:90 profil: 120/40</v>
      </c>
      <c r="F259" s="265" t="s">
        <v>272</v>
      </c>
      <c r="G259" s="236">
        <f t="shared" si="302"/>
        <v>4.9359999999999999</v>
      </c>
      <c r="H259" s="235"/>
      <c r="I259" s="235"/>
      <c r="J259" s="234"/>
      <c r="K259" s="234"/>
      <c r="L259" s="233"/>
      <c r="M259" s="233"/>
      <c r="N259" s="232"/>
      <c r="O259" s="231"/>
    </row>
    <row r="260" spans="1:15" s="230" customFormat="1" ht="6.75" customHeight="1" x14ac:dyDescent="0.25">
      <c r="A260" s="361">
        <f t="shared" si="300"/>
        <v>5.29</v>
      </c>
      <c r="B260" s="276"/>
      <c r="C260" s="277" t="s">
        <v>90</v>
      </c>
      <c r="D260" s="541">
        <f t="shared" ref="D260:E260" si="310">D296</f>
        <v>2</v>
      </c>
      <c r="E260" s="238" t="str">
        <f t="shared" si="310"/>
        <v>poz.č.:91-92 profil: 60/160</v>
      </c>
      <c r="F260" s="265" t="s">
        <v>272</v>
      </c>
      <c r="G260" s="236">
        <f t="shared" si="302"/>
        <v>10.58</v>
      </c>
      <c r="H260" s="235"/>
      <c r="I260" s="235"/>
      <c r="J260" s="234"/>
      <c r="K260" s="234"/>
      <c r="L260" s="233"/>
      <c r="M260" s="233"/>
      <c r="N260" s="232"/>
      <c r="O260" s="231"/>
    </row>
    <row r="261" spans="1:15" s="230" customFormat="1" ht="6.75" customHeight="1" x14ac:dyDescent="0.25">
      <c r="A261" s="361">
        <f t="shared" si="300"/>
        <v>2.5099999999999998</v>
      </c>
      <c r="B261" s="276"/>
      <c r="C261" s="277" t="s">
        <v>90</v>
      </c>
      <c r="D261" s="541">
        <f t="shared" ref="D261:E261" si="311">D297</f>
        <v>9</v>
      </c>
      <c r="E261" s="238" t="str">
        <f t="shared" si="311"/>
        <v>poz.č.:93;95 profil: 60/160</v>
      </c>
      <c r="F261" s="265" t="s">
        <v>272</v>
      </c>
      <c r="G261" s="236">
        <f t="shared" si="302"/>
        <v>22.589999999999996</v>
      </c>
      <c r="H261" s="235"/>
      <c r="I261" s="235"/>
      <c r="J261" s="234"/>
      <c r="K261" s="234"/>
      <c r="L261" s="233"/>
      <c r="M261" s="233"/>
      <c r="N261" s="232"/>
      <c r="O261" s="231"/>
    </row>
    <row r="262" spans="1:15" s="230" customFormat="1" ht="6.75" customHeight="1" x14ac:dyDescent="0.25">
      <c r="A262" s="361">
        <f t="shared" si="300"/>
        <v>2.4900000000000002</v>
      </c>
      <c r="B262" s="276"/>
      <c r="C262" s="277" t="s">
        <v>90</v>
      </c>
      <c r="D262" s="541">
        <f t="shared" ref="D262:E262" si="312">D298</f>
        <v>2</v>
      </c>
      <c r="E262" s="238" t="str">
        <f t="shared" si="312"/>
        <v>poz.č.:94 profil: 160/60</v>
      </c>
      <c r="F262" s="265" t="s">
        <v>272</v>
      </c>
      <c r="G262" s="236">
        <f t="shared" si="302"/>
        <v>4.9800000000000004</v>
      </c>
      <c r="H262" s="235"/>
      <c r="I262" s="235"/>
      <c r="J262" s="234"/>
      <c r="K262" s="234"/>
      <c r="L262" s="233"/>
      <c r="M262" s="233"/>
      <c r="N262" s="232"/>
      <c r="O262" s="231"/>
    </row>
    <row r="263" spans="1:15" s="230" customFormat="1" ht="6.75" customHeight="1" x14ac:dyDescent="0.25">
      <c r="A263" s="361">
        <f t="shared" si="300"/>
        <v>17.379999999999995</v>
      </c>
      <c r="B263" s="276"/>
      <c r="C263" s="277" t="s">
        <v>90</v>
      </c>
      <c r="D263" s="541">
        <f t="shared" ref="D263:E263" si="313">D299</f>
        <v>1</v>
      </c>
      <c r="E263" s="238" t="str">
        <f t="shared" si="313"/>
        <v>poz.č.:96-101 profil: 60/160</v>
      </c>
      <c r="F263" s="265" t="s">
        <v>272</v>
      </c>
      <c r="G263" s="236">
        <f t="shared" si="302"/>
        <v>17.379999999999995</v>
      </c>
      <c r="H263" s="235"/>
      <c r="I263" s="235"/>
      <c r="J263" s="234"/>
      <c r="K263" s="234"/>
      <c r="L263" s="233"/>
      <c r="M263" s="233"/>
      <c r="N263" s="232"/>
      <c r="O263" s="231"/>
    </row>
    <row r="264" spans="1:15" s="230" customFormat="1" ht="6.75" customHeight="1" x14ac:dyDescent="0.25">
      <c r="A264" s="361">
        <f t="shared" si="300"/>
        <v>0.78</v>
      </c>
      <c r="B264" s="276"/>
      <c r="C264" s="277" t="s">
        <v>90</v>
      </c>
      <c r="D264" s="541">
        <f t="shared" ref="D264:E264" si="314">D300</f>
        <v>4</v>
      </c>
      <c r="E264" s="238" t="str">
        <f t="shared" si="314"/>
        <v>poz.č.:102-103 profil: 60/160</v>
      </c>
      <c r="F264" s="265" t="s">
        <v>272</v>
      </c>
      <c r="G264" s="236">
        <f t="shared" si="302"/>
        <v>3.12</v>
      </c>
      <c r="H264" s="235"/>
      <c r="I264" s="235"/>
      <c r="J264" s="234"/>
      <c r="K264" s="234"/>
      <c r="L264" s="233"/>
      <c r="M264" s="233"/>
      <c r="N264" s="232"/>
      <c r="O264" s="231"/>
    </row>
    <row r="265" spans="1:15" s="230" customFormat="1" ht="6.75" customHeight="1" x14ac:dyDescent="0.25">
      <c r="A265" s="361">
        <f t="shared" si="300"/>
        <v>0.9</v>
      </c>
      <c r="B265" s="276"/>
      <c r="C265" s="277" t="s">
        <v>90</v>
      </c>
      <c r="D265" s="541">
        <f t="shared" ref="D265:E265" si="315">D301</f>
        <v>4</v>
      </c>
      <c r="E265" s="238" t="str">
        <f t="shared" si="315"/>
        <v>poz.č.:104 profil: 160/60</v>
      </c>
      <c r="F265" s="265" t="s">
        <v>272</v>
      </c>
      <c r="G265" s="236">
        <f t="shared" si="302"/>
        <v>3.6</v>
      </c>
      <c r="H265" s="235"/>
      <c r="I265" s="235"/>
      <c r="J265" s="234"/>
      <c r="K265" s="234"/>
      <c r="L265" s="233"/>
      <c r="M265" s="233"/>
      <c r="N265" s="232"/>
      <c r="O265" s="231"/>
    </row>
    <row r="266" spans="1:15" s="230" customFormat="1" ht="6.75" customHeight="1" x14ac:dyDescent="0.25">
      <c r="A266" s="361">
        <f t="shared" si="300"/>
        <v>3.0599999999999996</v>
      </c>
      <c r="B266" s="276"/>
      <c r="C266" s="277" t="s">
        <v>90</v>
      </c>
      <c r="D266" s="541">
        <f t="shared" ref="D266:E266" si="316">D302</f>
        <v>1</v>
      </c>
      <c r="E266" s="238" t="str">
        <f t="shared" si="316"/>
        <v>poz.č.:105-106 profil: 60/160</v>
      </c>
      <c r="F266" s="265" t="s">
        <v>272</v>
      </c>
      <c r="G266" s="236">
        <f t="shared" si="302"/>
        <v>3.0599999999999996</v>
      </c>
      <c r="H266" s="235"/>
      <c r="I266" s="235"/>
      <c r="J266" s="234"/>
      <c r="K266" s="234"/>
      <c r="L266" s="233"/>
      <c r="M266" s="233"/>
      <c r="N266" s="232"/>
      <c r="O266" s="231"/>
    </row>
    <row r="267" spans="1:15" s="230" customFormat="1" ht="6.75" customHeight="1" x14ac:dyDescent="0.25">
      <c r="A267" s="361">
        <f t="shared" si="300"/>
        <v>2.27</v>
      </c>
      <c r="B267" s="276"/>
      <c r="C267" s="277" t="s">
        <v>90</v>
      </c>
      <c r="D267" s="541">
        <f t="shared" ref="D267:E267" si="317">D303</f>
        <v>2</v>
      </c>
      <c r="E267" s="238" t="str">
        <f t="shared" si="317"/>
        <v>poz.č.:107 profil: 160/60</v>
      </c>
      <c r="F267" s="265" t="s">
        <v>272</v>
      </c>
      <c r="G267" s="236">
        <f t="shared" si="302"/>
        <v>4.54</v>
      </c>
      <c r="H267" s="235"/>
      <c r="I267" s="235"/>
      <c r="J267" s="234"/>
      <c r="K267" s="234"/>
      <c r="L267" s="233"/>
      <c r="M267" s="233"/>
      <c r="N267" s="232"/>
      <c r="O267" s="231"/>
    </row>
    <row r="268" spans="1:15" s="230" customFormat="1" ht="6.75" customHeight="1" x14ac:dyDescent="0.25">
      <c r="A268" s="361">
        <f t="shared" si="300"/>
        <v>1.21</v>
      </c>
      <c r="B268" s="276"/>
      <c r="C268" s="277" t="s">
        <v>90</v>
      </c>
      <c r="D268" s="541">
        <f t="shared" ref="D268:E268" si="318">D304</f>
        <v>2</v>
      </c>
      <c r="E268" s="238" t="str">
        <f t="shared" si="318"/>
        <v>poz.č.:108 profil: 160/60</v>
      </c>
      <c r="F268" s="265" t="s">
        <v>272</v>
      </c>
      <c r="G268" s="236">
        <f t="shared" si="302"/>
        <v>2.42</v>
      </c>
      <c r="H268" s="235"/>
      <c r="I268" s="235"/>
      <c r="J268" s="234"/>
      <c r="K268" s="234"/>
      <c r="L268" s="233"/>
      <c r="M268" s="233"/>
      <c r="N268" s="232"/>
      <c r="O268" s="231"/>
    </row>
    <row r="269" spans="1:15" s="230" customFormat="1" ht="6.75" customHeight="1" x14ac:dyDescent="0.25">
      <c r="A269" s="361">
        <f t="shared" si="300"/>
        <v>2.5099999999999998</v>
      </c>
      <c r="B269" s="276"/>
      <c r="C269" s="277" t="s">
        <v>90</v>
      </c>
      <c r="D269" s="541">
        <f t="shared" ref="D269:E269" si="319">D305</f>
        <v>17</v>
      </c>
      <c r="E269" s="238" t="str">
        <f t="shared" si="319"/>
        <v>poz.č.:109-110;115 profil: 60/160</v>
      </c>
      <c r="F269" s="265" t="s">
        <v>272</v>
      </c>
      <c r="G269" s="236">
        <f t="shared" si="302"/>
        <v>42.669999999999995</v>
      </c>
      <c r="H269" s="235"/>
      <c r="I269" s="235"/>
      <c r="J269" s="234"/>
      <c r="K269" s="234"/>
      <c r="L269" s="233"/>
      <c r="M269" s="233"/>
      <c r="N269" s="232"/>
      <c r="O269" s="231"/>
    </row>
    <row r="270" spans="1:15" s="230" customFormat="1" ht="6.75" customHeight="1" x14ac:dyDescent="0.25">
      <c r="A270" s="361">
        <f t="shared" si="300"/>
        <v>2.33</v>
      </c>
      <c r="B270" s="276"/>
      <c r="C270" s="277" t="s">
        <v>90</v>
      </c>
      <c r="D270" s="541">
        <f t="shared" ref="D270:E270" si="320">D306</f>
        <v>11</v>
      </c>
      <c r="E270" s="238" t="str">
        <f t="shared" si="320"/>
        <v>poz.č.:111-112;114;116;118 profil: 60/160</v>
      </c>
      <c r="F270" s="265" t="s">
        <v>272</v>
      </c>
      <c r="G270" s="236">
        <f t="shared" si="302"/>
        <v>25.630000000000003</v>
      </c>
      <c r="H270" s="235"/>
      <c r="I270" s="235"/>
      <c r="J270" s="234"/>
      <c r="K270" s="234"/>
      <c r="L270" s="233"/>
      <c r="M270" s="233"/>
      <c r="N270" s="232"/>
      <c r="O270" s="231"/>
    </row>
    <row r="271" spans="1:15" s="230" customFormat="1" ht="6.75" customHeight="1" x14ac:dyDescent="0.25">
      <c r="A271" s="361">
        <f t="shared" ref="A271:A282" si="321">C307</f>
        <v>1.135</v>
      </c>
      <c r="B271" s="276"/>
      <c r="C271" s="277" t="s">
        <v>90</v>
      </c>
      <c r="D271" s="541">
        <f t="shared" ref="D271:E271" si="322">D307</f>
        <v>1</v>
      </c>
      <c r="E271" s="238" t="str">
        <f t="shared" si="322"/>
        <v>poz.č.:113;117 profil: 60/160</v>
      </c>
      <c r="F271" s="265" t="s">
        <v>272</v>
      </c>
      <c r="G271" s="236">
        <f t="shared" ref="G271:G282" si="323">A271*D271</f>
        <v>1.135</v>
      </c>
      <c r="H271" s="235"/>
      <c r="I271" s="235"/>
      <c r="J271" s="234"/>
      <c r="K271" s="234"/>
      <c r="L271" s="233"/>
      <c r="M271" s="233"/>
      <c r="N271" s="232"/>
      <c r="O271" s="231"/>
    </row>
    <row r="272" spans="1:15" s="230" customFormat="1" ht="6.75" customHeight="1" x14ac:dyDescent="0.25">
      <c r="A272" s="361">
        <f t="shared" si="321"/>
        <v>0.9</v>
      </c>
      <c r="B272" s="276"/>
      <c r="C272" s="277" t="s">
        <v>90</v>
      </c>
      <c r="D272" s="541">
        <f t="shared" ref="D272:E272" si="324">D308</f>
        <v>2</v>
      </c>
      <c r="E272" s="238" t="str">
        <f t="shared" si="324"/>
        <v>poz.č.:119 profil: 160/60</v>
      </c>
      <c r="F272" s="265" t="s">
        <v>272</v>
      </c>
      <c r="G272" s="236">
        <f t="shared" si="323"/>
        <v>1.8</v>
      </c>
      <c r="H272" s="235"/>
      <c r="I272" s="235"/>
      <c r="J272" s="234"/>
      <c r="K272" s="234"/>
      <c r="L272" s="233"/>
      <c r="M272" s="233"/>
      <c r="N272" s="232"/>
      <c r="O272" s="231"/>
    </row>
    <row r="273" spans="1:76" s="230" customFormat="1" ht="6.75" customHeight="1" x14ac:dyDescent="0.25">
      <c r="A273" s="361">
        <f t="shared" si="321"/>
        <v>9.5500000000000007</v>
      </c>
      <c r="B273" s="276"/>
      <c r="C273" s="277" t="s">
        <v>90</v>
      </c>
      <c r="D273" s="541">
        <f t="shared" ref="D273:E273" si="325">D309</f>
        <v>1</v>
      </c>
      <c r="E273" s="238" t="str">
        <f t="shared" si="325"/>
        <v>poz.č.:120-122 profil: 60/160</v>
      </c>
      <c r="F273" s="265" t="s">
        <v>272</v>
      </c>
      <c r="G273" s="236">
        <f t="shared" si="323"/>
        <v>9.5500000000000007</v>
      </c>
      <c r="H273" s="235"/>
      <c r="I273" s="235"/>
      <c r="J273" s="234"/>
      <c r="K273" s="234"/>
      <c r="L273" s="233"/>
      <c r="M273" s="233"/>
      <c r="N273" s="232"/>
      <c r="O273" s="231"/>
    </row>
    <row r="274" spans="1:76" s="230" customFormat="1" ht="6.75" customHeight="1" x14ac:dyDescent="0.25">
      <c r="A274" s="361">
        <f t="shared" si="321"/>
        <v>0.78</v>
      </c>
      <c r="B274" s="276"/>
      <c r="C274" s="277" t="s">
        <v>90</v>
      </c>
      <c r="D274" s="541">
        <f t="shared" ref="D274:E274" si="326">D310</f>
        <v>2</v>
      </c>
      <c r="E274" s="238" t="str">
        <f t="shared" si="326"/>
        <v>poz.č.:123-124 profil: 60/160</v>
      </c>
      <c r="F274" s="265" t="s">
        <v>272</v>
      </c>
      <c r="G274" s="236">
        <f t="shared" si="323"/>
        <v>1.56</v>
      </c>
      <c r="H274" s="235"/>
      <c r="I274" s="235"/>
      <c r="J274" s="234"/>
      <c r="K274" s="234"/>
      <c r="L274" s="233"/>
      <c r="M274" s="233"/>
      <c r="N274" s="232"/>
      <c r="O274" s="231"/>
    </row>
    <row r="275" spans="1:76" s="230" customFormat="1" ht="6.75" customHeight="1" x14ac:dyDescent="0.25">
      <c r="A275" s="361">
        <f t="shared" si="321"/>
        <v>1.1499999999999999</v>
      </c>
      <c r="B275" s="276"/>
      <c r="C275" s="277" t="s">
        <v>90</v>
      </c>
      <c r="D275" s="541">
        <f t="shared" ref="D275:E275" si="327">D311</f>
        <v>2</v>
      </c>
      <c r="E275" s="238" t="str">
        <f t="shared" si="327"/>
        <v>poz.č.:125 profil: 160/60</v>
      </c>
      <c r="F275" s="265" t="s">
        <v>272</v>
      </c>
      <c r="G275" s="236">
        <f t="shared" si="323"/>
        <v>2.2999999999999998</v>
      </c>
      <c r="H275" s="235"/>
      <c r="I275" s="235"/>
      <c r="J275" s="234"/>
      <c r="K275" s="234"/>
      <c r="L275" s="233"/>
      <c r="M275" s="233"/>
      <c r="N275" s="232"/>
      <c r="O275" s="231"/>
    </row>
    <row r="276" spans="1:76" s="230" customFormat="1" ht="6.75" customHeight="1" x14ac:dyDescent="0.25">
      <c r="A276" s="361">
        <f t="shared" si="321"/>
        <v>1.03</v>
      </c>
      <c r="B276" s="276"/>
      <c r="C276" s="277" t="s">
        <v>90</v>
      </c>
      <c r="D276" s="541">
        <f t="shared" ref="D276:E276" si="328">D312</f>
        <v>1</v>
      </c>
      <c r="E276" s="238" t="str">
        <f t="shared" si="328"/>
        <v>poz.č.:126 profil: 60/160</v>
      </c>
      <c r="F276" s="265" t="s">
        <v>272</v>
      </c>
      <c r="G276" s="236">
        <f t="shared" si="323"/>
        <v>1.03</v>
      </c>
      <c r="H276" s="235"/>
      <c r="I276" s="235"/>
      <c r="J276" s="234"/>
      <c r="K276" s="234"/>
      <c r="L276" s="233"/>
      <c r="M276" s="233"/>
      <c r="N276" s="232"/>
      <c r="O276" s="231"/>
    </row>
    <row r="277" spans="1:76" s="230" customFormat="1" ht="6.75" customHeight="1" x14ac:dyDescent="0.25">
      <c r="A277" s="361">
        <f t="shared" si="321"/>
        <v>4.9359999999999999</v>
      </c>
      <c r="B277" s="276"/>
      <c r="C277" s="277" t="s">
        <v>90</v>
      </c>
      <c r="D277" s="541">
        <f t="shared" ref="D277:E277" si="329">D313</f>
        <v>1</v>
      </c>
      <c r="E277" s="238" t="str">
        <f t="shared" si="329"/>
        <v>poz.č.:127 profil: 120/40</v>
      </c>
      <c r="F277" s="265" t="s">
        <v>272</v>
      </c>
      <c r="G277" s="236">
        <f t="shared" si="323"/>
        <v>4.9359999999999999</v>
      </c>
      <c r="H277" s="235"/>
      <c r="I277" s="235"/>
      <c r="J277" s="234"/>
      <c r="K277" s="234"/>
      <c r="L277" s="233"/>
      <c r="M277" s="233"/>
      <c r="N277" s="232"/>
      <c r="O277" s="231"/>
    </row>
    <row r="278" spans="1:76" s="230" customFormat="1" ht="6.75" customHeight="1" x14ac:dyDescent="0.25">
      <c r="A278" s="361">
        <f t="shared" si="321"/>
        <v>2.5099999999999998</v>
      </c>
      <c r="B278" s="276"/>
      <c r="C278" s="277" t="s">
        <v>90</v>
      </c>
      <c r="D278" s="541">
        <f t="shared" ref="D278:E278" si="330">D314</f>
        <v>10</v>
      </c>
      <c r="E278" s="238" t="str">
        <f t="shared" si="330"/>
        <v>poz.č.:128;130;134-135 profil: 60/160</v>
      </c>
      <c r="F278" s="265" t="s">
        <v>272</v>
      </c>
      <c r="G278" s="236">
        <f t="shared" si="323"/>
        <v>25.099999999999998</v>
      </c>
      <c r="H278" s="235"/>
      <c r="I278" s="235"/>
      <c r="J278" s="234"/>
      <c r="K278" s="234"/>
      <c r="L278" s="233"/>
      <c r="M278" s="233"/>
      <c r="N278" s="232"/>
      <c r="O278" s="231"/>
    </row>
    <row r="279" spans="1:76" s="230" customFormat="1" ht="6.75" customHeight="1" x14ac:dyDescent="0.25">
      <c r="A279" s="361">
        <f t="shared" si="321"/>
        <v>2.4900000000000002</v>
      </c>
      <c r="B279" s="276"/>
      <c r="C279" s="277" t="s">
        <v>90</v>
      </c>
      <c r="D279" s="541">
        <f t="shared" ref="D279:E279" si="331">D315</f>
        <v>2</v>
      </c>
      <c r="E279" s="238" t="str">
        <f t="shared" si="331"/>
        <v>poz.č.:129 profil: 160/60</v>
      </c>
      <c r="F279" s="265" t="s">
        <v>272</v>
      </c>
      <c r="G279" s="236">
        <f t="shared" si="323"/>
        <v>4.9800000000000004</v>
      </c>
      <c r="H279" s="235"/>
      <c r="I279" s="235"/>
      <c r="J279" s="234"/>
      <c r="K279" s="234"/>
      <c r="L279" s="233"/>
      <c r="M279" s="233"/>
      <c r="N279" s="232"/>
      <c r="O279" s="231"/>
    </row>
    <row r="280" spans="1:76" s="230" customFormat="1" ht="6.75" customHeight="1" x14ac:dyDescent="0.25">
      <c r="A280" s="361">
        <f t="shared" si="321"/>
        <v>2.33</v>
      </c>
      <c r="B280" s="276"/>
      <c r="C280" s="277" t="s">
        <v>90</v>
      </c>
      <c r="D280" s="541">
        <f t="shared" ref="D280:E280" si="332">D316</f>
        <v>4</v>
      </c>
      <c r="E280" s="238" t="str">
        <f t="shared" si="332"/>
        <v>poz.č.:131;133;136;139 profil: 60/160</v>
      </c>
      <c r="F280" s="265" t="s">
        <v>272</v>
      </c>
      <c r="G280" s="236">
        <f t="shared" si="323"/>
        <v>9.32</v>
      </c>
      <c r="H280" s="235"/>
      <c r="I280" s="235"/>
      <c r="J280" s="234"/>
      <c r="K280" s="234"/>
      <c r="L280" s="233"/>
      <c r="M280" s="233"/>
      <c r="N280" s="232"/>
      <c r="O280" s="231"/>
    </row>
    <row r="281" spans="1:76" s="230" customFormat="1" ht="6.75" customHeight="1" x14ac:dyDescent="0.25">
      <c r="A281" s="361">
        <f t="shared" si="321"/>
        <v>0.3</v>
      </c>
      <c r="B281" s="276"/>
      <c r="C281" s="277" t="s">
        <v>90</v>
      </c>
      <c r="D281" s="541">
        <f t="shared" ref="D281:E281" si="333">D317</f>
        <v>6</v>
      </c>
      <c r="E281" s="238" t="str">
        <f t="shared" si="333"/>
        <v>poz.č.:132 profil: 60/160</v>
      </c>
      <c r="F281" s="265" t="s">
        <v>272</v>
      </c>
      <c r="G281" s="236">
        <f t="shared" si="323"/>
        <v>1.7999999999999998</v>
      </c>
      <c r="H281" s="235"/>
      <c r="I281" s="235"/>
      <c r="J281" s="234"/>
      <c r="K281" s="234"/>
      <c r="L281" s="233"/>
      <c r="M281" s="233"/>
      <c r="N281" s="232"/>
      <c r="O281" s="231"/>
    </row>
    <row r="282" spans="1:76" s="230" customFormat="1" ht="6.75" customHeight="1" x14ac:dyDescent="0.25">
      <c r="A282" s="361">
        <f t="shared" si="321"/>
        <v>0.85499999999999998</v>
      </c>
      <c r="B282" s="276"/>
      <c r="C282" s="277" t="s">
        <v>90</v>
      </c>
      <c r="D282" s="541">
        <f t="shared" ref="D282:E282" si="334">D318</f>
        <v>3</v>
      </c>
      <c r="E282" s="238" t="str">
        <f t="shared" si="334"/>
        <v>poz.č.:137-138 profil: 60/160</v>
      </c>
      <c r="F282" s="265" t="s">
        <v>272</v>
      </c>
      <c r="G282" s="236">
        <f t="shared" si="323"/>
        <v>2.5649999999999999</v>
      </c>
      <c r="H282" s="235"/>
      <c r="I282" s="235"/>
      <c r="J282" s="234"/>
      <c r="K282" s="234"/>
      <c r="L282" s="233"/>
      <c r="M282" s="233"/>
      <c r="N282" s="232"/>
      <c r="O282" s="231"/>
    </row>
    <row r="283" spans="1:76" s="268" customFormat="1" x14ac:dyDescent="0.2">
      <c r="A283" s="251">
        <f>A250+1</f>
        <v>58</v>
      </c>
      <c r="B283" s="250" t="s">
        <v>43</v>
      </c>
      <c r="C283" s="249" t="s">
        <v>328</v>
      </c>
      <c r="D283" s="248" t="s">
        <v>369</v>
      </c>
      <c r="E283" s="248"/>
      <c r="F283" s="247" t="s">
        <v>272</v>
      </c>
      <c r="G283" s="246">
        <f>SUM(G284:G284)</f>
        <v>26.93</v>
      </c>
      <c r="H283" s="245"/>
      <c r="I283" s="244" t="s">
        <v>95</v>
      </c>
      <c r="J283" s="233">
        <f>G283*AO283</f>
        <v>0</v>
      </c>
      <c r="K283" s="243">
        <f>G283*AP283</f>
        <v>0</v>
      </c>
      <c r="L283" s="242">
        <f>G283*H283</f>
        <v>0</v>
      </c>
      <c r="M283" s="233">
        <f>L283*(1+BW283/100)</f>
        <v>0</v>
      </c>
      <c r="N283" s="241">
        <v>5.0099999999999997E-3</v>
      </c>
      <c r="O283" s="240">
        <f>G283*N283</f>
        <v>0.13491929999999999</v>
      </c>
      <c r="P283" s="213" t="s">
        <v>769</v>
      </c>
      <c r="Z283" s="268">
        <f>IF(AQ283="5",BJ283,0)</f>
        <v>0</v>
      </c>
      <c r="AB283" s="268">
        <f>IF(AQ283="1",BH283,0)</f>
        <v>0</v>
      </c>
      <c r="AC283" s="268">
        <f>IF(AQ283="1",BI283,0)</f>
        <v>0</v>
      </c>
      <c r="AD283" s="268">
        <f>IF(AQ283="7",BH283,0)</f>
        <v>0</v>
      </c>
      <c r="AE283" s="268">
        <f>IF(AQ283="7",BI283,0)</f>
        <v>0</v>
      </c>
      <c r="AF283" s="268">
        <f>IF(AQ283="2",BH283,0)</f>
        <v>0</v>
      </c>
      <c r="AG283" s="268">
        <f>IF(AQ283="2",BI283,0)</f>
        <v>0</v>
      </c>
      <c r="AH283" s="268">
        <f>IF(AQ283="0",BJ283,0)</f>
        <v>0</v>
      </c>
      <c r="AI283" s="268" t="s">
        <v>43</v>
      </c>
      <c r="AJ283" s="268">
        <f>IF(AN283=0,L283,0)</f>
        <v>0</v>
      </c>
      <c r="AK283" s="268">
        <f>IF(AN283=12,L283,0)</f>
        <v>0</v>
      </c>
      <c r="AL283" s="268">
        <f>IF(AN283=21,L283,0)</f>
        <v>0</v>
      </c>
      <c r="AN283" s="268">
        <v>12</v>
      </c>
      <c r="AO283" s="268">
        <f>H283*0.242348295</f>
        <v>0</v>
      </c>
      <c r="AP283" s="268">
        <f>H283*(1-0.242348295)</f>
        <v>0</v>
      </c>
      <c r="AQ283" s="268" t="s">
        <v>93</v>
      </c>
      <c r="AV283" s="268">
        <f>AW283+AX283</f>
        <v>0</v>
      </c>
      <c r="AW283" s="268">
        <f>G283*AO283</f>
        <v>0</v>
      </c>
      <c r="AX283" s="268">
        <f>G283*AP283</f>
        <v>0</v>
      </c>
      <c r="AY283" s="268" t="s">
        <v>327</v>
      </c>
      <c r="AZ283" s="268" t="s">
        <v>267</v>
      </c>
      <c r="BA283" s="268" t="s">
        <v>85</v>
      </c>
      <c r="BC283" s="268">
        <f>AW283+AX283</f>
        <v>0</v>
      </c>
      <c r="BD283" s="268">
        <f>H283/(100-BE283)*100</f>
        <v>0</v>
      </c>
      <c r="BE283" s="268">
        <v>0</v>
      </c>
      <c r="BF283" s="268">
        <f>O283</f>
        <v>0.13491929999999999</v>
      </c>
      <c r="BH283" s="268">
        <f>G283*AO283</f>
        <v>0</v>
      </c>
      <c r="BI283" s="268">
        <f>G283*AP283</f>
        <v>0</v>
      </c>
      <c r="BJ283" s="268">
        <f>G283*H283</f>
        <v>0</v>
      </c>
      <c r="BL283" s="268">
        <v>763</v>
      </c>
      <c r="BW283" s="268" t="str">
        <f>I283</f>
        <v>12</v>
      </c>
      <c r="BX283" s="268" t="s">
        <v>329</v>
      </c>
    </row>
    <row r="284" spans="1:76" s="230" customFormat="1" ht="6.75" customHeight="1" x14ac:dyDescent="0.25">
      <c r="A284" s="361">
        <f>C286</f>
        <v>26.93</v>
      </c>
      <c r="B284" s="276"/>
      <c r="C284" s="277" t="s">
        <v>90</v>
      </c>
      <c r="D284" s="541">
        <f>D286</f>
        <v>1</v>
      </c>
      <c r="E284" s="238" t="str">
        <f>E286</f>
        <v>poz.č.:68-75 profil: 160/60 (statika…Založení obvodových stěn na základové desce)</v>
      </c>
      <c r="F284" s="265" t="s">
        <v>272</v>
      </c>
      <c r="G284" s="236">
        <f>A284*D284</f>
        <v>26.93</v>
      </c>
      <c r="H284" s="235"/>
      <c r="I284" s="235"/>
      <c r="J284" s="234"/>
      <c r="K284" s="234"/>
      <c r="L284" s="233"/>
      <c r="M284" s="233"/>
      <c r="N284" s="232"/>
      <c r="O284" s="231"/>
    </row>
    <row r="285" spans="1:76" s="268" customFormat="1" x14ac:dyDescent="0.2">
      <c r="A285" s="251">
        <f>A250+1</f>
        <v>58</v>
      </c>
      <c r="B285" s="250" t="s">
        <v>43</v>
      </c>
      <c r="C285" s="249" t="s">
        <v>283</v>
      </c>
      <c r="D285" s="248" t="s">
        <v>335</v>
      </c>
      <c r="E285" s="248"/>
      <c r="F285" s="247" t="s">
        <v>94</v>
      </c>
      <c r="G285" s="246">
        <f>SUM(G286:G319)</f>
        <v>3.9440093759999995</v>
      </c>
      <c r="H285" s="245"/>
      <c r="I285" s="244" t="s">
        <v>95</v>
      </c>
      <c r="J285" s="233">
        <f>G285*AO285</f>
        <v>0</v>
      </c>
      <c r="K285" s="243">
        <f>G285*AP285</f>
        <v>0</v>
      </c>
      <c r="L285" s="242">
        <f>G285*H285</f>
        <v>0</v>
      </c>
      <c r="M285" s="233">
        <f>L285*(1+BW285/100)</f>
        <v>0</v>
      </c>
      <c r="N285" s="241">
        <v>0.5</v>
      </c>
      <c r="O285" s="240">
        <f>G285*N285</f>
        <v>1.9720046879999997</v>
      </c>
      <c r="P285" s="213" t="s">
        <v>769</v>
      </c>
      <c r="Z285" s="268">
        <f>IF(AQ285="5",BJ285,0)</f>
        <v>0</v>
      </c>
      <c r="AB285" s="268">
        <f>IF(AQ285="1",BH285,0)</f>
        <v>0</v>
      </c>
      <c r="AC285" s="268">
        <f>IF(AQ285="1",BI285,0)</f>
        <v>0</v>
      </c>
      <c r="AD285" s="268">
        <f>IF(AQ285="7",BH285,0)</f>
        <v>0</v>
      </c>
      <c r="AE285" s="268">
        <f>IF(AQ285="7",BI285,0)</f>
        <v>0</v>
      </c>
      <c r="AF285" s="268">
        <f>IF(AQ285="2",BH285,0)</f>
        <v>0</v>
      </c>
      <c r="AG285" s="268">
        <f>IF(AQ285="2",BI285,0)</f>
        <v>0</v>
      </c>
      <c r="AH285" s="268">
        <f>IF(AQ285="0",BJ285,0)</f>
        <v>0</v>
      </c>
      <c r="AI285" s="268" t="s">
        <v>43</v>
      </c>
      <c r="AJ285" s="268">
        <f>IF(AN285=0,L285,0)</f>
        <v>0</v>
      </c>
      <c r="AK285" s="268">
        <f>IF(AN285=12,L285,0)</f>
        <v>0</v>
      </c>
      <c r="AL285" s="268">
        <f>IF(AN285=21,L285,0)</f>
        <v>0</v>
      </c>
      <c r="AN285" s="268">
        <v>12</v>
      </c>
      <c r="AO285" s="268">
        <f>H285*1</f>
        <v>0</v>
      </c>
      <c r="AP285" s="268">
        <f>H285*(1-1)</f>
        <v>0</v>
      </c>
      <c r="AQ285" s="268" t="s">
        <v>285</v>
      </c>
      <c r="AV285" s="268">
        <f>AW285+AX285</f>
        <v>0</v>
      </c>
      <c r="AW285" s="268">
        <f>G285*AO285</f>
        <v>0</v>
      </c>
      <c r="AX285" s="268">
        <f>G285*AP285</f>
        <v>0</v>
      </c>
      <c r="AY285" s="268" t="s">
        <v>286</v>
      </c>
      <c r="AZ285" s="268" t="s">
        <v>287</v>
      </c>
      <c r="BA285" s="268" t="s">
        <v>85</v>
      </c>
      <c r="BC285" s="268">
        <f>AW285+AX285</f>
        <v>0</v>
      </c>
      <c r="BD285" s="268">
        <f>H285/(100-BE285)*100</f>
        <v>0</v>
      </c>
      <c r="BE285" s="268">
        <v>0</v>
      </c>
      <c r="BF285" s="268">
        <f>O285</f>
        <v>1.9720046879999997</v>
      </c>
      <c r="BH285" s="268">
        <f>G285*AO285</f>
        <v>0</v>
      </c>
      <c r="BI285" s="268">
        <f>G285*AP285</f>
        <v>0</v>
      </c>
      <c r="BJ285" s="268">
        <f>G285*H285</f>
        <v>0</v>
      </c>
      <c r="BW285" s="268" t="str">
        <f>I285</f>
        <v>12</v>
      </c>
      <c r="BX285" s="268" t="s">
        <v>284</v>
      </c>
    </row>
    <row r="286" spans="1:76" s="230" customFormat="1" ht="6.75" customHeight="1" x14ac:dyDescent="0.25">
      <c r="A286" s="362">
        <f t="shared" ref="A286:A294" si="335">0.16*0.06</f>
        <v>9.5999999999999992E-3</v>
      </c>
      <c r="B286" s="276"/>
      <c r="C286" s="275">
        <f>0.405+4.07+3.005+4.97+5.84+4.7+0.585+3.355</f>
        <v>26.93</v>
      </c>
      <c r="D286" s="541">
        <v>1</v>
      </c>
      <c r="E286" s="238" t="s">
        <v>370</v>
      </c>
      <c r="F286" s="265" t="s">
        <v>94</v>
      </c>
      <c r="G286" s="236">
        <f t="shared" ref="G286" si="336">A286*C286*D286</f>
        <v>0.25852799999999998</v>
      </c>
      <c r="H286" s="235"/>
      <c r="I286" s="235"/>
      <c r="J286" s="234"/>
      <c r="K286" s="234"/>
      <c r="L286" s="233"/>
      <c r="M286" s="233"/>
      <c r="N286" s="232"/>
      <c r="O286" s="231"/>
    </row>
    <row r="287" spans="1:76" s="230" customFormat="1" ht="6.75" customHeight="1" x14ac:dyDescent="0.25">
      <c r="A287" s="362">
        <f t="shared" si="335"/>
        <v>9.5999999999999992E-3</v>
      </c>
      <c r="B287" s="276"/>
      <c r="C287" s="275">
        <v>0.9</v>
      </c>
      <c r="D287" s="541">
        <v>10</v>
      </c>
      <c r="E287" s="238" t="s">
        <v>337</v>
      </c>
      <c r="F287" s="265" t="s">
        <v>94</v>
      </c>
      <c r="G287" s="236">
        <f t="shared" ref="G287" si="337">A287*C287*D287</f>
        <v>8.6400000000000005E-2</v>
      </c>
      <c r="H287" s="235"/>
      <c r="I287" s="235"/>
      <c r="J287" s="234"/>
      <c r="K287" s="234"/>
      <c r="L287" s="233"/>
      <c r="M287" s="233"/>
      <c r="N287" s="232"/>
      <c r="O287" s="231"/>
    </row>
    <row r="288" spans="1:76" s="230" customFormat="1" ht="6.75" customHeight="1" x14ac:dyDescent="0.25">
      <c r="A288" s="362">
        <f t="shared" si="335"/>
        <v>9.5999999999999992E-3</v>
      </c>
      <c r="B288" s="276"/>
      <c r="C288" s="275">
        <v>4.0170000000000003</v>
      </c>
      <c r="D288" s="541">
        <v>2</v>
      </c>
      <c r="E288" s="238" t="s">
        <v>338</v>
      </c>
      <c r="F288" s="265" t="s">
        <v>94</v>
      </c>
      <c r="G288" s="236">
        <f t="shared" ref="G288" si="338">A288*C288*D288</f>
        <v>7.7126399999999998E-2</v>
      </c>
      <c r="H288" s="235"/>
      <c r="I288" s="235"/>
      <c r="J288" s="234"/>
      <c r="K288" s="234"/>
      <c r="L288" s="233"/>
      <c r="M288" s="233"/>
      <c r="N288" s="232"/>
      <c r="O288" s="231"/>
    </row>
    <row r="289" spans="1:15" s="230" customFormat="1" ht="6.75" customHeight="1" x14ac:dyDescent="0.25">
      <c r="A289" s="362">
        <f t="shared" si="335"/>
        <v>9.5999999999999992E-3</v>
      </c>
      <c r="B289" s="276"/>
      <c r="C289" s="275">
        <v>6.2030000000000003</v>
      </c>
      <c r="D289" s="541">
        <v>2</v>
      </c>
      <c r="E289" s="238" t="s">
        <v>339</v>
      </c>
      <c r="F289" s="265" t="s">
        <v>94</v>
      </c>
      <c r="G289" s="236">
        <f t="shared" ref="G289" si="339">A289*C289*D289</f>
        <v>0.1190976</v>
      </c>
      <c r="H289" s="235"/>
      <c r="I289" s="235"/>
      <c r="J289" s="234"/>
      <c r="K289" s="234"/>
      <c r="L289" s="233"/>
      <c r="M289" s="233"/>
      <c r="N289" s="232"/>
      <c r="O289" s="231"/>
    </row>
    <row r="290" spans="1:15" s="230" customFormat="1" ht="6.75" customHeight="1" x14ac:dyDescent="0.25">
      <c r="A290" s="362">
        <f t="shared" si="335"/>
        <v>9.5999999999999992E-3</v>
      </c>
      <c r="B290" s="276"/>
      <c r="C290" s="275">
        <v>0.78</v>
      </c>
      <c r="D290" s="541">
        <v>10</v>
      </c>
      <c r="E290" s="238" t="s">
        <v>340</v>
      </c>
      <c r="F290" s="265" t="s">
        <v>94</v>
      </c>
      <c r="G290" s="236">
        <f t="shared" ref="G290" si="340">A290*C290*D290</f>
        <v>7.4880000000000002E-2</v>
      </c>
      <c r="H290" s="235"/>
      <c r="I290" s="235"/>
      <c r="J290" s="234"/>
      <c r="K290" s="234"/>
      <c r="L290" s="233"/>
      <c r="M290" s="233"/>
      <c r="N290" s="232"/>
      <c r="O290" s="231"/>
    </row>
    <row r="291" spans="1:15" s="230" customFormat="1" ht="6.75" customHeight="1" x14ac:dyDescent="0.25">
      <c r="A291" s="362">
        <f t="shared" si="335"/>
        <v>9.5999999999999992E-3</v>
      </c>
      <c r="B291" s="276"/>
      <c r="C291" s="275">
        <v>2.5099999999999998</v>
      </c>
      <c r="D291" s="541">
        <v>17</v>
      </c>
      <c r="E291" s="238" t="s">
        <v>341</v>
      </c>
      <c r="F291" s="265" t="s">
        <v>94</v>
      </c>
      <c r="G291" s="236">
        <f t="shared" ref="G291" si="341">A291*C291*D291</f>
        <v>0.40963199999999994</v>
      </c>
      <c r="H291" s="235"/>
      <c r="I291" s="235"/>
      <c r="J291" s="234"/>
      <c r="K291" s="234"/>
      <c r="L291" s="233"/>
      <c r="M291" s="233"/>
      <c r="N291" s="232"/>
      <c r="O291" s="231"/>
    </row>
    <row r="292" spans="1:15" s="230" customFormat="1" ht="6.75" customHeight="1" x14ac:dyDescent="0.25">
      <c r="A292" s="362">
        <f t="shared" si="335"/>
        <v>9.5999999999999992E-3</v>
      </c>
      <c r="B292" s="276"/>
      <c r="C292" s="275">
        <v>2.33</v>
      </c>
      <c r="D292" s="541">
        <v>17</v>
      </c>
      <c r="E292" s="238" t="s">
        <v>342</v>
      </c>
      <c r="F292" s="265" t="s">
        <v>94</v>
      </c>
      <c r="G292" s="236">
        <f t="shared" ref="G292" si="342">A292*C292*D292</f>
        <v>0.38025599999999998</v>
      </c>
      <c r="H292" s="235"/>
      <c r="I292" s="235"/>
      <c r="J292" s="234"/>
      <c r="K292" s="234"/>
      <c r="L292" s="233"/>
      <c r="M292" s="233"/>
      <c r="N292" s="232"/>
      <c r="O292" s="231"/>
    </row>
    <row r="293" spans="1:15" s="230" customFormat="1" ht="6.75" customHeight="1" x14ac:dyDescent="0.25">
      <c r="A293" s="362">
        <f t="shared" si="335"/>
        <v>9.5999999999999992E-3</v>
      </c>
      <c r="B293" s="276"/>
      <c r="C293" s="275">
        <v>0.3</v>
      </c>
      <c r="D293" s="541">
        <v>15</v>
      </c>
      <c r="E293" s="238" t="s">
        <v>343</v>
      </c>
      <c r="F293" s="265" t="s">
        <v>94</v>
      </c>
      <c r="G293" s="236">
        <f t="shared" ref="G293" si="343">A293*C293*D293</f>
        <v>4.3199999999999995E-2</v>
      </c>
      <c r="H293" s="235"/>
      <c r="I293" s="235"/>
      <c r="J293" s="234"/>
      <c r="K293" s="234"/>
      <c r="L293" s="233"/>
      <c r="M293" s="233"/>
      <c r="N293" s="232"/>
      <c r="O293" s="231"/>
    </row>
    <row r="294" spans="1:15" s="230" customFormat="1" ht="6.75" customHeight="1" x14ac:dyDescent="0.25">
      <c r="A294" s="362">
        <f t="shared" si="335"/>
        <v>9.5999999999999992E-3</v>
      </c>
      <c r="B294" s="276"/>
      <c r="C294" s="275">
        <v>0.83499999999999996</v>
      </c>
      <c r="D294" s="541">
        <v>15</v>
      </c>
      <c r="E294" s="238" t="s">
        <v>344</v>
      </c>
      <c r="F294" s="265" t="s">
        <v>94</v>
      </c>
      <c r="G294" s="236">
        <f t="shared" ref="G294:G295" si="344">A294*C294*D294</f>
        <v>0.12023999999999999</v>
      </c>
      <c r="H294" s="235"/>
      <c r="I294" s="235"/>
      <c r="J294" s="234"/>
      <c r="K294" s="234"/>
      <c r="L294" s="233"/>
      <c r="M294" s="233"/>
      <c r="N294" s="232"/>
      <c r="O294" s="231"/>
    </row>
    <row r="295" spans="1:15" s="230" customFormat="1" ht="6.75" customHeight="1" x14ac:dyDescent="0.25">
      <c r="A295" s="362">
        <f>0.12*0.04</f>
        <v>4.7999999999999996E-3</v>
      </c>
      <c r="B295" s="276"/>
      <c r="C295" s="275">
        <v>4.9359999999999999</v>
      </c>
      <c r="D295" s="541">
        <v>1</v>
      </c>
      <c r="E295" s="238" t="s">
        <v>345</v>
      </c>
      <c r="F295" s="265" t="s">
        <v>94</v>
      </c>
      <c r="G295" s="236">
        <f t="shared" si="344"/>
        <v>2.3692799999999997E-2</v>
      </c>
      <c r="H295" s="235"/>
      <c r="I295" s="235"/>
      <c r="J295" s="234"/>
      <c r="K295" s="234"/>
      <c r="L295" s="233"/>
      <c r="M295" s="233"/>
      <c r="N295" s="232"/>
      <c r="O295" s="231"/>
    </row>
    <row r="296" spans="1:15" s="230" customFormat="1" ht="6.75" customHeight="1" x14ac:dyDescent="0.25">
      <c r="A296" s="362">
        <f t="shared" ref="A296:A312" si="345">0.16*0.06</f>
        <v>9.5999999999999992E-3</v>
      </c>
      <c r="B296" s="276"/>
      <c r="C296" s="275">
        <v>5.29</v>
      </c>
      <c r="D296" s="541">
        <v>2</v>
      </c>
      <c r="E296" s="238" t="s">
        <v>346</v>
      </c>
      <c r="F296" s="265" t="s">
        <v>94</v>
      </c>
      <c r="G296" s="236">
        <f t="shared" ref="G296" si="346">A296*C296*D296</f>
        <v>0.10156799999999999</v>
      </c>
      <c r="H296" s="235"/>
      <c r="I296" s="235"/>
      <c r="J296" s="234"/>
      <c r="K296" s="234"/>
      <c r="L296" s="233"/>
      <c r="M296" s="233"/>
      <c r="N296" s="232"/>
      <c r="O296" s="231"/>
    </row>
    <row r="297" spans="1:15" s="230" customFormat="1" ht="6.75" customHeight="1" x14ac:dyDescent="0.25">
      <c r="A297" s="362">
        <f t="shared" si="345"/>
        <v>9.5999999999999992E-3</v>
      </c>
      <c r="B297" s="276"/>
      <c r="C297" s="275">
        <v>2.5099999999999998</v>
      </c>
      <c r="D297" s="541">
        <v>9</v>
      </c>
      <c r="E297" s="238" t="s">
        <v>347</v>
      </c>
      <c r="F297" s="265" t="s">
        <v>94</v>
      </c>
      <c r="G297" s="236">
        <f t="shared" ref="G297:G299" si="347">A297*C297*D297</f>
        <v>0.21686399999999997</v>
      </c>
      <c r="H297" s="235"/>
      <c r="I297" s="235"/>
      <c r="J297" s="234"/>
      <c r="K297" s="234"/>
      <c r="L297" s="233"/>
      <c r="M297" s="233"/>
      <c r="N297" s="232"/>
      <c r="O297" s="231"/>
    </row>
    <row r="298" spans="1:15" s="230" customFormat="1" ht="6.75" customHeight="1" x14ac:dyDescent="0.25">
      <c r="A298" s="362">
        <f t="shared" si="345"/>
        <v>9.5999999999999992E-3</v>
      </c>
      <c r="B298" s="276"/>
      <c r="C298" s="275">
        <v>2.4900000000000002</v>
      </c>
      <c r="D298" s="541">
        <v>2</v>
      </c>
      <c r="E298" s="238" t="s">
        <v>348</v>
      </c>
      <c r="F298" s="265" t="s">
        <v>94</v>
      </c>
      <c r="G298" s="236">
        <f t="shared" si="347"/>
        <v>4.7808000000000003E-2</v>
      </c>
      <c r="H298" s="235"/>
      <c r="I298" s="235"/>
      <c r="J298" s="234"/>
      <c r="K298" s="234"/>
      <c r="L298" s="233"/>
      <c r="M298" s="233"/>
      <c r="N298" s="232"/>
      <c r="O298" s="231"/>
    </row>
    <row r="299" spans="1:15" s="230" customFormat="1" ht="6.75" customHeight="1" x14ac:dyDescent="0.25">
      <c r="A299" s="362">
        <f t="shared" si="345"/>
        <v>9.5999999999999992E-3</v>
      </c>
      <c r="B299" s="276"/>
      <c r="C299" s="275">
        <f>3.885+6.335+0.245+2.61+1.46+2.845</f>
        <v>17.379999999999995</v>
      </c>
      <c r="D299" s="541">
        <v>1</v>
      </c>
      <c r="E299" s="238" t="s">
        <v>349</v>
      </c>
      <c r="F299" s="265" t="s">
        <v>94</v>
      </c>
      <c r="G299" s="236">
        <f t="shared" si="347"/>
        <v>0.16684799999999994</v>
      </c>
      <c r="H299" s="235"/>
      <c r="I299" s="235"/>
      <c r="J299" s="234"/>
      <c r="K299" s="234"/>
      <c r="L299" s="233"/>
      <c r="M299" s="233"/>
      <c r="N299" s="232"/>
      <c r="O299" s="231"/>
    </row>
    <row r="300" spans="1:15" s="230" customFormat="1" ht="6.75" customHeight="1" x14ac:dyDescent="0.25">
      <c r="A300" s="362">
        <f t="shared" si="345"/>
        <v>9.5999999999999992E-3</v>
      </c>
      <c r="B300" s="276"/>
      <c r="C300" s="275">
        <v>0.78</v>
      </c>
      <c r="D300" s="541">
        <v>4</v>
      </c>
      <c r="E300" s="238" t="s">
        <v>350</v>
      </c>
      <c r="F300" s="265" t="s">
        <v>94</v>
      </c>
      <c r="G300" s="236">
        <f t="shared" ref="G300:G301" si="348">A300*C300*D300</f>
        <v>2.9951999999999999E-2</v>
      </c>
      <c r="H300" s="235"/>
      <c r="I300" s="235"/>
      <c r="J300" s="234"/>
      <c r="K300" s="234"/>
      <c r="L300" s="233"/>
      <c r="M300" s="233"/>
      <c r="N300" s="232"/>
      <c r="O300" s="231"/>
    </row>
    <row r="301" spans="1:15" s="230" customFormat="1" ht="6.75" customHeight="1" x14ac:dyDescent="0.25">
      <c r="A301" s="362">
        <f t="shared" si="345"/>
        <v>9.5999999999999992E-3</v>
      </c>
      <c r="B301" s="276"/>
      <c r="C301" s="275">
        <v>0.9</v>
      </c>
      <c r="D301" s="541">
        <v>4</v>
      </c>
      <c r="E301" s="238" t="s">
        <v>351</v>
      </c>
      <c r="F301" s="265" t="s">
        <v>94</v>
      </c>
      <c r="G301" s="236">
        <f t="shared" si="348"/>
        <v>3.456E-2</v>
      </c>
      <c r="H301" s="235"/>
      <c r="I301" s="235"/>
      <c r="J301" s="234"/>
      <c r="K301" s="234"/>
      <c r="L301" s="233"/>
      <c r="M301" s="233"/>
      <c r="N301" s="232"/>
      <c r="O301" s="231"/>
    </row>
    <row r="302" spans="1:15" s="230" customFormat="1" ht="6.75" customHeight="1" x14ac:dyDescent="0.25">
      <c r="A302" s="362">
        <f t="shared" si="345"/>
        <v>9.5999999999999992E-3</v>
      </c>
      <c r="B302" s="276"/>
      <c r="C302" s="275">
        <f>2.03+1.03</f>
        <v>3.0599999999999996</v>
      </c>
      <c r="D302" s="541">
        <v>1</v>
      </c>
      <c r="E302" s="238" t="s">
        <v>352</v>
      </c>
      <c r="F302" s="265" t="s">
        <v>94</v>
      </c>
      <c r="G302" s="236">
        <f t="shared" ref="G302:G303" si="349">A302*C302*D302</f>
        <v>2.9375999999999992E-2</v>
      </c>
      <c r="H302" s="235"/>
      <c r="I302" s="235"/>
      <c r="J302" s="234"/>
      <c r="K302" s="234"/>
      <c r="L302" s="233"/>
      <c r="M302" s="233"/>
      <c r="N302" s="232"/>
      <c r="O302" s="231"/>
    </row>
    <row r="303" spans="1:15" s="230" customFormat="1" ht="6.75" customHeight="1" x14ac:dyDescent="0.25">
      <c r="A303" s="362">
        <f t="shared" si="345"/>
        <v>9.5999999999999992E-3</v>
      </c>
      <c r="B303" s="276"/>
      <c r="C303" s="275">
        <v>2.27</v>
      </c>
      <c r="D303" s="541">
        <v>2</v>
      </c>
      <c r="E303" s="238" t="s">
        <v>353</v>
      </c>
      <c r="F303" s="265" t="s">
        <v>94</v>
      </c>
      <c r="G303" s="236">
        <f t="shared" si="349"/>
        <v>4.3583999999999998E-2</v>
      </c>
      <c r="H303" s="235"/>
      <c r="I303" s="235"/>
      <c r="J303" s="234"/>
      <c r="K303" s="234"/>
      <c r="L303" s="233"/>
      <c r="M303" s="233"/>
      <c r="N303" s="232"/>
      <c r="O303" s="231"/>
    </row>
    <row r="304" spans="1:15" s="230" customFormat="1" ht="6.75" customHeight="1" x14ac:dyDescent="0.25">
      <c r="A304" s="362">
        <f t="shared" si="345"/>
        <v>9.5999999999999992E-3</v>
      </c>
      <c r="B304" s="276"/>
      <c r="C304" s="275">
        <v>1.21</v>
      </c>
      <c r="D304" s="541">
        <v>2</v>
      </c>
      <c r="E304" s="238" t="s">
        <v>354</v>
      </c>
      <c r="F304" s="265" t="s">
        <v>94</v>
      </c>
      <c r="G304" s="236">
        <f t="shared" ref="G304:G305" si="350">A304*C304*D304</f>
        <v>2.3231999999999996E-2</v>
      </c>
      <c r="H304" s="235"/>
      <c r="I304" s="235"/>
      <c r="J304" s="234"/>
      <c r="K304" s="234"/>
      <c r="L304" s="233"/>
      <c r="M304" s="233"/>
      <c r="N304" s="232"/>
      <c r="O304" s="231"/>
    </row>
    <row r="305" spans="1:76" s="230" customFormat="1" ht="6.75" customHeight="1" x14ac:dyDescent="0.25">
      <c r="A305" s="362">
        <f t="shared" si="345"/>
        <v>9.5999999999999992E-3</v>
      </c>
      <c r="B305" s="276"/>
      <c r="C305" s="275">
        <v>2.5099999999999998</v>
      </c>
      <c r="D305" s="541">
        <v>17</v>
      </c>
      <c r="E305" s="238" t="s">
        <v>355</v>
      </c>
      <c r="F305" s="265" t="s">
        <v>94</v>
      </c>
      <c r="G305" s="236">
        <f t="shared" si="350"/>
        <v>0.40963199999999994</v>
      </c>
      <c r="H305" s="235"/>
      <c r="I305" s="235"/>
      <c r="J305" s="234"/>
      <c r="K305" s="234"/>
      <c r="L305" s="233"/>
      <c r="M305" s="233"/>
      <c r="N305" s="232"/>
      <c r="O305" s="231"/>
    </row>
    <row r="306" spans="1:76" s="230" customFormat="1" ht="6.75" customHeight="1" x14ac:dyDescent="0.25">
      <c r="A306" s="362">
        <f t="shared" si="345"/>
        <v>9.5999999999999992E-3</v>
      </c>
      <c r="B306" s="276"/>
      <c r="C306" s="275">
        <v>2.33</v>
      </c>
      <c r="D306" s="541">
        <v>11</v>
      </c>
      <c r="E306" s="238" t="s">
        <v>356</v>
      </c>
      <c r="F306" s="265" t="s">
        <v>94</v>
      </c>
      <c r="G306" s="236">
        <f>A306*C306*D306</f>
        <v>0.24604799999999999</v>
      </c>
      <c r="H306" s="235"/>
      <c r="I306" s="235"/>
      <c r="J306" s="234"/>
      <c r="K306" s="234"/>
      <c r="L306" s="233"/>
      <c r="M306" s="233"/>
      <c r="N306" s="232"/>
      <c r="O306" s="231"/>
    </row>
    <row r="307" spans="1:76" s="230" customFormat="1" ht="6.75" customHeight="1" x14ac:dyDescent="0.25">
      <c r="A307" s="362">
        <f t="shared" si="345"/>
        <v>9.5999999999999992E-3</v>
      </c>
      <c r="B307" s="276"/>
      <c r="C307" s="275">
        <f>0.3+0.835</f>
        <v>1.135</v>
      </c>
      <c r="D307" s="541">
        <v>1</v>
      </c>
      <c r="E307" s="238" t="s">
        <v>357</v>
      </c>
      <c r="F307" s="265" t="s">
        <v>94</v>
      </c>
      <c r="G307" s="236">
        <f>A307*C307*D307</f>
        <v>1.0895999999999999E-2</v>
      </c>
      <c r="H307" s="235"/>
      <c r="I307" s="235"/>
      <c r="J307" s="234"/>
      <c r="K307" s="234"/>
      <c r="L307" s="233"/>
      <c r="M307" s="233"/>
      <c r="N307" s="232"/>
      <c r="O307" s="231"/>
    </row>
    <row r="308" spans="1:76" s="230" customFormat="1" ht="6.75" customHeight="1" x14ac:dyDescent="0.25">
      <c r="A308" s="362">
        <f t="shared" si="345"/>
        <v>9.5999999999999992E-3</v>
      </c>
      <c r="B308" s="276"/>
      <c r="C308" s="275">
        <v>0.9</v>
      </c>
      <c r="D308" s="541">
        <v>2</v>
      </c>
      <c r="E308" s="238" t="s">
        <v>358</v>
      </c>
      <c r="F308" s="265" t="s">
        <v>94</v>
      </c>
      <c r="G308" s="236">
        <f t="shared" ref="G308" si="351">A308*C308*D308</f>
        <v>1.728E-2</v>
      </c>
      <c r="H308" s="235"/>
      <c r="I308" s="235"/>
      <c r="J308" s="234"/>
      <c r="K308" s="234"/>
      <c r="L308" s="233"/>
      <c r="M308" s="233"/>
      <c r="N308" s="232"/>
      <c r="O308" s="231"/>
    </row>
    <row r="309" spans="1:76" s="230" customFormat="1" ht="6.75" customHeight="1" x14ac:dyDescent="0.25">
      <c r="A309" s="362">
        <f t="shared" si="345"/>
        <v>9.5999999999999992E-3</v>
      </c>
      <c r="B309" s="276"/>
      <c r="C309" s="275">
        <f>5.29+0.745+3.515</f>
        <v>9.5500000000000007</v>
      </c>
      <c r="D309" s="541">
        <v>1</v>
      </c>
      <c r="E309" s="238" t="s">
        <v>359</v>
      </c>
      <c r="F309" s="265" t="s">
        <v>94</v>
      </c>
      <c r="G309" s="236">
        <f>A309*C309*D309</f>
        <v>9.1679999999999998E-2</v>
      </c>
      <c r="H309" s="235"/>
      <c r="I309" s="235"/>
      <c r="J309" s="234"/>
      <c r="K309" s="234"/>
      <c r="L309" s="233"/>
      <c r="M309" s="233"/>
      <c r="N309" s="232"/>
      <c r="O309" s="231"/>
    </row>
    <row r="310" spans="1:76" s="230" customFormat="1" ht="6.75" customHeight="1" x14ac:dyDescent="0.25">
      <c r="A310" s="362">
        <f t="shared" si="345"/>
        <v>9.5999999999999992E-3</v>
      </c>
      <c r="B310" s="276"/>
      <c r="C310" s="275">
        <v>0.78</v>
      </c>
      <c r="D310" s="541">
        <v>2</v>
      </c>
      <c r="E310" s="238" t="s">
        <v>360</v>
      </c>
      <c r="F310" s="265" t="s">
        <v>94</v>
      </c>
      <c r="G310" s="236">
        <f t="shared" ref="G310:G311" si="352">A310*C310*D310</f>
        <v>1.4976E-2</v>
      </c>
      <c r="H310" s="235"/>
      <c r="I310" s="235"/>
      <c r="J310" s="234"/>
      <c r="K310" s="234"/>
      <c r="L310" s="233"/>
      <c r="M310" s="233"/>
      <c r="N310" s="232"/>
      <c r="O310" s="231"/>
    </row>
    <row r="311" spans="1:76" s="230" customFormat="1" ht="6.75" customHeight="1" x14ac:dyDescent="0.25">
      <c r="A311" s="362">
        <f t="shared" si="345"/>
        <v>9.5999999999999992E-3</v>
      </c>
      <c r="B311" s="276"/>
      <c r="C311" s="275">
        <v>1.1499999999999999</v>
      </c>
      <c r="D311" s="541">
        <v>2</v>
      </c>
      <c r="E311" s="238" t="s">
        <v>361</v>
      </c>
      <c r="F311" s="265" t="s">
        <v>94</v>
      </c>
      <c r="G311" s="236">
        <f t="shared" si="352"/>
        <v>2.2079999999999995E-2</v>
      </c>
      <c r="H311" s="235"/>
      <c r="I311" s="235"/>
      <c r="J311" s="234"/>
      <c r="K311" s="234"/>
      <c r="L311" s="233"/>
      <c r="M311" s="233"/>
      <c r="N311" s="232"/>
      <c r="O311" s="231"/>
    </row>
    <row r="312" spans="1:76" s="230" customFormat="1" ht="6.75" customHeight="1" x14ac:dyDescent="0.25">
      <c r="A312" s="362">
        <f t="shared" si="345"/>
        <v>9.5999999999999992E-3</v>
      </c>
      <c r="B312" s="276"/>
      <c r="C312" s="275">
        <v>1.03</v>
      </c>
      <c r="D312" s="541">
        <v>1</v>
      </c>
      <c r="E312" s="238" t="s">
        <v>362</v>
      </c>
      <c r="F312" s="265" t="s">
        <v>94</v>
      </c>
      <c r="G312" s="236">
        <f t="shared" ref="G312:G313" si="353">A312*C312*D312</f>
        <v>9.8879999999999992E-3</v>
      </c>
      <c r="H312" s="235"/>
      <c r="I312" s="235"/>
      <c r="J312" s="234"/>
      <c r="K312" s="234"/>
      <c r="L312" s="233"/>
      <c r="M312" s="233"/>
      <c r="N312" s="232"/>
      <c r="O312" s="231"/>
    </row>
    <row r="313" spans="1:76" s="230" customFormat="1" ht="6.75" customHeight="1" x14ac:dyDescent="0.25">
      <c r="A313" s="362">
        <f>0.12*0.04</f>
        <v>4.7999999999999996E-3</v>
      </c>
      <c r="B313" s="276"/>
      <c r="C313" s="275">
        <v>4.9359999999999999</v>
      </c>
      <c r="D313" s="541">
        <v>1</v>
      </c>
      <c r="E313" s="238" t="s">
        <v>363</v>
      </c>
      <c r="F313" s="265" t="s">
        <v>94</v>
      </c>
      <c r="G313" s="236">
        <f t="shared" si="353"/>
        <v>2.3692799999999997E-2</v>
      </c>
      <c r="H313" s="235"/>
      <c r="I313" s="235"/>
      <c r="J313" s="234"/>
      <c r="K313" s="234"/>
      <c r="L313" s="233"/>
      <c r="M313" s="233"/>
      <c r="N313" s="232"/>
      <c r="O313" s="231"/>
    </row>
    <row r="314" spans="1:76" s="230" customFormat="1" ht="6.75" customHeight="1" x14ac:dyDescent="0.25">
      <c r="A314" s="362">
        <f>0.16*0.06</f>
        <v>9.5999999999999992E-3</v>
      </c>
      <c r="B314" s="276"/>
      <c r="C314" s="275">
        <v>2.5099999999999998</v>
      </c>
      <c r="D314" s="541">
        <v>10</v>
      </c>
      <c r="E314" s="238" t="s">
        <v>364</v>
      </c>
      <c r="F314" s="265" t="s">
        <v>94</v>
      </c>
      <c r="G314" s="236">
        <f t="shared" ref="G314:G315" si="354">A314*C314*D314</f>
        <v>0.24095999999999995</v>
      </c>
      <c r="H314" s="235"/>
      <c r="I314" s="235"/>
      <c r="J314" s="234"/>
      <c r="K314" s="234"/>
      <c r="L314" s="233"/>
      <c r="M314" s="233"/>
      <c r="N314" s="232"/>
      <c r="O314" s="231"/>
    </row>
    <row r="315" spans="1:76" s="230" customFormat="1" ht="6.75" customHeight="1" x14ac:dyDescent="0.25">
      <c r="A315" s="362">
        <f>0.16*0.06</f>
        <v>9.5999999999999992E-3</v>
      </c>
      <c r="B315" s="276"/>
      <c r="C315" s="275">
        <v>2.4900000000000002</v>
      </c>
      <c r="D315" s="541">
        <v>2</v>
      </c>
      <c r="E315" s="238" t="s">
        <v>365</v>
      </c>
      <c r="F315" s="265" t="s">
        <v>94</v>
      </c>
      <c r="G315" s="236">
        <f t="shared" si="354"/>
        <v>4.7808000000000003E-2</v>
      </c>
      <c r="H315" s="235"/>
      <c r="I315" s="235"/>
      <c r="J315" s="234"/>
      <c r="K315" s="234"/>
      <c r="L315" s="233"/>
      <c r="M315" s="233"/>
      <c r="N315" s="232"/>
      <c r="O315" s="231"/>
    </row>
    <row r="316" spans="1:76" s="230" customFormat="1" ht="6.75" customHeight="1" x14ac:dyDescent="0.25">
      <c r="A316" s="362">
        <f>0.16*0.06</f>
        <v>9.5999999999999992E-3</v>
      </c>
      <c r="B316" s="276"/>
      <c r="C316" s="275">
        <v>2.33</v>
      </c>
      <c r="D316" s="541">
        <v>4</v>
      </c>
      <c r="E316" s="238" t="s">
        <v>366</v>
      </c>
      <c r="F316" s="265" t="s">
        <v>94</v>
      </c>
      <c r="G316" s="236">
        <f t="shared" ref="G316" si="355">A316*C316*D316</f>
        <v>8.9471999999999996E-2</v>
      </c>
      <c r="H316" s="235"/>
      <c r="I316" s="235"/>
      <c r="J316" s="234"/>
      <c r="K316" s="234"/>
      <c r="L316" s="233"/>
      <c r="M316" s="233"/>
      <c r="N316" s="232"/>
      <c r="O316" s="231"/>
    </row>
    <row r="317" spans="1:76" s="230" customFormat="1" ht="6.75" customHeight="1" x14ac:dyDescent="0.25">
      <c r="A317" s="362">
        <f>0.16*0.06</f>
        <v>9.5999999999999992E-3</v>
      </c>
      <c r="B317" s="276"/>
      <c r="C317" s="275">
        <v>0.3</v>
      </c>
      <c r="D317" s="541">
        <v>6</v>
      </c>
      <c r="E317" s="238" t="s">
        <v>367</v>
      </c>
      <c r="F317" s="265" t="s">
        <v>94</v>
      </c>
      <c r="G317" s="236">
        <f t="shared" ref="G317" si="356">A317*C317*D317</f>
        <v>1.7279999999999997E-2</v>
      </c>
      <c r="H317" s="235"/>
      <c r="I317" s="235"/>
      <c r="J317" s="234"/>
      <c r="K317" s="234"/>
      <c r="L317" s="233"/>
      <c r="M317" s="233"/>
      <c r="N317" s="232"/>
      <c r="O317" s="231"/>
    </row>
    <row r="318" spans="1:76" s="230" customFormat="1" ht="6.75" customHeight="1" x14ac:dyDescent="0.25">
      <c r="A318" s="362">
        <f>0.16*0.06</f>
        <v>9.5999999999999992E-3</v>
      </c>
      <c r="B318" s="276"/>
      <c r="C318" s="275">
        <v>0.85499999999999998</v>
      </c>
      <c r="D318" s="541">
        <v>3</v>
      </c>
      <c r="E318" s="238" t="s">
        <v>368</v>
      </c>
      <c r="F318" s="265" t="s">
        <v>94</v>
      </c>
      <c r="G318" s="236">
        <f t="shared" ref="G318" si="357">A318*C318*D318</f>
        <v>2.4623999999999993E-2</v>
      </c>
      <c r="H318" s="235"/>
      <c r="I318" s="235"/>
      <c r="J318" s="234"/>
      <c r="K318" s="234"/>
      <c r="L318" s="233"/>
      <c r="M318" s="233"/>
      <c r="N318" s="232"/>
      <c r="O318" s="231"/>
    </row>
    <row r="319" spans="1:76" s="230" customFormat="1" ht="6.75" customHeight="1" x14ac:dyDescent="0.25">
      <c r="A319" s="361">
        <f>SUM(G286:G318)</f>
        <v>3.5531615999999997</v>
      </c>
      <c r="B319" s="542"/>
      <c r="C319" s="277"/>
      <c r="D319" s="543">
        <v>0.11</v>
      </c>
      <c r="E319" s="238" t="s">
        <v>320</v>
      </c>
      <c r="F319" s="237" t="s">
        <v>94</v>
      </c>
      <c r="G319" s="236">
        <f>D319*A319</f>
        <v>0.39084777599999998</v>
      </c>
      <c r="H319" s="235"/>
      <c r="I319" s="235"/>
      <c r="J319" s="234"/>
      <c r="K319" s="234"/>
      <c r="L319" s="233"/>
      <c r="M319" s="233"/>
      <c r="N319" s="232"/>
      <c r="O319" s="231"/>
    </row>
    <row r="320" spans="1:76" s="268" customFormat="1" x14ac:dyDescent="0.2">
      <c r="A320" s="251">
        <f>A283+1</f>
        <v>59</v>
      </c>
      <c r="B320" s="250" t="s">
        <v>43</v>
      </c>
      <c r="C320" s="249" t="s">
        <v>330</v>
      </c>
      <c r="D320" s="248" t="s">
        <v>331</v>
      </c>
      <c r="E320" s="248"/>
      <c r="F320" s="247" t="s">
        <v>332</v>
      </c>
      <c r="G320" s="246">
        <f>SUM(G321:G321)</f>
        <v>84.387825000000007</v>
      </c>
      <c r="H320" s="245"/>
      <c r="I320" s="244" t="s">
        <v>95</v>
      </c>
      <c r="J320" s="233">
        <f>G320*AO320</f>
        <v>0</v>
      </c>
      <c r="K320" s="243">
        <f>G320*AP320</f>
        <v>0</v>
      </c>
      <c r="L320" s="242">
        <f>G320*H320</f>
        <v>0</v>
      </c>
      <c r="M320" s="233">
        <f>L320*(1+BW320/100)</f>
        <v>0</v>
      </c>
      <c r="N320" s="241">
        <v>0</v>
      </c>
      <c r="O320" s="240">
        <f>G320*N320</f>
        <v>0</v>
      </c>
      <c r="P320" s="213" t="s">
        <v>769</v>
      </c>
      <c r="Z320" s="268">
        <f>IF(AQ320="5",BJ320,0)</f>
        <v>0</v>
      </c>
      <c r="AB320" s="268">
        <f>IF(AQ320="1",BH320,0)</f>
        <v>0</v>
      </c>
      <c r="AC320" s="268">
        <f>IF(AQ320="1",BI320,0)</f>
        <v>0</v>
      </c>
      <c r="AD320" s="268">
        <f>IF(AQ320="7",BH320,0)</f>
        <v>0</v>
      </c>
      <c r="AE320" s="268">
        <f>IF(AQ320="7",BI320,0)</f>
        <v>0</v>
      </c>
      <c r="AF320" s="268">
        <f>IF(AQ320="2",BH320,0)</f>
        <v>0</v>
      </c>
      <c r="AG320" s="268">
        <f>IF(AQ320="2",BI320,0)</f>
        <v>0</v>
      </c>
      <c r="AH320" s="268">
        <f>IF(AQ320="0",BJ320,0)</f>
        <v>0</v>
      </c>
      <c r="AI320" s="268" t="s">
        <v>43</v>
      </c>
      <c r="AJ320" s="268">
        <f>IF(AN320=0,L320,0)</f>
        <v>0</v>
      </c>
      <c r="AK320" s="268">
        <f>IF(AN320=12,L320,0)</f>
        <v>0</v>
      </c>
      <c r="AL320" s="268">
        <f>IF(AN320=21,L320,0)</f>
        <v>0</v>
      </c>
      <c r="AN320" s="268">
        <v>12</v>
      </c>
      <c r="AO320" s="268">
        <f>H320*0</f>
        <v>0</v>
      </c>
      <c r="AP320" s="268">
        <f>H320*(1-0)</f>
        <v>0</v>
      </c>
      <c r="AQ320" s="268" t="s">
        <v>93</v>
      </c>
      <c r="AV320" s="268">
        <f>AW320+AX320</f>
        <v>0</v>
      </c>
      <c r="AW320" s="268">
        <f>G320*AO320</f>
        <v>0</v>
      </c>
      <c r="AX320" s="268">
        <f>G320*AP320</f>
        <v>0</v>
      </c>
      <c r="AY320" s="268" t="s">
        <v>327</v>
      </c>
      <c r="AZ320" s="268" t="s">
        <v>267</v>
      </c>
      <c r="BA320" s="268" t="s">
        <v>85</v>
      </c>
      <c r="BC320" s="268">
        <f>AW320+AX320</f>
        <v>0</v>
      </c>
      <c r="BD320" s="268">
        <f>H320/(100-BE320)*100</f>
        <v>0</v>
      </c>
      <c r="BE320" s="268">
        <v>0</v>
      </c>
      <c r="BF320" s="268">
        <f>O320</f>
        <v>0</v>
      </c>
      <c r="BH320" s="268">
        <f>G320*AO320</f>
        <v>0</v>
      </c>
      <c r="BI320" s="268">
        <f>G320*AP320</f>
        <v>0</v>
      </c>
      <c r="BJ320" s="268">
        <f>G320*H320</f>
        <v>0</v>
      </c>
      <c r="BL320" s="268">
        <v>763</v>
      </c>
      <c r="BW320" s="268" t="str">
        <f>I320</f>
        <v>12</v>
      </c>
      <c r="BX320" s="268" t="s">
        <v>331</v>
      </c>
    </row>
    <row r="321" spans="1:76" s="230" customFormat="1" ht="6.75" customHeight="1" x14ac:dyDescent="0.25">
      <c r="A321" s="361">
        <f>G283+G250</f>
        <v>375.05700000000002</v>
      </c>
      <c r="B321" s="276"/>
      <c r="C321" s="275" t="s">
        <v>90</v>
      </c>
      <c r="D321" s="541">
        <f>0.225</f>
        <v>0.22500000000000001</v>
      </c>
      <c r="E321" s="238" t="s">
        <v>374</v>
      </c>
      <c r="F321" s="265" t="s">
        <v>332</v>
      </c>
      <c r="G321" s="236">
        <f>D321*A321</f>
        <v>84.387825000000007</v>
      </c>
      <c r="H321" s="235"/>
      <c r="I321" s="235"/>
      <c r="J321" s="234"/>
      <c r="K321" s="234"/>
      <c r="L321" s="233"/>
      <c r="M321" s="233"/>
      <c r="N321" s="232"/>
      <c r="O321" s="231"/>
    </row>
    <row r="322" spans="1:76" s="268" customFormat="1" x14ac:dyDescent="0.2">
      <c r="A322" s="251">
        <f>A320+1</f>
        <v>60</v>
      </c>
      <c r="B322" s="250" t="s">
        <v>43</v>
      </c>
      <c r="C322" s="249" t="s">
        <v>371</v>
      </c>
      <c r="D322" s="248" t="s">
        <v>372</v>
      </c>
      <c r="E322" s="248"/>
      <c r="F322" s="247" t="s">
        <v>332</v>
      </c>
      <c r="G322" s="246">
        <f>SUM(G323:G324)</f>
        <v>93.670485750000012</v>
      </c>
      <c r="H322" s="245"/>
      <c r="I322" s="244" t="s">
        <v>95</v>
      </c>
      <c r="J322" s="233">
        <f t="shared" ref="J322" si="358">G322*AO322</f>
        <v>0</v>
      </c>
      <c r="K322" s="243">
        <f t="shared" ref="K322" si="359">G322*AP322</f>
        <v>0</v>
      </c>
      <c r="L322" s="242">
        <f t="shared" ref="L322" si="360">G322*H322</f>
        <v>0</v>
      </c>
      <c r="M322" s="233">
        <f t="shared" ref="M322" si="361">L322*(1+BW322/100)</f>
        <v>0</v>
      </c>
      <c r="N322" s="241">
        <v>1E-3</v>
      </c>
      <c r="O322" s="240">
        <f t="shared" ref="O322" si="362">G322*N322</f>
        <v>9.3670485750000018E-2</v>
      </c>
      <c r="P322" s="213" t="s">
        <v>769</v>
      </c>
      <c r="Z322" s="268">
        <f t="shared" ref="Z322" si="363">IF(AQ322="5",BJ322,0)</f>
        <v>0</v>
      </c>
      <c r="AB322" s="268">
        <f t="shared" ref="AB322" si="364">IF(AQ322="1",BH322,0)</f>
        <v>0</v>
      </c>
      <c r="AC322" s="268">
        <f t="shared" ref="AC322" si="365">IF(AQ322="1",BI322,0)</f>
        <v>0</v>
      </c>
      <c r="AD322" s="268">
        <f t="shared" ref="AD322" si="366">IF(AQ322="7",BH322,0)</f>
        <v>0</v>
      </c>
      <c r="AE322" s="268">
        <f t="shared" ref="AE322" si="367">IF(AQ322="7",BI322,0)</f>
        <v>0</v>
      </c>
      <c r="AF322" s="268">
        <f t="shared" ref="AF322" si="368">IF(AQ322="2",BH322,0)</f>
        <v>0</v>
      </c>
      <c r="AG322" s="268">
        <f t="shared" ref="AG322" si="369">IF(AQ322="2",BI322,0)</f>
        <v>0</v>
      </c>
      <c r="AH322" s="268">
        <f t="shared" ref="AH322" si="370">IF(AQ322="0",BJ322,0)</f>
        <v>0</v>
      </c>
      <c r="AI322" s="268" t="s">
        <v>43</v>
      </c>
      <c r="AJ322" s="268">
        <f t="shared" ref="AJ322" si="371">IF(AN322=0,L322,0)</f>
        <v>0</v>
      </c>
      <c r="AK322" s="268">
        <f t="shared" ref="AK322" si="372">IF(AN322=12,L322,0)</f>
        <v>0</v>
      </c>
      <c r="AL322" s="268">
        <f t="shared" ref="AL322" si="373">IF(AN322=21,L322,0)</f>
        <v>0</v>
      </c>
      <c r="AN322" s="268">
        <v>12</v>
      </c>
      <c r="AO322" s="268">
        <f t="shared" ref="AO322" si="374">H322*1</f>
        <v>0</v>
      </c>
      <c r="AP322" s="268">
        <f t="shared" ref="AP322" si="375">H322*(1-1)</f>
        <v>0</v>
      </c>
      <c r="AQ322" s="268" t="s">
        <v>93</v>
      </c>
      <c r="AV322" s="268">
        <f t="shared" ref="AV322" si="376">AW322+AX322</f>
        <v>0</v>
      </c>
      <c r="AW322" s="268">
        <f t="shared" ref="AW322" si="377">G322*AO322</f>
        <v>0</v>
      </c>
      <c r="AX322" s="268">
        <f t="shared" ref="AX322" si="378">G322*AP322</f>
        <v>0</v>
      </c>
      <c r="AY322" s="268" t="s">
        <v>373</v>
      </c>
      <c r="AZ322" s="268" t="s">
        <v>267</v>
      </c>
      <c r="BA322" s="268" t="s">
        <v>85</v>
      </c>
      <c r="BC322" s="268">
        <f t="shared" ref="BC322" si="379">AW322+AX322</f>
        <v>0</v>
      </c>
      <c r="BD322" s="268">
        <f t="shared" ref="BD322" si="380">H322/(100-BE322)*100</f>
        <v>0</v>
      </c>
      <c r="BE322" s="268">
        <v>0</v>
      </c>
      <c r="BF322" s="268">
        <f t="shared" ref="BF322" si="381">O322</f>
        <v>9.3670485750000018E-2</v>
      </c>
      <c r="BH322" s="268">
        <f t="shared" ref="BH322" si="382">G322*AO322</f>
        <v>0</v>
      </c>
      <c r="BI322" s="268">
        <f t="shared" ref="BI322" si="383">G322*AP322</f>
        <v>0</v>
      </c>
      <c r="BJ322" s="268">
        <f t="shared" ref="BJ322" si="384">G322*H322</f>
        <v>0</v>
      </c>
      <c r="BL322" s="268">
        <v>766</v>
      </c>
      <c r="BW322" s="268" t="str">
        <f t="shared" ref="BW322" si="385">I322</f>
        <v>12</v>
      </c>
      <c r="BX322" s="268" t="s">
        <v>372</v>
      </c>
    </row>
    <row r="323" spans="1:76" s="230" customFormat="1" ht="6.75" customHeight="1" x14ac:dyDescent="0.25">
      <c r="A323" s="362"/>
      <c r="B323" s="276"/>
      <c r="C323" s="275" t="s">
        <v>90</v>
      </c>
      <c r="D323" s="541"/>
      <c r="E323" s="238" t="str">
        <f>D320</f>
        <v>Montáž spoj.prostředků ocelových,kotevních želez</v>
      </c>
      <c r="F323" s="265" t="s">
        <v>332</v>
      </c>
      <c r="G323" s="236">
        <f>G320</f>
        <v>84.387825000000007</v>
      </c>
      <c r="H323" s="235"/>
      <c r="I323" s="235"/>
      <c r="J323" s="234"/>
      <c r="K323" s="234"/>
      <c r="L323" s="233"/>
      <c r="M323" s="233"/>
      <c r="N323" s="232"/>
      <c r="O323" s="231"/>
    </row>
    <row r="324" spans="1:76" s="230" customFormat="1" ht="6.75" customHeight="1" x14ac:dyDescent="0.25">
      <c r="A324" s="361">
        <f>SUM(G323:G323)</f>
        <v>84.387825000000007</v>
      </c>
      <c r="B324" s="542"/>
      <c r="C324" s="277"/>
      <c r="D324" s="543">
        <v>0.11</v>
      </c>
      <c r="E324" s="238" t="s">
        <v>320</v>
      </c>
      <c r="F324" s="265" t="s">
        <v>332</v>
      </c>
      <c r="G324" s="236">
        <f>D324*A324</f>
        <v>9.2826607500000016</v>
      </c>
      <c r="H324" s="235"/>
      <c r="I324" s="235"/>
      <c r="J324" s="234"/>
      <c r="K324" s="234"/>
      <c r="L324" s="233"/>
      <c r="M324" s="233"/>
      <c r="N324" s="232"/>
      <c r="O324" s="231"/>
    </row>
    <row r="325" spans="1:76" s="268" customFormat="1" x14ac:dyDescent="0.2">
      <c r="A325" s="251">
        <f>A322+1</f>
        <v>61</v>
      </c>
      <c r="B325" s="250" t="s">
        <v>43</v>
      </c>
      <c r="C325" s="249" t="s">
        <v>430</v>
      </c>
      <c r="D325" s="248" t="s">
        <v>431</v>
      </c>
      <c r="E325" s="248"/>
      <c r="F325" s="247" t="s">
        <v>92</v>
      </c>
      <c r="G325" s="246">
        <f>SUM(G326:G326)</f>
        <v>43.897499999999994</v>
      </c>
      <c r="H325" s="245"/>
      <c r="I325" s="244" t="s">
        <v>95</v>
      </c>
      <c r="J325" s="233">
        <f t="shared" ref="J325" si="386">G325*AO325</f>
        <v>0</v>
      </c>
      <c r="K325" s="243">
        <f t="shared" ref="K325" si="387">G325*AP325</f>
        <v>0</v>
      </c>
      <c r="L325" s="242">
        <f t="shared" ref="L325" si="388">G325*H325</f>
        <v>0</v>
      </c>
      <c r="M325" s="233">
        <f t="shared" ref="M325" si="389">L325*(1+BW325/100)</f>
        <v>0</v>
      </c>
      <c r="N325" s="241">
        <v>1.4630000000000001E-2</v>
      </c>
      <c r="O325" s="240">
        <f t="shared" ref="O325" si="390">G325*N325</f>
        <v>0.64222042499999998</v>
      </c>
      <c r="P325" s="213" t="s">
        <v>769</v>
      </c>
      <c r="Z325" s="268">
        <f t="shared" ref="Z325" si="391">IF(AQ325="5",BJ325,0)</f>
        <v>0</v>
      </c>
      <c r="AB325" s="268">
        <f t="shared" ref="AB325" si="392">IF(AQ325="1",BH325,0)</f>
        <v>0</v>
      </c>
      <c r="AC325" s="268">
        <f t="shared" ref="AC325" si="393">IF(AQ325="1",BI325,0)</f>
        <v>0</v>
      </c>
      <c r="AD325" s="268">
        <f t="shared" ref="AD325" si="394">IF(AQ325="7",BH325,0)</f>
        <v>0</v>
      </c>
      <c r="AE325" s="268">
        <f t="shared" ref="AE325" si="395">IF(AQ325="7",BI325,0)</f>
        <v>0</v>
      </c>
      <c r="AF325" s="268">
        <f t="shared" ref="AF325" si="396">IF(AQ325="2",BH325,0)</f>
        <v>0</v>
      </c>
      <c r="AG325" s="268">
        <f t="shared" ref="AG325" si="397">IF(AQ325="2",BI325,0)</f>
        <v>0</v>
      </c>
      <c r="AH325" s="268">
        <f t="shared" ref="AH325" si="398">IF(AQ325="0",BJ325,0)</f>
        <v>0</v>
      </c>
      <c r="AI325" s="268" t="s">
        <v>43</v>
      </c>
      <c r="AJ325" s="268">
        <f t="shared" ref="AJ325" si="399">IF(AN325=0,L325,0)</f>
        <v>0</v>
      </c>
      <c r="AK325" s="268">
        <f t="shared" ref="AK325" si="400">IF(AN325=12,L325,0)</f>
        <v>0</v>
      </c>
      <c r="AL325" s="268">
        <f t="shared" ref="AL325" si="401">IF(AN325=21,L325,0)</f>
        <v>0</v>
      </c>
      <c r="AN325" s="268">
        <v>12</v>
      </c>
      <c r="AO325" s="268">
        <f>H325*0.711878149</f>
        <v>0</v>
      </c>
      <c r="AP325" s="268">
        <f>H325*(1-0.711878149)</f>
        <v>0</v>
      </c>
      <c r="AQ325" s="268" t="s">
        <v>93</v>
      </c>
      <c r="AV325" s="268">
        <f t="shared" ref="AV325" si="402">AW325+AX325</f>
        <v>0</v>
      </c>
      <c r="AW325" s="268">
        <f t="shared" ref="AW325" si="403">G325*AO325</f>
        <v>0</v>
      </c>
      <c r="AX325" s="268">
        <f t="shared" ref="AX325" si="404">G325*AP325</f>
        <v>0</v>
      </c>
      <c r="AY325" s="268" t="s">
        <v>327</v>
      </c>
      <c r="AZ325" s="268" t="s">
        <v>267</v>
      </c>
      <c r="BA325" s="268" t="s">
        <v>85</v>
      </c>
      <c r="BC325" s="268">
        <f t="shared" ref="BC325" si="405">AW325+AX325</f>
        <v>0</v>
      </c>
      <c r="BD325" s="268">
        <f t="shared" ref="BD325" si="406">H325/(100-BE325)*100</f>
        <v>0</v>
      </c>
      <c r="BE325" s="268">
        <v>0</v>
      </c>
      <c r="BF325" s="268">
        <f t="shared" ref="BF325" si="407">O325</f>
        <v>0.64222042499999998</v>
      </c>
      <c r="BH325" s="268">
        <f t="shared" ref="BH325" si="408">G325*AO325</f>
        <v>0</v>
      </c>
      <c r="BI325" s="268">
        <f t="shared" ref="BI325" si="409">G325*AP325</f>
        <v>0</v>
      </c>
      <c r="BJ325" s="268">
        <f t="shared" ref="BJ325" si="410">G325*H325</f>
        <v>0</v>
      </c>
      <c r="BL325" s="268">
        <v>763</v>
      </c>
      <c r="BW325" s="268" t="str">
        <f t="shared" ref="BW325" si="411">I325</f>
        <v>12</v>
      </c>
      <c r="BX325" s="268" t="s">
        <v>431</v>
      </c>
    </row>
    <row r="326" spans="1:76" s="230" customFormat="1" ht="6.75" customHeight="1" x14ac:dyDescent="0.25">
      <c r="A326" s="361"/>
      <c r="B326" s="276"/>
      <c r="C326" s="275">
        <f>7.63+0.125+2</f>
        <v>9.754999999999999</v>
      </c>
      <c r="D326" s="541">
        <v>4.5</v>
      </c>
      <c r="E326" s="238" t="s">
        <v>452</v>
      </c>
      <c r="F326" s="265" t="s">
        <v>92</v>
      </c>
      <c r="G326" s="236">
        <f>D326*C326</f>
        <v>43.897499999999994</v>
      </c>
      <c r="H326" s="235"/>
      <c r="I326" s="235"/>
      <c r="J326" s="234"/>
      <c r="K326" s="234"/>
      <c r="L326" s="233"/>
      <c r="M326" s="233"/>
      <c r="N326" s="232"/>
      <c r="O326" s="231"/>
    </row>
    <row r="327" spans="1:76" s="268" customFormat="1" x14ac:dyDescent="0.2">
      <c r="A327" s="251">
        <f>A325+1</f>
        <v>62</v>
      </c>
      <c r="B327" s="250" t="s">
        <v>43</v>
      </c>
      <c r="C327" s="249" t="s">
        <v>333</v>
      </c>
      <c r="D327" s="248" t="s">
        <v>334</v>
      </c>
      <c r="E327" s="248"/>
      <c r="F327" s="247" t="s">
        <v>82</v>
      </c>
      <c r="G327" s="246">
        <f>O249</f>
        <v>3.2118295187500001</v>
      </c>
      <c r="H327" s="245"/>
      <c r="I327" s="244" t="s">
        <v>95</v>
      </c>
      <c r="J327" s="233">
        <f>G327*AO327</f>
        <v>0</v>
      </c>
      <c r="K327" s="243">
        <f>G327*AP327</f>
        <v>0</v>
      </c>
      <c r="L327" s="242">
        <f>G327*H327</f>
        <v>0</v>
      </c>
      <c r="M327" s="233">
        <f>L327*(1+BW327/100)</f>
        <v>0</v>
      </c>
      <c r="N327" s="241">
        <v>0</v>
      </c>
      <c r="O327" s="240">
        <v>0</v>
      </c>
      <c r="P327" s="213" t="s">
        <v>769</v>
      </c>
      <c r="Z327" s="268">
        <f>IF(AQ327="5",BJ327,0)</f>
        <v>0</v>
      </c>
      <c r="AB327" s="268">
        <f>IF(AQ327="1",BH327,0)</f>
        <v>0</v>
      </c>
      <c r="AC327" s="268">
        <f>IF(AQ327="1",BI327,0)</f>
        <v>0</v>
      </c>
      <c r="AD327" s="268">
        <f>IF(AQ327="7",BH327,0)</f>
        <v>0</v>
      </c>
      <c r="AE327" s="268">
        <f>IF(AQ327="7",BI327,0)</f>
        <v>0</v>
      </c>
      <c r="AF327" s="268">
        <f>IF(AQ327="2",BH327,0)</f>
        <v>0</v>
      </c>
      <c r="AG327" s="268">
        <f>IF(AQ327="2",BI327,0)</f>
        <v>0</v>
      </c>
      <c r="AH327" s="268">
        <f>IF(AQ327="0",BJ327,0)</f>
        <v>0</v>
      </c>
      <c r="AI327" s="268" t="s">
        <v>43</v>
      </c>
      <c r="AJ327" s="268">
        <f>IF(AN327=0,L327,0)</f>
        <v>0</v>
      </c>
      <c r="AK327" s="268">
        <f>IF(AN327=12,L327,0)</f>
        <v>0</v>
      </c>
      <c r="AL327" s="268">
        <f>IF(AN327=21,L327,0)</f>
        <v>0</v>
      </c>
      <c r="AN327" s="268">
        <v>12</v>
      </c>
      <c r="AO327" s="268">
        <f>H327*0</f>
        <v>0</v>
      </c>
      <c r="AP327" s="268">
        <f>H327*(1-0)</f>
        <v>0</v>
      </c>
      <c r="AQ327" s="268" t="s">
        <v>88</v>
      </c>
      <c r="AV327" s="268">
        <f>AW327+AX327</f>
        <v>0</v>
      </c>
      <c r="AW327" s="268">
        <f>G327*AO327</f>
        <v>0</v>
      </c>
      <c r="AX327" s="268">
        <f>G327*AP327</f>
        <v>0</v>
      </c>
      <c r="AY327" s="268" t="s">
        <v>327</v>
      </c>
      <c r="AZ327" s="268" t="s">
        <v>267</v>
      </c>
      <c r="BA327" s="268" t="s">
        <v>85</v>
      </c>
      <c r="BC327" s="268">
        <f>AW327+AX327</f>
        <v>0</v>
      </c>
      <c r="BD327" s="268">
        <f>H327/(100-BE327)*100</f>
        <v>0</v>
      </c>
      <c r="BE327" s="268">
        <v>0</v>
      </c>
      <c r="BF327" s="268">
        <f>O327</f>
        <v>0</v>
      </c>
      <c r="BH327" s="268">
        <f>G327*AO327</f>
        <v>0</v>
      </c>
      <c r="BI327" s="268">
        <f>G327*AP327</f>
        <v>0</v>
      </c>
      <c r="BJ327" s="268">
        <f>G327*H327</f>
        <v>0</v>
      </c>
      <c r="BL327" s="268">
        <v>763</v>
      </c>
      <c r="BW327" s="268" t="str">
        <f>I327</f>
        <v>12</v>
      </c>
      <c r="BX327" s="268" t="s">
        <v>334</v>
      </c>
    </row>
    <row r="328" spans="1:76" x14ac:dyDescent="0.25">
      <c r="A328" s="264" t="s">
        <v>43</v>
      </c>
      <c r="B328" s="263" t="s">
        <v>43</v>
      </c>
      <c r="C328" s="262"/>
      <c r="D328" s="261" t="str">
        <f>'1-Rekapitulace'!B28</f>
        <v>764 : Konstrukce klempířské</v>
      </c>
      <c r="E328" s="261"/>
      <c r="F328" s="260" t="s">
        <v>49</v>
      </c>
      <c r="G328" s="259" t="s">
        <v>49</v>
      </c>
      <c r="H328" s="258"/>
      <c r="I328" s="257" t="s">
        <v>49</v>
      </c>
      <c r="J328" s="256">
        <f>SUM(J329:J363)</f>
        <v>0</v>
      </c>
      <c r="K328" s="256">
        <f>SUM(K329:K363)</f>
        <v>0</v>
      </c>
      <c r="L328" s="255">
        <f>SUM(L329:L363)</f>
        <v>0</v>
      </c>
      <c r="M328" s="254">
        <f>SUM(M329:M363)</f>
        <v>0</v>
      </c>
      <c r="N328" s="253" t="s">
        <v>43</v>
      </c>
      <c r="O328" s="252">
        <f>SUM(O329:O363)</f>
        <v>1.1057607671999998</v>
      </c>
      <c r="P328" s="213" t="s">
        <v>43</v>
      </c>
      <c r="AI328" s="212" t="s">
        <v>43</v>
      </c>
      <c r="AS328" s="212">
        <f>SUM(AJ329:AJ363)</f>
        <v>0</v>
      </c>
      <c r="AT328" s="212">
        <f>SUM(AK329:AK363)</f>
        <v>0</v>
      </c>
      <c r="AU328" s="212">
        <f>SUM(AL329:AL363)</f>
        <v>0</v>
      </c>
    </row>
    <row r="329" spans="1:76" s="268" customFormat="1" x14ac:dyDescent="0.2">
      <c r="A329" s="251">
        <f>A327+1</f>
        <v>63</v>
      </c>
      <c r="B329" s="250" t="s">
        <v>43</v>
      </c>
      <c r="C329" s="249" t="s">
        <v>830</v>
      </c>
      <c r="D329" s="248" t="s">
        <v>831</v>
      </c>
      <c r="E329" s="248"/>
      <c r="F329" s="247" t="s">
        <v>272</v>
      </c>
      <c r="G329" s="246">
        <f>SUM(G330:G330)</f>
        <v>6.24</v>
      </c>
      <c r="H329" s="245"/>
      <c r="I329" s="244" t="s">
        <v>95</v>
      </c>
      <c r="J329" s="233">
        <f t="shared" ref="J329:J363" si="412">G329*AO329</f>
        <v>0</v>
      </c>
      <c r="K329" s="243">
        <f t="shared" ref="K329:K363" si="413">G329*AP329</f>
        <v>0</v>
      </c>
      <c r="L329" s="242">
        <f t="shared" ref="L329:L363" si="414">G329*H329</f>
        <v>0</v>
      </c>
      <c r="M329" s="233">
        <f t="shared" ref="M329:M363" si="415">L329*(1+BW329/100)</f>
        <v>0</v>
      </c>
      <c r="N329" s="241">
        <v>1.2899999999999999E-3</v>
      </c>
      <c r="O329" s="240">
        <f t="shared" ref="O329:O360" si="416">G329*N329</f>
        <v>8.0496000000000005E-3</v>
      </c>
      <c r="P329" s="213" t="s">
        <v>769</v>
      </c>
      <c r="Z329" s="268">
        <f t="shared" ref="Z329:Z363" si="417">IF(AQ329="5",BJ329,0)</f>
        <v>0</v>
      </c>
      <c r="AB329" s="268">
        <f t="shared" ref="AB329:AB363" si="418">IF(AQ329="1",BH329,0)</f>
        <v>0</v>
      </c>
      <c r="AC329" s="268">
        <f t="shared" ref="AC329:AC363" si="419">IF(AQ329="1",BI329,0)</f>
        <v>0</v>
      </c>
      <c r="AD329" s="268">
        <f t="shared" ref="AD329:AD363" si="420">IF(AQ329="7",BH329,0)</f>
        <v>0</v>
      </c>
      <c r="AE329" s="268">
        <f t="shared" ref="AE329:AE363" si="421">IF(AQ329="7",BI329,0)</f>
        <v>0</v>
      </c>
      <c r="AF329" s="268">
        <f t="shared" ref="AF329:AF363" si="422">IF(AQ329="2",BH329,0)</f>
        <v>0</v>
      </c>
      <c r="AG329" s="268">
        <f t="shared" ref="AG329:AG363" si="423">IF(AQ329="2",BI329,0)</f>
        <v>0</v>
      </c>
      <c r="AH329" s="268">
        <f t="shared" ref="AH329:AH363" si="424">IF(AQ329="0",BJ329,0)</f>
        <v>0</v>
      </c>
      <c r="AI329" s="268" t="s">
        <v>43</v>
      </c>
      <c r="AJ329" s="268">
        <f t="shared" ref="AJ329:AJ363" si="425">IF(AN329=0,L329,0)</f>
        <v>0</v>
      </c>
      <c r="AK329" s="268">
        <f t="shared" ref="AK329:AK363" si="426">IF(AN329=12,L329,0)</f>
        <v>0</v>
      </c>
      <c r="AL329" s="268">
        <f t="shared" ref="AL329:AL363" si="427">IF(AN329=21,L329,0)</f>
        <v>0</v>
      </c>
      <c r="AN329" s="268">
        <v>12</v>
      </c>
      <c r="AO329" s="268">
        <f>H329*0.631480791</f>
        <v>0</v>
      </c>
      <c r="AP329" s="268">
        <f>H329*(1-0.631480791)</f>
        <v>0</v>
      </c>
      <c r="AQ329" s="268" t="s">
        <v>93</v>
      </c>
      <c r="AV329" s="268">
        <f t="shared" ref="AV329:AV363" si="428">AW329+AX329</f>
        <v>0</v>
      </c>
      <c r="AW329" s="268">
        <f t="shared" ref="AW329:AW363" si="429">G329*AO329</f>
        <v>0</v>
      </c>
      <c r="AX329" s="268">
        <f t="shared" ref="AX329:AX363" si="430">G329*AP329</f>
        <v>0</v>
      </c>
      <c r="AY329" s="268" t="s">
        <v>832</v>
      </c>
      <c r="AZ329" s="268" t="s">
        <v>267</v>
      </c>
      <c r="BA329" s="268" t="s">
        <v>85</v>
      </c>
      <c r="BC329" s="268">
        <f t="shared" ref="BC329:BC363" si="431">AW329+AX329</f>
        <v>0</v>
      </c>
      <c r="BD329" s="268">
        <f t="shared" ref="BD329:BD363" si="432">H329/(100-BE329)*100</f>
        <v>0</v>
      </c>
      <c r="BE329" s="268">
        <v>0</v>
      </c>
      <c r="BF329" s="268">
        <f t="shared" ref="BF329:BF363" si="433">O329</f>
        <v>8.0496000000000005E-3</v>
      </c>
      <c r="BH329" s="268">
        <f t="shared" ref="BH329:BH363" si="434">G329*AO329</f>
        <v>0</v>
      </c>
      <c r="BI329" s="268">
        <f t="shared" ref="BI329:BI363" si="435">G329*AP329</f>
        <v>0</v>
      </c>
      <c r="BJ329" s="268">
        <f t="shared" ref="BJ329:BJ363" si="436">G329*H329</f>
        <v>0</v>
      </c>
      <c r="BL329" s="268">
        <v>764</v>
      </c>
      <c r="BW329" s="268" t="str">
        <f t="shared" ref="BW329:BW363" si="437">I329</f>
        <v>12</v>
      </c>
      <c r="BX329" s="268" t="s">
        <v>831</v>
      </c>
    </row>
    <row r="330" spans="1:76" s="230" customFormat="1" ht="6.75" customHeight="1" x14ac:dyDescent="0.25">
      <c r="A330" s="361"/>
      <c r="B330" s="276"/>
      <c r="C330" s="275">
        <v>8</v>
      </c>
      <c r="D330" s="541">
        <f>0.78</f>
        <v>0.78</v>
      </c>
      <c r="E330" s="238" t="s">
        <v>867</v>
      </c>
      <c r="F330" s="265" t="s">
        <v>272</v>
      </c>
      <c r="G330" s="236">
        <f>D330*C330</f>
        <v>6.24</v>
      </c>
      <c r="H330" s="235"/>
      <c r="I330" s="235"/>
      <c r="J330" s="234"/>
      <c r="K330" s="234"/>
      <c r="L330" s="233"/>
      <c r="M330" s="233"/>
      <c r="N330" s="232"/>
      <c r="O330" s="231"/>
    </row>
    <row r="331" spans="1:76" s="268" customFormat="1" x14ac:dyDescent="0.2">
      <c r="A331" s="251">
        <f>A329+1</f>
        <v>64</v>
      </c>
      <c r="B331" s="250" t="s">
        <v>43</v>
      </c>
      <c r="C331" s="249" t="s">
        <v>863</v>
      </c>
      <c r="D331" s="248" t="s">
        <v>864</v>
      </c>
      <c r="E331" s="248"/>
      <c r="F331" s="247" t="s">
        <v>272</v>
      </c>
      <c r="G331" s="246">
        <f>SUM(G332:G332)</f>
        <v>34.9</v>
      </c>
      <c r="H331" s="245"/>
      <c r="I331" s="244" t="s">
        <v>95</v>
      </c>
      <c r="J331" s="233">
        <f t="shared" ref="J331:J333" si="438">G331*AO331</f>
        <v>0</v>
      </c>
      <c r="K331" s="243">
        <f t="shared" ref="K331:K333" si="439">G331*AP331</f>
        <v>0</v>
      </c>
      <c r="L331" s="242">
        <f t="shared" ref="L331:L333" si="440">G331*H331</f>
        <v>0</v>
      </c>
      <c r="M331" s="233">
        <f t="shared" ref="M331:M333" si="441">L331*(1+BW331/100)</f>
        <v>0</v>
      </c>
      <c r="N331" s="241">
        <v>7.6000000000000004E-4</v>
      </c>
      <c r="O331" s="240">
        <f t="shared" ref="O331:O333" si="442">G331*N331</f>
        <v>2.6523999999999999E-2</v>
      </c>
      <c r="P331" s="213" t="s">
        <v>769</v>
      </c>
      <c r="Z331" s="268">
        <f t="shared" ref="Z331:Z333" si="443">IF(AQ331="5",BJ331,0)</f>
        <v>0</v>
      </c>
      <c r="AB331" s="268">
        <f t="shared" ref="AB331:AB333" si="444">IF(AQ331="1",BH331,0)</f>
        <v>0</v>
      </c>
      <c r="AC331" s="268">
        <f t="shared" ref="AC331:AC333" si="445">IF(AQ331="1",BI331,0)</f>
        <v>0</v>
      </c>
      <c r="AD331" s="268">
        <f t="shared" ref="AD331:AD333" si="446">IF(AQ331="7",BH331,0)</f>
        <v>0</v>
      </c>
      <c r="AE331" s="268">
        <f t="shared" ref="AE331:AE333" si="447">IF(AQ331="7",BI331,0)</f>
        <v>0</v>
      </c>
      <c r="AF331" s="268">
        <f t="shared" ref="AF331:AF333" si="448">IF(AQ331="2",BH331,0)</f>
        <v>0</v>
      </c>
      <c r="AG331" s="268">
        <f t="shared" ref="AG331:AG333" si="449">IF(AQ331="2",BI331,0)</f>
        <v>0</v>
      </c>
      <c r="AH331" s="268">
        <f t="shared" ref="AH331:AH333" si="450">IF(AQ331="0",BJ331,0)</f>
        <v>0</v>
      </c>
      <c r="AI331" s="268" t="s">
        <v>43</v>
      </c>
      <c r="AJ331" s="268">
        <f t="shared" ref="AJ331:AJ333" si="451">IF(AN331=0,L331,0)</f>
        <v>0</v>
      </c>
      <c r="AK331" s="268">
        <f t="shared" ref="AK331:AK333" si="452">IF(AN331=12,L331,0)</f>
        <v>0</v>
      </c>
      <c r="AL331" s="268">
        <f t="shared" ref="AL331:AL333" si="453">IF(AN331=21,L331,0)</f>
        <v>0</v>
      </c>
      <c r="AN331" s="268">
        <v>12</v>
      </c>
      <c r="AO331" s="268">
        <f>H331*0.28689013</f>
        <v>0</v>
      </c>
      <c r="AP331" s="268">
        <f>H331*(1-0.28689013)</f>
        <v>0</v>
      </c>
      <c r="AQ331" s="268" t="s">
        <v>93</v>
      </c>
      <c r="AV331" s="268">
        <f t="shared" ref="AV331:AV333" si="454">AW331+AX331</f>
        <v>0</v>
      </c>
      <c r="AW331" s="268">
        <f t="shared" ref="AW331:AW333" si="455">G331*AO331</f>
        <v>0</v>
      </c>
      <c r="AX331" s="268">
        <f t="shared" ref="AX331:AX333" si="456">G331*AP331</f>
        <v>0</v>
      </c>
      <c r="AY331" s="268" t="s">
        <v>832</v>
      </c>
      <c r="AZ331" s="268" t="s">
        <v>267</v>
      </c>
      <c r="BA331" s="268" t="s">
        <v>85</v>
      </c>
      <c r="BC331" s="268">
        <f t="shared" ref="BC331:BC333" si="457">AW331+AX331</f>
        <v>0</v>
      </c>
      <c r="BD331" s="268">
        <f t="shared" ref="BD331:BD333" si="458">H331/(100-BE331)*100</f>
        <v>0</v>
      </c>
      <c r="BE331" s="268">
        <v>0</v>
      </c>
      <c r="BF331" s="268">
        <f t="shared" ref="BF331:BF333" si="459">O331</f>
        <v>2.6523999999999999E-2</v>
      </c>
      <c r="BH331" s="268">
        <f t="shared" ref="BH331:BH333" si="460">G331*AO331</f>
        <v>0</v>
      </c>
      <c r="BI331" s="268">
        <f t="shared" ref="BI331:BI333" si="461">G331*AP331</f>
        <v>0</v>
      </c>
      <c r="BJ331" s="268">
        <f t="shared" ref="BJ331:BJ333" si="462">G331*H331</f>
        <v>0</v>
      </c>
      <c r="BL331" s="268">
        <v>764</v>
      </c>
      <c r="BW331" s="268" t="str">
        <f t="shared" ref="BW331:BW333" si="463">I331</f>
        <v>12</v>
      </c>
      <c r="BX331" s="268" t="s">
        <v>864</v>
      </c>
    </row>
    <row r="332" spans="1:76" s="230" customFormat="1" ht="6.75" customHeight="1" x14ac:dyDescent="0.25">
      <c r="A332" s="361">
        <f>D337</f>
        <v>6.1</v>
      </c>
      <c r="B332" s="276"/>
      <c r="C332" s="275" t="s">
        <v>90</v>
      </c>
      <c r="D332" s="541">
        <f>D336</f>
        <v>11.35</v>
      </c>
      <c r="E332" s="238" t="s">
        <v>868</v>
      </c>
      <c r="F332" s="265" t="s">
        <v>272</v>
      </c>
      <c r="G332" s="236">
        <f>(D332+A332)*2</f>
        <v>34.9</v>
      </c>
      <c r="H332" s="235"/>
      <c r="I332" s="235"/>
      <c r="J332" s="234"/>
      <c r="K332" s="234"/>
      <c r="L332" s="233"/>
      <c r="M332" s="233"/>
      <c r="N332" s="232"/>
      <c r="O332" s="231"/>
    </row>
    <row r="333" spans="1:76" s="268" customFormat="1" x14ac:dyDescent="0.2">
      <c r="A333" s="251">
        <f>A331+1</f>
        <v>65</v>
      </c>
      <c r="B333" s="250" t="s">
        <v>43</v>
      </c>
      <c r="C333" s="249" t="s">
        <v>865</v>
      </c>
      <c r="D333" s="248" t="s">
        <v>866</v>
      </c>
      <c r="E333" s="248"/>
      <c r="F333" s="247" t="s">
        <v>272</v>
      </c>
      <c r="G333" s="246">
        <f>SUM(G334:G334)</f>
        <v>34.9</v>
      </c>
      <c r="H333" s="245"/>
      <c r="I333" s="244" t="s">
        <v>95</v>
      </c>
      <c r="J333" s="233">
        <f t="shared" si="438"/>
        <v>0</v>
      </c>
      <c r="K333" s="243">
        <f t="shared" si="439"/>
        <v>0</v>
      </c>
      <c r="L333" s="242">
        <f t="shared" si="440"/>
        <v>0</v>
      </c>
      <c r="M333" s="233">
        <f t="shared" si="441"/>
        <v>0</v>
      </c>
      <c r="N333" s="241">
        <v>4.2000000000000002E-4</v>
      </c>
      <c r="O333" s="240">
        <f t="shared" si="442"/>
        <v>1.4657999999999999E-2</v>
      </c>
      <c r="P333" s="213" t="s">
        <v>769</v>
      </c>
      <c r="Z333" s="268">
        <f t="shared" si="443"/>
        <v>0</v>
      </c>
      <c r="AB333" s="268">
        <f t="shared" si="444"/>
        <v>0</v>
      </c>
      <c r="AC333" s="268">
        <f t="shared" si="445"/>
        <v>0</v>
      </c>
      <c r="AD333" s="268">
        <f t="shared" si="446"/>
        <v>0</v>
      </c>
      <c r="AE333" s="268">
        <f t="shared" si="447"/>
        <v>0</v>
      </c>
      <c r="AF333" s="268">
        <f t="shared" si="448"/>
        <v>0</v>
      </c>
      <c r="AG333" s="268">
        <f t="shared" si="449"/>
        <v>0</v>
      </c>
      <c r="AH333" s="268">
        <f t="shared" si="450"/>
        <v>0</v>
      </c>
      <c r="AI333" s="268" t="s">
        <v>43</v>
      </c>
      <c r="AJ333" s="268">
        <f t="shared" si="451"/>
        <v>0</v>
      </c>
      <c r="AK333" s="268">
        <f t="shared" si="452"/>
        <v>0</v>
      </c>
      <c r="AL333" s="268">
        <f t="shared" si="453"/>
        <v>0</v>
      </c>
      <c r="AN333" s="268">
        <v>12</v>
      </c>
      <c r="AO333" s="268">
        <f>H333*0.384864865</f>
        <v>0</v>
      </c>
      <c r="AP333" s="268">
        <f>H333*(1-0.384864865)</f>
        <v>0</v>
      </c>
      <c r="AQ333" s="268" t="s">
        <v>93</v>
      </c>
      <c r="AV333" s="268">
        <f t="shared" si="454"/>
        <v>0</v>
      </c>
      <c r="AW333" s="268">
        <f t="shared" si="455"/>
        <v>0</v>
      </c>
      <c r="AX333" s="268">
        <f t="shared" si="456"/>
        <v>0</v>
      </c>
      <c r="AY333" s="268" t="s">
        <v>832</v>
      </c>
      <c r="AZ333" s="268" t="s">
        <v>267</v>
      </c>
      <c r="BA333" s="268" t="s">
        <v>85</v>
      </c>
      <c r="BC333" s="268">
        <f t="shared" si="457"/>
        <v>0</v>
      </c>
      <c r="BD333" s="268">
        <f t="shared" si="458"/>
        <v>0</v>
      </c>
      <c r="BE333" s="268">
        <v>0</v>
      </c>
      <c r="BF333" s="268">
        <f t="shared" si="459"/>
        <v>1.4657999999999999E-2</v>
      </c>
      <c r="BH333" s="268">
        <f t="shared" si="460"/>
        <v>0</v>
      </c>
      <c r="BI333" s="268">
        <f t="shared" si="461"/>
        <v>0</v>
      </c>
      <c r="BJ333" s="268">
        <f t="shared" si="462"/>
        <v>0</v>
      </c>
      <c r="BL333" s="268">
        <v>764</v>
      </c>
      <c r="BW333" s="268" t="str">
        <f t="shared" si="463"/>
        <v>12</v>
      </c>
      <c r="BX333" s="268" t="s">
        <v>866</v>
      </c>
    </row>
    <row r="334" spans="1:76" s="230" customFormat="1" ht="6.75" customHeight="1" x14ac:dyDescent="0.25">
      <c r="A334" s="362"/>
      <c r="B334" s="276"/>
      <c r="C334" s="275" t="s">
        <v>90</v>
      </c>
      <c r="D334" s="541"/>
      <c r="E334" s="238" t="str">
        <f>D331</f>
        <v>Okapnice z lakovaného Pz plechu, rš 125 mm</v>
      </c>
      <c r="F334" s="265" t="s">
        <v>272</v>
      </c>
      <c r="G334" s="236">
        <f>G331</f>
        <v>34.9</v>
      </c>
      <c r="H334" s="235"/>
      <c r="I334" s="235"/>
      <c r="J334" s="234"/>
      <c r="K334" s="234"/>
      <c r="L334" s="233"/>
      <c r="M334" s="233"/>
      <c r="N334" s="232"/>
      <c r="O334" s="231"/>
    </row>
    <row r="335" spans="1:76" s="268" customFormat="1" x14ac:dyDescent="0.2">
      <c r="A335" s="251">
        <f t="shared" ref="A335" si="464">A333+1</f>
        <v>66</v>
      </c>
      <c r="B335" s="250" t="s">
        <v>43</v>
      </c>
      <c r="C335" s="249" t="s">
        <v>833</v>
      </c>
      <c r="D335" s="248" t="s">
        <v>834</v>
      </c>
      <c r="E335" s="248"/>
      <c r="F335" s="247" t="s">
        <v>272</v>
      </c>
      <c r="G335" s="246">
        <f>SUM(G336:G337)</f>
        <v>34.9</v>
      </c>
      <c r="H335" s="245"/>
      <c r="I335" s="244" t="s">
        <v>95</v>
      </c>
      <c r="J335" s="233">
        <f t="shared" si="412"/>
        <v>0</v>
      </c>
      <c r="K335" s="243">
        <f t="shared" si="413"/>
        <v>0</v>
      </c>
      <c r="L335" s="242">
        <f t="shared" si="414"/>
        <v>0</v>
      </c>
      <c r="M335" s="233">
        <f t="shared" si="415"/>
        <v>0</v>
      </c>
      <c r="N335" s="241">
        <v>2.3999999999999998E-3</v>
      </c>
      <c r="O335" s="240">
        <f t="shared" si="416"/>
        <v>8.3759999999999987E-2</v>
      </c>
      <c r="P335" s="213" t="s">
        <v>769</v>
      </c>
      <c r="Z335" s="268">
        <f t="shared" si="417"/>
        <v>0</v>
      </c>
      <c r="AB335" s="268">
        <f t="shared" si="418"/>
        <v>0</v>
      </c>
      <c r="AC335" s="268">
        <f t="shared" si="419"/>
        <v>0</v>
      </c>
      <c r="AD335" s="268">
        <f t="shared" si="420"/>
        <v>0</v>
      </c>
      <c r="AE335" s="268">
        <f t="shared" si="421"/>
        <v>0</v>
      </c>
      <c r="AF335" s="268">
        <f t="shared" si="422"/>
        <v>0</v>
      </c>
      <c r="AG335" s="268">
        <f t="shared" si="423"/>
        <v>0</v>
      </c>
      <c r="AH335" s="268">
        <f t="shared" si="424"/>
        <v>0</v>
      </c>
      <c r="AI335" s="268" t="s">
        <v>43</v>
      </c>
      <c r="AJ335" s="268">
        <f t="shared" si="425"/>
        <v>0</v>
      </c>
      <c r="AK335" s="268">
        <f t="shared" si="426"/>
        <v>0</v>
      </c>
      <c r="AL335" s="268">
        <f t="shared" si="427"/>
        <v>0</v>
      </c>
      <c r="AN335" s="268">
        <v>12</v>
      </c>
      <c r="AO335" s="268">
        <f>H335*0.69962775</f>
        <v>0</v>
      </c>
      <c r="AP335" s="268">
        <f>H335*(1-0.69962775)</f>
        <v>0</v>
      </c>
      <c r="AQ335" s="268" t="s">
        <v>93</v>
      </c>
      <c r="AV335" s="268">
        <f t="shared" si="428"/>
        <v>0</v>
      </c>
      <c r="AW335" s="268">
        <f t="shared" si="429"/>
        <v>0</v>
      </c>
      <c r="AX335" s="268">
        <f t="shared" si="430"/>
        <v>0</v>
      </c>
      <c r="AY335" s="268" t="s">
        <v>832</v>
      </c>
      <c r="AZ335" s="268" t="s">
        <v>267</v>
      </c>
      <c r="BA335" s="268" t="s">
        <v>85</v>
      </c>
      <c r="BC335" s="268">
        <f t="shared" si="431"/>
        <v>0</v>
      </c>
      <c r="BD335" s="268">
        <f t="shared" si="432"/>
        <v>0</v>
      </c>
      <c r="BE335" s="268">
        <v>0</v>
      </c>
      <c r="BF335" s="268">
        <f t="shared" si="433"/>
        <v>8.3759999999999987E-2</v>
      </c>
      <c r="BH335" s="268">
        <f t="shared" si="434"/>
        <v>0</v>
      </c>
      <c r="BI335" s="268">
        <f t="shared" si="435"/>
        <v>0</v>
      </c>
      <c r="BJ335" s="268">
        <f t="shared" si="436"/>
        <v>0</v>
      </c>
      <c r="BL335" s="268">
        <v>764</v>
      </c>
      <c r="BW335" s="268" t="str">
        <f t="shared" si="437"/>
        <v>12</v>
      </c>
      <c r="BX335" s="268" t="s">
        <v>834</v>
      </c>
    </row>
    <row r="336" spans="1:76" s="230" customFormat="1" ht="6.75" customHeight="1" x14ac:dyDescent="0.25">
      <c r="A336" s="361">
        <v>2</v>
      </c>
      <c r="B336" s="276"/>
      <c r="C336" s="275" t="s">
        <v>90</v>
      </c>
      <c r="D336" s="541">
        <v>11.35</v>
      </c>
      <c r="E336" s="238" t="s">
        <v>755</v>
      </c>
      <c r="F336" s="265" t="s">
        <v>272</v>
      </c>
      <c r="G336" s="236">
        <f>A336*D336</f>
        <v>22.7</v>
      </c>
      <c r="H336" s="235"/>
      <c r="I336" s="235"/>
      <c r="J336" s="234"/>
      <c r="K336" s="234"/>
      <c r="L336" s="233"/>
      <c r="M336" s="233"/>
      <c r="N336" s="232"/>
      <c r="O336" s="231"/>
    </row>
    <row r="337" spans="1:76" s="230" customFormat="1" ht="6.75" customHeight="1" x14ac:dyDescent="0.25">
      <c r="A337" s="361">
        <v>2</v>
      </c>
      <c r="B337" s="276"/>
      <c r="C337" s="275" t="s">
        <v>90</v>
      </c>
      <c r="D337" s="541">
        <v>6.1</v>
      </c>
      <c r="E337" s="238" t="s">
        <v>756</v>
      </c>
      <c r="F337" s="265" t="s">
        <v>272</v>
      </c>
      <c r="G337" s="236">
        <f>A337*D337</f>
        <v>12.2</v>
      </c>
      <c r="H337" s="235"/>
      <c r="I337" s="235"/>
      <c r="J337" s="234"/>
      <c r="K337" s="234"/>
      <c r="L337" s="233"/>
      <c r="M337" s="233"/>
      <c r="N337" s="232"/>
      <c r="O337" s="231"/>
    </row>
    <row r="338" spans="1:76" s="268" customFormat="1" x14ac:dyDescent="0.2">
      <c r="A338" s="251">
        <f>A335+1</f>
        <v>67</v>
      </c>
      <c r="B338" s="250" t="s">
        <v>43</v>
      </c>
      <c r="C338" s="249" t="s">
        <v>835</v>
      </c>
      <c r="D338" s="248" t="s">
        <v>836</v>
      </c>
      <c r="E338" s="248"/>
      <c r="F338" s="247" t="s">
        <v>272</v>
      </c>
      <c r="G338" s="246">
        <f>SUM(G339:G339)</f>
        <v>5.5</v>
      </c>
      <c r="H338" s="245"/>
      <c r="I338" s="244" t="s">
        <v>95</v>
      </c>
      <c r="J338" s="233">
        <f t="shared" si="412"/>
        <v>0</v>
      </c>
      <c r="K338" s="243">
        <f t="shared" si="413"/>
        <v>0</v>
      </c>
      <c r="L338" s="242">
        <f t="shared" si="414"/>
        <v>0</v>
      </c>
      <c r="M338" s="233">
        <f t="shared" si="415"/>
        <v>0</v>
      </c>
      <c r="N338" s="241">
        <v>3.1700000000000001E-3</v>
      </c>
      <c r="O338" s="240">
        <f t="shared" si="416"/>
        <v>1.7434999999999999E-2</v>
      </c>
      <c r="P338" s="213" t="s">
        <v>769</v>
      </c>
      <c r="Z338" s="268">
        <f t="shared" si="417"/>
        <v>0</v>
      </c>
      <c r="AB338" s="268">
        <f t="shared" si="418"/>
        <v>0</v>
      </c>
      <c r="AC338" s="268">
        <f t="shared" si="419"/>
        <v>0</v>
      </c>
      <c r="AD338" s="268">
        <f t="shared" si="420"/>
        <v>0</v>
      </c>
      <c r="AE338" s="268">
        <f t="shared" si="421"/>
        <v>0</v>
      </c>
      <c r="AF338" s="268">
        <f t="shared" si="422"/>
        <v>0</v>
      </c>
      <c r="AG338" s="268">
        <f t="shared" si="423"/>
        <v>0</v>
      </c>
      <c r="AH338" s="268">
        <f t="shared" si="424"/>
        <v>0</v>
      </c>
      <c r="AI338" s="268" t="s">
        <v>43</v>
      </c>
      <c r="AJ338" s="268">
        <f t="shared" si="425"/>
        <v>0</v>
      </c>
      <c r="AK338" s="268">
        <f t="shared" si="426"/>
        <v>0</v>
      </c>
      <c r="AL338" s="268">
        <f t="shared" si="427"/>
        <v>0</v>
      </c>
      <c r="AN338" s="268">
        <v>12</v>
      </c>
      <c r="AO338" s="268">
        <f>H338*0.763011094</f>
        <v>0</v>
      </c>
      <c r="AP338" s="268">
        <f>H338*(1-0.763011094)</f>
        <v>0</v>
      </c>
      <c r="AQ338" s="268" t="s">
        <v>93</v>
      </c>
      <c r="AV338" s="268">
        <f t="shared" si="428"/>
        <v>0</v>
      </c>
      <c r="AW338" s="268">
        <f t="shared" si="429"/>
        <v>0</v>
      </c>
      <c r="AX338" s="268">
        <f t="shared" si="430"/>
        <v>0</v>
      </c>
      <c r="AY338" s="268" t="s">
        <v>832</v>
      </c>
      <c r="AZ338" s="268" t="s">
        <v>267</v>
      </c>
      <c r="BA338" s="268" t="s">
        <v>85</v>
      </c>
      <c r="BC338" s="268">
        <f t="shared" si="431"/>
        <v>0</v>
      </c>
      <c r="BD338" s="268">
        <f t="shared" si="432"/>
        <v>0</v>
      </c>
      <c r="BE338" s="268">
        <v>0</v>
      </c>
      <c r="BF338" s="268">
        <f t="shared" si="433"/>
        <v>1.7434999999999999E-2</v>
      </c>
      <c r="BH338" s="268">
        <f t="shared" si="434"/>
        <v>0</v>
      </c>
      <c r="BI338" s="268">
        <f t="shared" si="435"/>
        <v>0</v>
      </c>
      <c r="BJ338" s="268">
        <f t="shared" si="436"/>
        <v>0</v>
      </c>
      <c r="BL338" s="268">
        <v>764</v>
      </c>
      <c r="BW338" s="268" t="str">
        <f t="shared" si="437"/>
        <v>12</v>
      </c>
      <c r="BX338" s="268" t="s">
        <v>836</v>
      </c>
    </row>
    <row r="339" spans="1:76" s="230" customFormat="1" ht="6.75" customHeight="1" x14ac:dyDescent="0.25">
      <c r="A339" s="361">
        <v>2</v>
      </c>
      <c r="B339" s="276"/>
      <c r="C339" s="275" t="s">
        <v>90</v>
      </c>
      <c r="D339" s="541">
        <v>2.75</v>
      </c>
      <c r="E339" s="238" t="s">
        <v>869</v>
      </c>
      <c r="F339" s="265" t="s">
        <v>272</v>
      </c>
      <c r="G339" s="236">
        <f>A339*D339</f>
        <v>5.5</v>
      </c>
      <c r="H339" s="235"/>
      <c r="I339" s="235"/>
      <c r="J339" s="234"/>
      <c r="K339" s="234"/>
      <c r="L339" s="233"/>
      <c r="M339" s="233"/>
      <c r="N339" s="232"/>
      <c r="O339" s="231"/>
    </row>
    <row r="340" spans="1:76" s="268" customFormat="1" x14ac:dyDescent="0.2">
      <c r="A340" s="251">
        <f>A338+1</f>
        <v>68</v>
      </c>
      <c r="B340" s="250" t="s">
        <v>43</v>
      </c>
      <c r="C340" s="249" t="s">
        <v>861</v>
      </c>
      <c r="D340" s="248" t="s">
        <v>862</v>
      </c>
      <c r="E340" s="248"/>
      <c r="F340" s="247" t="s">
        <v>265</v>
      </c>
      <c r="G340" s="246">
        <f>SUM(G341:G341)</f>
        <v>2</v>
      </c>
      <c r="H340" s="245"/>
      <c r="I340" s="244" t="s">
        <v>95</v>
      </c>
      <c r="J340" s="233">
        <f>G340*AO340</f>
        <v>0</v>
      </c>
      <c r="K340" s="243">
        <f>G340*AP340</f>
        <v>0</v>
      </c>
      <c r="L340" s="242">
        <f>G340*H340</f>
        <v>0</v>
      </c>
      <c r="M340" s="233">
        <f>L340*(1+BW340/100)</f>
        <v>0</v>
      </c>
      <c r="N340" s="241">
        <v>4.0000000000000002E-4</v>
      </c>
      <c r="O340" s="240">
        <f>G340*N340</f>
        <v>8.0000000000000004E-4</v>
      </c>
      <c r="P340" s="213" t="s">
        <v>769</v>
      </c>
      <c r="Z340" s="268">
        <f>IF(AQ340="5",BJ340,0)</f>
        <v>0</v>
      </c>
      <c r="AB340" s="268">
        <f>IF(AQ340="1",BH340,0)</f>
        <v>0</v>
      </c>
      <c r="AC340" s="268">
        <f>IF(AQ340="1",BI340,0)</f>
        <v>0</v>
      </c>
      <c r="AD340" s="268">
        <f>IF(AQ340="7",BH340,0)</f>
        <v>0</v>
      </c>
      <c r="AE340" s="268">
        <f>IF(AQ340="7",BI340,0)</f>
        <v>0</v>
      </c>
      <c r="AF340" s="268">
        <f>IF(AQ340="2",BH340,0)</f>
        <v>0</v>
      </c>
      <c r="AG340" s="268">
        <f>IF(AQ340="2",BI340,0)</f>
        <v>0</v>
      </c>
      <c r="AH340" s="268">
        <f>IF(AQ340="0",BJ340,0)</f>
        <v>0</v>
      </c>
      <c r="AI340" s="268" t="s">
        <v>43</v>
      </c>
      <c r="AJ340" s="268">
        <f>IF(AN340=0,L340,0)</f>
        <v>0</v>
      </c>
      <c r="AK340" s="268">
        <f>IF(AN340=12,L340,0)</f>
        <v>0</v>
      </c>
      <c r="AL340" s="268">
        <f>IF(AN340=21,L340,0)</f>
        <v>0</v>
      </c>
      <c r="AN340" s="268">
        <v>12</v>
      </c>
      <c r="AO340" s="268">
        <f>H340*0.498315412</f>
        <v>0</v>
      </c>
      <c r="AP340" s="268">
        <f>H340*(1-0.498315412)</f>
        <v>0</v>
      </c>
      <c r="AQ340" s="268" t="s">
        <v>93</v>
      </c>
      <c r="AV340" s="268">
        <f>AW340+AX340</f>
        <v>0</v>
      </c>
      <c r="AW340" s="268">
        <f>G340*AO340</f>
        <v>0</v>
      </c>
      <c r="AX340" s="268">
        <f>G340*AP340</f>
        <v>0</v>
      </c>
      <c r="AY340" s="268" t="s">
        <v>832</v>
      </c>
      <c r="AZ340" s="268" t="s">
        <v>267</v>
      </c>
      <c r="BA340" s="268" t="s">
        <v>85</v>
      </c>
      <c r="BC340" s="268">
        <f>AW340+AX340</f>
        <v>0</v>
      </c>
      <c r="BD340" s="268">
        <f>H340/(100-BE340)*100</f>
        <v>0</v>
      </c>
      <c r="BE340" s="268">
        <v>0</v>
      </c>
      <c r="BF340" s="268">
        <f>O340</f>
        <v>8.0000000000000004E-4</v>
      </c>
      <c r="BH340" s="268">
        <f>G340*AO340</f>
        <v>0</v>
      </c>
      <c r="BI340" s="268">
        <f>G340*AP340</f>
        <v>0</v>
      </c>
      <c r="BJ340" s="268">
        <f>G340*H340</f>
        <v>0</v>
      </c>
      <c r="BL340" s="268">
        <v>764</v>
      </c>
      <c r="BW340" s="268" t="str">
        <f>I340</f>
        <v>12</v>
      </c>
      <c r="BX340" s="268" t="s">
        <v>862</v>
      </c>
    </row>
    <row r="341" spans="1:76" s="230" customFormat="1" ht="6.75" customHeight="1" x14ac:dyDescent="0.25">
      <c r="A341" s="361">
        <v>2</v>
      </c>
      <c r="B341" s="276"/>
      <c r="C341" s="275" t="s">
        <v>90</v>
      </c>
      <c r="D341" s="541">
        <v>1</v>
      </c>
      <c r="E341" s="238" t="s">
        <v>869</v>
      </c>
      <c r="F341" s="265" t="s">
        <v>272</v>
      </c>
      <c r="G341" s="236">
        <f>A341*D341</f>
        <v>2</v>
      </c>
      <c r="H341" s="235"/>
      <c r="I341" s="235"/>
      <c r="J341" s="234"/>
      <c r="K341" s="234"/>
      <c r="L341" s="233"/>
      <c r="M341" s="233"/>
      <c r="N341" s="232"/>
      <c r="O341" s="231"/>
    </row>
    <row r="342" spans="1:76" s="268" customFormat="1" x14ac:dyDescent="0.2">
      <c r="A342" s="251">
        <f>A340+1</f>
        <v>69</v>
      </c>
      <c r="B342" s="250" t="s">
        <v>43</v>
      </c>
      <c r="C342" s="249" t="s">
        <v>837</v>
      </c>
      <c r="D342" s="248" t="s">
        <v>859</v>
      </c>
      <c r="E342" s="248"/>
      <c r="F342" s="247" t="s">
        <v>92</v>
      </c>
      <c r="G342" s="246">
        <f>SUM(G343:G343)</f>
        <v>96.132299999999987</v>
      </c>
      <c r="H342" s="245"/>
      <c r="I342" s="244" t="s">
        <v>95</v>
      </c>
      <c r="J342" s="233">
        <f t="shared" si="412"/>
        <v>0</v>
      </c>
      <c r="K342" s="243">
        <f t="shared" si="413"/>
        <v>0</v>
      </c>
      <c r="L342" s="242">
        <f t="shared" si="414"/>
        <v>0</v>
      </c>
      <c r="M342" s="233">
        <f t="shared" si="415"/>
        <v>0</v>
      </c>
      <c r="N342" s="241">
        <v>8.3300000000000006E-3</v>
      </c>
      <c r="O342" s="240">
        <f t="shared" si="416"/>
        <v>0.80078205899999999</v>
      </c>
      <c r="P342" s="213" t="s">
        <v>769</v>
      </c>
      <c r="Z342" s="268">
        <f t="shared" si="417"/>
        <v>0</v>
      </c>
      <c r="AB342" s="268">
        <f t="shared" si="418"/>
        <v>0</v>
      </c>
      <c r="AC342" s="268">
        <f t="shared" si="419"/>
        <v>0</v>
      </c>
      <c r="AD342" s="268">
        <f t="shared" si="420"/>
        <v>0</v>
      </c>
      <c r="AE342" s="268">
        <f t="shared" si="421"/>
        <v>0</v>
      </c>
      <c r="AF342" s="268">
        <f t="shared" si="422"/>
        <v>0</v>
      </c>
      <c r="AG342" s="268">
        <f t="shared" si="423"/>
        <v>0</v>
      </c>
      <c r="AH342" s="268">
        <f t="shared" si="424"/>
        <v>0</v>
      </c>
      <c r="AI342" s="268" t="s">
        <v>43</v>
      </c>
      <c r="AJ342" s="268">
        <f t="shared" si="425"/>
        <v>0</v>
      </c>
      <c r="AK342" s="268">
        <f t="shared" si="426"/>
        <v>0</v>
      </c>
      <c r="AL342" s="268">
        <f t="shared" si="427"/>
        <v>0</v>
      </c>
      <c r="AN342" s="268">
        <v>12</v>
      </c>
      <c r="AO342" s="268">
        <f>H342*0.535004813</f>
        <v>0</v>
      </c>
      <c r="AP342" s="268">
        <f>H342*(1-0.535004813)</f>
        <v>0</v>
      </c>
      <c r="AQ342" s="268" t="s">
        <v>93</v>
      </c>
      <c r="AV342" s="268">
        <f t="shared" si="428"/>
        <v>0</v>
      </c>
      <c r="AW342" s="268">
        <f t="shared" si="429"/>
        <v>0</v>
      </c>
      <c r="AX342" s="268">
        <f t="shared" si="430"/>
        <v>0</v>
      </c>
      <c r="AY342" s="268" t="s">
        <v>832</v>
      </c>
      <c r="AZ342" s="268" t="s">
        <v>267</v>
      </c>
      <c r="BA342" s="268" t="s">
        <v>85</v>
      </c>
      <c r="BC342" s="268">
        <f t="shared" si="431"/>
        <v>0</v>
      </c>
      <c r="BD342" s="268">
        <f t="shared" si="432"/>
        <v>0</v>
      </c>
      <c r="BE342" s="268">
        <v>0</v>
      </c>
      <c r="BF342" s="268">
        <f t="shared" si="433"/>
        <v>0.80078205899999999</v>
      </c>
      <c r="BH342" s="268">
        <f t="shared" si="434"/>
        <v>0</v>
      </c>
      <c r="BI342" s="268">
        <f t="shared" si="435"/>
        <v>0</v>
      </c>
      <c r="BJ342" s="268">
        <f t="shared" si="436"/>
        <v>0</v>
      </c>
      <c r="BL342" s="268">
        <v>764</v>
      </c>
      <c r="BW342" s="268" t="str">
        <f t="shared" si="437"/>
        <v>12</v>
      </c>
      <c r="BX342" s="268" t="s">
        <v>838</v>
      </c>
    </row>
    <row r="343" spans="1:76" s="230" customFormat="1" ht="6.75" customHeight="1" x14ac:dyDescent="0.25">
      <c r="A343" s="362"/>
      <c r="B343" s="276"/>
      <c r="C343" s="275" t="s">
        <v>90</v>
      </c>
      <c r="D343" s="541"/>
      <c r="E343" s="238" t="str">
        <f>D220</f>
        <v>Montáž kontralatí na vruty, s těsnicí páskou</v>
      </c>
      <c r="F343" s="265" t="s">
        <v>92</v>
      </c>
      <c r="G343" s="236">
        <f>G220</f>
        <v>96.132299999999987</v>
      </c>
      <c r="H343" s="583"/>
      <c r="I343" s="235"/>
      <c r="J343" s="234"/>
      <c r="K343" s="234"/>
      <c r="L343" s="233"/>
      <c r="M343" s="233"/>
      <c r="N343" s="232"/>
      <c r="O343" s="231"/>
    </row>
    <row r="344" spans="1:76" s="268" customFormat="1" x14ac:dyDescent="0.2">
      <c r="A344" s="251">
        <f>A342+1</f>
        <v>70</v>
      </c>
      <c r="B344" s="250" t="s">
        <v>43</v>
      </c>
      <c r="C344" s="249" t="s">
        <v>856</v>
      </c>
      <c r="D344" s="248" t="s">
        <v>855</v>
      </c>
      <c r="E344" s="248"/>
      <c r="F344" s="247" t="s">
        <v>265</v>
      </c>
      <c r="G344" s="246">
        <f>SUM(G345:G345)</f>
        <v>2</v>
      </c>
      <c r="H344" s="245"/>
      <c r="I344" s="244" t="s">
        <v>95</v>
      </c>
      <c r="J344" s="233">
        <f>G344*AO344</f>
        <v>0</v>
      </c>
      <c r="K344" s="243">
        <f>G344*AP344</f>
        <v>0</v>
      </c>
      <c r="L344" s="242">
        <f>G344*H344</f>
        <v>0</v>
      </c>
      <c r="M344" s="233">
        <f>L344*(1+BW344/100)</f>
        <v>0</v>
      </c>
      <c r="N344" s="241">
        <v>0</v>
      </c>
      <c r="O344" s="240">
        <f>G344*N344</f>
        <v>0</v>
      </c>
      <c r="P344" s="213" t="s">
        <v>769</v>
      </c>
      <c r="Z344" s="268">
        <f>IF(AQ344="5",BJ344,0)</f>
        <v>0</v>
      </c>
      <c r="AB344" s="268">
        <f>IF(AQ344="1",BH344,0)</f>
        <v>0</v>
      </c>
      <c r="AC344" s="268">
        <f>IF(AQ344="1",BI344,0)</f>
        <v>0</v>
      </c>
      <c r="AD344" s="268">
        <f>IF(AQ344="7",BH344,0)</f>
        <v>0</v>
      </c>
      <c r="AE344" s="268">
        <f>IF(AQ344="7",BI344,0)</f>
        <v>0</v>
      </c>
      <c r="AF344" s="268">
        <f>IF(AQ344="2",BH344,0)</f>
        <v>0</v>
      </c>
      <c r="AG344" s="268">
        <f>IF(AQ344="2",BI344,0)</f>
        <v>0</v>
      </c>
      <c r="AH344" s="268">
        <f>IF(AQ344="0",BJ344,0)</f>
        <v>0</v>
      </c>
      <c r="AI344" s="268" t="s">
        <v>43</v>
      </c>
      <c r="AJ344" s="268">
        <f>IF(AN344=0,L344,0)</f>
        <v>0</v>
      </c>
      <c r="AK344" s="268">
        <f>IF(AN344=12,L344,0)</f>
        <v>0</v>
      </c>
      <c r="AL344" s="268">
        <f>IF(AN344=21,L344,0)</f>
        <v>0</v>
      </c>
      <c r="AN344" s="268">
        <v>12</v>
      </c>
      <c r="AO344" s="268">
        <f>H344*0.772742985</f>
        <v>0</v>
      </c>
      <c r="AP344" s="268">
        <f>H344*(1-0.772742985)</f>
        <v>0</v>
      </c>
      <c r="AQ344" s="268" t="s">
        <v>93</v>
      </c>
      <c r="AV344" s="268">
        <f>AW344+AX344</f>
        <v>0</v>
      </c>
      <c r="AW344" s="268">
        <f>G344*AO344</f>
        <v>0</v>
      </c>
      <c r="AX344" s="268">
        <f>G344*AP344</f>
        <v>0</v>
      </c>
      <c r="AY344" s="268" t="s">
        <v>832</v>
      </c>
      <c r="AZ344" s="268" t="s">
        <v>267</v>
      </c>
      <c r="BA344" s="268" t="s">
        <v>85</v>
      </c>
      <c r="BC344" s="268">
        <f>AW344+AX344</f>
        <v>0</v>
      </c>
      <c r="BD344" s="268">
        <f>H344/(100-BE344)*100</f>
        <v>0</v>
      </c>
      <c r="BE344" s="268">
        <v>0</v>
      </c>
      <c r="BF344" s="268">
        <f>O344</f>
        <v>0</v>
      </c>
      <c r="BH344" s="268">
        <f>G344*AO344</f>
        <v>0</v>
      </c>
      <c r="BI344" s="268">
        <f>G344*AP344</f>
        <v>0</v>
      </c>
      <c r="BJ344" s="268">
        <f>G344*H344</f>
        <v>0</v>
      </c>
      <c r="BL344" s="268">
        <v>764</v>
      </c>
      <c r="BW344" s="268" t="str">
        <f>I344</f>
        <v>12</v>
      </c>
      <c r="BX344" s="268" t="s">
        <v>843</v>
      </c>
    </row>
    <row r="345" spans="1:76" s="230" customFormat="1" ht="6.75" customHeight="1" x14ac:dyDescent="0.25">
      <c r="B345" s="276"/>
      <c r="C345" s="277"/>
      <c r="D345" s="541"/>
      <c r="E345" s="238" t="s">
        <v>860</v>
      </c>
      <c r="F345" s="265" t="s">
        <v>265</v>
      </c>
      <c r="G345" s="236">
        <v>2</v>
      </c>
      <c r="H345" s="235"/>
      <c r="I345" s="235"/>
      <c r="J345" s="234"/>
      <c r="K345" s="234"/>
      <c r="L345" s="233"/>
      <c r="M345" s="233"/>
      <c r="N345" s="232"/>
      <c r="O345" s="231"/>
    </row>
    <row r="346" spans="1:76" s="268" customFormat="1" x14ac:dyDescent="0.2">
      <c r="A346" s="251">
        <f>A344+1</f>
        <v>71</v>
      </c>
      <c r="B346" s="250" t="s">
        <v>43</v>
      </c>
      <c r="C346" s="249" t="s">
        <v>839</v>
      </c>
      <c r="D346" s="248" t="s">
        <v>853</v>
      </c>
      <c r="E346" s="248"/>
      <c r="F346" s="247" t="s">
        <v>272</v>
      </c>
      <c r="G346" s="246">
        <f>SUM(G347:G348)</f>
        <v>29.7</v>
      </c>
      <c r="H346" s="245"/>
      <c r="I346" s="244" t="s">
        <v>95</v>
      </c>
      <c r="J346" s="233">
        <f t="shared" si="412"/>
        <v>0</v>
      </c>
      <c r="K346" s="243">
        <f t="shared" si="413"/>
        <v>0</v>
      </c>
      <c r="L346" s="242">
        <f t="shared" si="414"/>
        <v>0</v>
      </c>
      <c r="M346" s="233">
        <f t="shared" si="415"/>
        <v>0</v>
      </c>
      <c r="N346" s="241">
        <v>2.0300000000000001E-3</v>
      </c>
      <c r="O346" s="240">
        <f t="shared" si="416"/>
        <v>6.0291000000000004E-2</v>
      </c>
      <c r="P346" s="213" t="s">
        <v>769</v>
      </c>
      <c r="Z346" s="268">
        <f t="shared" si="417"/>
        <v>0</v>
      </c>
      <c r="AB346" s="268">
        <f t="shared" si="418"/>
        <v>0</v>
      </c>
      <c r="AC346" s="268">
        <f t="shared" si="419"/>
        <v>0</v>
      </c>
      <c r="AD346" s="268">
        <f t="shared" si="420"/>
        <v>0</v>
      </c>
      <c r="AE346" s="268">
        <f t="shared" si="421"/>
        <v>0</v>
      </c>
      <c r="AF346" s="268">
        <f t="shared" si="422"/>
        <v>0</v>
      </c>
      <c r="AG346" s="268">
        <f t="shared" si="423"/>
        <v>0</v>
      </c>
      <c r="AH346" s="268">
        <f t="shared" si="424"/>
        <v>0</v>
      </c>
      <c r="AI346" s="268" t="s">
        <v>43</v>
      </c>
      <c r="AJ346" s="268">
        <f t="shared" si="425"/>
        <v>0</v>
      </c>
      <c r="AK346" s="268">
        <f t="shared" si="426"/>
        <v>0</v>
      </c>
      <c r="AL346" s="268">
        <f t="shared" si="427"/>
        <v>0</v>
      </c>
      <c r="AN346" s="268">
        <v>12</v>
      </c>
      <c r="AO346" s="268">
        <f>H346*0.664213198</f>
        <v>0</v>
      </c>
      <c r="AP346" s="268">
        <f>H346*(1-0.664213198)</f>
        <v>0</v>
      </c>
      <c r="AQ346" s="268" t="s">
        <v>93</v>
      </c>
      <c r="AV346" s="268">
        <f t="shared" si="428"/>
        <v>0</v>
      </c>
      <c r="AW346" s="268">
        <f t="shared" si="429"/>
        <v>0</v>
      </c>
      <c r="AX346" s="268">
        <f t="shared" si="430"/>
        <v>0</v>
      </c>
      <c r="AY346" s="268" t="s">
        <v>832</v>
      </c>
      <c r="AZ346" s="268" t="s">
        <v>267</v>
      </c>
      <c r="BA346" s="268" t="s">
        <v>85</v>
      </c>
      <c r="BC346" s="268">
        <f t="shared" si="431"/>
        <v>0</v>
      </c>
      <c r="BD346" s="268">
        <f t="shared" si="432"/>
        <v>0</v>
      </c>
      <c r="BE346" s="268">
        <v>0</v>
      </c>
      <c r="BF346" s="268">
        <f t="shared" si="433"/>
        <v>6.0291000000000004E-2</v>
      </c>
      <c r="BH346" s="268">
        <f t="shared" si="434"/>
        <v>0</v>
      </c>
      <c r="BI346" s="268">
        <f t="shared" si="435"/>
        <v>0</v>
      </c>
      <c r="BJ346" s="268">
        <f t="shared" si="436"/>
        <v>0</v>
      </c>
      <c r="BL346" s="268">
        <v>764</v>
      </c>
      <c r="BW346" s="268" t="str">
        <f t="shared" si="437"/>
        <v>12</v>
      </c>
      <c r="BX346" s="268" t="s">
        <v>840</v>
      </c>
    </row>
    <row r="347" spans="1:76" s="230" customFormat="1" ht="6.75" customHeight="1" x14ac:dyDescent="0.25">
      <c r="A347" s="361"/>
      <c r="B347" s="276"/>
      <c r="C347" s="275">
        <v>5.3</v>
      </c>
      <c r="D347" s="541">
        <v>1</v>
      </c>
      <c r="E347" s="238" t="s">
        <v>870</v>
      </c>
      <c r="F347" s="265" t="s">
        <v>272</v>
      </c>
      <c r="G347" s="236">
        <f>C347*D347</f>
        <v>5.3</v>
      </c>
      <c r="H347" s="235"/>
      <c r="I347" s="235"/>
      <c r="J347" s="234"/>
      <c r="K347" s="234"/>
      <c r="L347" s="233"/>
      <c r="M347" s="233"/>
      <c r="N347" s="232"/>
      <c r="O347" s="231"/>
    </row>
    <row r="348" spans="1:76" s="230" customFormat="1" ht="6.75" customHeight="1" x14ac:dyDescent="0.25">
      <c r="A348" s="361"/>
      <c r="B348" s="276"/>
      <c r="C348" s="275">
        <v>6.1</v>
      </c>
      <c r="D348" s="541">
        <v>4</v>
      </c>
      <c r="E348" s="238" t="s">
        <v>871</v>
      </c>
      <c r="F348" s="265" t="s">
        <v>272</v>
      </c>
      <c r="G348" s="236">
        <f>C348*D348</f>
        <v>24.4</v>
      </c>
      <c r="H348" s="235"/>
      <c r="I348" s="235"/>
      <c r="J348" s="234"/>
      <c r="K348" s="234"/>
      <c r="L348" s="233"/>
      <c r="M348" s="233"/>
      <c r="N348" s="232"/>
      <c r="O348" s="231"/>
    </row>
    <row r="349" spans="1:76" s="268" customFormat="1" x14ac:dyDescent="0.2">
      <c r="A349" s="251">
        <f>A346+1</f>
        <v>72</v>
      </c>
      <c r="B349" s="250" t="s">
        <v>43</v>
      </c>
      <c r="C349" s="249" t="s">
        <v>841</v>
      </c>
      <c r="D349" s="248" t="s">
        <v>854</v>
      </c>
      <c r="E349" s="248"/>
      <c r="F349" s="247" t="s">
        <v>265</v>
      </c>
      <c r="G349" s="246">
        <f>SUM(G350:G350)</f>
        <v>1</v>
      </c>
      <c r="H349" s="245"/>
      <c r="I349" s="244" t="s">
        <v>95</v>
      </c>
      <c r="J349" s="233">
        <f t="shared" si="412"/>
        <v>0</v>
      </c>
      <c r="K349" s="243">
        <f t="shared" si="413"/>
        <v>0</v>
      </c>
      <c r="L349" s="242">
        <f t="shared" si="414"/>
        <v>0</v>
      </c>
      <c r="M349" s="233">
        <f t="shared" si="415"/>
        <v>0</v>
      </c>
      <c r="N349" s="241">
        <v>2.2000000000000001E-3</v>
      </c>
      <c r="O349" s="240">
        <f t="shared" si="416"/>
        <v>2.2000000000000001E-3</v>
      </c>
      <c r="P349" s="213" t="s">
        <v>769</v>
      </c>
      <c r="Z349" s="268">
        <f t="shared" si="417"/>
        <v>0</v>
      </c>
      <c r="AB349" s="268">
        <f t="shared" si="418"/>
        <v>0</v>
      </c>
      <c r="AC349" s="268">
        <f t="shared" si="419"/>
        <v>0</v>
      </c>
      <c r="AD349" s="268">
        <f t="shared" si="420"/>
        <v>0</v>
      </c>
      <c r="AE349" s="268">
        <f t="shared" si="421"/>
        <v>0</v>
      </c>
      <c r="AF349" s="268">
        <f t="shared" si="422"/>
        <v>0</v>
      </c>
      <c r="AG349" s="268">
        <f t="shared" si="423"/>
        <v>0</v>
      </c>
      <c r="AH349" s="268">
        <f t="shared" si="424"/>
        <v>0</v>
      </c>
      <c r="AI349" s="268" t="s">
        <v>43</v>
      </c>
      <c r="AJ349" s="268">
        <f t="shared" si="425"/>
        <v>0</v>
      </c>
      <c r="AK349" s="268">
        <f t="shared" si="426"/>
        <v>0</v>
      </c>
      <c r="AL349" s="268">
        <f t="shared" si="427"/>
        <v>0</v>
      </c>
      <c r="AN349" s="268">
        <v>12</v>
      </c>
      <c r="AO349" s="268">
        <f>H349*0.825131915</f>
        <v>0</v>
      </c>
      <c r="AP349" s="268">
        <f>H349*(1-0.825131915)</f>
        <v>0</v>
      </c>
      <c r="AQ349" s="268" t="s">
        <v>93</v>
      </c>
      <c r="AV349" s="268">
        <f t="shared" si="428"/>
        <v>0</v>
      </c>
      <c r="AW349" s="268">
        <f t="shared" si="429"/>
        <v>0</v>
      </c>
      <c r="AX349" s="268">
        <f t="shared" si="430"/>
        <v>0</v>
      </c>
      <c r="AY349" s="268" t="s">
        <v>832</v>
      </c>
      <c r="AZ349" s="268" t="s">
        <v>267</v>
      </c>
      <c r="BA349" s="268" t="s">
        <v>85</v>
      </c>
      <c r="BC349" s="268">
        <f t="shared" si="431"/>
        <v>0</v>
      </c>
      <c r="BD349" s="268">
        <f t="shared" si="432"/>
        <v>0</v>
      </c>
      <c r="BE349" s="268">
        <v>0</v>
      </c>
      <c r="BF349" s="268">
        <f t="shared" si="433"/>
        <v>2.2000000000000001E-3</v>
      </c>
      <c r="BH349" s="268">
        <f t="shared" si="434"/>
        <v>0</v>
      </c>
      <c r="BI349" s="268">
        <f t="shared" si="435"/>
        <v>0</v>
      </c>
      <c r="BJ349" s="268">
        <f t="shared" si="436"/>
        <v>0</v>
      </c>
      <c r="BL349" s="268">
        <v>764</v>
      </c>
      <c r="BW349" s="268" t="str">
        <f t="shared" si="437"/>
        <v>12</v>
      </c>
      <c r="BX349" s="268" t="s">
        <v>842</v>
      </c>
    </row>
    <row r="350" spans="1:76" s="230" customFormat="1" ht="6.75" customHeight="1" x14ac:dyDescent="0.25">
      <c r="A350" s="274"/>
      <c r="B350" s="276"/>
      <c r="C350" s="275"/>
      <c r="D350" s="274"/>
      <c r="E350" s="238" t="s">
        <v>872</v>
      </c>
      <c r="F350" s="265" t="s">
        <v>265</v>
      </c>
      <c r="G350" s="236">
        <v>1</v>
      </c>
      <c r="H350" s="235"/>
      <c r="I350" s="235"/>
      <c r="J350" s="234"/>
      <c r="K350" s="234"/>
      <c r="L350" s="233"/>
      <c r="M350" s="233"/>
      <c r="N350" s="232"/>
      <c r="O350" s="231"/>
    </row>
    <row r="351" spans="1:76" s="268" customFormat="1" x14ac:dyDescent="0.2">
      <c r="A351" s="251">
        <f>A349+1</f>
        <v>73</v>
      </c>
      <c r="B351" s="250" t="s">
        <v>43</v>
      </c>
      <c r="C351" s="249" t="s">
        <v>858</v>
      </c>
      <c r="D351" s="248" t="s">
        <v>873</v>
      </c>
      <c r="E351" s="248"/>
      <c r="F351" s="247" t="s">
        <v>265</v>
      </c>
      <c r="G351" s="246">
        <f>SUM(G352:G352)</f>
        <v>2</v>
      </c>
      <c r="H351" s="245"/>
      <c r="I351" s="244" t="s">
        <v>95</v>
      </c>
      <c r="J351" s="233">
        <f t="shared" ref="J351" si="465">G351*AO351</f>
        <v>0</v>
      </c>
      <c r="K351" s="243">
        <f t="shared" ref="K351" si="466">G351*AP351</f>
        <v>0</v>
      </c>
      <c r="L351" s="242">
        <f t="shared" ref="L351" si="467">G351*H351</f>
        <v>0</v>
      </c>
      <c r="M351" s="233">
        <f t="shared" ref="M351" si="468">L351*(1+BW351/100)</f>
        <v>0</v>
      </c>
      <c r="N351" s="241">
        <v>1.035E-2</v>
      </c>
      <c r="O351" s="240">
        <f t="shared" ref="O351" si="469">G351*N351</f>
        <v>2.07E-2</v>
      </c>
      <c r="P351" s="213" t="s">
        <v>769</v>
      </c>
      <c r="Z351" s="268">
        <f t="shared" ref="Z351" si="470">IF(AQ351="5",BJ351,0)</f>
        <v>0</v>
      </c>
      <c r="AB351" s="268">
        <f t="shared" ref="AB351" si="471">IF(AQ351="1",BH351,0)</f>
        <v>0</v>
      </c>
      <c r="AC351" s="268">
        <f t="shared" ref="AC351" si="472">IF(AQ351="1",BI351,0)</f>
        <v>0</v>
      </c>
      <c r="AD351" s="268">
        <f t="shared" ref="AD351" si="473">IF(AQ351="7",BH351,0)</f>
        <v>0</v>
      </c>
      <c r="AE351" s="268">
        <f t="shared" ref="AE351" si="474">IF(AQ351="7",BI351,0)</f>
        <v>0</v>
      </c>
      <c r="AF351" s="268">
        <f t="shared" ref="AF351" si="475">IF(AQ351="2",BH351,0)</f>
        <v>0</v>
      </c>
      <c r="AG351" s="268">
        <f t="shared" ref="AG351" si="476">IF(AQ351="2",BI351,0)</f>
        <v>0</v>
      </c>
      <c r="AH351" s="268">
        <f t="shared" ref="AH351" si="477">IF(AQ351="0",BJ351,0)</f>
        <v>0</v>
      </c>
      <c r="AI351" s="268" t="s">
        <v>43</v>
      </c>
      <c r="AJ351" s="268">
        <f t="shared" ref="AJ351" si="478">IF(AN351=0,L351,0)</f>
        <v>0</v>
      </c>
      <c r="AK351" s="268">
        <f t="shared" ref="AK351" si="479">IF(AN351=12,L351,0)</f>
        <v>0</v>
      </c>
      <c r="AL351" s="268">
        <f t="shared" ref="AL351" si="480">IF(AN351=21,L351,0)</f>
        <v>0</v>
      </c>
      <c r="AN351" s="268">
        <v>12</v>
      </c>
      <c r="AO351" s="268">
        <f>H351*0.772742985</f>
        <v>0</v>
      </c>
      <c r="AP351" s="268">
        <f>H351*(1-0.772742985)</f>
        <v>0</v>
      </c>
      <c r="AQ351" s="268" t="s">
        <v>93</v>
      </c>
      <c r="AV351" s="268">
        <f t="shared" ref="AV351" si="481">AW351+AX351</f>
        <v>0</v>
      </c>
      <c r="AW351" s="268">
        <f t="shared" ref="AW351" si="482">G351*AO351</f>
        <v>0</v>
      </c>
      <c r="AX351" s="268">
        <f t="shared" ref="AX351" si="483">G351*AP351</f>
        <v>0</v>
      </c>
      <c r="AY351" s="268" t="s">
        <v>832</v>
      </c>
      <c r="AZ351" s="268" t="s">
        <v>267</v>
      </c>
      <c r="BA351" s="268" t="s">
        <v>85</v>
      </c>
      <c r="BC351" s="268">
        <f t="shared" ref="BC351" si="484">AW351+AX351</f>
        <v>0</v>
      </c>
      <c r="BD351" s="268">
        <f t="shared" ref="BD351" si="485">H351/(100-BE351)*100</f>
        <v>0</v>
      </c>
      <c r="BE351" s="268">
        <v>0</v>
      </c>
      <c r="BF351" s="268">
        <f t="shared" ref="BF351" si="486">O351</f>
        <v>2.07E-2</v>
      </c>
      <c r="BH351" s="268">
        <f t="shared" ref="BH351" si="487">G351*AO351</f>
        <v>0</v>
      </c>
      <c r="BI351" s="268">
        <f t="shared" ref="BI351" si="488">G351*AP351</f>
        <v>0</v>
      </c>
      <c r="BJ351" s="268">
        <f t="shared" ref="BJ351" si="489">G351*H351</f>
        <v>0</v>
      </c>
      <c r="BL351" s="268">
        <v>764</v>
      </c>
      <c r="BW351" s="268" t="str">
        <f t="shared" ref="BW351" si="490">I351</f>
        <v>12</v>
      </c>
      <c r="BX351" s="268" t="s">
        <v>843</v>
      </c>
    </row>
    <row r="352" spans="1:76" s="230" customFormat="1" ht="6.75" customHeight="1" x14ac:dyDescent="0.25">
      <c r="A352" s="361"/>
      <c r="B352" s="276"/>
      <c r="C352" s="277"/>
      <c r="D352" s="541"/>
      <c r="E352" s="238" t="s">
        <v>766</v>
      </c>
      <c r="F352" s="265" t="s">
        <v>265</v>
      </c>
      <c r="G352" s="236">
        <v>2</v>
      </c>
      <c r="H352" s="235"/>
      <c r="I352" s="235"/>
      <c r="J352" s="234"/>
      <c r="K352" s="234"/>
      <c r="L352" s="233"/>
      <c r="M352" s="233"/>
      <c r="N352" s="232"/>
      <c r="O352" s="231"/>
    </row>
    <row r="353" spans="1:76" s="268" customFormat="1" x14ac:dyDescent="0.2">
      <c r="A353" s="251">
        <f>A351+1</f>
        <v>74</v>
      </c>
      <c r="B353" s="250" t="s">
        <v>43</v>
      </c>
      <c r="C353" s="249" t="s">
        <v>875</v>
      </c>
      <c r="D353" s="248" t="s">
        <v>874</v>
      </c>
      <c r="E353" s="248"/>
      <c r="F353" s="247" t="s">
        <v>92</v>
      </c>
      <c r="G353" s="246">
        <f>SUM(G354:G354)</f>
        <v>96.132299999999987</v>
      </c>
      <c r="H353" s="245"/>
      <c r="I353" s="244" t="s">
        <v>95</v>
      </c>
      <c r="J353" s="233">
        <f t="shared" ref="J353" si="491">G353*AO353</f>
        <v>0</v>
      </c>
      <c r="K353" s="243">
        <f t="shared" ref="K353" si="492">G353*AP353</f>
        <v>0</v>
      </c>
      <c r="L353" s="242">
        <f t="shared" ref="L353" si="493">G353*H353</f>
        <v>0</v>
      </c>
      <c r="M353" s="233">
        <f t="shared" ref="M353" si="494">L353*(1+BW353/100)</f>
        <v>0</v>
      </c>
      <c r="N353" s="241">
        <v>3.0000000000000001E-5</v>
      </c>
      <c r="O353" s="240">
        <f t="shared" ref="O353" si="495">G353*N353</f>
        <v>2.8839689999999997E-3</v>
      </c>
      <c r="P353" s="213" t="s">
        <v>81</v>
      </c>
      <c r="Z353" s="268">
        <f t="shared" ref="Z353" si="496">IF(AQ353="5",BJ353,0)</f>
        <v>0</v>
      </c>
      <c r="AB353" s="268">
        <f t="shared" ref="AB353" si="497">IF(AQ353="1",BH353,0)</f>
        <v>0</v>
      </c>
      <c r="AC353" s="268">
        <f t="shared" ref="AC353" si="498">IF(AQ353="1",BI353,0)</f>
        <v>0</v>
      </c>
      <c r="AD353" s="268">
        <f t="shared" ref="AD353" si="499">IF(AQ353="7",BH353,0)</f>
        <v>0</v>
      </c>
      <c r="AE353" s="268">
        <f t="shared" ref="AE353" si="500">IF(AQ353="7",BI353,0)</f>
        <v>0</v>
      </c>
      <c r="AF353" s="268">
        <f t="shared" ref="AF353" si="501">IF(AQ353="2",BH353,0)</f>
        <v>0</v>
      </c>
      <c r="AG353" s="268">
        <f t="shared" ref="AG353" si="502">IF(AQ353="2",BI353,0)</f>
        <v>0</v>
      </c>
      <c r="AH353" s="268">
        <f t="shared" ref="AH353" si="503">IF(AQ353="0",BJ353,0)</f>
        <v>0</v>
      </c>
      <c r="AI353" s="268" t="s">
        <v>43</v>
      </c>
      <c r="AJ353" s="268">
        <f t="shared" ref="AJ353" si="504">IF(AN353=0,L353,0)</f>
        <v>0</v>
      </c>
      <c r="AK353" s="268">
        <f t="shared" ref="AK353" si="505">IF(AN353=12,L353,0)</f>
        <v>0</v>
      </c>
      <c r="AL353" s="268">
        <f t="shared" ref="AL353" si="506">IF(AN353=21,L353,0)</f>
        <v>0</v>
      </c>
      <c r="AN353" s="268">
        <v>12</v>
      </c>
      <c r="AO353" s="268">
        <f>H353*0.032081273</f>
        <v>0</v>
      </c>
      <c r="AP353" s="268">
        <f>H353*(1-0.032081273)</f>
        <v>0</v>
      </c>
      <c r="AQ353" s="268" t="s">
        <v>93</v>
      </c>
      <c r="AV353" s="268">
        <f t="shared" ref="AV353" si="507">AW353+AX353</f>
        <v>0</v>
      </c>
      <c r="AW353" s="268">
        <f t="shared" ref="AW353" si="508">G353*AO353</f>
        <v>0</v>
      </c>
      <c r="AX353" s="268">
        <f t="shared" ref="AX353" si="509">G353*AP353</f>
        <v>0</v>
      </c>
      <c r="AY353" s="268" t="s">
        <v>832</v>
      </c>
      <c r="AZ353" s="268" t="s">
        <v>267</v>
      </c>
      <c r="BA353" s="268" t="s">
        <v>85</v>
      </c>
      <c r="BC353" s="268">
        <f t="shared" ref="BC353" si="510">AW353+AX353</f>
        <v>0</v>
      </c>
      <c r="BD353" s="268">
        <f t="shared" ref="BD353" si="511">H353/(100-BE353)*100</f>
        <v>0</v>
      </c>
      <c r="BE353" s="268">
        <v>0</v>
      </c>
      <c r="BF353" s="268">
        <f t="shared" ref="BF353" si="512">O353</f>
        <v>2.8839689999999997E-3</v>
      </c>
      <c r="BH353" s="268">
        <f t="shared" ref="BH353" si="513">G353*AO353</f>
        <v>0</v>
      </c>
      <c r="BI353" s="268">
        <f t="shared" ref="BI353" si="514">G353*AP353</f>
        <v>0</v>
      </c>
      <c r="BJ353" s="268">
        <f t="shared" ref="BJ353" si="515">G353*H353</f>
        <v>0</v>
      </c>
      <c r="BL353" s="268">
        <v>764</v>
      </c>
      <c r="BW353" s="268" t="str">
        <f t="shared" ref="BW353" si="516">I353</f>
        <v>12</v>
      </c>
      <c r="BX353" s="268" t="s">
        <v>846</v>
      </c>
    </row>
    <row r="354" spans="1:76" s="230" customFormat="1" ht="6.75" customHeight="1" x14ac:dyDescent="0.25">
      <c r="A354" s="362"/>
      <c r="B354" s="276"/>
      <c r="C354" s="275" t="s">
        <v>90</v>
      </c>
      <c r="D354" s="541"/>
      <c r="E354" s="238" t="str">
        <f>D342</f>
        <v>Falcované tabule , lakovaný Pz plech tl. 0,5 mm, na dřevo</v>
      </c>
      <c r="F354" s="265" t="s">
        <v>92</v>
      </c>
      <c r="G354" s="236">
        <f>G342</f>
        <v>96.132299999999987</v>
      </c>
      <c r="H354" s="235"/>
      <c r="I354" s="235"/>
      <c r="J354" s="234"/>
      <c r="K354" s="234"/>
      <c r="L354" s="233"/>
      <c r="M354" s="233"/>
      <c r="N354" s="232"/>
      <c r="O354" s="231"/>
    </row>
    <row r="355" spans="1:76" s="268" customFormat="1" x14ac:dyDescent="0.2">
      <c r="A355" s="251">
        <f>A353+1</f>
        <v>75</v>
      </c>
      <c r="B355" s="250" t="s">
        <v>43</v>
      </c>
      <c r="C355" s="249" t="s">
        <v>847</v>
      </c>
      <c r="D355" s="248" t="s">
        <v>857</v>
      </c>
      <c r="E355" s="248"/>
      <c r="F355" s="247" t="s">
        <v>92</v>
      </c>
      <c r="G355" s="246">
        <f>SUM(G356:G357)</f>
        <v>105.74552999999999</v>
      </c>
      <c r="H355" s="245"/>
      <c r="I355" s="244" t="s">
        <v>95</v>
      </c>
      <c r="J355" s="233">
        <f t="shared" ref="J355" si="517">G355*AO355</f>
        <v>0</v>
      </c>
      <c r="K355" s="243">
        <f t="shared" ref="K355" si="518">G355*AP355</f>
        <v>0</v>
      </c>
      <c r="L355" s="242">
        <f t="shared" ref="L355" si="519">G355*H355</f>
        <v>0</v>
      </c>
      <c r="M355" s="233">
        <f t="shared" ref="M355" si="520">L355*(1+BW355/100)</f>
        <v>0</v>
      </c>
      <c r="N355" s="241">
        <v>5.0000000000000001E-4</v>
      </c>
      <c r="O355" s="240">
        <f t="shared" ref="O355" si="521">G355*N355</f>
        <v>5.2872764999999995E-2</v>
      </c>
      <c r="P355" s="213" t="s">
        <v>769</v>
      </c>
      <c r="Z355" s="268">
        <f t="shared" ref="Z355" si="522">IF(AQ355="5",BJ355,0)</f>
        <v>0</v>
      </c>
      <c r="AB355" s="268">
        <f t="shared" ref="AB355" si="523">IF(AQ355="1",BH355,0)</f>
        <v>0</v>
      </c>
      <c r="AC355" s="268">
        <f t="shared" ref="AC355" si="524">IF(AQ355="1",BI355,0)</f>
        <v>0</v>
      </c>
      <c r="AD355" s="268">
        <f t="shared" ref="AD355" si="525">IF(AQ355="7",BH355,0)</f>
        <v>0</v>
      </c>
      <c r="AE355" s="268">
        <f t="shared" ref="AE355" si="526">IF(AQ355="7",BI355,0)</f>
        <v>0</v>
      </c>
      <c r="AF355" s="268">
        <f t="shared" ref="AF355" si="527">IF(AQ355="2",BH355,0)</f>
        <v>0</v>
      </c>
      <c r="AG355" s="268">
        <f t="shared" ref="AG355" si="528">IF(AQ355="2",BI355,0)</f>
        <v>0</v>
      </c>
      <c r="AH355" s="268">
        <f t="shared" ref="AH355" si="529">IF(AQ355="0",BJ355,0)</f>
        <v>0</v>
      </c>
      <c r="AI355" s="268" t="s">
        <v>43</v>
      </c>
      <c r="AJ355" s="268">
        <f t="shared" ref="AJ355" si="530">IF(AN355=0,L355,0)</f>
        <v>0</v>
      </c>
      <c r="AK355" s="268">
        <f t="shared" ref="AK355" si="531">IF(AN355=12,L355,0)</f>
        <v>0</v>
      </c>
      <c r="AL355" s="268">
        <f t="shared" ref="AL355" si="532">IF(AN355=21,L355,0)</f>
        <v>0</v>
      </c>
      <c r="AN355" s="268">
        <v>12</v>
      </c>
      <c r="AO355" s="268">
        <f>H355*1</f>
        <v>0</v>
      </c>
      <c r="AP355" s="268">
        <f>H355*(1-1)</f>
        <v>0</v>
      </c>
      <c r="AQ355" s="268" t="s">
        <v>93</v>
      </c>
      <c r="AV355" s="268">
        <f t="shared" ref="AV355" si="533">AW355+AX355</f>
        <v>0</v>
      </c>
      <c r="AW355" s="268">
        <f t="shared" ref="AW355" si="534">G355*AO355</f>
        <v>0</v>
      </c>
      <c r="AX355" s="268">
        <f t="shared" ref="AX355" si="535">G355*AP355</f>
        <v>0</v>
      </c>
      <c r="AY355" s="268" t="s">
        <v>832</v>
      </c>
      <c r="AZ355" s="268" t="s">
        <v>267</v>
      </c>
      <c r="BA355" s="268" t="s">
        <v>85</v>
      </c>
      <c r="BC355" s="268">
        <f t="shared" ref="BC355" si="536">AW355+AX355</f>
        <v>0</v>
      </c>
      <c r="BD355" s="268">
        <f t="shared" ref="BD355" si="537">H355/(100-BE355)*100</f>
        <v>0</v>
      </c>
      <c r="BE355" s="268">
        <v>0</v>
      </c>
      <c r="BF355" s="268">
        <f t="shared" ref="BF355" si="538">O355</f>
        <v>5.2872764999999995E-2</v>
      </c>
      <c r="BH355" s="268">
        <f t="shared" ref="BH355" si="539">G355*AO355</f>
        <v>0</v>
      </c>
      <c r="BI355" s="268">
        <f t="shared" ref="BI355" si="540">G355*AP355</f>
        <v>0</v>
      </c>
      <c r="BJ355" s="268">
        <f t="shared" ref="BJ355" si="541">G355*H355</f>
        <v>0</v>
      </c>
      <c r="BL355" s="268">
        <v>764</v>
      </c>
      <c r="BW355" s="268" t="str">
        <f t="shared" ref="BW355" si="542">I355</f>
        <v>12</v>
      </c>
      <c r="BX355" s="268" t="s">
        <v>848</v>
      </c>
    </row>
    <row r="356" spans="1:76" s="230" customFormat="1" ht="6.75" customHeight="1" x14ac:dyDescent="0.25">
      <c r="A356" s="362"/>
      <c r="B356" s="276"/>
      <c r="C356" s="275" t="s">
        <v>90</v>
      </c>
      <c r="D356" s="541"/>
      <c r="E356" s="238" t="str">
        <f>D353</f>
        <v>Přibití pásů rohože hřebíky pod falcované krytiny</v>
      </c>
      <c r="F356" s="265" t="s">
        <v>92</v>
      </c>
      <c r="G356" s="236">
        <f>G353</f>
        <v>96.132299999999987</v>
      </c>
      <c r="H356" s="235"/>
      <c r="I356" s="235"/>
      <c r="J356" s="234"/>
      <c r="K356" s="234"/>
      <c r="L356" s="233"/>
      <c r="M356" s="233"/>
      <c r="N356" s="232"/>
      <c r="O356" s="231"/>
    </row>
    <row r="357" spans="1:76" s="230" customFormat="1" ht="6.75" customHeight="1" x14ac:dyDescent="0.25">
      <c r="A357" s="361">
        <f>SUM(G356:G356)</f>
        <v>96.132299999999987</v>
      </c>
      <c r="B357" s="542"/>
      <c r="C357" s="277"/>
      <c r="D357" s="543">
        <v>0.1</v>
      </c>
      <c r="E357" s="238" t="s">
        <v>320</v>
      </c>
      <c r="F357" s="265" t="s">
        <v>92</v>
      </c>
      <c r="G357" s="236">
        <f>D357*A357</f>
        <v>9.6132299999999997</v>
      </c>
      <c r="H357" s="235"/>
      <c r="I357" s="235"/>
      <c r="J357" s="234"/>
      <c r="K357" s="234"/>
      <c r="L357" s="233"/>
      <c r="M357" s="233"/>
      <c r="N357" s="232"/>
      <c r="O357" s="231"/>
    </row>
    <row r="358" spans="1:76" s="268" customFormat="1" x14ac:dyDescent="0.2">
      <c r="A358" s="251">
        <f>A355+1</f>
        <v>76</v>
      </c>
      <c r="B358" s="250" t="s">
        <v>43</v>
      </c>
      <c r="C358" s="249" t="s">
        <v>844</v>
      </c>
      <c r="D358" s="248" t="s">
        <v>876</v>
      </c>
      <c r="E358" s="248"/>
      <c r="F358" s="247" t="s">
        <v>92</v>
      </c>
      <c r="G358" s="246">
        <f>SUM(G359:G359)</f>
        <v>96.132299999999987</v>
      </c>
      <c r="H358" s="245"/>
      <c r="I358" s="244" t="s">
        <v>95</v>
      </c>
      <c r="J358" s="233">
        <f>G358*AO358</f>
        <v>0</v>
      </c>
      <c r="K358" s="243">
        <f>G358*AP358</f>
        <v>0</v>
      </c>
      <c r="L358" s="242">
        <f>G358*H358</f>
        <v>0</v>
      </c>
      <c r="M358" s="233">
        <f>L358*(1+BW358/100)</f>
        <v>0</v>
      </c>
      <c r="N358" s="241">
        <v>0</v>
      </c>
      <c r="O358" s="240">
        <f>G358*N358</f>
        <v>0</v>
      </c>
      <c r="P358" s="213" t="s">
        <v>769</v>
      </c>
      <c r="Z358" s="268">
        <f>IF(AQ358="5",BJ358,0)</f>
        <v>0</v>
      </c>
      <c r="AB358" s="268">
        <f>IF(AQ358="1",BH358,0)</f>
        <v>0</v>
      </c>
      <c r="AC358" s="268">
        <f>IF(AQ358="1",BI358,0)</f>
        <v>0</v>
      </c>
      <c r="AD358" s="268">
        <f>IF(AQ358="7",BH358,0)</f>
        <v>0</v>
      </c>
      <c r="AE358" s="268">
        <f>IF(AQ358="7",BI358,0)</f>
        <v>0</v>
      </c>
      <c r="AF358" s="268">
        <f>IF(AQ358="2",BH358,0)</f>
        <v>0</v>
      </c>
      <c r="AG358" s="268">
        <f>IF(AQ358="2",BI358,0)</f>
        <v>0</v>
      </c>
      <c r="AH358" s="268">
        <f>IF(AQ358="0",BJ358,0)</f>
        <v>0</v>
      </c>
      <c r="AI358" s="268" t="s">
        <v>43</v>
      </c>
      <c r="AJ358" s="268">
        <f>IF(AN358=0,L358,0)</f>
        <v>0</v>
      </c>
      <c r="AK358" s="268">
        <f>IF(AN358=12,L358,0)</f>
        <v>0</v>
      </c>
      <c r="AL358" s="268">
        <f>IF(AN358=21,L358,0)</f>
        <v>0</v>
      </c>
      <c r="AN358" s="268">
        <v>12</v>
      </c>
      <c r="AO358" s="268">
        <f>H358*0</f>
        <v>0</v>
      </c>
      <c r="AP358" s="268">
        <f>H358*(1-0)</f>
        <v>0</v>
      </c>
      <c r="AQ358" s="268" t="s">
        <v>93</v>
      </c>
      <c r="AV358" s="268">
        <f>AW358+AX358</f>
        <v>0</v>
      </c>
      <c r="AW358" s="268">
        <f>G358*AO358</f>
        <v>0</v>
      </c>
      <c r="AX358" s="268">
        <f>G358*AP358</f>
        <v>0</v>
      </c>
      <c r="AY358" s="268" t="s">
        <v>832</v>
      </c>
      <c r="AZ358" s="268" t="s">
        <v>267</v>
      </c>
      <c r="BA358" s="268" t="s">
        <v>85</v>
      </c>
      <c r="BC358" s="268">
        <f>AW358+AX358</f>
        <v>0</v>
      </c>
      <c r="BD358" s="268">
        <f>H358/(100-BE358)*100</f>
        <v>0</v>
      </c>
      <c r="BE358" s="268">
        <v>0</v>
      </c>
      <c r="BF358" s="268">
        <f>O358</f>
        <v>0</v>
      </c>
      <c r="BH358" s="268">
        <f>G358*AO358</f>
        <v>0</v>
      </c>
      <c r="BI358" s="268">
        <f>G358*AP358</f>
        <v>0</v>
      </c>
      <c r="BJ358" s="268">
        <f>G358*H358</f>
        <v>0</v>
      </c>
      <c r="BL358" s="268">
        <v>764</v>
      </c>
      <c r="BW358" s="268" t="str">
        <f>I358</f>
        <v>12</v>
      </c>
      <c r="BX358" s="268" t="s">
        <v>845</v>
      </c>
    </row>
    <row r="359" spans="1:76" s="230" customFormat="1" ht="6.75" customHeight="1" x14ac:dyDescent="0.25">
      <c r="A359" s="362"/>
      <c r="B359" s="276"/>
      <c r="C359" s="275" t="s">
        <v>90</v>
      </c>
      <c r="D359" s="541"/>
      <c r="E359" s="238" t="str">
        <f>D353</f>
        <v>Přibití pásů rohože hřebíky pod falcované krytiny</v>
      </c>
      <c r="F359" s="265" t="s">
        <v>92</v>
      </c>
      <c r="G359" s="236">
        <f>G353</f>
        <v>96.132299999999987</v>
      </c>
      <c r="H359" s="235"/>
      <c r="I359" s="235"/>
      <c r="J359" s="234"/>
      <c r="K359" s="234"/>
      <c r="L359" s="233"/>
      <c r="M359" s="233"/>
      <c r="N359" s="232"/>
      <c r="O359" s="231"/>
    </row>
    <row r="360" spans="1:76" s="268" customFormat="1" x14ac:dyDescent="0.2">
      <c r="A360" s="251">
        <f>A358+1</f>
        <v>77</v>
      </c>
      <c r="B360" s="250" t="s">
        <v>43</v>
      </c>
      <c r="C360" s="249" t="s">
        <v>849</v>
      </c>
      <c r="D360" s="248" t="s">
        <v>877</v>
      </c>
      <c r="E360" s="248"/>
      <c r="F360" s="247" t="s">
        <v>92</v>
      </c>
      <c r="G360" s="246">
        <f>SUM(G361:G362)</f>
        <v>105.74552999999999</v>
      </c>
      <c r="H360" s="245"/>
      <c r="I360" s="244" t="s">
        <v>95</v>
      </c>
      <c r="J360" s="233">
        <f t="shared" si="412"/>
        <v>0</v>
      </c>
      <c r="K360" s="243">
        <f t="shared" si="413"/>
        <v>0</v>
      </c>
      <c r="L360" s="242">
        <f t="shared" si="414"/>
        <v>0</v>
      </c>
      <c r="M360" s="233">
        <f t="shared" si="415"/>
        <v>0</v>
      </c>
      <c r="N360" s="241">
        <v>1.3999999999999999E-4</v>
      </c>
      <c r="O360" s="240">
        <f t="shared" si="416"/>
        <v>1.4804374199999998E-2</v>
      </c>
      <c r="P360" s="213" t="s">
        <v>769</v>
      </c>
      <c r="Z360" s="268">
        <f t="shared" si="417"/>
        <v>0</v>
      </c>
      <c r="AB360" s="268">
        <f t="shared" si="418"/>
        <v>0</v>
      </c>
      <c r="AC360" s="268">
        <f t="shared" si="419"/>
        <v>0</v>
      </c>
      <c r="AD360" s="268">
        <f t="shared" si="420"/>
        <v>0</v>
      </c>
      <c r="AE360" s="268">
        <f t="shared" si="421"/>
        <v>0</v>
      </c>
      <c r="AF360" s="268">
        <f t="shared" si="422"/>
        <v>0</v>
      </c>
      <c r="AG360" s="268">
        <f t="shared" si="423"/>
        <v>0</v>
      </c>
      <c r="AH360" s="268">
        <f t="shared" si="424"/>
        <v>0</v>
      </c>
      <c r="AI360" s="268" t="s">
        <v>43</v>
      </c>
      <c r="AJ360" s="268">
        <f t="shared" si="425"/>
        <v>0</v>
      </c>
      <c r="AK360" s="268">
        <f t="shared" si="426"/>
        <v>0</v>
      </c>
      <c r="AL360" s="268">
        <f t="shared" si="427"/>
        <v>0</v>
      </c>
      <c r="AN360" s="268">
        <v>12</v>
      </c>
      <c r="AO360" s="268">
        <f>H360*1</f>
        <v>0</v>
      </c>
      <c r="AP360" s="268">
        <f>H360*(1-1)</f>
        <v>0</v>
      </c>
      <c r="AQ360" s="268" t="s">
        <v>93</v>
      </c>
      <c r="AV360" s="268">
        <f t="shared" si="428"/>
        <v>0</v>
      </c>
      <c r="AW360" s="268">
        <f t="shared" si="429"/>
        <v>0</v>
      </c>
      <c r="AX360" s="268">
        <f t="shared" si="430"/>
        <v>0</v>
      </c>
      <c r="AY360" s="268" t="s">
        <v>832</v>
      </c>
      <c r="AZ360" s="268" t="s">
        <v>267</v>
      </c>
      <c r="BA360" s="268" t="s">
        <v>85</v>
      </c>
      <c r="BC360" s="268">
        <f t="shared" si="431"/>
        <v>0</v>
      </c>
      <c r="BD360" s="268">
        <f t="shared" si="432"/>
        <v>0</v>
      </c>
      <c r="BE360" s="268">
        <v>0</v>
      </c>
      <c r="BF360" s="268">
        <f t="shared" si="433"/>
        <v>1.4804374199999998E-2</v>
      </c>
      <c r="BH360" s="268">
        <f t="shared" si="434"/>
        <v>0</v>
      </c>
      <c r="BI360" s="268">
        <f t="shared" si="435"/>
        <v>0</v>
      </c>
      <c r="BJ360" s="268">
        <f t="shared" si="436"/>
        <v>0</v>
      </c>
      <c r="BL360" s="268">
        <v>764</v>
      </c>
      <c r="BW360" s="268" t="str">
        <f t="shared" si="437"/>
        <v>12</v>
      </c>
      <c r="BX360" s="268" t="s">
        <v>850</v>
      </c>
    </row>
    <row r="361" spans="1:76" s="230" customFormat="1" ht="6.75" customHeight="1" x14ac:dyDescent="0.25">
      <c r="A361" s="362"/>
      <c r="B361" s="276"/>
      <c r="C361" s="275" t="s">
        <v>90</v>
      </c>
      <c r="D361" s="541"/>
      <c r="E361" s="238" t="str">
        <f>D358</f>
        <v>Montáž podstřešní fólie - pojistná hydroizolace</v>
      </c>
      <c r="F361" s="265" t="s">
        <v>92</v>
      </c>
      <c r="G361" s="236">
        <f>G358</f>
        <v>96.132299999999987</v>
      </c>
      <c r="H361" s="235"/>
      <c r="I361" s="235"/>
      <c r="J361" s="234"/>
      <c r="K361" s="234"/>
      <c r="L361" s="233"/>
      <c r="M361" s="233"/>
      <c r="N361" s="232"/>
      <c r="O361" s="231"/>
    </row>
    <row r="362" spans="1:76" s="230" customFormat="1" ht="6.75" customHeight="1" x14ac:dyDescent="0.25">
      <c r="A362" s="361">
        <f>SUM(G361:G361)</f>
        <v>96.132299999999987</v>
      </c>
      <c r="B362" s="542"/>
      <c r="C362" s="277"/>
      <c r="D362" s="543">
        <v>0.1</v>
      </c>
      <c r="E362" s="238" t="s">
        <v>320</v>
      </c>
      <c r="F362" s="265" t="s">
        <v>92</v>
      </c>
      <c r="G362" s="236">
        <f>D362*A362</f>
        <v>9.6132299999999997</v>
      </c>
      <c r="H362" s="235"/>
      <c r="I362" s="235"/>
      <c r="J362" s="234"/>
      <c r="K362" s="234"/>
      <c r="L362" s="233"/>
      <c r="M362" s="233"/>
      <c r="N362" s="232"/>
      <c r="O362" s="231"/>
    </row>
    <row r="363" spans="1:76" s="268" customFormat="1" x14ac:dyDescent="0.2">
      <c r="A363" s="251">
        <f>A360+1</f>
        <v>78</v>
      </c>
      <c r="B363" s="250" t="s">
        <v>43</v>
      </c>
      <c r="C363" s="249" t="s">
        <v>851</v>
      </c>
      <c r="D363" s="248" t="s">
        <v>852</v>
      </c>
      <c r="E363" s="248"/>
      <c r="F363" s="247" t="s">
        <v>82</v>
      </c>
      <c r="G363" s="246">
        <f>O328</f>
        <v>1.1057607671999998</v>
      </c>
      <c r="H363" s="245"/>
      <c r="I363" s="244" t="s">
        <v>95</v>
      </c>
      <c r="J363" s="233">
        <f t="shared" si="412"/>
        <v>0</v>
      </c>
      <c r="K363" s="243">
        <f t="shared" si="413"/>
        <v>0</v>
      </c>
      <c r="L363" s="242">
        <f t="shared" si="414"/>
        <v>0</v>
      </c>
      <c r="M363" s="233">
        <f t="shared" si="415"/>
        <v>0</v>
      </c>
      <c r="N363" s="241">
        <v>0</v>
      </c>
      <c r="O363" s="240">
        <v>0</v>
      </c>
      <c r="P363" s="213" t="s">
        <v>769</v>
      </c>
      <c r="Z363" s="268">
        <f t="shared" si="417"/>
        <v>0</v>
      </c>
      <c r="AB363" s="268">
        <f t="shared" si="418"/>
        <v>0</v>
      </c>
      <c r="AC363" s="268">
        <f t="shared" si="419"/>
        <v>0</v>
      </c>
      <c r="AD363" s="268">
        <f t="shared" si="420"/>
        <v>0</v>
      </c>
      <c r="AE363" s="268">
        <f t="shared" si="421"/>
        <v>0</v>
      </c>
      <c r="AF363" s="268">
        <f t="shared" si="422"/>
        <v>0</v>
      </c>
      <c r="AG363" s="268">
        <f t="shared" si="423"/>
        <v>0</v>
      </c>
      <c r="AH363" s="268">
        <f t="shared" si="424"/>
        <v>0</v>
      </c>
      <c r="AI363" s="268" t="s">
        <v>43</v>
      </c>
      <c r="AJ363" s="268">
        <f t="shared" si="425"/>
        <v>0</v>
      </c>
      <c r="AK363" s="268">
        <f t="shared" si="426"/>
        <v>0</v>
      </c>
      <c r="AL363" s="268">
        <f t="shared" si="427"/>
        <v>0</v>
      </c>
      <c r="AN363" s="268">
        <v>12</v>
      </c>
      <c r="AO363" s="268">
        <f>H363*0</f>
        <v>0</v>
      </c>
      <c r="AP363" s="268">
        <f>H363*(1-0)</f>
        <v>0</v>
      </c>
      <c r="AQ363" s="268" t="s">
        <v>88</v>
      </c>
      <c r="AV363" s="268">
        <f t="shared" si="428"/>
        <v>0</v>
      </c>
      <c r="AW363" s="268">
        <f t="shared" si="429"/>
        <v>0</v>
      </c>
      <c r="AX363" s="268">
        <f t="shared" si="430"/>
        <v>0</v>
      </c>
      <c r="AY363" s="268" t="s">
        <v>832</v>
      </c>
      <c r="AZ363" s="268" t="s">
        <v>267</v>
      </c>
      <c r="BA363" s="268" t="s">
        <v>85</v>
      </c>
      <c r="BC363" s="268">
        <f t="shared" si="431"/>
        <v>0</v>
      </c>
      <c r="BD363" s="268">
        <f t="shared" si="432"/>
        <v>0</v>
      </c>
      <c r="BE363" s="268">
        <v>0</v>
      </c>
      <c r="BF363" s="268">
        <f t="shared" si="433"/>
        <v>0</v>
      </c>
      <c r="BH363" s="268">
        <f t="shared" si="434"/>
        <v>0</v>
      </c>
      <c r="BI363" s="268">
        <f t="shared" si="435"/>
        <v>0</v>
      </c>
      <c r="BJ363" s="268">
        <f t="shared" si="436"/>
        <v>0</v>
      </c>
      <c r="BL363" s="268">
        <v>764</v>
      </c>
      <c r="BW363" s="268" t="str">
        <f t="shared" si="437"/>
        <v>12</v>
      </c>
      <c r="BX363" s="268" t="s">
        <v>852</v>
      </c>
    </row>
    <row r="364" spans="1:76" x14ac:dyDescent="0.25">
      <c r="A364" s="264" t="s">
        <v>43</v>
      </c>
      <c r="B364" s="263" t="s">
        <v>43</v>
      </c>
      <c r="C364" s="262"/>
      <c r="D364" s="261" t="str">
        <f>'1-Rekapitulace'!B29</f>
        <v>766 : Konstrukce truhlářské</v>
      </c>
      <c r="E364" s="261"/>
      <c r="F364" s="260" t="s">
        <v>49</v>
      </c>
      <c r="G364" s="259" t="s">
        <v>49</v>
      </c>
      <c r="H364" s="258"/>
      <c r="I364" s="257" t="s">
        <v>49</v>
      </c>
      <c r="J364" s="256">
        <f>SUM(J365:J437)</f>
        <v>0</v>
      </c>
      <c r="K364" s="256">
        <f>SUM(K365:K437)</f>
        <v>0</v>
      </c>
      <c r="L364" s="255">
        <f>SUM(L365:L437)</f>
        <v>0</v>
      </c>
      <c r="M364" s="254">
        <f>SUM(M365:M437)</f>
        <v>0</v>
      </c>
      <c r="N364" s="253" t="s">
        <v>43</v>
      </c>
      <c r="O364" s="252">
        <f>SUM(O365:O437)</f>
        <v>6.9881434798200006</v>
      </c>
      <c r="P364" s="213" t="s">
        <v>43</v>
      </c>
      <c r="AI364" s="212" t="s">
        <v>43</v>
      </c>
      <c r="AS364" s="212">
        <f>SUM(AJ365:AJ437)</f>
        <v>0</v>
      </c>
      <c r="AT364" s="212">
        <f>SUM(AK365:AK437)</f>
        <v>0</v>
      </c>
      <c r="AU364" s="212">
        <f>SUM(AL365:AL437)</f>
        <v>0</v>
      </c>
    </row>
    <row r="365" spans="1:76" s="268" customFormat="1" x14ac:dyDescent="0.2">
      <c r="A365" s="251">
        <f>A363+1</f>
        <v>79</v>
      </c>
      <c r="B365" s="250" t="s">
        <v>43</v>
      </c>
      <c r="C365" s="249" t="s">
        <v>375</v>
      </c>
      <c r="D365" s="248" t="s">
        <v>376</v>
      </c>
      <c r="E365" s="248"/>
      <c r="F365" s="247" t="s">
        <v>272</v>
      </c>
      <c r="G365" s="246">
        <f>SUM(G366:G368)</f>
        <v>549.25365999999997</v>
      </c>
      <c r="H365" s="245"/>
      <c r="I365" s="244" t="s">
        <v>95</v>
      </c>
      <c r="J365" s="233">
        <f t="shared" ref="J365:J437" si="543">G365*AO365</f>
        <v>0</v>
      </c>
      <c r="K365" s="243">
        <f t="shared" ref="K365:K437" si="544">G365*AP365</f>
        <v>0</v>
      </c>
      <c r="L365" s="242">
        <f t="shared" ref="L365:L437" si="545">G365*H365</f>
        <v>0</v>
      </c>
      <c r="M365" s="233">
        <f t="shared" ref="M365:M437" si="546">L365*(1+BW365/100)</f>
        <v>0</v>
      </c>
      <c r="N365" s="241">
        <v>1.8000000000000001E-4</v>
      </c>
      <c r="O365" s="240">
        <f t="shared" ref="O365:O411" si="547">G365*N365</f>
        <v>9.8865658800000006E-2</v>
      </c>
      <c r="P365" s="213" t="s">
        <v>769</v>
      </c>
      <c r="Z365" s="268">
        <f t="shared" ref="Z365:Z437" si="548">IF(AQ365="5",BJ365,0)</f>
        <v>0</v>
      </c>
      <c r="AB365" s="268">
        <f t="shared" ref="AB365:AB437" si="549">IF(AQ365="1",BH365,0)</f>
        <v>0</v>
      </c>
      <c r="AC365" s="268">
        <f t="shared" ref="AC365:AC437" si="550">IF(AQ365="1",BI365,0)</f>
        <v>0</v>
      </c>
      <c r="AD365" s="268">
        <f t="shared" ref="AD365:AD437" si="551">IF(AQ365="7",BH365,0)</f>
        <v>0</v>
      </c>
      <c r="AE365" s="268">
        <f t="shared" ref="AE365:AE437" si="552">IF(AQ365="7",BI365,0)</f>
        <v>0</v>
      </c>
      <c r="AF365" s="268">
        <f t="shared" ref="AF365:AF437" si="553">IF(AQ365="2",BH365,0)</f>
        <v>0</v>
      </c>
      <c r="AG365" s="268">
        <f t="shared" ref="AG365:AG437" si="554">IF(AQ365="2",BI365,0)</f>
        <v>0</v>
      </c>
      <c r="AH365" s="268">
        <f t="shared" ref="AH365:AH437" si="555">IF(AQ365="0",BJ365,0)</f>
        <v>0</v>
      </c>
      <c r="AI365" s="268" t="s">
        <v>43</v>
      </c>
      <c r="AJ365" s="268">
        <f t="shared" ref="AJ365:AJ437" si="556">IF(AN365=0,L365,0)</f>
        <v>0</v>
      </c>
      <c r="AK365" s="268">
        <f t="shared" ref="AK365:AK437" si="557">IF(AN365=12,L365,0)</f>
        <v>0</v>
      </c>
      <c r="AL365" s="268">
        <f t="shared" ref="AL365:AL437" si="558">IF(AN365=21,L365,0)</f>
        <v>0</v>
      </c>
      <c r="AN365" s="268">
        <v>12</v>
      </c>
      <c r="AO365" s="268">
        <f>H365*0.103819411</f>
        <v>0</v>
      </c>
      <c r="AP365" s="268">
        <f>H365*(1-0.103819411)</f>
        <v>0</v>
      </c>
      <c r="AQ365" s="268" t="s">
        <v>93</v>
      </c>
      <c r="AV365" s="268">
        <f t="shared" ref="AV365:AV437" si="559">AW365+AX365</f>
        <v>0</v>
      </c>
      <c r="AW365" s="268">
        <f t="shared" ref="AW365:AW437" si="560">G365*AO365</f>
        <v>0</v>
      </c>
      <c r="AX365" s="268">
        <f t="shared" ref="AX365:AX437" si="561">G365*AP365</f>
        <v>0</v>
      </c>
      <c r="AY365" s="268" t="s">
        <v>373</v>
      </c>
      <c r="AZ365" s="268" t="s">
        <v>267</v>
      </c>
      <c r="BA365" s="268" t="s">
        <v>85</v>
      </c>
      <c r="BC365" s="268">
        <f t="shared" ref="BC365:BC437" si="562">AW365+AX365</f>
        <v>0</v>
      </c>
      <c r="BD365" s="268">
        <f t="shared" ref="BD365:BD437" si="563">H365/(100-BE365)*100</f>
        <v>0</v>
      </c>
      <c r="BE365" s="268">
        <v>0</v>
      </c>
      <c r="BF365" s="268">
        <f t="shared" ref="BF365:BF437" si="564">O365</f>
        <v>9.8865658800000006E-2</v>
      </c>
      <c r="BH365" s="268">
        <f t="shared" ref="BH365:BH437" si="565">G365*AO365</f>
        <v>0</v>
      </c>
      <c r="BI365" s="268">
        <f t="shared" ref="BI365:BI437" si="566">G365*AP365</f>
        <v>0</v>
      </c>
      <c r="BJ365" s="268">
        <f t="shared" ref="BJ365:BJ437" si="567">G365*H365</f>
        <v>0</v>
      </c>
      <c r="BL365" s="268">
        <v>766</v>
      </c>
      <c r="BW365" s="268" t="str">
        <f t="shared" ref="BW365:BW437" si="568">I365</f>
        <v>12</v>
      </c>
      <c r="BX365" s="268" t="s">
        <v>376</v>
      </c>
    </row>
    <row r="366" spans="1:76" s="230" customFormat="1" ht="6.75" customHeight="1" x14ac:dyDescent="0.25">
      <c r="A366" s="361">
        <f>G376</f>
        <v>105.92340000000002</v>
      </c>
      <c r="B366" s="276"/>
      <c r="C366" s="275" t="s">
        <v>90</v>
      </c>
      <c r="D366" s="541">
        <v>2.4</v>
      </c>
      <c r="E366" s="238" t="str">
        <f>D376</f>
        <v>Obložení stěn sádrovlákn.deskami</v>
      </c>
      <c r="F366" s="265" t="s">
        <v>272</v>
      </c>
      <c r="G366" s="236">
        <f t="shared" ref="G366:G368" si="569">A366*D366</f>
        <v>254.21616000000003</v>
      </c>
      <c r="H366" s="235"/>
      <c r="I366" s="235"/>
      <c r="J366" s="234"/>
      <c r="K366" s="234"/>
      <c r="L366" s="233"/>
      <c r="M366" s="233"/>
      <c r="N366" s="232"/>
      <c r="O366" s="231"/>
    </row>
    <row r="367" spans="1:76" s="230" customFormat="1" ht="6.75" customHeight="1" x14ac:dyDescent="0.25">
      <c r="A367" s="361">
        <v>1.1000000000000001</v>
      </c>
      <c r="B367" s="276"/>
      <c r="C367" s="275" t="s">
        <v>90</v>
      </c>
      <c r="D367" s="541">
        <f>SUM(G277:G282)+G270+G269+G261+G255</f>
        <v>182.26099999999997</v>
      </c>
      <c r="E367" s="238" t="str">
        <f>D382</f>
        <v>Obložení stěn palubkami MD, š. do 10 cm</v>
      </c>
      <c r="F367" s="265" t="s">
        <v>272</v>
      </c>
      <c r="G367" s="236">
        <f t="shared" si="569"/>
        <v>200.48709999999997</v>
      </c>
      <c r="H367" s="235"/>
      <c r="I367" s="235"/>
      <c r="J367" s="234"/>
      <c r="K367" s="234"/>
      <c r="L367" s="233"/>
      <c r="M367" s="233"/>
      <c r="N367" s="232"/>
      <c r="O367" s="231"/>
    </row>
    <row r="368" spans="1:76" s="230" customFormat="1" ht="6.75" customHeight="1" x14ac:dyDescent="0.25">
      <c r="A368" s="361">
        <f>G385</f>
        <v>14.112</v>
      </c>
      <c r="B368" s="276"/>
      <c r="C368" s="275" t="s">
        <v>90</v>
      </c>
      <c r="D368" s="541">
        <v>6.7</v>
      </c>
      <c r="E368" s="238" t="str">
        <f>D385</f>
        <v>Montáž obložení ostění, patapetu</v>
      </c>
      <c r="F368" s="265" t="s">
        <v>272</v>
      </c>
      <c r="G368" s="236">
        <f t="shared" si="569"/>
        <v>94.550399999999996</v>
      </c>
      <c r="H368" s="235"/>
      <c r="I368" s="235"/>
      <c r="J368" s="234"/>
      <c r="K368" s="234"/>
      <c r="L368" s="233"/>
      <c r="M368" s="233"/>
      <c r="N368" s="232"/>
      <c r="O368" s="231"/>
    </row>
    <row r="369" spans="1:76" s="268" customFormat="1" x14ac:dyDescent="0.2">
      <c r="A369" s="251">
        <f>A365+1</f>
        <v>80</v>
      </c>
      <c r="B369" s="250" t="s">
        <v>43</v>
      </c>
      <c r="C369" s="249" t="s">
        <v>415</v>
      </c>
      <c r="D369" s="248" t="s">
        <v>417</v>
      </c>
      <c r="E369" s="248"/>
      <c r="F369" s="247" t="s">
        <v>92</v>
      </c>
      <c r="G369" s="246">
        <f>SUM(G370:G375)</f>
        <v>30.5122</v>
      </c>
      <c r="H369" s="245"/>
      <c r="I369" s="244" t="s">
        <v>95</v>
      </c>
      <c r="J369" s="233">
        <f t="shared" ref="J369" si="570">G369*AO369</f>
        <v>0</v>
      </c>
      <c r="K369" s="243">
        <f t="shared" ref="K369" si="571">G369*AP369</f>
        <v>0</v>
      </c>
      <c r="L369" s="242">
        <f t="shared" ref="L369" si="572">G369*H369</f>
        <v>0</v>
      </c>
      <c r="M369" s="233">
        <f t="shared" ref="M369" si="573">L369*(1+BW369/100)</f>
        <v>0</v>
      </c>
      <c r="N369" s="241">
        <v>1.6000000000000001E-4</v>
      </c>
      <c r="O369" s="240">
        <f t="shared" ref="O369" si="574">G369*N369</f>
        <v>4.8819520000000002E-3</v>
      </c>
      <c r="P369" s="213" t="s">
        <v>769</v>
      </c>
      <c r="Z369" s="268">
        <f t="shared" ref="Z369" si="575">IF(AQ369="5",BJ369,0)</f>
        <v>0</v>
      </c>
      <c r="AB369" s="268">
        <f t="shared" ref="AB369" si="576">IF(AQ369="1",BH369,0)</f>
        <v>0</v>
      </c>
      <c r="AC369" s="268">
        <f t="shared" ref="AC369" si="577">IF(AQ369="1",BI369,0)</f>
        <v>0</v>
      </c>
      <c r="AD369" s="268">
        <f t="shared" ref="AD369" si="578">IF(AQ369="7",BH369,0)</f>
        <v>0</v>
      </c>
      <c r="AE369" s="268">
        <f t="shared" ref="AE369" si="579">IF(AQ369="7",BI369,0)</f>
        <v>0</v>
      </c>
      <c r="AF369" s="268">
        <f t="shared" ref="AF369" si="580">IF(AQ369="2",BH369,0)</f>
        <v>0</v>
      </c>
      <c r="AG369" s="268">
        <f t="shared" ref="AG369" si="581">IF(AQ369="2",BI369,0)</f>
        <v>0</v>
      </c>
      <c r="AH369" s="268">
        <f t="shared" ref="AH369" si="582">IF(AQ369="0",BJ369,0)</f>
        <v>0</v>
      </c>
      <c r="AI369" s="268" t="s">
        <v>43</v>
      </c>
      <c r="AJ369" s="268">
        <f t="shared" ref="AJ369" si="583">IF(AN369=0,L369,0)</f>
        <v>0</v>
      </c>
      <c r="AK369" s="268">
        <f t="shared" ref="AK369" si="584">IF(AN369=12,L369,0)</f>
        <v>0</v>
      </c>
      <c r="AL369" s="268">
        <f t="shared" ref="AL369" si="585">IF(AN369=21,L369,0)</f>
        <v>0</v>
      </c>
      <c r="AN369" s="268">
        <v>12</v>
      </c>
      <c r="AO369" s="268">
        <f>H369*0.007626016</f>
        <v>0</v>
      </c>
      <c r="AP369" s="268">
        <f>H369*(1-0.007626016)</f>
        <v>0</v>
      </c>
      <c r="AQ369" s="268" t="s">
        <v>93</v>
      </c>
      <c r="AV369" s="268">
        <f t="shared" ref="AV369" si="586">AW369+AX369</f>
        <v>0</v>
      </c>
      <c r="AW369" s="268">
        <f t="shared" ref="AW369" si="587">G369*AO369</f>
        <v>0</v>
      </c>
      <c r="AX369" s="268">
        <f t="shared" ref="AX369" si="588">G369*AP369</f>
        <v>0</v>
      </c>
      <c r="AY369" s="268" t="s">
        <v>373</v>
      </c>
      <c r="AZ369" s="268" t="s">
        <v>267</v>
      </c>
      <c r="BA369" s="268" t="s">
        <v>85</v>
      </c>
      <c r="BC369" s="268">
        <f t="shared" ref="BC369" si="589">AW369+AX369</f>
        <v>0</v>
      </c>
      <c r="BD369" s="268">
        <f t="shared" ref="BD369" si="590">H369/(100-BE369)*100</f>
        <v>0</v>
      </c>
      <c r="BE369" s="268">
        <v>0</v>
      </c>
      <c r="BF369" s="268">
        <f t="shared" ref="BF369" si="591">O369</f>
        <v>4.8819520000000002E-3</v>
      </c>
      <c r="BH369" s="268">
        <f t="shared" ref="BH369" si="592">G369*AO369</f>
        <v>0</v>
      </c>
      <c r="BI369" s="268">
        <f t="shared" ref="BI369" si="593">G369*AP369</f>
        <v>0</v>
      </c>
      <c r="BJ369" s="268">
        <f t="shared" ref="BJ369" si="594">G369*H369</f>
        <v>0</v>
      </c>
      <c r="BL369" s="268">
        <v>766</v>
      </c>
      <c r="BW369" s="268" t="str">
        <f t="shared" ref="BW369" si="595">I369</f>
        <v>12</v>
      </c>
      <c r="BX369" s="268" t="s">
        <v>416</v>
      </c>
    </row>
    <row r="370" spans="1:76" s="230" customFormat="1" ht="6.75" customHeight="1" x14ac:dyDescent="0.25">
      <c r="A370" s="361">
        <v>8</v>
      </c>
      <c r="B370" s="276"/>
      <c r="C370" s="275">
        <v>0.78</v>
      </c>
      <c r="D370" s="541">
        <v>1.075</v>
      </c>
      <c r="E370" s="238" t="s">
        <v>418</v>
      </c>
      <c r="F370" s="265" t="s">
        <v>92</v>
      </c>
      <c r="G370" s="236">
        <f>A370*D370*C370</f>
        <v>6.7080000000000002</v>
      </c>
      <c r="H370" s="235"/>
      <c r="I370" s="235"/>
      <c r="J370" s="234"/>
      <c r="K370" s="234"/>
      <c r="L370" s="233"/>
      <c r="M370" s="233"/>
      <c r="N370" s="232"/>
      <c r="O370" s="231"/>
    </row>
    <row r="371" spans="1:76" s="230" customFormat="1" ht="6.75" customHeight="1" x14ac:dyDescent="0.25">
      <c r="A371" s="361">
        <v>2</v>
      </c>
      <c r="B371" s="276"/>
      <c r="C371" s="275">
        <v>1.03</v>
      </c>
      <c r="D371" s="541">
        <f>(2.09)</f>
        <v>2.09</v>
      </c>
      <c r="E371" s="238" t="s">
        <v>419</v>
      </c>
      <c r="F371" s="265" t="s">
        <v>92</v>
      </c>
      <c r="G371" s="236">
        <f t="shared" ref="G371:G375" si="596">A371*D371*C371</f>
        <v>4.3053999999999997</v>
      </c>
      <c r="H371" s="235"/>
      <c r="I371" s="235"/>
      <c r="J371" s="234"/>
      <c r="K371" s="234"/>
      <c r="L371" s="233"/>
      <c r="M371" s="233"/>
      <c r="N371" s="232"/>
      <c r="O371" s="231"/>
    </row>
    <row r="372" spans="1:76" s="230" customFormat="1" ht="6.75" customHeight="1" x14ac:dyDescent="0.25">
      <c r="A372" s="361">
        <v>1</v>
      </c>
      <c r="B372" s="276"/>
      <c r="C372" s="275">
        <v>2.0299999999999998</v>
      </c>
      <c r="D372" s="541">
        <f>(2.09)</f>
        <v>2.09</v>
      </c>
      <c r="E372" s="238" t="s">
        <v>420</v>
      </c>
      <c r="F372" s="265" t="s">
        <v>92</v>
      </c>
      <c r="G372" s="236">
        <f t="shared" si="596"/>
        <v>4.2426999999999992</v>
      </c>
      <c r="H372" s="235"/>
      <c r="I372" s="235"/>
      <c r="J372" s="234"/>
      <c r="K372" s="234"/>
      <c r="L372" s="233"/>
      <c r="M372" s="233"/>
      <c r="N372" s="232"/>
      <c r="O372" s="231"/>
    </row>
    <row r="373" spans="1:76" s="230" customFormat="1" ht="6.75" customHeight="1" x14ac:dyDescent="0.25">
      <c r="A373" s="361">
        <f>A370</f>
        <v>8</v>
      </c>
      <c r="B373" s="276"/>
      <c r="C373" s="275">
        <f>C370</f>
        <v>0.78</v>
      </c>
      <c r="D373" s="541">
        <f>D370</f>
        <v>1.075</v>
      </c>
      <c r="E373" s="238" t="s">
        <v>421</v>
      </c>
      <c r="F373" s="265" t="s">
        <v>92</v>
      </c>
      <c r="G373" s="236">
        <f t="shared" si="596"/>
        <v>6.7080000000000002</v>
      </c>
      <c r="H373" s="235"/>
      <c r="I373" s="235"/>
      <c r="J373" s="234"/>
      <c r="K373" s="234"/>
      <c r="L373" s="233"/>
      <c r="M373" s="233"/>
      <c r="N373" s="232"/>
      <c r="O373" s="231"/>
    </row>
    <row r="374" spans="1:76" s="230" customFormat="1" ht="6.75" customHeight="1" x14ac:dyDescent="0.25">
      <c r="A374" s="361">
        <f t="shared" ref="A374:A375" si="597">A371</f>
        <v>2</v>
      </c>
      <c r="B374" s="276"/>
      <c r="C374" s="275">
        <f t="shared" ref="C374:D375" si="598">C371</f>
        <v>1.03</v>
      </c>
      <c r="D374" s="541">
        <f t="shared" si="598"/>
        <v>2.09</v>
      </c>
      <c r="E374" s="238" t="s">
        <v>422</v>
      </c>
      <c r="F374" s="265" t="s">
        <v>92</v>
      </c>
      <c r="G374" s="236">
        <f t="shared" si="596"/>
        <v>4.3053999999999997</v>
      </c>
      <c r="H374" s="235"/>
      <c r="I374" s="235"/>
      <c r="J374" s="234"/>
      <c r="K374" s="234"/>
      <c r="L374" s="233"/>
      <c r="M374" s="233"/>
      <c r="N374" s="232"/>
      <c r="O374" s="231"/>
    </row>
    <row r="375" spans="1:76" s="230" customFormat="1" ht="6.75" customHeight="1" x14ac:dyDescent="0.25">
      <c r="A375" s="361">
        <f t="shared" si="597"/>
        <v>1</v>
      </c>
      <c r="B375" s="276"/>
      <c r="C375" s="275">
        <f t="shared" si="598"/>
        <v>2.0299999999999998</v>
      </c>
      <c r="D375" s="541">
        <f t="shared" si="598"/>
        <v>2.09</v>
      </c>
      <c r="E375" s="238" t="s">
        <v>423</v>
      </c>
      <c r="F375" s="265" t="s">
        <v>92</v>
      </c>
      <c r="G375" s="236">
        <f t="shared" si="596"/>
        <v>4.2426999999999992</v>
      </c>
      <c r="H375" s="235"/>
      <c r="I375" s="235"/>
      <c r="J375" s="234"/>
      <c r="K375" s="234"/>
      <c r="L375" s="233"/>
      <c r="M375" s="233"/>
      <c r="N375" s="232"/>
      <c r="O375" s="231"/>
    </row>
    <row r="376" spans="1:76" s="268" customFormat="1" x14ac:dyDescent="0.2">
      <c r="A376" s="251">
        <f t="shared" ref="A376" si="599">A369+1</f>
        <v>81</v>
      </c>
      <c r="B376" s="250" t="s">
        <v>43</v>
      </c>
      <c r="C376" s="249" t="s">
        <v>377</v>
      </c>
      <c r="D376" s="248" t="s">
        <v>402</v>
      </c>
      <c r="E376" s="248"/>
      <c r="F376" s="247" t="s">
        <v>92</v>
      </c>
      <c r="G376" s="246">
        <f>SUM(G377:G381)</f>
        <v>105.92340000000002</v>
      </c>
      <c r="H376" s="245"/>
      <c r="I376" s="244" t="s">
        <v>95</v>
      </c>
      <c r="J376" s="233">
        <f t="shared" si="543"/>
        <v>0</v>
      </c>
      <c r="K376" s="243">
        <f t="shared" si="544"/>
        <v>0</v>
      </c>
      <c r="L376" s="242">
        <f t="shared" si="545"/>
        <v>0</v>
      </c>
      <c r="M376" s="233">
        <f t="shared" si="546"/>
        <v>0</v>
      </c>
      <c r="N376" s="241">
        <v>1.7000000000000001E-4</v>
      </c>
      <c r="O376" s="240">
        <f t="shared" si="547"/>
        <v>1.8006978000000003E-2</v>
      </c>
      <c r="P376" s="213" t="s">
        <v>769</v>
      </c>
      <c r="Z376" s="268">
        <f t="shared" si="548"/>
        <v>0</v>
      </c>
      <c r="AB376" s="268">
        <f t="shared" si="549"/>
        <v>0</v>
      </c>
      <c r="AC376" s="268">
        <f t="shared" si="550"/>
        <v>0</v>
      </c>
      <c r="AD376" s="268">
        <f t="shared" si="551"/>
        <v>0</v>
      </c>
      <c r="AE376" s="268">
        <f t="shared" si="552"/>
        <v>0</v>
      </c>
      <c r="AF376" s="268">
        <f t="shared" si="553"/>
        <v>0</v>
      </c>
      <c r="AG376" s="268">
        <f t="shared" si="554"/>
        <v>0</v>
      </c>
      <c r="AH376" s="268">
        <f t="shared" si="555"/>
        <v>0</v>
      </c>
      <c r="AI376" s="268" t="s">
        <v>43</v>
      </c>
      <c r="AJ376" s="268">
        <f t="shared" si="556"/>
        <v>0</v>
      </c>
      <c r="AK376" s="268">
        <f t="shared" si="557"/>
        <v>0</v>
      </c>
      <c r="AL376" s="268">
        <f t="shared" si="558"/>
        <v>0</v>
      </c>
      <c r="AN376" s="268">
        <v>12</v>
      </c>
      <c r="AO376" s="268">
        <f>H376*0.01816273</f>
        <v>0</v>
      </c>
      <c r="AP376" s="268">
        <f>H376*(1-0.01816273)</f>
        <v>0</v>
      </c>
      <c r="AQ376" s="268" t="s">
        <v>93</v>
      </c>
      <c r="AV376" s="268">
        <f t="shared" si="559"/>
        <v>0</v>
      </c>
      <c r="AW376" s="268">
        <f t="shared" si="560"/>
        <v>0</v>
      </c>
      <c r="AX376" s="268">
        <f t="shared" si="561"/>
        <v>0</v>
      </c>
      <c r="AY376" s="268" t="s">
        <v>373</v>
      </c>
      <c r="AZ376" s="268" t="s">
        <v>267</v>
      </c>
      <c r="BA376" s="268" t="s">
        <v>85</v>
      </c>
      <c r="BC376" s="268">
        <f t="shared" si="562"/>
        <v>0</v>
      </c>
      <c r="BD376" s="268">
        <f t="shared" si="563"/>
        <v>0</v>
      </c>
      <c r="BE376" s="268">
        <v>0</v>
      </c>
      <c r="BF376" s="268">
        <f t="shared" si="564"/>
        <v>1.8006978000000003E-2</v>
      </c>
      <c r="BH376" s="268">
        <f t="shared" si="565"/>
        <v>0</v>
      </c>
      <c r="BI376" s="268">
        <f t="shared" si="566"/>
        <v>0</v>
      </c>
      <c r="BJ376" s="268">
        <f t="shared" si="567"/>
        <v>0</v>
      </c>
      <c r="BL376" s="268">
        <v>766</v>
      </c>
      <c r="BW376" s="268" t="str">
        <f t="shared" si="568"/>
        <v>12</v>
      </c>
      <c r="BX376" s="268" t="s">
        <v>378</v>
      </c>
    </row>
    <row r="377" spans="1:76" s="230" customFormat="1" ht="6.75" customHeight="1" x14ac:dyDescent="0.25">
      <c r="A377" s="361">
        <v>2.65</v>
      </c>
      <c r="B377" s="276"/>
      <c r="C377" s="275">
        <f>7.63+0.125+2.33</f>
        <v>10.085000000000001</v>
      </c>
      <c r="D377" s="541">
        <v>4.835</v>
      </c>
      <c r="E377" s="238" t="s">
        <v>426</v>
      </c>
      <c r="F377" s="265" t="s">
        <v>92</v>
      </c>
      <c r="G377" s="236">
        <f>A377*2*(D377+C377)</f>
        <v>79.076000000000008</v>
      </c>
      <c r="H377" s="235"/>
      <c r="I377" s="235"/>
      <c r="J377" s="234"/>
      <c r="K377" s="234"/>
      <c r="L377" s="233"/>
      <c r="M377" s="233"/>
      <c r="N377" s="232"/>
      <c r="O377" s="231"/>
    </row>
    <row r="378" spans="1:76" s="230" customFormat="1" ht="6.75" customHeight="1" x14ac:dyDescent="0.25">
      <c r="A378" s="361">
        <f>SUM(G370:G372)</f>
        <v>15.2561</v>
      </c>
      <c r="B378" s="276"/>
      <c r="C378" s="275" t="s">
        <v>411</v>
      </c>
      <c r="D378" s="541">
        <v>-1</v>
      </c>
      <c r="E378" s="238" t="s">
        <v>424</v>
      </c>
      <c r="F378" s="265" t="s">
        <v>92</v>
      </c>
      <c r="G378" s="236">
        <f>A378*D378+1.1</f>
        <v>-14.1561</v>
      </c>
      <c r="H378" s="235"/>
      <c r="I378" s="235"/>
      <c r="J378" s="234"/>
      <c r="K378" s="234"/>
      <c r="L378" s="233"/>
      <c r="M378" s="233"/>
      <c r="N378" s="232"/>
      <c r="O378" s="231"/>
    </row>
    <row r="379" spans="1:76" s="230" customFormat="1" ht="6.75" customHeight="1" x14ac:dyDescent="0.25">
      <c r="A379" s="361">
        <v>1.3</v>
      </c>
      <c r="B379" s="276"/>
      <c r="C379" s="275">
        <f>2.33</f>
        <v>2.33</v>
      </c>
      <c r="D379" s="541"/>
      <c r="E379" s="238" t="s">
        <v>425</v>
      </c>
      <c r="F379" s="265" t="s">
        <v>92</v>
      </c>
      <c r="G379" s="236">
        <f>A379*(D379+C379)</f>
        <v>3.0290000000000004</v>
      </c>
      <c r="H379" s="235"/>
      <c r="I379" s="235"/>
      <c r="J379" s="234"/>
      <c r="K379" s="234"/>
      <c r="L379" s="233"/>
      <c r="M379" s="233"/>
      <c r="N379" s="232"/>
      <c r="O379" s="231"/>
    </row>
    <row r="380" spans="1:76" s="230" customFormat="1" ht="6.75" customHeight="1" x14ac:dyDescent="0.25">
      <c r="A380" s="361">
        <v>2.65</v>
      </c>
      <c r="B380" s="276"/>
      <c r="C380" s="275">
        <f>2.33</f>
        <v>2.33</v>
      </c>
      <c r="D380" s="541">
        <v>4.835</v>
      </c>
      <c r="E380" s="238" t="s">
        <v>445</v>
      </c>
      <c r="F380" s="265" t="s">
        <v>92</v>
      </c>
      <c r="G380" s="236">
        <f>A380*(D380+C380)</f>
        <v>18.98725</v>
      </c>
      <c r="H380" s="235"/>
      <c r="I380" s="235"/>
      <c r="J380" s="234"/>
      <c r="K380" s="234"/>
      <c r="L380" s="233"/>
      <c r="M380" s="233"/>
      <c r="N380" s="232"/>
      <c r="O380" s="231"/>
    </row>
    <row r="381" spans="1:76" s="230" customFormat="1" ht="6.75" customHeight="1" x14ac:dyDescent="0.25">
      <c r="A381" s="361"/>
      <c r="B381" s="276"/>
      <c r="C381" s="275"/>
      <c r="D381" s="541"/>
      <c r="E381" s="238" t="s">
        <v>427</v>
      </c>
      <c r="F381" s="265" t="s">
        <v>92</v>
      </c>
      <c r="G381" s="236">
        <f>G380</f>
        <v>18.98725</v>
      </c>
      <c r="H381" s="235"/>
      <c r="I381" s="235"/>
      <c r="J381" s="234"/>
      <c r="K381" s="234"/>
      <c r="L381" s="233"/>
      <c r="M381" s="233"/>
      <c r="N381" s="232"/>
      <c r="O381" s="231"/>
    </row>
    <row r="382" spans="1:76" s="268" customFormat="1" x14ac:dyDescent="0.2">
      <c r="A382" s="251">
        <f>A376+1</f>
        <v>82</v>
      </c>
      <c r="B382" s="250" t="s">
        <v>43</v>
      </c>
      <c r="C382" s="249" t="s">
        <v>379</v>
      </c>
      <c r="D382" s="248" t="s">
        <v>429</v>
      </c>
      <c r="E382" s="248"/>
      <c r="F382" s="247" t="s">
        <v>92</v>
      </c>
      <c r="G382" s="246">
        <f>SUM(G383:G384)</f>
        <v>76.362300000000005</v>
      </c>
      <c r="H382" s="245"/>
      <c r="I382" s="244" t="s">
        <v>95</v>
      </c>
      <c r="J382" s="233">
        <f t="shared" si="543"/>
        <v>0</v>
      </c>
      <c r="K382" s="243">
        <f t="shared" si="544"/>
        <v>0</v>
      </c>
      <c r="L382" s="242">
        <f t="shared" si="545"/>
        <v>0</v>
      </c>
      <c r="M382" s="233">
        <f t="shared" si="546"/>
        <v>0</v>
      </c>
      <c r="N382" s="241">
        <v>1.9000000000000001E-4</v>
      </c>
      <c r="O382" s="240">
        <f t="shared" si="547"/>
        <v>1.4508837000000002E-2</v>
      </c>
      <c r="P382" s="213" t="s">
        <v>769</v>
      </c>
      <c r="Z382" s="268">
        <f t="shared" si="548"/>
        <v>0</v>
      </c>
      <c r="AB382" s="268">
        <f t="shared" si="549"/>
        <v>0</v>
      </c>
      <c r="AC382" s="268">
        <f t="shared" si="550"/>
        <v>0</v>
      </c>
      <c r="AD382" s="268">
        <f t="shared" si="551"/>
        <v>0</v>
      </c>
      <c r="AE382" s="268">
        <f t="shared" si="552"/>
        <v>0</v>
      </c>
      <c r="AF382" s="268">
        <f t="shared" si="553"/>
        <v>0</v>
      </c>
      <c r="AG382" s="268">
        <f t="shared" si="554"/>
        <v>0</v>
      </c>
      <c r="AH382" s="268">
        <f t="shared" si="555"/>
        <v>0</v>
      </c>
      <c r="AI382" s="268" t="s">
        <v>43</v>
      </c>
      <c r="AJ382" s="268">
        <f t="shared" si="556"/>
        <v>0</v>
      </c>
      <c r="AK382" s="268">
        <f t="shared" si="557"/>
        <v>0</v>
      </c>
      <c r="AL382" s="268">
        <f t="shared" si="558"/>
        <v>0</v>
      </c>
      <c r="AN382" s="268">
        <v>12</v>
      </c>
      <c r="AO382" s="268">
        <f>H382*0.020056738</f>
        <v>0</v>
      </c>
      <c r="AP382" s="268">
        <f>H382*(1-0.020056738)</f>
        <v>0</v>
      </c>
      <c r="AQ382" s="268" t="s">
        <v>93</v>
      </c>
      <c r="AV382" s="268">
        <f t="shared" si="559"/>
        <v>0</v>
      </c>
      <c r="AW382" s="268">
        <f t="shared" si="560"/>
        <v>0</v>
      </c>
      <c r="AX382" s="268">
        <f t="shared" si="561"/>
        <v>0</v>
      </c>
      <c r="AY382" s="268" t="s">
        <v>373</v>
      </c>
      <c r="AZ382" s="268" t="s">
        <v>267</v>
      </c>
      <c r="BA382" s="268" t="s">
        <v>85</v>
      </c>
      <c r="BC382" s="268">
        <f t="shared" si="562"/>
        <v>0</v>
      </c>
      <c r="BD382" s="268">
        <f t="shared" si="563"/>
        <v>0</v>
      </c>
      <c r="BE382" s="268">
        <v>0</v>
      </c>
      <c r="BF382" s="268">
        <f t="shared" si="564"/>
        <v>1.4508837000000002E-2</v>
      </c>
      <c r="BH382" s="268">
        <f t="shared" si="565"/>
        <v>0</v>
      </c>
      <c r="BI382" s="268">
        <f t="shared" si="566"/>
        <v>0</v>
      </c>
      <c r="BJ382" s="268">
        <f t="shared" si="567"/>
        <v>0</v>
      </c>
      <c r="BL382" s="268">
        <v>766</v>
      </c>
      <c r="BW382" s="268" t="str">
        <f t="shared" si="568"/>
        <v>12</v>
      </c>
      <c r="BX382" s="268" t="s">
        <v>380</v>
      </c>
    </row>
    <row r="383" spans="1:76" s="230" customFormat="1" ht="6.75" customHeight="1" x14ac:dyDescent="0.25">
      <c r="A383" s="361">
        <v>2.8</v>
      </c>
      <c r="B383" s="276"/>
      <c r="C383" s="275">
        <f>7.63+0.125+2.33+0.311*2</f>
        <v>10.707000000000001</v>
      </c>
      <c r="D383" s="541">
        <f>4.835+0.311*2</f>
        <v>5.4569999999999999</v>
      </c>
      <c r="E383" s="238" t="s">
        <v>428</v>
      </c>
      <c r="F383" s="265" t="s">
        <v>92</v>
      </c>
      <c r="G383" s="236">
        <f>A383*2*(D383+C383)</f>
        <v>90.5184</v>
      </c>
      <c r="H383" s="235"/>
      <c r="I383" s="235"/>
      <c r="J383" s="234"/>
      <c r="K383" s="234"/>
      <c r="L383" s="233"/>
      <c r="M383" s="233"/>
      <c r="N383" s="232"/>
      <c r="O383" s="231"/>
    </row>
    <row r="384" spans="1:76" s="230" customFormat="1" ht="6.75" customHeight="1" x14ac:dyDescent="0.25">
      <c r="A384" s="361">
        <f>SUM(G373:G375)</f>
        <v>15.2561</v>
      </c>
      <c r="B384" s="276"/>
      <c r="C384" s="275" t="s">
        <v>411</v>
      </c>
      <c r="D384" s="541">
        <v>-1</v>
      </c>
      <c r="E384" s="238" t="s">
        <v>424</v>
      </c>
      <c r="F384" s="265" t="s">
        <v>92</v>
      </c>
      <c r="G384" s="236">
        <f>A384*D384+1.1</f>
        <v>-14.1561</v>
      </c>
      <c r="H384" s="235"/>
      <c r="I384" s="235"/>
      <c r="J384" s="234"/>
      <c r="K384" s="234"/>
      <c r="L384" s="233"/>
      <c r="M384" s="233"/>
      <c r="N384" s="232"/>
      <c r="O384" s="231"/>
    </row>
    <row r="385" spans="1:76" s="268" customFormat="1" x14ac:dyDescent="0.2">
      <c r="A385" s="251">
        <f>A382+1</f>
        <v>83</v>
      </c>
      <c r="B385" s="250" t="s">
        <v>43</v>
      </c>
      <c r="C385" s="249" t="s">
        <v>381</v>
      </c>
      <c r="D385" s="248" t="s">
        <v>410</v>
      </c>
      <c r="E385" s="248"/>
      <c r="F385" s="247" t="s">
        <v>92</v>
      </c>
      <c r="G385" s="246">
        <f>SUM(G386:G391)</f>
        <v>14.112</v>
      </c>
      <c r="H385" s="245"/>
      <c r="I385" s="244" t="s">
        <v>95</v>
      </c>
      <c r="J385" s="233">
        <f t="shared" si="543"/>
        <v>0</v>
      </c>
      <c r="K385" s="243">
        <f t="shared" si="544"/>
        <v>0</v>
      </c>
      <c r="L385" s="242">
        <f t="shared" si="545"/>
        <v>0</v>
      </c>
      <c r="M385" s="233">
        <f t="shared" si="546"/>
        <v>0</v>
      </c>
      <c r="N385" s="241">
        <v>1.6000000000000001E-4</v>
      </c>
      <c r="O385" s="240">
        <f t="shared" si="547"/>
        <v>2.2579200000000001E-3</v>
      </c>
      <c r="P385" s="213" t="s">
        <v>769</v>
      </c>
      <c r="Z385" s="268">
        <f t="shared" si="548"/>
        <v>0</v>
      </c>
      <c r="AB385" s="268">
        <f t="shared" si="549"/>
        <v>0</v>
      </c>
      <c r="AC385" s="268">
        <f t="shared" si="550"/>
        <v>0</v>
      </c>
      <c r="AD385" s="268">
        <f t="shared" si="551"/>
        <v>0</v>
      </c>
      <c r="AE385" s="268">
        <f t="shared" si="552"/>
        <v>0</v>
      </c>
      <c r="AF385" s="268">
        <f t="shared" si="553"/>
        <v>0</v>
      </c>
      <c r="AG385" s="268">
        <f t="shared" si="554"/>
        <v>0</v>
      </c>
      <c r="AH385" s="268">
        <f t="shared" si="555"/>
        <v>0</v>
      </c>
      <c r="AI385" s="268" t="s">
        <v>43</v>
      </c>
      <c r="AJ385" s="268">
        <f t="shared" si="556"/>
        <v>0</v>
      </c>
      <c r="AK385" s="268">
        <f t="shared" si="557"/>
        <v>0</v>
      </c>
      <c r="AL385" s="268">
        <f t="shared" si="558"/>
        <v>0</v>
      </c>
      <c r="AN385" s="268">
        <v>12</v>
      </c>
      <c r="AO385" s="268">
        <f>H385*0.007095417</f>
        <v>0</v>
      </c>
      <c r="AP385" s="268">
        <f>H385*(1-0.007095417)</f>
        <v>0</v>
      </c>
      <c r="AQ385" s="268" t="s">
        <v>93</v>
      </c>
      <c r="AV385" s="268">
        <f t="shared" si="559"/>
        <v>0</v>
      </c>
      <c r="AW385" s="268">
        <f t="shared" si="560"/>
        <v>0</v>
      </c>
      <c r="AX385" s="268">
        <f t="shared" si="561"/>
        <v>0</v>
      </c>
      <c r="AY385" s="268" t="s">
        <v>373</v>
      </c>
      <c r="AZ385" s="268" t="s">
        <v>267</v>
      </c>
      <c r="BA385" s="268" t="s">
        <v>85</v>
      </c>
      <c r="BC385" s="268">
        <f t="shared" si="562"/>
        <v>0</v>
      </c>
      <c r="BD385" s="268">
        <f t="shared" si="563"/>
        <v>0</v>
      </c>
      <c r="BE385" s="268">
        <v>0</v>
      </c>
      <c r="BF385" s="268">
        <f t="shared" si="564"/>
        <v>2.2579200000000001E-3</v>
      </c>
      <c r="BH385" s="268">
        <f t="shared" si="565"/>
        <v>0</v>
      </c>
      <c r="BI385" s="268">
        <f t="shared" si="566"/>
        <v>0</v>
      </c>
      <c r="BJ385" s="268">
        <f t="shared" si="567"/>
        <v>0</v>
      </c>
      <c r="BL385" s="268">
        <v>766</v>
      </c>
      <c r="BW385" s="268" t="str">
        <f t="shared" si="568"/>
        <v>12</v>
      </c>
      <c r="BX385" s="268" t="s">
        <v>382</v>
      </c>
    </row>
    <row r="386" spans="1:76" s="230" customFormat="1" ht="6.75" customHeight="1" x14ac:dyDescent="0.25">
      <c r="A386" s="361">
        <v>0.19</v>
      </c>
      <c r="B386" s="276"/>
      <c r="C386" s="275">
        <v>8</v>
      </c>
      <c r="D386" s="541">
        <f>2*(0.78+1.075)</f>
        <v>3.71</v>
      </c>
      <c r="E386" s="238" t="s">
        <v>404</v>
      </c>
      <c r="F386" s="265" t="s">
        <v>92</v>
      </c>
      <c r="G386" s="236">
        <f>A386*D386*C386</f>
        <v>5.6391999999999998</v>
      </c>
      <c r="H386" s="235"/>
      <c r="I386" s="235"/>
      <c r="J386" s="234"/>
      <c r="K386" s="234"/>
      <c r="L386" s="233"/>
      <c r="M386" s="233"/>
      <c r="N386" s="232"/>
      <c r="O386" s="231"/>
    </row>
    <row r="387" spans="1:76" s="230" customFormat="1" ht="6.75" customHeight="1" x14ac:dyDescent="0.25">
      <c r="A387" s="361">
        <v>0.19</v>
      </c>
      <c r="B387" s="276"/>
      <c r="C387" s="275">
        <v>2</v>
      </c>
      <c r="D387" s="541">
        <f>(1.03+2.09)*2</f>
        <v>6.24</v>
      </c>
      <c r="E387" s="238" t="s">
        <v>406</v>
      </c>
      <c r="F387" s="265" t="s">
        <v>92</v>
      </c>
      <c r="G387" s="236">
        <f t="shared" ref="G387:G391" si="600">A387*D387*C387</f>
        <v>2.3712</v>
      </c>
      <c r="H387" s="235"/>
      <c r="I387" s="235"/>
      <c r="J387" s="234"/>
      <c r="K387" s="234"/>
      <c r="L387" s="233"/>
      <c r="M387" s="233"/>
      <c r="N387" s="232"/>
      <c r="O387" s="231"/>
    </row>
    <row r="388" spans="1:76" s="230" customFormat="1" ht="6.75" customHeight="1" x14ac:dyDescent="0.25">
      <c r="A388" s="361">
        <v>0.19</v>
      </c>
      <c r="B388" s="276"/>
      <c r="C388" s="275">
        <v>1</v>
      </c>
      <c r="D388" s="541">
        <f>(2.03+2.09)*2</f>
        <v>8.2399999999999984</v>
      </c>
      <c r="E388" s="238" t="s">
        <v>407</v>
      </c>
      <c r="F388" s="265" t="s">
        <v>92</v>
      </c>
      <c r="G388" s="236">
        <f t="shared" si="600"/>
        <v>1.5655999999999997</v>
      </c>
      <c r="H388" s="235"/>
      <c r="I388" s="235"/>
      <c r="J388" s="234"/>
      <c r="K388" s="234"/>
      <c r="L388" s="233"/>
      <c r="M388" s="233"/>
      <c r="N388" s="232"/>
      <c r="O388" s="231"/>
    </row>
    <row r="389" spans="1:76" s="230" customFormat="1" ht="6.75" customHeight="1" x14ac:dyDescent="0.25">
      <c r="A389" s="361">
        <v>0.09</v>
      </c>
      <c r="B389" s="276"/>
      <c r="C389" s="275">
        <f>C386</f>
        <v>8</v>
      </c>
      <c r="D389" s="541">
        <f>D386</f>
        <v>3.71</v>
      </c>
      <c r="E389" s="238" t="s">
        <v>405</v>
      </c>
      <c r="F389" s="265" t="s">
        <v>92</v>
      </c>
      <c r="G389" s="236">
        <f t="shared" si="600"/>
        <v>2.6711999999999998</v>
      </c>
      <c r="H389" s="235"/>
      <c r="I389" s="235"/>
      <c r="J389" s="234"/>
      <c r="K389" s="234"/>
      <c r="L389" s="233"/>
      <c r="M389" s="233"/>
      <c r="N389" s="232"/>
      <c r="O389" s="231"/>
    </row>
    <row r="390" spans="1:76" s="230" customFormat="1" ht="6.75" customHeight="1" x14ac:dyDescent="0.25">
      <c r="A390" s="361">
        <v>0.09</v>
      </c>
      <c r="B390" s="276"/>
      <c r="C390" s="275">
        <f t="shared" ref="C390:C391" si="601">C387</f>
        <v>2</v>
      </c>
      <c r="D390" s="541">
        <f t="shared" ref="D390:D391" si="602">D387</f>
        <v>6.24</v>
      </c>
      <c r="E390" s="238" t="s">
        <v>409</v>
      </c>
      <c r="F390" s="265" t="s">
        <v>92</v>
      </c>
      <c r="G390" s="236">
        <f t="shared" si="600"/>
        <v>1.1232</v>
      </c>
      <c r="H390" s="235"/>
      <c r="I390" s="235"/>
      <c r="J390" s="234"/>
      <c r="K390" s="234"/>
      <c r="L390" s="233"/>
      <c r="M390" s="233"/>
      <c r="N390" s="232"/>
      <c r="O390" s="231"/>
    </row>
    <row r="391" spans="1:76" s="230" customFormat="1" ht="6.75" customHeight="1" x14ac:dyDescent="0.25">
      <c r="A391" s="361">
        <v>0.09</v>
      </c>
      <c r="B391" s="276"/>
      <c r="C391" s="275">
        <f t="shared" si="601"/>
        <v>1</v>
      </c>
      <c r="D391" s="541">
        <f t="shared" si="602"/>
        <v>8.2399999999999984</v>
      </c>
      <c r="E391" s="238" t="s">
        <v>408</v>
      </c>
      <c r="F391" s="265" t="s">
        <v>92</v>
      </c>
      <c r="G391" s="236">
        <f t="shared" si="600"/>
        <v>0.74159999999999981</v>
      </c>
      <c r="H391" s="235"/>
      <c r="I391" s="235"/>
      <c r="J391" s="234"/>
      <c r="K391" s="234"/>
      <c r="L391" s="233"/>
      <c r="M391" s="233"/>
      <c r="N391" s="232"/>
      <c r="O391" s="231"/>
    </row>
    <row r="392" spans="1:76" s="268" customFormat="1" x14ac:dyDescent="0.2">
      <c r="A392" s="251">
        <f>A385+1</f>
        <v>84</v>
      </c>
      <c r="B392" s="250" t="s">
        <v>43</v>
      </c>
      <c r="C392" s="249" t="s">
        <v>396</v>
      </c>
      <c r="D392" s="248" t="s">
        <v>403</v>
      </c>
      <c r="E392" s="248"/>
      <c r="F392" s="247" t="s">
        <v>272</v>
      </c>
      <c r="G392" s="246">
        <f>SUM(G393:G395)</f>
        <v>50.399999999999991</v>
      </c>
      <c r="H392" s="245"/>
      <c r="I392" s="244" t="s">
        <v>95</v>
      </c>
      <c r="J392" s="233">
        <f t="shared" si="543"/>
        <v>0</v>
      </c>
      <c r="K392" s="243">
        <f t="shared" si="544"/>
        <v>0</v>
      </c>
      <c r="L392" s="242">
        <f t="shared" si="545"/>
        <v>0</v>
      </c>
      <c r="M392" s="233">
        <f t="shared" si="546"/>
        <v>0</v>
      </c>
      <c r="N392" s="241">
        <v>1.6000000000000001E-4</v>
      </c>
      <c r="O392" s="240">
        <f t="shared" si="547"/>
        <v>8.064E-3</v>
      </c>
      <c r="P392" s="213" t="s">
        <v>769</v>
      </c>
      <c r="Z392" s="268">
        <f t="shared" si="548"/>
        <v>0</v>
      </c>
      <c r="AB392" s="268">
        <f t="shared" si="549"/>
        <v>0</v>
      </c>
      <c r="AC392" s="268">
        <f t="shared" si="550"/>
        <v>0</v>
      </c>
      <c r="AD392" s="268">
        <f t="shared" si="551"/>
        <v>0</v>
      </c>
      <c r="AE392" s="268">
        <f t="shared" si="552"/>
        <v>0</v>
      </c>
      <c r="AF392" s="268">
        <f t="shared" si="553"/>
        <v>0</v>
      </c>
      <c r="AG392" s="268">
        <f t="shared" si="554"/>
        <v>0</v>
      </c>
      <c r="AH392" s="268">
        <f t="shared" si="555"/>
        <v>0</v>
      </c>
      <c r="AI392" s="268" t="s">
        <v>43</v>
      </c>
      <c r="AJ392" s="268">
        <f t="shared" si="556"/>
        <v>0</v>
      </c>
      <c r="AK392" s="268">
        <f t="shared" si="557"/>
        <v>0</v>
      </c>
      <c r="AL392" s="268">
        <f t="shared" si="558"/>
        <v>0</v>
      </c>
      <c r="AN392" s="268">
        <v>12</v>
      </c>
      <c r="AO392" s="268">
        <f>H392*0.016992754</f>
        <v>0</v>
      </c>
      <c r="AP392" s="268">
        <f>H392*(1-0.016992754)</f>
        <v>0</v>
      </c>
      <c r="AQ392" s="268" t="s">
        <v>93</v>
      </c>
      <c r="AV392" s="268">
        <f t="shared" si="559"/>
        <v>0</v>
      </c>
      <c r="AW392" s="268">
        <f t="shared" si="560"/>
        <v>0</v>
      </c>
      <c r="AX392" s="268">
        <f t="shared" si="561"/>
        <v>0</v>
      </c>
      <c r="AY392" s="268" t="s">
        <v>373</v>
      </c>
      <c r="AZ392" s="268" t="s">
        <v>267</v>
      </c>
      <c r="BA392" s="268" t="s">
        <v>85</v>
      </c>
      <c r="BC392" s="268">
        <f t="shared" si="562"/>
        <v>0</v>
      </c>
      <c r="BD392" s="268">
        <f t="shared" si="563"/>
        <v>0</v>
      </c>
      <c r="BE392" s="268">
        <v>0</v>
      </c>
      <c r="BF392" s="268">
        <f t="shared" si="564"/>
        <v>8.064E-3</v>
      </c>
      <c r="BH392" s="268">
        <f t="shared" si="565"/>
        <v>0</v>
      </c>
      <c r="BI392" s="268">
        <f t="shared" si="566"/>
        <v>0</v>
      </c>
      <c r="BJ392" s="268">
        <f t="shared" si="567"/>
        <v>0</v>
      </c>
      <c r="BL392" s="268">
        <v>766</v>
      </c>
      <c r="BW392" s="268" t="str">
        <f t="shared" si="568"/>
        <v>12</v>
      </c>
      <c r="BX392" s="268" t="s">
        <v>397</v>
      </c>
    </row>
    <row r="393" spans="1:76" s="230" customFormat="1" ht="6.75" customHeight="1" x14ac:dyDescent="0.25">
      <c r="A393" s="361">
        <f>C389</f>
        <v>8</v>
      </c>
      <c r="B393" s="276"/>
      <c r="C393" s="275" t="s">
        <v>90</v>
      </c>
      <c r="D393" s="541">
        <f>D389</f>
        <v>3.71</v>
      </c>
      <c r="E393" s="238" t="str">
        <f>E389</f>
        <v>obložení ostění vnějšího palubkami - okna</v>
      </c>
      <c r="F393" s="265" t="s">
        <v>272</v>
      </c>
      <c r="G393" s="236">
        <f>A393*D393</f>
        <v>29.68</v>
      </c>
      <c r="H393" s="235"/>
      <c r="I393" s="235"/>
      <c r="J393" s="234"/>
      <c r="K393" s="234"/>
      <c r="L393" s="233"/>
      <c r="M393" s="233"/>
      <c r="N393" s="232"/>
      <c r="O393" s="231"/>
    </row>
    <row r="394" spans="1:76" s="230" customFormat="1" ht="6.75" customHeight="1" x14ac:dyDescent="0.25">
      <c r="A394" s="361">
        <f t="shared" ref="A394:A395" si="603">C390</f>
        <v>2</v>
      </c>
      <c r="B394" s="276"/>
      <c r="C394" s="275" t="s">
        <v>90</v>
      </c>
      <c r="D394" s="541">
        <f t="shared" ref="D394:E394" si="604">D390</f>
        <v>6.24</v>
      </c>
      <c r="E394" s="238" t="str">
        <f t="shared" si="604"/>
        <v>obložení ostění vnějšího palubkami - dveře</v>
      </c>
      <c r="F394" s="265" t="s">
        <v>272</v>
      </c>
      <c r="G394" s="236">
        <f t="shared" ref="G394:G395" si="605">A394*D394</f>
        <v>12.48</v>
      </c>
      <c r="H394" s="235"/>
      <c r="I394" s="235"/>
      <c r="J394" s="234"/>
      <c r="K394" s="234"/>
      <c r="L394" s="233"/>
      <c r="M394" s="233"/>
      <c r="N394" s="232"/>
      <c r="O394" s="231"/>
    </row>
    <row r="395" spans="1:76" s="230" customFormat="1" ht="6.75" customHeight="1" x14ac:dyDescent="0.25">
      <c r="A395" s="361">
        <f t="shared" si="603"/>
        <v>1</v>
      </c>
      <c r="B395" s="276"/>
      <c r="C395" s="275" t="s">
        <v>90</v>
      </c>
      <c r="D395" s="541">
        <f t="shared" ref="D395:E395" si="606">D391</f>
        <v>8.2399999999999984</v>
      </c>
      <c r="E395" s="238" t="str">
        <f t="shared" si="606"/>
        <v>obložení ostění vnějšího palubkami - dveře,vrata</v>
      </c>
      <c r="F395" s="265" t="s">
        <v>272</v>
      </c>
      <c r="G395" s="236">
        <f t="shared" si="605"/>
        <v>8.2399999999999984</v>
      </c>
      <c r="H395" s="235"/>
      <c r="I395" s="235"/>
      <c r="J395" s="234"/>
      <c r="K395" s="234"/>
      <c r="L395" s="233"/>
      <c r="M395" s="233"/>
      <c r="N395" s="232"/>
      <c r="O395" s="231"/>
    </row>
    <row r="396" spans="1:76" s="268" customFormat="1" x14ac:dyDescent="0.2">
      <c r="A396" s="251">
        <f>A392+1</f>
        <v>85</v>
      </c>
      <c r="B396" s="250" t="s">
        <v>43</v>
      </c>
      <c r="C396" s="249" t="s">
        <v>383</v>
      </c>
      <c r="D396" s="248" t="s">
        <v>384</v>
      </c>
      <c r="E396" s="248"/>
      <c r="F396" s="247" t="s">
        <v>272</v>
      </c>
      <c r="G396" s="246">
        <f>SUM(G397:G397)</f>
        <v>157.93799999999999</v>
      </c>
      <c r="H396" s="245"/>
      <c r="I396" s="244" t="s">
        <v>95</v>
      </c>
      <c r="J396" s="233">
        <f t="shared" si="543"/>
        <v>0</v>
      </c>
      <c r="K396" s="243">
        <f t="shared" si="544"/>
        <v>0</v>
      </c>
      <c r="L396" s="242">
        <f t="shared" si="545"/>
        <v>0</v>
      </c>
      <c r="M396" s="233">
        <f t="shared" si="546"/>
        <v>0</v>
      </c>
      <c r="N396" s="241">
        <v>2.7999999999999998E-4</v>
      </c>
      <c r="O396" s="240">
        <f t="shared" si="547"/>
        <v>4.4222639999999994E-2</v>
      </c>
      <c r="P396" s="213" t="s">
        <v>769</v>
      </c>
      <c r="Z396" s="268">
        <f t="shared" si="548"/>
        <v>0</v>
      </c>
      <c r="AB396" s="268">
        <f t="shared" si="549"/>
        <v>0</v>
      </c>
      <c r="AC396" s="268">
        <f t="shared" si="550"/>
        <v>0</v>
      </c>
      <c r="AD396" s="268">
        <f t="shared" si="551"/>
        <v>0</v>
      </c>
      <c r="AE396" s="268">
        <f t="shared" si="552"/>
        <v>0</v>
      </c>
      <c r="AF396" s="268">
        <f t="shared" si="553"/>
        <v>0</v>
      </c>
      <c r="AG396" s="268">
        <f t="shared" si="554"/>
        <v>0</v>
      </c>
      <c r="AH396" s="268">
        <f t="shared" si="555"/>
        <v>0</v>
      </c>
      <c r="AI396" s="268" t="s">
        <v>43</v>
      </c>
      <c r="AJ396" s="268">
        <f t="shared" si="556"/>
        <v>0</v>
      </c>
      <c r="AK396" s="268">
        <f t="shared" si="557"/>
        <v>0</v>
      </c>
      <c r="AL396" s="268">
        <f t="shared" si="558"/>
        <v>0</v>
      </c>
      <c r="AN396" s="268">
        <v>12</v>
      </c>
      <c r="AO396" s="268">
        <f>H396*0.141458848</f>
        <v>0</v>
      </c>
      <c r="AP396" s="268">
        <f>H396*(1-0.141458848)</f>
        <v>0</v>
      </c>
      <c r="AQ396" s="268" t="s">
        <v>93</v>
      </c>
      <c r="AV396" s="268">
        <f t="shared" si="559"/>
        <v>0</v>
      </c>
      <c r="AW396" s="268">
        <f t="shared" si="560"/>
        <v>0</v>
      </c>
      <c r="AX396" s="268">
        <f t="shared" si="561"/>
        <v>0</v>
      </c>
      <c r="AY396" s="268" t="s">
        <v>373</v>
      </c>
      <c r="AZ396" s="268" t="s">
        <v>267</v>
      </c>
      <c r="BA396" s="268" t="s">
        <v>85</v>
      </c>
      <c r="BC396" s="268">
        <f t="shared" si="562"/>
        <v>0</v>
      </c>
      <c r="BD396" s="268">
        <f t="shared" si="563"/>
        <v>0</v>
      </c>
      <c r="BE396" s="268">
        <v>0</v>
      </c>
      <c r="BF396" s="268">
        <f t="shared" si="564"/>
        <v>4.4222639999999994E-2</v>
      </c>
      <c r="BH396" s="268">
        <f t="shared" si="565"/>
        <v>0</v>
      </c>
      <c r="BI396" s="268">
        <f t="shared" si="566"/>
        <v>0</v>
      </c>
      <c r="BJ396" s="268">
        <f t="shared" si="567"/>
        <v>0</v>
      </c>
      <c r="BL396" s="268">
        <v>766</v>
      </c>
      <c r="BW396" s="268" t="str">
        <f t="shared" si="568"/>
        <v>12</v>
      </c>
      <c r="BX396" s="268" t="s">
        <v>384</v>
      </c>
    </row>
    <row r="397" spans="1:76" s="230" customFormat="1" ht="6.75" customHeight="1" x14ac:dyDescent="0.25">
      <c r="A397" s="361">
        <f>G398</f>
        <v>47.86</v>
      </c>
      <c r="B397" s="276"/>
      <c r="C397" s="275" t="s">
        <v>90</v>
      </c>
      <c r="D397" s="541">
        <v>3.3</v>
      </c>
      <c r="E397" s="238" t="str">
        <f>D398</f>
        <v>Obložení podhledů aglom. desky do 1,5 m2</v>
      </c>
      <c r="F397" s="265" t="s">
        <v>272</v>
      </c>
      <c r="G397" s="236">
        <f t="shared" ref="G397" si="607">A397*D397</f>
        <v>157.93799999999999</v>
      </c>
      <c r="H397" s="235"/>
      <c r="I397" s="235"/>
      <c r="J397" s="234"/>
      <c r="K397" s="234"/>
      <c r="L397" s="233"/>
      <c r="M397" s="233"/>
      <c r="N397" s="232"/>
      <c r="O397" s="231"/>
    </row>
    <row r="398" spans="1:76" s="268" customFormat="1" x14ac:dyDescent="0.2">
      <c r="A398" s="251">
        <f t="shared" ref="A398" si="608">A396+1</f>
        <v>86</v>
      </c>
      <c r="B398" s="250" t="s">
        <v>43</v>
      </c>
      <c r="C398" s="249" t="s">
        <v>385</v>
      </c>
      <c r="D398" s="248" t="s">
        <v>449</v>
      </c>
      <c r="E398" s="248"/>
      <c r="F398" s="247" t="s">
        <v>92</v>
      </c>
      <c r="G398" s="246">
        <f>SUM(G399:G401)</f>
        <v>47.86</v>
      </c>
      <c r="H398" s="245"/>
      <c r="I398" s="244" t="s">
        <v>95</v>
      </c>
      <c r="J398" s="233">
        <f t="shared" si="543"/>
        <v>0</v>
      </c>
      <c r="K398" s="243">
        <f t="shared" si="544"/>
        <v>0</v>
      </c>
      <c r="L398" s="242">
        <f t="shared" si="545"/>
        <v>0</v>
      </c>
      <c r="M398" s="233">
        <f t="shared" si="546"/>
        <v>0</v>
      </c>
      <c r="N398" s="241">
        <v>2.7999999999999998E-4</v>
      </c>
      <c r="O398" s="240">
        <f t="shared" si="547"/>
        <v>1.3400799999999999E-2</v>
      </c>
      <c r="P398" s="213" t="s">
        <v>769</v>
      </c>
      <c r="Z398" s="268">
        <f t="shared" si="548"/>
        <v>0</v>
      </c>
      <c r="AB398" s="268">
        <f t="shared" si="549"/>
        <v>0</v>
      </c>
      <c r="AC398" s="268">
        <f t="shared" si="550"/>
        <v>0</v>
      </c>
      <c r="AD398" s="268">
        <f t="shared" si="551"/>
        <v>0</v>
      </c>
      <c r="AE398" s="268">
        <f t="shared" si="552"/>
        <v>0</v>
      </c>
      <c r="AF398" s="268">
        <f t="shared" si="553"/>
        <v>0</v>
      </c>
      <c r="AG398" s="268">
        <f t="shared" si="554"/>
        <v>0</v>
      </c>
      <c r="AH398" s="268">
        <f t="shared" si="555"/>
        <v>0</v>
      </c>
      <c r="AI398" s="268" t="s">
        <v>43</v>
      </c>
      <c r="AJ398" s="268">
        <f t="shared" si="556"/>
        <v>0</v>
      </c>
      <c r="AK398" s="268">
        <f t="shared" si="557"/>
        <v>0</v>
      </c>
      <c r="AL398" s="268">
        <f t="shared" si="558"/>
        <v>0</v>
      </c>
      <c r="AN398" s="268">
        <v>12</v>
      </c>
      <c r="AO398" s="268">
        <f>H398*0.029244186</f>
        <v>0</v>
      </c>
      <c r="AP398" s="268">
        <f>H398*(1-0.029244186)</f>
        <v>0</v>
      </c>
      <c r="AQ398" s="268" t="s">
        <v>93</v>
      </c>
      <c r="AV398" s="268">
        <f t="shared" si="559"/>
        <v>0</v>
      </c>
      <c r="AW398" s="268">
        <f t="shared" si="560"/>
        <v>0</v>
      </c>
      <c r="AX398" s="268">
        <f t="shared" si="561"/>
        <v>0</v>
      </c>
      <c r="AY398" s="268" t="s">
        <v>373</v>
      </c>
      <c r="AZ398" s="268" t="s">
        <v>267</v>
      </c>
      <c r="BA398" s="268" t="s">
        <v>85</v>
      </c>
      <c r="BC398" s="268">
        <f t="shared" si="562"/>
        <v>0</v>
      </c>
      <c r="BD398" s="268">
        <f t="shared" si="563"/>
        <v>0</v>
      </c>
      <c r="BE398" s="268">
        <v>0</v>
      </c>
      <c r="BF398" s="268">
        <f t="shared" si="564"/>
        <v>1.3400799999999999E-2</v>
      </c>
      <c r="BH398" s="268">
        <f t="shared" si="565"/>
        <v>0</v>
      </c>
      <c r="BI398" s="268">
        <f t="shared" si="566"/>
        <v>0</v>
      </c>
      <c r="BJ398" s="268">
        <f t="shared" si="567"/>
        <v>0</v>
      </c>
      <c r="BL398" s="268">
        <v>766</v>
      </c>
      <c r="BW398" s="268" t="str">
        <f t="shared" si="568"/>
        <v>12</v>
      </c>
      <c r="BX398" s="268" t="s">
        <v>386</v>
      </c>
    </row>
    <row r="399" spans="1:76" s="230" customFormat="1" ht="6.75" customHeight="1" x14ac:dyDescent="0.25">
      <c r="A399" s="361"/>
      <c r="B399" s="276"/>
      <c r="C399" s="275"/>
      <c r="D399" s="541"/>
      <c r="E399" s="238" t="s">
        <v>446</v>
      </c>
      <c r="F399" s="265" t="s">
        <v>92</v>
      </c>
      <c r="G399" s="236">
        <v>36.89</v>
      </c>
      <c r="H399" s="235"/>
      <c r="I399" s="235"/>
      <c r="J399" s="234"/>
      <c r="K399" s="234"/>
      <c r="L399" s="233"/>
      <c r="M399" s="233"/>
      <c r="N399" s="232"/>
      <c r="O399" s="231"/>
    </row>
    <row r="400" spans="1:76" s="230" customFormat="1" ht="6.75" customHeight="1" x14ac:dyDescent="0.25">
      <c r="A400" s="361"/>
      <c r="B400" s="276"/>
      <c r="C400" s="275"/>
      <c r="D400" s="541"/>
      <c r="E400" s="238" t="s">
        <v>447</v>
      </c>
      <c r="F400" s="265" t="s">
        <v>92</v>
      </c>
      <c r="G400" s="236">
        <v>4.66</v>
      </c>
      <c r="H400" s="235"/>
      <c r="I400" s="235"/>
      <c r="J400" s="234"/>
      <c r="K400" s="234"/>
      <c r="L400" s="233"/>
      <c r="M400" s="233"/>
      <c r="N400" s="232"/>
      <c r="O400" s="231"/>
    </row>
    <row r="401" spans="1:76" s="230" customFormat="1" ht="6.75" customHeight="1" x14ac:dyDescent="0.25">
      <c r="A401" s="361"/>
      <c r="B401" s="276"/>
      <c r="C401" s="275"/>
      <c r="D401" s="541"/>
      <c r="E401" s="238" t="s">
        <v>448</v>
      </c>
      <c r="F401" s="265" t="s">
        <v>92</v>
      </c>
      <c r="G401" s="236">
        <v>6.31</v>
      </c>
      <c r="H401" s="235"/>
      <c r="I401" s="235"/>
      <c r="J401" s="234"/>
      <c r="K401" s="234"/>
      <c r="L401" s="233"/>
      <c r="M401" s="233"/>
      <c r="N401" s="232"/>
      <c r="O401" s="231"/>
    </row>
    <row r="402" spans="1:76" s="268" customFormat="1" x14ac:dyDescent="0.2">
      <c r="A402" s="251">
        <f>A398+1</f>
        <v>87</v>
      </c>
      <c r="B402" s="250" t="s">
        <v>43</v>
      </c>
      <c r="C402" s="249" t="s">
        <v>288</v>
      </c>
      <c r="D402" s="248" t="s">
        <v>289</v>
      </c>
      <c r="E402" s="248"/>
      <c r="F402" s="247" t="s">
        <v>272</v>
      </c>
      <c r="G402" s="246">
        <f>SUM(G403:G405)</f>
        <v>777.91082599999993</v>
      </c>
      <c r="H402" s="245"/>
      <c r="I402" s="244" t="s">
        <v>95</v>
      </c>
      <c r="J402" s="233">
        <f t="shared" si="543"/>
        <v>0</v>
      </c>
      <c r="K402" s="243">
        <f t="shared" si="544"/>
        <v>0</v>
      </c>
      <c r="L402" s="242">
        <f t="shared" si="545"/>
        <v>0</v>
      </c>
      <c r="M402" s="233">
        <f t="shared" si="546"/>
        <v>0</v>
      </c>
      <c r="N402" s="241">
        <v>1.32E-3</v>
      </c>
      <c r="O402" s="240">
        <f t="shared" si="547"/>
        <v>1.0268422903199999</v>
      </c>
      <c r="P402" s="213" t="s">
        <v>769</v>
      </c>
      <c r="Z402" s="268">
        <f t="shared" si="548"/>
        <v>0</v>
      </c>
      <c r="AB402" s="268">
        <f t="shared" si="549"/>
        <v>0</v>
      </c>
      <c r="AC402" s="268">
        <f t="shared" si="550"/>
        <v>0</v>
      </c>
      <c r="AD402" s="268">
        <f t="shared" si="551"/>
        <v>0</v>
      </c>
      <c r="AE402" s="268">
        <f t="shared" si="552"/>
        <v>0</v>
      </c>
      <c r="AF402" s="268">
        <f t="shared" si="553"/>
        <v>0</v>
      </c>
      <c r="AG402" s="268">
        <f t="shared" si="554"/>
        <v>0</v>
      </c>
      <c r="AH402" s="268">
        <f t="shared" si="555"/>
        <v>0</v>
      </c>
      <c r="AI402" s="268" t="s">
        <v>43</v>
      </c>
      <c r="AJ402" s="268">
        <f t="shared" si="556"/>
        <v>0</v>
      </c>
      <c r="AK402" s="268">
        <f t="shared" si="557"/>
        <v>0</v>
      </c>
      <c r="AL402" s="268">
        <f t="shared" si="558"/>
        <v>0</v>
      </c>
      <c r="AN402" s="268">
        <v>12</v>
      </c>
      <c r="AO402" s="268">
        <f t="shared" ref="AO402:AO411" si="609">H402*1</f>
        <v>0</v>
      </c>
      <c r="AP402" s="268">
        <f t="shared" ref="AP402:AP411" si="610">H402*(1-1)</f>
        <v>0</v>
      </c>
      <c r="AQ402" s="268" t="s">
        <v>93</v>
      </c>
      <c r="AV402" s="268">
        <f t="shared" si="559"/>
        <v>0</v>
      </c>
      <c r="AW402" s="268">
        <f t="shared" si="560"/>
        <v>0</v>
      </c>
      <c r="AX402" s="268">
        <f t="shared" si="561"/>
        <v>0</v>
      </c>
      <c r="AY402" s="268" t="s">
        <v>373</v>
      </c>
      <c r="AZ402" s="268" t="s">
        <v>267</v>
      </c>
      <c r="BA402" s="268" t="s">
        <v>85</v>
      </c>
      <c r="BC402" s="268">
        <f t="shared" si="562"/>
        <v>0</v>
      </c>
      <c r="BD402" s="268">
        <f t="shared" si="563"/>
        <v>0</v>
      </c>
      <c r="BE402" s="268">
        <v>0</v>
      </c>
      <c r="BF402" s="268">
        <f t="shared" si="564"/>
        <v>1.0268422903199999</v>
      </c>
      <c r="BH402" s="268">
        <f t="shared" si="565"/>
        <v>0</v>
      </c>
      <c r="BI402" s="268">
        <f t="shared" si="566"/>
        <v>0</v>
      </c>
      <c r="BJ402" s="268">
        <f t="shared" si="567"/>
        <v>0</v>
      </c>
      <c r="BL402" s="268">
        <v>766</v>
      </c>
      <c r="BW402" s="268" t="str">
        <f t="shared" si="568"/>
        <v>12</v>
      </c>
      <c r="BX402" s="268" t="s">
        <v>289</v>
      </c>
    </row>
    <row r="403" spans="1:76" s="230" customFormat="1" ht="6.75" customHeight="1" x14ac:dyDescent="0.25">
      <c r="A403" s="362"/>
      <c r="B403" s="276"/>
      <c r="C403" s="275" t="s">
        <v>90</v>
      </c>
      <c r="D403" s="541"/>
      <c r="E403" s="238" t="str">
        <f>D365</f>
        <v>Podkladový rošt pod obložení stěn</v>
      </c>
      <c r="F403" s="265" t="s">
        <v>272</v>
      </c>
      <c r="G403" s="236">
        <f>G365</f>
        <v>549.25365999999997</v>
      </c>
      <c r="H403" s="235"/>
      <c r="I403" s="235"/>
      <c r="J403" s="234"/>
      <c r="K403" s="234"/>
      <c r="L403" s="233"/>
      <c r="M403" s="233"/>
      <c r="N403" s="232"/>
      <c r="O403" s="231"/>
    </row>
    <row r="404" spans="1:76" s="230" customFormat="1" ht="6.75" customHeight="1" x14ac:dyDescent="0.25">
      <c r="A404" s="361"/>
      <c r="B404" s="276"/>
      <c r="C404" s="275" t="s">
        <v>90</v>
      </c>
      <c r="D404" s="544"/>
      <c r="E404" s="238" t="str">
        <f>D396</f>
        <v>Podkladový rošt pro obložení podhledů</v>
      </c>
      <c r="F404" s="265" t="s">
        <v>272</v>
      </c>
      <c r="G404" s="236">
        <f>G396</f>
        <v>157.93799999999999</v>
      </c>
      <c r="H404" s="235"/>
      <c r="I404" s="235"/>
      <c r="J404" s="234"/>
      <c r="K404" s="234"/>
      <c r="L404" s="233"/>
      <c r="M404" s="233"/>
      <c r="N404" s="232"/>
      <c r="O404" s="231"/>
    </row>
    <row r="405" spans="1:76" s="230" customFormat="1" ht="6.75" customHeight="1" x14ac:dyDescent="0.25">
      <c r="A405" s="361">
        <f>SUM(G403:G404)</f>
        <v>707.19165999999996</v>
      </c>
      <c r="B405" s="542"/>
      <c r="C405" s="277"/>
      <c r="D405" s="543">
        <v>0.1</v>
      </c>
      <c r="E405" s="238" t="s">
        <v>320</v>
      </c>
      <c r="F405" s="265" t="s">
        <v>272</v>
      </c>
      <c r="G405" s="236">
        <f>D405*A405</f>
        <v>70.719166000000001</v>
      </c>
      <c r="H405" s="235"/>
      <c r="I405" s="235"/>
      <c r="J405" s="234"/>
      <c r="K405" s="234"/>
      <c r="L405" s="233"/>
      <c r="M405" s="233"/>
      <c r="N405" s="232"/>
      <c r="O405" s="231"/>
    </row>
    <row r="406" spans="1:76" s="268" customFormat="1" x14ac:dyDescent="0.2">
      <c r="A406" s="251">
        <f>A402+1</f>
        <v>88</v>
      </c>
      <c r="B406" s="250" t="s">
        <v>43</v>
      </c>
      <c r="C406" s="249" t="s">
        <v>387</v>
      </c>
      <c r="D406" s="248" t="s">
        <v>393</v>
      </c>
      <c r="E406" s="248"/>
      <c r="F406" s="247" t="s">
        <v>92</v>
      </c>
      <c r="G406" s="246">
        <f>SUM(G407:G410)</f>
        <v>182.39187000000001</v>
      </c>
      <c r="H406" s="245"/>
      <c r="I406" s="244" t="s">
        <v>95</v>
      </c>
      <c r="J406" s="233">
        <f t="shared" si="543"/>
        <v>0</v>
      </c>
      <c r="K406" s="243">
        <f t="shared" si="544"/>
        <v>0</v>
      </c>
      <c r="L406" s="242">
        <f t="shared" si="545"/>
        <v>0</v>
      </c>
      <c r="M406" s="233">
        <f t="shared" si="546"/>
        <v>0</v>
      </c>
      <c r="N406" s="241">
        <v>1.5100000000000001E-2</v>
      </c>
      <c r="O406" s="240">
        <f t="shared" si="547"/>
        <v>2.7541172370000004</v>
      </c>
      <c r="P406" s="213" t="s">
        <v>769</v>
      </c>
      <c r="Z406" s="268">
        <f t="shared" si="548"/>
        <v>0</v>
      </c>
      <c r="AB406" s="268">
        <f t="shared" si="549"/>
        <v>0</v>
      </c>
      <c r="AC406" s="268">
        <f t="shared" si="550"/>
        <v>0</v>
      </c>
      <c r="AD406" s="268">
        <f t="shared" si="551"/>
        <v>0</v>
      </c>
      <c r="AE406" s="268">
        <f t="shared" si="552"/>
        <v>0</v>
      </c>
      <c r="AF406" s="268">
        <f t="shared" si="553"/>
        <v>0</v>
      </c>
      <c r="AG406" s="268">
        <f t="shared" si="554"/>
        <v>0</v>
      </c>
      <c r="AH406" s="268">
        <f t="shared" si="555"/>
        <v>0</v>
      </c>
      <c r="AI406" s="268" t="s">
        <v>43</v>
      </c>
      <c r="AJ406" s="268">
        <f t="shared" si="556"/>
        <v>0</v>
      </c>
      <c r="AK406" s="268">
        <f t="shared" si="557"/>
        <v>0</v>
      </c>
      <c r="AL406" s="268">
        <f t="shared" si="558"/>
        <v>0</v>
      </c>
      <c r="AN406" s="268">
        <v>12</v>
      </c>
      <c r="AO406" s="268">
        <f t="shared" si="609"/>
        <v>0</v>
      </c>
      <c r="AP406" s="268">
        <f t="shared" si="610"/>
        <v>0</v>
      </c>
      <c r="AQ406" s="268" t="s">
        <v>93</v>
      </c>
      <c r="AV406" s="268">
        <f t="shared" si="559"/>
        <v>0</v>
      </c>
      <c r="AW406" s="268">
        <f t="shared" si="560"/>
        <v>0</v>
      </c>
      <c r="AX406" s="268">
        <f t="shared" si="561"/>
        <v>0</v>
      </c>
      <c r="AY406" s="268" t="s">
        <v>373</v>
      </c>
      <c r="AZ406" s="268" t="s">
        <v>267</v>
      </c>
      <c r="BA406" s="268" t="s">
        <v>85</v>
      </c>
      <c r="BC406" s="268">
        <f t="shared" si="562"/>
        <v>0</v>
      </c>
      <c r="BD406" s="268">
        <f t="shared" si="563"/>
        <v>0</v>
      </c>
      <c r="BE406" s="268">
        <v>0</v>
      </c>
      <c r="BF406" s="268">
        <f t="shared" si="564"/>
        <v>2.7541172370000004</v>
      </c>
      <c r="BH406" s="268">
        <f t="shared" si="565"/>
        <v>0</v>
      </c>
      <c r="BI406" s="268">
        <f t="shared" si="566"/>
        <v>0</v>
      </c>
      <c r="BJ406" s="268">
        <f t="shared" si="567"/>
        <v>0</v>
      </c>
      <c r="BL406" s="268">
        <v>766</v>
      </c>
      <c r="BW406" s="268" t="str">
        <f t="shared" si="568"/>
        <v>12</v>
      </c>
      <c r="BX406" s="268" t="s">
        <v>388</v>
      </c>
    </row>
    <row r="407" spans="1:76" s="230" customFormat="1" ht="6.75" customHeight="1" x14ac:dyDescent="0.25">
      <c r="A407" s="362"/>
      <c r="B407" s="276"/>
      <c r="C407" s="275" t="s">
        <v>90</v>
      </c>
      <c r="D407" s="541"/>
      <c r="E407" s="238" t="str">
        <f>D376</f>
        <v>Obložení stěn sádrovlákn.deskami</v>
      </c>
      <c r="F407" s="265" t="s">
        <v>92</v>
      </c>
      <c r="G407" s="236">
        <f>G376</f>
        <v>105.92340000000002</v>
      </c>
      <c r="H407" s="235"/>
      <c r="I407" s="235"/>
      <c r="J407" s="234"/>
      <c r="K407" s="234"/>
      <c r="L407" s="233"/>
      <c r="M407" s="233"/>
      <c r="N407" s="232"/>
      <c r="O407" s="231"/>
    </row>
    <row r="408" spans="1:76" s="230" customFormat="1" ht="6.75" customHeight="1" x14ac:dyDescent="0.25">
      <c r="A408" s="361">
        <f>SUM(G386:G388)</f>
        <v>9.5760000000000005</v>
      </c>
      <c r="B408" s="276"/>
      <c r="C408" s="275" t="s">
        <v>90</v>
      </c>
      <c r="D408" s="544">
        <v>1.1000000000000001</v>
      </c>
      <c r="E408" s="238" t="str">
        <f>D385</f>
        <v>Montáž obložení ostění, patapetu</v>
      </c>
      <c r="F408" s="265" t="s">
        <v>92</v>
      </c>
      <c r="G408" s="236">
        <f>A408*D408</f>
        <v>10.533600000000002</v>
      </c>
      <c r="H408" s="235"/>
      <c r="I408" s="235"/>
      <c r="J408" s="234"/>
      <c r="K408" s="234"/>
      <c r="L408" s="233"/>
      <c r="M408" s="233"/>
      <c r="N408" s="232"/>
      <c r="O408" s="231"/>
    </row>
    <row r="409" spans="1:76" s="230" customFormat="1" ht="6.75" customHeight="1" x14ac:dyDescent="0.25">
      <c r="A409" s="361"/>
      <c r="B409" s="276"/>
      <c r="C409" s="275" t="s">
        <v>90</v>
      </c>
      <c r="D409" s="544"/>
      <c r="E409" s="238" t="str">
        <f>D398</f>
        <v>Obložení podhledů aglom. desky do 1,5 m2</v>
      </c>
      <c r="F409" s="265" t="s">
        <v>92</v>
      </c>
      <c r="G409" s="236">
        <f>G398</f>
        <v>47.86</v>
      </c>
      <c r="H409" s="235"/>
      <c r="I409" s="235"/>
      <c r="J409" s="234"/>
      <c r="K409" s="234"/>
      <c r="L409" s="233"/>
      <c r="M409" s="233"/>
      <c r="N409" s="232"/>
      <c r="O409" s="231"/>
    </row>
    <row r="410" spans="1:76" s="230" customFormat="1" ht="6.75" customHeight="1" x14ac:dyDescent="0.25">
      <c r="A410" s="361">
        <f>SUM(G407:G409)</f>
        <v>164.31700000000001</v>
      </c>
      <c r="B410" s="542"/>
      <c r="C410" s="277"/>
      <c r="D410" s="543">
        <v>0.11</v>
      </c>
      <c r="E410" s="238" t="s">
        <v>320</v>
      </c>
      <c r="F410" s="265" t="s">
        <v>92</v>
      </c>
      <c r="G410" s="236">
        <f>D410*A410</f>
        <v>18.074870000000001</v>
      </c>
      <c r="H410" s="235"/>
      <c r="I410" s="235"/>
      <c r="J410" s="234"/>
      <c r="K410" s="234"/>
      <c r="L410" s="233"/>
      <c r="M410" s="233"/>
      <c r="N410" s="232"/>
      <c r="O410" s="231"/>
    </row>
    <row r="411" spans="1:76" s="268" customFormat="1" x14ac:dyDescent="0.2">
      <c r="A411" s="251">
        <f>A406+1</f>
        <v>89</v>
      </c>
      <c r="B411" s="250" t="s">
        <v>43</v>
      </c>
      <c r="C411" s="249" t="s">
        <v>389</v>
      </c>
      <c r="D411" s="248" t="s">
        <v>390</v>
      </c>
      <c r="E411" s="248"/>
      <c r="F411" s="247" t="s">
        <v>92</v>
      </c>
      <c r="G411" s="246">
        <f>SUM(G412:G415)</f>
        <v>134.30223000000001</v>
      </c>
      <c r="H411" s="245"/>
      <c r="I411" s="244" t="s">
        <v>95</v>
      </c>
      <c r="J411" s="233">
        <f t="shared" si="543"/>
        <v>0</v>
      </c>
      <c r="K411" s="243">
        <f t="shared" si="544"/>
        <v>0</v>
      </c>
      <c r="L411" s="242">
        <f t="shared" si="545"/>
        <v>0</v>
      </c>
      <c r="M411" s="233">
        <f t="shared" si="546"/>
        <v>0</v>
      </c>
      <c r="N411" s="241">
        <v>1.099E-2</v>
      </c>
      <c r="O411" s="240">
        <f t="shared" si="547"/>
        <v>1.4759815077</v>
      </c>
      <c r="P411" s="213" t="s">
        <v>769</v>
      </c>
      <c r="Z411" s="268">
        <f t="shared" si="548"/>
        <v>0</v>
      </c>
      <c r="AB411" s="268">
        <f t="shared" si="549"/>
        <v>0</v>
      </c>
      <c r="AC411" s="268">
        <f t="shared" si="550"/>
        <v>0</v>
      </c>
      <c r="AD411" s="268">
        <f t="shared" si="551"/>
        <v>0</v>
      </c>
      <c r="AE411" s="268">
        <f t="shared" si="552"/>
        <v>0</v>
      </c>
      <c r="AF411" s="268">
        <f t="shared" si="553"/>
        <v>0</v>
      </c>
      <c r="AG411" s="268">
        <f t="shared" si="554"/>
        <v>0</v>
      </c>
      <c r="AH411" s="268">
        <f t="shared" si="555"/>
        <v>0</v>
      </c>
      <c r="AI411" s="268" t="s">
        <v>43</v>
      </c>
      <c r="AJ411" s="268">
        <f t="shared" si="556"/>
        <v>0</v>
      </c>
      <c r="AK411" s="268">
        <f t="shared" si="557"/>
        <v>0</v>
      </c>
      <c r="AL411" s="268">
        <f t="shared" si="558"/>
        <v>0</v>
      </c>
      <c r="AN411" s="268">
        <v>12</v>
      </c>
      <c r="AO411" s="268">
        <f t="shared" si="609"/>
        <v>0</v>
      </c>
      <c r="AP411" s="268">
        <f t="shared" si="610"/>
        <v>0</v>
      </c>
      <c r="AQ411" s="268" t="s">
        <v>93</v>
      </c>
      <c r="AV411" s="268">
        <f t="shared" si="559"/>
        <v>0</v>
      </c>
      <c r="AW411" s="268">
        <f t="shared" si="560"/>
        <v>0</v>
      </c>
      <c r="AX411" s="268">
        <f t="shared" si="561"/>
        <v>0</v>
      </c>
      <c r="AY411" s="268" t="s">
        <v>373</v>
      </c>
      <c r="AZ411" s="268" t="s">
        <v>267</v>
      </c>
      <c r="BA411" s="268" t="s">
        <v>85</v>
      </c>
      <c r="BC411" s="268">
        <f t="shared" si="562"/>
        <v>0</v>
      </c>
      <c r="BD411" s="268">
        <f t="shared" si="563"/>
        <v>0</v>
      </c>
      <c r="BE411" s="268">
        <v>0</v>
      </c>
      <c r="BF411" s="268">
        <f t="shared" si="564"/>
        <v>1.4759815077</v>
      </c>
      <c r="BH411" s="268">
        <f t="shared" si="565"/>
        <v>0</v>
      </c>
      <c r="BI411" s="268">
        <f t="shared" si="566"/>
        <v>0</v>
      </c>
      <c r="BJ411" s="268">
        <f t="shared" si="567"/>
        <v>0</v>
      </c>
      <c r="BL411" s="268">
        <v>766</v>
      </c>
      <c r="BW411" s="268" t="str">
        <f t="shared" si="568"/>
        <v>12</v>
      </c>
      <c r="BX411" s="268" t="s">
        <v>390</v>
      </c>
    </row>
    <row r="412" spans="1:76" s="230" customFormat="1" ht="6.75" customHeight="1" x14ac:dyDescent="0.25">
      <c r="A412" s="362"/>
      <c r="B412" s="276"/>
      <c r="C412" s="275" t="s">
        <v>90</v>
      </c>
      <c r="D412" s="541"/>
      <c r="E412" s="238" t="str">
        <f>D382</f>
        <v>Obložení stěn palubkami MD, š. do 10 cm</v>
      </c>
      <c r="F412" s="265" t="s">
        <v>92</v>
      </c>
      <c r="G412" s="236">
        <f>G376</f>
        <v>105.92340000000002</v>
      </c>
      <c r="H412" s="235"/>
      <c r="I412" s="235"/>
      <c r="J412" s="234"/>
      <c r="K412" s="234"/>
      <c r="L412" s="233"/>
      <c r="M412" s="233"/>
      <c r="N412" s="232"/>
      <c r="O412" s="231"/>
    </row>
    <row r="413" spans="1:76" s="230" customFormat="1" ht="6.75" customHeight="1" x14ac:dyDescent="0.25">
      <c r="A413" s="361">
        <f>SUM(G389:G391)</f>
        <v>4.5359999999999996</v>
      </c>
      <c r="B413" s="276"/>
      <c r="C413" s="275" t="s">
        <v>90</v>
      </c>
      <c r="D413" s="544">
        <v>1.1000000000000001</v>
      </c>
      <c r="E413" s="238" t="str">
        <f>D385</f>
        <v>Montáž obložení ostění, patapetu</v>
      </c>
      <c r="F413" s="265" t="s">
        <v>92</v>
      </c>
      <c r="G413" s="236">
        <f>A413*D413</f>
        <v>4.9896000000000003</v>
      </c>
      <c r="H413" s="235"/>
      <c r="I413" s="235"/>
      <c r="J413" s="234"/>
      <c r="K413" s="234"/>
      <c r="L413" s="233"/>
      <c r="M413" s="233"/>
      <c r="N413" s="232"/>
      <c r="O413" s="231"/>
    </row>
    <row r="414" spans="1:76" s="230" customFormat="1" ht="6.75" customHeight="1" x14ac:dyDescent="0.25">
      <c r="A414" s="361">
        <f>G392</f>
        <v>50.399999999999991</v>
      </c>
      <c r="B414" s="276"/>
      <c r="C414" s="275" t="s">
        <v>90</v>
      </c>
      <c r="D414" s="544">
        <v>0.2</v>
      </c>
      <c r="E414" s="238" t="str">
        <f>D392</f>
        <v>Výroba a osazení vnější obložky otvorů (prkenné šambrány)</v>
      </c>
      <c r="F414" s="265" t="s">
        <v>92</v>
      </c>
      <c r="G414" s="236">
        <f>A414*D414</f>
        <v>10.079999999999998</v>
      </c>
      <c r="H414" s="235"/>
      <c r="I414" s="235"/>
      <c r="J414" s="234"/>
      <c r="K414" s="234"/>
      <c r="L414" s="233"/>
      <c r="M414" s="233"/>
      <c r="N414" s="232"/>
      <c r="O414" s="231"/>
    </row>
    <row r="415" spans="1:76" s="230" customFormat="1" ht="6.75" customHeight="1" x14ac:dyDescent="0.25">
      <c r="A415" s="361">
        <f>SUM(G412:G414)</f>
        <v>120.99300000000001</v>
      </c>
      <c r="B415" s="542"/>
      <c r="C415" s="277"/>
      <c r="D415" s="543">
        <v>0.11</v>
      </c>
      <c r="E415" s="238" t="s">
        <v>320</v>
      </c>
      <c r="F415" s="265" t="s">
        <v>92</v>
      </c>
      <c r="G415" s="236">
        <f>D415*A415</f>
        <v>13.309230000000001</v>
      </c>
      <c r="H415" s="235"/>
      <c r="I415" s="235"/>
      <c r="J415" s="234"/>
      <c r="K415" s="234"/>
      <c r="L415" s="233"/>
      <c r="M415" s="233"/>
      <c r="N415" s="232"/>
      <c r="O415" s="231"/>
    </row>
    <row r="416" spans="1:76" s="268" customFormat="1" x14ac:dyDescent="0.2">
      <c r="A416" s="251">
        <f>A411+1</f>
        <v>90</v>
      </c>
      <c r="B416" s="250" t="s">
        <v>43</v>
      </c>
      <c r="C416" s="249" t="s">
        <v>432</v>
      </c>
      <c r="D416" s="248" t="s">
        <v>442</v>
      </c>
      <c r="E416" s="248"/>
      <c r="F416" s="247" t="s">
        <v>92</v>
      </c>
      <c r="G416" s="246">
        <f>SUM(G417:G418)</f>
        <v>64.919900000000013</v>
      </c>
      <c r="H416" s="245"/>
      <c r="I416" s="244" t="s">
        <v>95</v>
      </c>
      <c r="J416" s="233">
        <f t="shared" ref="J416:J427" si="611">G416*AO416</f>
        <v>0</v>
      </c>
      <c r="K416" s="243">
        <f t="shared" ref="K416:K427" si="612">G416*AP416</f>
        <v>0</v>
      </c>
      <c r="L416" s="242">
        <f t="shared" ref="L416:L427" si="613">G416*H416</f>
        <v>0</v>
      </c>
      <c r="M416" s="233">
        <f t="shared" ref="M416:M427" si="614">L416*(1+BW416/100)</f>
        <v>0</v>
      </c>
      <c r="N416" s="241">
        <v>1.8000000000000001E-4</v>
      </c>
      <c r="O416" s="240">
        <f t="shared" ref="O416:O427" si="615">G416*N416</f>
        <v>1.1685582000000003E-2</v>
      </c>
      <c r="P416" s="213" t="s">
        <v>769</v>
      </c>
      <c r="Z416" s="268">
        <f t="shared" ref="Z416:Z427" si="616">IF(AQ416="5",BJ416,0)</f>
        <v>0</v>
      </c>
      <c r="AB416" s="268">
        <f t="shared" ref="AB416:AB427" si="617">IF(AQ416="1",BH416,0)</f>
        <v>0</v>
      </c>
      <c r="AC416" s="268">
        <f t="shared" ref="AC416:AC427" si="618">IF(AQ416="1",BI416,0)</f>
        <v>0</v>
      </c>
      <c r="AD416" s="268">
        <f t="shared" ref="AD416:AD427" si="619">IF(AQ416="7",BH416,0)</f>
        <v>0</v>
      </c>
      <c r="AE416" s="268">
        <f t="shared" ref="AE416:AE427" si="620">IF(AQ416="7",BI416,0)</f>
        <v>0</v>
      </c>
      <c r="AF416" s="268">
        <f t="shared" ref="AF416:AF427" si="621">IF(AQ416="2",BH416,0)</f>
        <v>0</v>
      </c>
      <c r="AG416" s="268">
        <f t="shared" ref="AG416:AG427" si="622">IF(AQ416="2",BI416,0)</f>
        <v>0</v>
      </c>
      <c r="AH416" s="268">
        <f t="shared" ref="AH416:AH427" si="623">IF(AQ416="0",BJ416,0)</f>
        <v>0</v>
      </c>
      <c r="AI416" s="268" t="s">
        <v>43</v>
      </c>
      <c r="AJ416" s="268">
        <f t="shared" ref="AJ416:AJ427" si="624">IF(AN416=0,L416,0)</f>
        <v>0</v>
      </c>
      <c r="AK416" s="268">
        <f t="shared" ref="AK416:AK427" si="625">IF(AN416=12,L416,0)</f>
        <v>0</v>
      </c>
      <c r="AL416" s="268">
        <f t="shared" ref="AL416:AL427" si="626">IF(AN416=21,L416,0)</f>
        <v>0</v>
      </c>
      <c r="AN416" s="268">
        <v>12</v>
      </c>
      <c r="AO416" s="268">
        <f>H416*0.028030019</f>
        <v>0</v>
      </c>
      <c r="AP416" s="268">
        <f>H416*(1-0.028030019)</f>
        <v>0</v>
      </c>
      <c r="AQ416" s="268" t="s">
        <v>93</v>
      </c>
      <c r="AV416" s="268">
        <f t="shared" ref="AV416:AV427" si="627">AW416+AX416</f>
        <v>0</v>
      </c>
      <c r="AW416" s="268">
        <f t="shared" ref="AW416:AW427" si="628">G416*AO416</f>
        <v>0</v>
      </c>
      <c r="AX416" s="268">
        <f t="shared" ref="AX416:AX427" si="629">G416*AP416</f>
        <v>0</v>
      </c>
      <c r="AY416" s="268" t="s">
        <v>373</v>
      </c>
      <c r="AZ416" s="268" t="s">
        <v>267</v>
      </c>
      <c r="BA416" s="268" t="s">
        <v>85</v>
      </c>
      <c r="BC416" s="268">
        <f t="shared" ref="BC416:BC427" si="630">AW416+AX416</f>
        <v>0</v>
      </c>
      <c r="BD416" s="268">
        <f t="shared" ref="BD416:BD427" si="631">H416/(100-BE416)*100</f>
        <v>0</v>
      </c>
      <c r="BE416" s="268">
        <v>0</v>
      </c>
      <c r="BF416" s="268">
        <f t="shared" ref="BF416:BF427" si="632">O416</f>
        <v>1.1685582000000003E-2</v>
      </c>
      <c r="BH416" s="268">
        <f t="shared" ref="BH416:BH427" si="633">G416*AO416</f>
        <v>0</v>
      </c>
      <c r="BI416" s="268">
        <f t="shared" ref="BI416:BI427" si="634">G416*AP416</f>
        <v>0</v>
      </c>
      <c r="BJ416" s="268">
        <f t="shared" ref="BJ416:BJ427" si="635">G416*H416</f>
        <v>0</v>
      </c>
      <c r="BL416" s="268">
        <v>766</v>
      </c>
      <c r="BW416" s="268" t="str">
        <f t="shared" ref="BW416:BW427" si="636">I416</f>
        <v>12</v>
      </c>
      <c r="BX416" s="268" t="s">
        <v>433</v>
      </c>
    </row>
    <row r="417" spans="1:76" s="230" customFormat="1" ht="6.75" customHeight="1" x14ac:dyDescent="0.25">
      <c r="A417" s="362"/>
      <c r="B417" s="276"/>
      <c r="C417" s="275" t="s">
        <v>90</v>
      </c>
      <c r="D417" s="541"/>
      <c r="E417" s="238" t="str">
        <f>E377</f>
        <v>obvodové stěny vnitřní část</v>
      </c>
      <c r="F417" s="265" t="s">
        <v>92</v>
      </c>
      <c r="G417" s="236">
        <f>G377</f>
        <v>79.076000000000008</v>
      </c>
      <c r="H417" s="235"/>
      <c r="I417" s="235"/>
      <c r="J417" s="234"/>
      <c r="K417" s="234"/>
      <c r="L417" s="233"/>
      <c r="M417" s="233"/>
      <c r="N417" s="232"/>
      <c r="O417" s="231"/>
    </row>
    <row r="418" spans="1:76" s="230" customFormat="1" ht="6.75" customHeight="1" x14ac:dyDescent="0.25">
      <c r="A418" s="362"/>
      <c r="B418" s="276"/>
      <c r="C418" s="275" t="s">
        <v>90</v>
      </c>
      <c r="D418" s="541"/>
      <c r="E418" s="238" t="str">
        <f>E378</f>
        <v>otvory</v>
      </c>
      <c r="F418" s="265" t="s">
        <v>92</v>
      </c>
      <c r="G418" s="236">
        <f>G378</f>
        <v>-14.1561</v>
      </c>
      <c r="H418" s="235"/>
      <c r="I418" s="235"/>
      <c r="J418" s="234"/>
      <c r="K418" s="234"/>
      <c r="L418" s="233"/>
      <c r="M418" s="233"/>
      <c r="N418" s="232"/>
      <c r="O418" s="231"/>
    </row>
    <row r="419" spans="1:76" s="268" customFormat="1" x14ac:dyDescent="0.2">
      <c r="A419" s="251">
        <f>A416+1</f>
        <v>91</v>
      </c>
      <c r="B419" s="250" t="s">
        <v>43</v>
      </c>
      <c r="C419" s="249" t="s">
        <v>434</v>
      </c>
      <c r="D419" s="248" t="s">
        <v>443</v>
      </c>
      <c r="E419" s="248"/>
      <c r="F419" s="247" t="s">
        <v>92</v>
      </c>
      <c r="G419" s="246">
        <f>SUM(G420:G420)</f>
        <v>47.86</v>
      </c>
      <c r="H419" s="245"/>
      <c r="I419" s="244" t="s">
        <v>95</v>
      </c>
      <c r="J419" s="233">
        <f t="shared" si="611"/>
        <v>0</v>
      </c>
      <c r="K419" s="243">
        <f t="shared" si="612"/>
        <v>0</v>
      </c>
      <c r="L419" s="242">
        <f t="shared" si="613"/>
        <v>0</v>
      </c>
      <c r="M419" s="233">
        <f t="shared" si="614"/>
        <v>0</v>
      </c>
      <c r="N419" s="241">
        <v>2.7999999999999998E-4</v>
      </c>
      <c r="O419" s="240">
        <f t="shared" si="615"/>
        <v>1.3400799999999999E-2</v>
      </c>
      <c r="P419" s="213" t="s">
        <v>769</v>
      </c>
      <c r="Z419" s="268">
        <f t="shared" si="616"/>
        <v>0</v>
      </c>
      <c r="AB419" s="268">
        <f t="shared" si="617"/>
        <v>0</v>
      </c>
      <c r="AC419" s="268">
        <f t="shared" si="618"/>
        <v>0</v>
      </c>
      <c r="AD419" s="268">
        <f t="shared" si="619"/>
        <v>0</v>
      </c>
      <c r="AE419" s="268">
        <f t="shared" si="620"/>
        <v>0</v>
      </c>
      <c r="AF419" s="268">
        <f t="shared" si="621"/>
        <v>0</v>
      </c>
      <c r="AG419" s="268">
        <f t="shared" si="622"/>
        <v>0</v>
      </c>
      <c r="AH419" s="268">
        <f t="shared" si="623"/>
        <v>0</v>
      </c>
      <c r="AI419" s="268" t="s">
        <v>43</v>
      </c>
      <c r="AJ419" s="268">
        <f t="shared" si="624"/>
        <v>0</v>
      </c>
      <c r="AK419" s="268">
        <f t="shared" si="625"/>
        <v>0</v>
      </c>
      <c r="AL419" s="268">
        <f t="shared" si="626"/>
        <v>0</v>
      </c>
      <c r="AN419" s="268">
        <v>12</v>
      </c>
      <c r="AO419" s="268">
        <f>H419*0.03362916</f>
        <v>0</v>
      </c>
      <c r="AP419" s="268">
        <f>H419*(1-0.03362916)</f>
        <v>0</v>
      </c>
      <c r="AQ419" s="268" t="s">
        <v>93</v>
      </c>
      <c r="AV419" s="268">
        <f t="shared" si="627"/>
        <v>0</v>
      </c>
      <c r="AW419" s="268">
        <f t="shared" si="628"/>
        <v>0</v>
      </c>
      <c r="AX419" s="268">
        <f t="shared" si="629"/>
        <v>0</v>
      </c>
      <c r="AY419" s="268" t="s">
        <v>373</v>
      </c>
      <c r="AZ419" s="268" t="s">
        <v>267</v>
      </c>
      <c r="BA419" s="268" t="s">
        <v>85</v>
      </c>
      <c r="BC419" s="268">
        <f t="shared" si="630"/>
        <v>0</v>
      </c>
      <c r="BD419" s="268">
        <f t="shared" si="631"/>
        <v>0</v>
      </c>
      <c r="BE419" s="268">
        <v>0</v>
      </c>
      <c r="BF419" s="268">
        <f t="shared" si="632"/>
        <v>1.3400799999999999E-2</v>
      </c>
      <c r="BH419" s="268">
        <f t="shared" si="633"/>
        <v>0</v>
      </c>
      <c r="BI419" s="268">
        <f t="shared" si="634"/>
        <v>0</v>
      </c>
      <c r="BJ419" s="268">
        <f t="shared" si="635"/>
        <v>0</v>
      </c>
      <c r="BL419" s="268">
        <v>766</v>
      </c>
      <c r="BW419" s="268" t="str">
        <f t="shared" si="636"/>
        <v>12</v>
      </c>
      <c r="BX419" s="268" t="s">
        <v>435</v>
      </c>
    </row>
    <row r="420" spans="1:76" s="230" customFormat="1" ht="6.75" customHeight="1" x14ac:dyDescent="0.25">
      <c r="A420" s="362"/>
      <c r="B420" s="276"/>
      <c r="C420" s="275" t="s">
        <v>90</v>
      </c>
      <c r="D420" s="541"/>
      <c r="E420" s="238" t="str">
        <f>D398</f>
        <v>Obložení podhledů aglom. desky do 1,5 m2</v>
      </c>
      <c r="F420" s="265" t="s">
        <v>92</v>
      </c>
      <c r="G420" s="236">
        <f>G398</f>
        <v>47.86</v>
      </c>
      <c r="H420" s="235"/>
      <c r="I420" s="235"/>
      <c r="J420" s="234"/>
      <c r="K420" s="234"/>
      <c r="L420" s="233"/>
      <c r="M420" s="233"/>
      <c r="N420" s="232"/>
      <c r="O420" s="231"/>
    </row>
    <row r="421" spans="1:76" s="268" customFormat="1" x14ac:dyDescent="0.2">
      <c r="A421" s="251">
        <f>A419+1</f>
        <v>92</v>
      </c>
      <c r="B421" s="250" t="s">
        <v>43</v>
      </c>
      <c r="C421" s="249" t="s">
        <v>436</v>
      </c>
      <c r="D421" s="248" t="s">
        <v>450</v>
      </c>
      <c r="E421" s="248"/>
      <c r="F421" s="247" t="s">
        <v>92</v>
      </c>
      <c r="G421" s="246">
        <f>SUM(G422:G424)</f>
        <v>124.05789000000001</v>
      </c>
      <c r="H421" s="245"/>
      <c r="I421" s="244" t="s">
        <v>95</v>
      </c>
      <c r="J421" s="233">
        <f t="shared" si="611"/>
        <v>0</v>
      </c>
      <c r="K421" s="243">
        <f t="shared" si="612"/>
        <v>0</v>
      </c>
      <c r="L421" s="242">
        <f t="shared" si="613"/>
        <v>0</v>
      </c>
      <c r="M421" s="233">
        <f t="shared" si="614"/>
        <v>0</v>
      </c>
      <c r="N421" s="241">
        <v>9.2999999999999992E-3</v>
      </c>
      <c r="O421" s="240">
        <f t="shared" si="615"/>
        <v>1.153738377</v>
      </c>
      <c r="P421" s="213" t="s">
        <v>769</v>
      </c>
      <c r="Z421" s="268">
        <f t="shared" si="616"/>
        <v>0</v>
      </c>
      <c r="AB421" s="268">
        <f t="shared" si="617"/>
        <v>0</v>
      </c>
      <c r="AC421" s="268">
        <f t="shared" si="618"/>
        <v>0</v>
      </c>
      <c r="AD421" s="268">
        <f t="shared" si="619"/>
        <v>0</v>
      </c>
      <c r="AE421" s="268">
        <f t="shared" si="620"/>
        <v>0</v>
      </c>
      <c r="AF421" s="268">
        <f t="shared" si="621"/>
        <v>0</v>
      </c>
      <c r="AG421" s="268">
        <f t="shared" si="622"/>
        <v>0</v>
      </c>
      <c r="AH421" s="268">
        <f t="shared" si="623"/>
        <v>0</v>
      </c>
      <c r="AI421" s="268" t="s">
        <v>43</v>
      </c>
      <c r="AJ421" s="268">
        <f t="shared" si="624"/>
        <v>0</v>
      </c>
      <c r="AK421" s="268">
        <f t="shared" si="625"/>
        <v>0</v>
      </c>
      <c r="AL421" s="268">
        <f t="shared" si="626"/>
        <v>0</v>
      </c>
      <c r="AN421" s="268">
        <v>12</v>
      </c>
      <c r="AO421" s="268">
        <f>H421*1</f>
        <v>0</v>
      </c>
      <c r="AP421" s="268">
        <f>H421*(1-1)</f>
        <v>0</v>
      </c>
      <c r="AQ421" s="268" t="s">
        <v>93</v>
      </c>
      <c r="AV421" s="268">
        <f t="shared" si="627"/>
        <v>0</v>
      </c>
      <c r="AW421" s="268">
        <f t="shared" si="628"/>
        <v>0</v>
      </c>
      <c r="AX421" s="268">
        <f t="shared" si="629"/>
        <v>0</v>
      </c>
      <c r="AY421" s="268" t="s">
        <v>373</v>
      </c>
      <c r="AZ421" s="268" t="s">
        <v>267</v>
      </c>
      <c r="BA421" s="268" t="s">
        <v>85</v>
      </c>
      <c r="BC421" s="268">
        <f t="shared" si="630"/>
        <v>0</v>
      </c>
      <c r="BD421" s="268">
        <f t="shared" si="631"/>
        <v>0</v>
      </c>
      <c r="BE421" s="268">
        <v>0</v>
      </c>
      <c r="BF421" s="268">
        <f t="shared" si="632"/>
        <v>1.153738377</v>
      </c>
      <c r="BH421" s="268">
        <f t="shared" si="633"/>
        <v>0</v>
      </c>
      <c r="BI421" s="268">
        <f t="shared" si="634"/>
        <v>0</v>
      </c>
      <c r="BJ421" s="268">
        <f t="shared" si="635"/>
        <v>0</v>
      </c>
      <c r="BL421" s="268">
        <v>766</v>
      </c>
      <c r="BW421" s="268" t="str">
        <f t="shared" si="636"/>
        <v>12</v>
      </c>
      <c r="BX421" s="268" t="s">
        <v>437</v>
      </c>
    </row>
    <row r="422" spans="1:76" s="230" customFormat="1" ht="6.75" customHeight="1" x14ac:dyDescent="0.25">
      <c r="A422" s="362"/>
      <c r="B422" s="276"/>
      <c r="C422" s="275" t="s">
        <v>90</v>
      </c>
      <c r="D422" s="541"/>
      <c r="E422" s="238" t="str">
        <f>D416</f>
        <v>Obložení stěn aglomer. desky nad 1,5 m2</v>
      </c>
      <c r="F422" s="265" t="s">
        <v>92</v>
      </c>
      <c r="G422" s="236">
        <f>G416</f>
        <v>64.919900000000013</v>
      </c>
      <c r="H422" s="235"/>
      <c r="I422" s="235"/>
      <c r="J422" s="234"/>
      <c r="K422" s="234"/>
      <c r="L422" s="233"/>
      <c r="M422" s="233"/>
      <c r="N422" s="232"/>
      <c r="O422" s="231"/>
    </row>
    <row r="423" spans="1:76" s="230" customFormat="1" ht="6.75" customHeight="1" x14ac:dyDescent="0.25">
      <c r="A423" s="361"/>
      <c r="B423" s="276"/>
      <c r="C423" s="275" t="s">
        <v>90</v>
      </c>
      <c r="D423" s="544"/>
      <c r="E423" s="238" t="str">
        <f>D419</f>
        <v>Obložení podhledů aglom. desky nad 1,5 m2</v>
      </c>
      <c r="F423" s="265" t="s">
        <v>92</v>
      </c>
      <c r="G423" s="236">
        <f>G419</f>
        <v>47.86</v>
      </c>
      <c r="H423" s="235"/>
      <c r="I423" s="235"/>
      <c r="J423" s="234"/>
      <c r="K423" s="234"/>
      <c r="L423" s="233"/>
      <c r="M423" s="233"/>
      <c r="N423" s="232"/>
      <c r="O423" s="231"/>
    </row>
    <row r="424" spans="1:76" s="230" customFormat="1" ht="6.75" customHeight="1" x14ac:dyDescent="0.25">
      <c r="A424" s="361">
        <f>SUM(G422:G423)</f>
        <v>112.77990000000001</v>
      </c>
      <c r="B424" s="542"/>
      <c r="C424" s="277"/>
      <c r="D424" s="543">
        <v>0.1</v>
      </c>
      <c r="E424" s="238" t="s">
        <v>320</v>
      </c>
      <c r="F424" s="265" t="s">
        <v>92</v>
      </c>
      <c r="G424" s="236">
        <f>D424*A424</f>
        <v>11.277990000000003</v>
      </c>
      <c r="H424" s="235"/>
      <c r="I424" s="235"/>
      <c r="J424" s="234"/>
      <c r="K424" s="234"/>
      <c r="L424" s="233"/>
      <c r="M424" s="233"/>
      <c r="N424" s="232"/>
      <c r="O424" s="231"/>
    </row>
    <row r="425" spans="1:76" s="268" customFormat="1" x14ac:dyDescent="0.2">
      <c r="A425" s="251">
        <f>A421+1</f>
        <v>93</v>
      </c>
      <c r="B425" s="250" t="s">
        <v>43</v>
      </c>
      <c r="C425" s="249" t="s">
        <v>438</v>
      </c>
      <c r="D425" s="248" t="s">
        <v>439</v>
      </c>
      <c r="E425" s="248"/>
      <c r="F425" s="247" t="s">
        <v>265</v>
      </c>
      <c r="G425" s="246">
        <f>SUM(G426:G426)</f>
        <v>1</v>
      </c>
      <c r="H425" s="245"/>
      <c r="I425" s="244" t="s">
        <v>95</v>
      </c>
      <c r="J425" s="233">
        <f t="shared" si="611"/>
        <v>0</v>
      </c>
      <c r="K425" s="243">
        <f t="shared" si="612"/>
        <v>0</v>
      </c>
      <c r="L425" s="242">
        <f t="shared" si="613"/>
        <v>0</v>
      </c>
      <c r="M425" s="233">
        <f t="shared" si="614"/>
        <v>0</v>
      </c>
      <c r="N425" s="241">
        <v>1.6000000000000001E-4</v>
      </c>
      <c r="O425" s="240">
        <f t="shared" si="615"/>
        <v>1.6000000000000001E-4</v>
      </c>
      <c r="P425" s="213" t="s">
        <v>769</v>
      </c>
      <c r="Z425" s="268">
        <f t="shared" si="616"/>
        <v>0</v>
      </c>
      <c r="AB425" s="268">
        <f t="shared" si="617"/>
        <v>0</v>
      </c>
      <c r="AC425" s="268">
        <f t="shared" si="618"/>
        <v>0</v>
      </c>
      <c r="AD425" s="268">
        <f t="shared" si="619"/>
        <v>0</v>
      </c>
      <c r="AE425" s="268">
        <f t="shared" si="620"/>
        <v>0</v>
      </c>
      <c r="AF425" s="268">
        <f t="shared" si="621"/>
        <v>0</v>
      </c>
      <c r="AG425" s="268">
        <f t="shared" si="622"/>
        <v>0</v>
      </c>
      <c r="AH425" s="268">
        <f t="shared" si="623"/>
        <v>0</v>
      </c>
      <c r="AI425" s="268" t="s">
        <v>43</v>
      </c>
      <c r="AJ425" s="268">
        <f t="shared" si="624"/>
        <v>0</v>
      </c>
      <c r="AK425" s="268">
        <f t="shared" si="625"/>
        <v>0</v>
      </c>
      <c r="AL425" s="268">
        <f t="shared" si="626"/>
        <v>0</v>
      </c>
      <c r="AN425" s="268">
        <v>12</v>
      </c>
      <c r="AO425" s="268">
        <f>H425*0.020631431</f>
        <v>0</v>
      </c>
      <c r="AP425" s="268">
        <f>H425*(1-0.020631431)</f>
        <v>0</v>
      </c>
      <c r="AQ425" s="268" t="s">
        <v>93</v>
      </c>
      <c r="AV425" s="268">
        <f t="shared" si="627"/>
        <v>0</v>
      </c>
      <c r="AW425" s="268">
        <f t="shared" si="628"/>
        <v>0</v>
      </c>
      <c r="AX425" s="268">
        <f t="shared" si="629"/>
        <v>0</v>
      </c>
      <c r="AY425" s="268" t="s">
        <v>373</v>
      </c>
      <c r="AZ425" s="268" t="s">
        <v>267</v>
      </c>
      <c r="BA425" s="268" t="s">
        <v>85</v>
      </c>
      <c r="BC425" s="268">
        <f t="shared" si="630"/>
        <v>0</v>
      </c>
      <c r="BD425" s="268">
        <f t="shared" si="631"/>
        <v>0</v>
      </c>
      <c r="BE425" s="268">
        <v>0</v>
      </c>
      <c r="BF425" s="268">
        <f t="shared" si="632"/>
        <v>1.6000000000000001E-4</v>
      </c>
      <c r="BH425" s="268">
        <f t="shared" si="633"/>
        <v>0</v>
      </c>
      <c r="BI425" s="268">
        <f t="shared" si="634"/>
        <v>0</v>
      </c>
      <c r="BJ425" s="268">
        <f t="shared" si="635"/>
        <v>0</v>
      </c>
      <c r="BL425" s="268">
        <v>766</v>
      </c>
      <c r="BW425" s="268" t="str">
        <f t="shared" si="636"/>
        <v>12</v>
      </c>
      <c r="BX425" s="268" t="s">
        <v>439</v>
      </c>
    </row>
    <row r="426" spans="1:76" s="230" customFormat="1" ht="6.75" customHeight="1" x14ac:dyDescent="0.25">
      <c r="A426" s="362"/>
      <c r="B426" s="276"/>
      <c r="C426" s="275"/>
      <c r="D426" s="541"/>
      <c r="E426" s="238" t="s">
        <v>451</v>
      </c>
      <c r="F426" s="265" t="s">
        <v>265</v>
      </c>
      <c r="G426" s="236">
        <v>1</v>
      </c>
      <c r="H426" s="235"/>
      <c r="I426" s="235"/>
      <c r="J426" s="234"/>
      <c r="K426" s="234"/>
      <c r="L426" s="233"/>
      <c r="M426" s="233"/>
      <c r="N426" s="232"/>
      <c r="O426" s="231"/>
    </row>
    <row r="427" spans="1:76" s="268" customFormat="1" x14ac:dyDescent="0.2">
      <c r="A427" s="251">
        <f>A425+1</f>
        <v>94</v>
      </c>
      <c r="B427" s="250" t="s">
        <v>43</v>
      </c>
      <c r="C427" s="249" t="s">
        <v>440</v>
      </c>
      <c r="D427" s="248" t="s">
        <v>444</v>
      </c>
      <c r="E427" s="248"/>
      <c r="F427" s="247" t="s">
        <v>265</v>
      </c>
      <c r="G427" s="246">
        <f>SUM(G428:G428)</f>
        <v>1</v>
      </c>
      <c r="H427" s="245"/>
      <c r="I427" s="244" t="s">
        <v>95</v>
      </c>
      <c r="J427" s="233">
        <f t="shared" si="611"/>
        <v>0</v>
      </c>
      <c r="K427" s="243">
        <f t="shared" si="612"/>
        <v>0</v>
      </c>
      <c r="L427" s="242">
        <f t="shared" si="613"/>
        <v>0</v>
      </c>
      <c r="M427" s="233">
        <f t="shared" si="614"/>
        <v>0</v>
      </c>
      <c r="N427" s="241">
        <v>3.5000000000000003E-2</v>
      </c>
      <c r="O427" s="240">
        <f t="shared" si="615"/>
        <v>3.5000000000000003E-2</v>
      </c>
      <c r="P427" s="213" t="s">
        <v>769</v>
      </c>
      <c r="Z427" s="268">
        <f t="shared" si="616"/>
        <v>0</v>
      </c>
      <c r="AB427" s="268">
        <f t="shared" si="617"/>
        <v>0</v>
      </c>
      <c r="AC427" s="268">
        <f t="shared" si="618"/>
        <v>0</v>
      </c>
      <c r="AD427" s="268">
        <f t="shared" si="619"/>
        <v>0</v>
      </c>
      <c r="AE427" s="268">
        <f t="shared" si="620"/>
        <v>0</v>
      </c>
      <c r="AF427" s="268">
        <f t="shared" si="621"/>
        <v>0</v>
      </c>
      <c r="AG427" s="268">
        <f t="shared" si="622"/>
        <v>0</v>
      </c>
      <c r="AH427" s="268">
        <f t="shared" si="623"/>
        <v>0</v>
      </c>
      <c r="AI427" s="268" t="s">
        <v>43</v>
      </c>
      <c r="AJ427" s="268">
        <f t="shared" si="624"/>
        <v>0</v>
      </c>
      <c r="AK427" s="268">
        <f t="shared" si="625"/>
        <v>0</v>
      </c>
      <c r="AL427" s="268">
        <f t="shared" si="626"/>
        <v>0</v>
      </c>
      <c r="AN427" s="268">
        <v>12</v>
      </c>
      <c r="AO427" s="268">
        <f>H427*1</f>
        <v>0</v>
      </c>
      <c r="AP427" s="268">
        <f>H427*(1-1)</f>
        <v>0</v>
      </c>
      <c r="AQ427" s="268" t="s">
        <v>93</v>
      </c>
      <c r="AV427" s="268">
        <f t="shared" si="627"/>
        <v>0</v>
      </c>
      <c r="AW427" s="268">
        <f t="shared" si="628"/>
        <v>0</v>
      </c>
      <c r="AX427" s="268">
        <f t="shared" si="629"/>
        <v>0</v>
      </c>
      <c r="AY427" s="268" t="s">
        <v>373</v>
      </c>
      <c r="AZ427" s="268" t="s">
        <v>267</v>
      </c>
      <c r="BA427" s="268" t="s">
        <v>85</v>
      </c>
      <c r="BC427" s="268">
        <f t="shared" si="630"/>
        <v>0</v>
      </c>
      <c r="BD427" s="268">
        <f t="shared" si="631"/>
        <v>0</v>
      </c>
      <c r="BE427" s="268">
        <v>0</v>
      </c>
      <c r="BF427" s="268">
        <f t="shared" si="632"/>
        <v>3.5000000000000003E-2</v>
      </c>
      <c r="BH427" s="268">
        <f t="shared" si="633"/>
        <v>0</v>
      </c>
      <c r="BI427" s="268">
        <f t="shared" si="634"/>
        <v>0</v>
      </c>
      <c r="BJ427" s="268">
        <f t="shared" si="635"/>
        <v>0</v>
      </c>
      <c r="BL427" s="268">
        <v>766</v>
      </c>
      <c r="BW427" s="268" t="str">
        <f t="shared" si="636"/>
        <v>12</v>
      </c>
      <c r="BX427" s="268" t="s">
        <v>441</v>
      </c>
    </row>
    <row r="428" spans="1:76" s="230" customFormat="1" ht="6.75" customHeight="1" x14ac:dyDescent="0.25">
      <c r="A428" s="361"/>
      <c r="B428" s="542"/>
      <c r="C428" s="277"/>
      <c r="D428" s="543"/>
      <c r="E428" s="238" t="str">
        <f>D425</f>
        <v>Montáž stahovacích půdních schodů</v>
      </c>
      <c r="F428" s="265" t="s">
        <v>265</v>
      </c>
      <c r="G428" s="236">
        <f>G425</f>
        <v>1</v>
      </c>
      <c r="H428" s="235"/>
      <c r="I428" s="235"/>
      <c r="J428" s="234"/>
      <c r="K428" s="234"/>
      <c r="L428" s="233"/>
      <c r="M428" s="233"/>
      <c r="N428" s="232"/>
      <c r="O428" s="231"/>
    </row>
    <row r="429" spans="1:76" s="268" customFormat="1" x14ac:dyDescent="0.2">
      <c r="A429" s="251">
        <f>A427+1</f>
        <v>95</v>
      </c>
      <c r="B429" s="250" t="s">
        <v>43</v>
      </c>
      <c r="C429" s="249" t="s">
        <v>395</v>
      </c>
      <c r="D429" s="248" t="s">
        <v>401</v>
      </c>
      <c r="E429" s="248"/>
      <c r="F429" s="247" t="s">
        <v>265</v>
      </c>
      <c r="G429" s="246">
        <f>SUM(G430:G430)</f>
        <v>8</v>
      </c>
      <c r="H429" s="245"/>
      <c r="I429" s="244" t="s">
        <v>95</v>
      </c>
      <c r="J429" s="233">
        <f t="shared" ref="J429:J431" si="637">G429*AO429</f>
        <v>0</v>
      </c>
      <c r="K429" s="243">
        <f t="shared" ref="K429:K431" si="638">G429*AP429</f>
        <v>0</v>
      </c>
      <c r="L429" s="242">
        <f t="shared" ref="L429:L431" si="639">G429*H429</f>
        <v>0</v>
      </c>
      <c r="M429" s="233">
        <f t="shared" ref="M429:M431" si="640">L429*(1+BW429/100)</f>
        <v>0</v>
      </c>
      <c r="N429" s="241">
        <v>1.5100000000000001E-2</v>
      </c>
      <c r="O429" s="240">
        <f t="shared" ref="O429:O431" si="641">G429*N429</f>
        <v>0.1208</v>
      </c>
      <c r="P429" s="213" t="s">
        <v>769</v>
      </c>
      <c r="Z429" s="268">
        <f t="shared" ref="Z429:Z431" si="642">IF(AQ429="5",BJ429,0)</f>
        <v>0</v>
      </c>
      <c r="AB429" s="268">
        <f t="shared" ref="AB429:AB431" si="643">IF(AQ429="1",BH429,0)</f>
        <v>0</v>
      </c>
      <c r="AC429" s="268">
        <f t="shared" ref="AC429:AC431" si="644">IF(AQ429="1",BI429,0)</f>
        <v>0</v>
      </c>
      <c r="AD429" s="268">
        <f t="shared" ref="AD429:AD431" si="645">IF(AQ429="7",BH429,0)</f>
        <v>0</v>
      </c>
      <c r="AE429" s="268">
        <f t="shared" ref="AE429:AE431" si="646">IF(AQ429="7",BI429,0)</f>
        <v>0</v>
      </c>
      <c r="AF429" s="268">
        <f t="shared" ref="AF429:AF431" si="647">IF(AQ429="2",BH429,0)</f>
        <v>0</v>
      </c>
      <c r="AG429" s="268">
        <f t="shared" ref="AG429:AG431" si="648">IF(AQ429="2",BI429,0)</f>
        <v>0</v>
      </c>
      <c r="AH429" s="268">
        <f t="shared" ref="AH429:AH431" si="649">IF(AQ429="0",BJ429,0)</f>
        <v>0</v>
      </c>
      <c r="AI429" s="268" t="s">
        <v>43</v>
      </c>
      <c r="AJ429" s="268">
        <f t="shared" ref="AJ429:AJ431" si="650">IF(AN429=0,L429,0)</f>
        <v>0</v>
      </c>
      <c r="AK429" s="268">
        <f t="shared" ref="AK429:AK431" si="651">IF(AN429=12,L429,0)</f>
        <v>0</v>
      </c>
      <c r="AL429" s="268">
        <f t="shared" ref="AL429:AL431" si="652">IF(AN429=21,L429,0)</f>
        <v>0</v>
      </c>
      <c r="AN429" s="268">
        <v>12</v>
      </c>
      <c r="AO429" s="268">
        <f t="shared" ref="AO429:AO431" si="653">H429*1</f>
        <v>0</v>
      </c>
      <c r="AP429" s="268">
        <f t="shared" ref="AP429:AP431" si="654">H429*(1-1)</f>
        <v>0</v>
      </c>
      <c r="AQ429" s="268" t="s">
        <v>93</v>
      </c>
      <c r="AV429" s="268">
        <f t="shared" ref="AV429:AV431" si="655">AW429+AX429</f>
        <v>0</v>
      </c>
      <c r="AW429" s="268">
        <f t="shared" ref="AW429:AW431" si="656">G429*AO429</f>
        <v>0</v>
      </c>
      <c r="AX429" s="268">
        <f t="shared" ref="AX429:AX431" si="657">G429*AP429</f>
        <v>0</v>
      </c>
      <c r="AY429" s="268" t="s">
        <v>373</v>
      </c>
      <c r="AZ429" s="268" t="s">
        <v>267</v>
      </c>
      <c r="BA429" s="268" t="s">
        <v>85</v>
      </c>
      <c r="BC429" s="268">
        <f t="shared" ref="BC429:BC431" si="658">AW429+AX429</f>
        <v>0</v>
      </c>
      <c r="BD429" s="268">
        <f t="shared" ref="BD429:BD431" si="659">H429/(100-BE429)*100</f>
        <v>0</v>
      </c>
      <c r="BE429" s="268">
        <v>0</v>
      </c>
      <c r="BF429" s="268">
        <f t="shared" ref="BF429:BF431" si="660">O429</f>
        <v>0.1208</v>
      </c>
      <c r="BH429" s="268">
        <f t="shared" ref="BH429:BH431" si="661">G429*AO429</f>
        <v>0</v>
      </c>
      <c r="BI429" s="268">
        <f t="shared" ref="BI429:BI431" si="662">G429*AP429</f>
        <v>0</v>
      </c>
      <c r="BJ429" s="268">
        <f t="shared" ref="BJ429:BJ431" si="663">G429*H429</f>
        <v>0</v>
      </c>
      <c r="BL429" s="268">
        <v>766</v>
      </c>
      <c r="BW429" s="268" t="str">
        <f t="shared" ref="BW429:BW431" si="664">I429</f>
        <v>12</v>
      </c>
      <c r="BX429" s="268" t="s">
        <v>388</v>
      </c>
    </row>
    <row r="430" spans="1:76" s="230" customFormat="1" ht="6.75" customHeight="1" x14ac:dyDescent="0.25">
      <c r="A430" s="362"/>
      <c r="B430" s="276"/>
      <c r="C430" s="275"/>
      <c r="D430" s="541"/>
      <c r="E430" s="238" t="s">
        <v>400</v>
      </c>
      <c r="F430" s="265" t="s">
        <v>265</v>
      </c>
      <c r="G430" s="236">
        <v>8</v>
      </c>
      <c r="H430" s="235"/>
      <c r="I430" s="235"/>
      <c r="J430" s="234"/>
      <c r="K430" s="234"/>
      <c r="L430" s="233"/>
      <c r="M430" s="233"/>
      <c r="N430" s="232"/>
      <c r="O430" s="231"/>
    </row>
    <row r="431" spans="1:76" s="268" customFormat="1" x14ac:dyDescent="0.2">
      <c r="A431" s="251">
        <f>A429+1</f>
        <v>96</v>
      </c>
      <c r="B431" s="250" t="s">
        <v>43</v>
      </c>
      <c r="C431" s="249" t="s">
        <v>395</v>
      </c>
      <c r="D431" s="248" t="s">
        <v>412</v>
      </c>
      <c r="E431" s="248"/>
      <c r="F431" s="247" t="s">
        <v>265</v>
      </c>
      <c r="G431" s="246">
        <f>SUM(G432:G432)</f>
        <v>8</v>
      </c>
      <c r="H431" s="245"/>
      <c r="I431" s="244" t="s">
        <v>95</v>
      </c>
      <c r="J431" s="233">
        <f t="shared" si="637"/>
        <v>0</v>
      </c>
      <c r="K431" s="243">
        <f t="shared" si="638"/>
        <v>0</v>
      </c>
      <c r="L431" s="242">
        <f t="shared" si="639"/>
        <v>0</v>
      </c>
      <c r="M431" s="233">
        <f t="shared" si="640"/>
        <v>0</v>
      </c>
      <c r="N431" s="241">
        <v>1.21099E-2</v>
      </c>
      <c r="O431" s="240">
        <f t="shared" si="641"/>
        <v>9.6879199999999999E-2</v>
      </c>
      <c r="P431" s="213" t="s">
        <v>769</v>
      </c>
      <c r="Z431" s="268">
        <f t="shared" si="642"/>
        <v>0</v>
      </c>
      <c r="AB431" s="268">
        <f t="shared" si="643"/>
        <v>0</v>
      </c>
      <c r="AC431" s="268">
        <f t="shared" si="644"/>
        <v>0</v>
      </c>
      <c r="AD431" s="268">
        <f t="shared" si="645"/>
        <v>0</v>
      </c>
      <c r="AE431" s="268">
        <f t="shared" si="646"/>
        <v>0</v>
      </c>
      <c r="AF431" s="268">
        <f t="shared" si="647"/>
        <v>0</v>
      </c>
      <c r="AG431" s="268">
        <f t="shared" si="648"/>
        <v>0</v>
      </c>
      <c r="AH431" s="268">
        <f t="shared" si="649"/>
        <v>0</v>
      </c>
      <c r="AI431" s="268" t="s">
        <v>43</v>
      </c>
      <c r="AJ431" s="268">
        <f t="shared" si="650"/>
        <v>0</v>
      </c>
      <c r="AK431" s="268">
        <f t="shared" si="651"/>
        <v>0</v>
      </c>
      <c r="AL431" s="268">
        <f t="shared" si="652"/>
        <v>0</v>
      </c>
      <c r="AN431" s="268">
        <v>12</v>
      </c>
      <c r="AO431" s="268">
        <f t="shared" si="653"/>
        <v>0</v>
      </c>
      <c r="AP431" s="268">
        <f t="shared" si="654"/>
        <v>0</v>
      </c>
      <c r="AQ431" s="268" t="s">
        <v>93</v>
      </c>
      <c r="AV431" s="268">
        <f t="shared" si="655"/>
        <v>0</v>
      </c>
      <c r="AW431" s="268">
        <f t="shared" si="656"/>
        <v>0</v>
      </c>
      <c r="AX431" s="268">
        <f t="shared" si="657"/>
        <v>0</v>
      </c>
      <c r="AY431" s="268" t="s">
        <v>373</v>
      </c>
      <c r="AZ431" s="268" t="s">
        <v>267</v>
      </c>
      <c r="BA431" s="268" t="s">
        <v>85</v>
      </c>
      <c r="BC431" s="268">
        <f t="shared" si="658"/>
        <v>0</v>
      </c>
      <c r="BD431" s="268">
        <f t="shared" si="659"/>
        <v>0</v>
      </c>
      <c r="BE431" s="268">
        <v>0</v>
      </c>
      <c r="BF431" s="268">
        <f t="shared" si="660"/>
        <v>9.6879199999999999E-2</v>
      </c>
      <c r="BH431" s="268">
        <f t="shared" si="661"/>
        <v>0</v>
      </c>
      <c r="BI431" s="268">
        <f t="shared" si="662"/>
        <v>0</v>
      </c>
      <c r="BJ431" s="268">
        <f t="shared" si="663"/>
        <v>0</v>
      </c>
      <c r="BL431" s="268">
        <v>766</v>
      </c>
      <c r="BW431" s="268" t="str">
        <f t="shared" si="664"/>
        <v>12</v>
      </c>
      <c r="BX431" s="268" t="s">
        <v>390</v>
      </c>
    </row>
    <row r="432" spans="1:76" s="230" customFormat="1" ht="6.75" customHeight="1" x14ac:dyDescent="0.25">
      <c r="A432" s="362"/>
      <c r="B432" s="276"/>
      <c r="C432" s="275"/>
      <c r="D432" s="541"/>
      <c r="E432" s="238" t="s">
        <v>413</v>
      </c>
      <c r="F432" s="265" t="s">
        <v>265</v>
      </c>
      <c r="G432" s="236">
        <v>8</v>
      </c>
      <c r="H432" s="235"/>
      <c r="I432" s="235"/>
      <c r="J432" s="234"/>
      <c r="K432" s="234"/>
      <c r="L432" s="233"/>
      <c r="M432" s="233"/>
      <c r="N432" s="232"/>
      <c r="O432" s="231"/>
    </row>
    <row r="433" spans="1:76" s="268" customFormat="1" x14ac:dyDescent="0.2">
      <c r="A433" s="251">
        <f t="shared" ref="A433" si="665">A431+1</f>
        <v>97</v>
      </c>
      <c r="B433" s="250" t="s">
        <v>43</v>
      </c>
      <c r="C433" s="249" t="s">
        <v>395</v>
      </c>
      <c r="D433" s="248" t="s">
        <v>398</v>
      </c>
      <c r="E433" s="248"/>
      <c r="F433" s="247" t="s">
        <v>265</v>
      </c>
      <c r="G433" s="246">
        <f>SUM(G434:G434)</f>
        <v>2</v>
      </c>
      <c r="H433" s="245"/>
      <c r="I433" s="244" t="s">
        <v>95</v>
      </c>
      <c r="J433" s="233">
        <f t="shared" ref="J433" si="666">G433*AO433</f>
        <v>0</v>
      </c>
      <c r="K433" s="243">
        <f t="shared" ref="K433" si="667">G433*AP433</f>
        <v>0</v>
      </c>
      <c r="L433" s="242">
        <f t="shared" ref="L433" si="668">G433*H433</f>
        <v>0</v>
      </c>
      <c r="M433" s="233">
        <f t="shared" ref="M433" si="669">L433*(1+BW433/100)</f>
        <v>0</v>
      </c>
      <c r="N433" s="241">
        <v>2.5109900000000001E-2</v>
      </c>
      <c r="O433" s="240">
        <f t="shared" ref="O433" si="670">G433*N433</f>
        <v>5.0219800000000002E-2</v>
      </c>
      <c r="P433" s="213" t="s">
        <v>769</v>
      </c>
      <c r="Z433" s="268">
        <f t="shared" ref="Z433" si="671">IF(AQ433="5",BJ433,0)</f>
        <v>0</v>
      </c>
      <c r="AB433" s="268">
        <f t="shared" ref="AB433" si="672">IF(AQ433="1",BH433,0)</f>
        <v>0</v>
      </c>
      <c r="AC433" s="268">
        <f t="shared" ref="AC433" si="673">IF(AQ433="1",BI433,0)</f>
        <v>0</v>
      </c>
      <c r="AD433" s="268">
        <f t="shared" ref="AD433" si="674">IF(AQ433="7",BH433,0)</f>
        <v>0</v>
      </c>
      <c r="AE433" s="268">
        <f t="shared" ref="AE433" si="675">IF(AQ433="7",BI433,0)</f>
        <v>0</v>
      </c>
      <c r="AF433" s="268">
        <f t="shared" ref="AF433" si="676">IF(AQ433="2",BH433,0)</f>
        <v>0</v>
      </c>
      <c r="AG433" s="268">
        <f t="shared" ref="AG433" si="677">IF(AQ433="2",BI433,0)</f>
        <v>0</v>
      </c>
      <c r="AH433" s="268">
        <f t="shared" ref="AH433" si="678">IF(AQ433="0",BJ433,0)</f>
        <v>0</v>
      </c>
      <c r="AI433" s="268" t="s">
        <v>43</v>
      </c>
      <c r="AJ433" s="268">
        <f t="shared" ref="AJ433" si="679">IF(AN433=0,L433,0)</f>
        <v>0</v>
      </c>
      <c r="AK433" s="268">
        <f t="shared" ref="AK433" si="680">IF(AN433=12,L433,0)</f>
        <v>0</v>
      </c>
      <c r="AL433" s="268">
        <f t="shared" ref="AL433" si="681">IF(AN433=21,L433,0)</f>
        <v>0</v>
      </c>
      <c r="AN433" s="268">
        <v>12</v>
      </c>
      <c r="AO433" s="268">
        <f t="shared" ref="AO433" si="682">H433*1</f>
        <v>0</v>
      </c>
      <c r="AP433" s="268">
        <f t="shared" ref="AP433" si="683">H433*(1-1)</f>
        <v>0</v>
      </c>
      <c r="AQ433" s="268" t="s">
        <v>93</v>
      </c>
      <c r="AV433" s="268">
        <f t="shared" ref="AV433" si="684">AW433+AX433</f>
        <v>0</v>
      </c>
      <c r="AW433" s="268">
        <f t="shared" ref="AW433" si="685">G433*AO433</f>
        <v>0</v>
      </c>
      <c r="AX433" s="268">
        <f t="shared" ref="AX433" si="686">G433*AP433</f>
        <v>0</v>
      </c>
      <c r="AY433" s="268" t="s">
        <v>373</v>
      </c>
      <c r="AZ433" s="268" t="s">
        <v>267</v>
      </c>
      <c r="BA433" s="268" t="s">
        <v>85</v>
      </c>
      <c r="BC433" s="268">
        <f t="shared" ref="BC433" si="687">AW433+AX433</f>
        <v>0</v>
      </c>
      <c r="BD433" s="268">
        <f t="shared" ref="BD433" si="688">H433/(100-BE433)*100</f>
        <v>0</v>
      </c>
      <c r="BE433" s="268">
        <v>0</v>
      </c>
      <c r="BF433" s="268">
        <f t="shared" ref="BF433" si="689">O433</f>
        <v>5.0219800000000002E-2</v>
      </c>
      <c r="BH433" s="268">
        <f t="shared" ref="BH433" si="690">G433*AO433</f>
        <v>0</v>
      </c>
      <c r="BI433" s="268">
        <f t="shared" ref="BI433" si="691">G433*AP433</f>
        <v>0</v>
      </c>
      <c r="BJ433" s="268">
        <f t="shared" ref="BJ433" si="692">G433*H433</f>
        <v>0</v>
      </c>
      <c r="BL433" s="268">
        <v>766</v>
      </c>
      <c r="BW433" s="268" t="str">
        <f t="shared" ref="BW433" si="693">I433</f>
        <v>12</v>
      </c>
      <c r="BX433" s="268" t="s">
        <v>390</v>
      </c>
    </row>
    <row r="434" spans="1:76" s="230" customFormat="1" ht="6.75" customHeight="1" x14ac:dyDescent="0.25">
      <c r="A434" s="362"/>
      <c r="B434" s="276"/>
      <c r="C434" s="275"/>
      <c r="D434" s="541"/>
      <c r="E434" s="238" t="s">
        <v>414</v>
      </c>
      <c r="F434" s="265" t="s">
        <v>265</v>
      </c>
      <c r="G434" s="236">
        <v>2</v>
      </c>
      <c r="H434" s="235"/>
      <c r="I434" s="235"/>
      <c r="J434" s="234"/>
      <c r="K434" s="234"/>
      <c r="L434" s="233"/>
      <c r="M434" s="233"/>
      <c r="N434" s="232"/>
      <c r="O434" s="231"/>
    </row>
    <row r="435" spans="1:76" s="268" customFormat="1" x14ac:dyDescent="0.2">
      <c r="A435" s="251">
        <f t="shared" ref="A435:A437" si="694">A433+1</f>
        <v>98</v>
      </c>
      <c r="B435" s="250" t="s">
        <v>43</v>
      </c>
      <c r="C435" s="249" t="s">
        <v>395</v>
      </c>
      <c r="D435" s="248" t="s">
        <v>399</v>
      </c>
      <c r="E435" s="248"/>
      <c r="F435" s="247" t="s">
        <v>265</v>
      </c>
      <c r="G435" s="246">
        <f>SUM(G436:G436)</f>
        <v>1</v>
      </c>
      <c r="H435" s="245"/>
      <c r="I435" s="244" t="s">
        <v>95</v>
      </c>
      <c r="J435" s="233">
        <f t="shared" ref="J435" si="695">G435*AO435</f>
        <v>0</v>
      </c>
      <c r="K435" s="243">
        <f t="shared" ref="K435" si="696">G435*AP435</f>
        <v>0</v>
      </c>
      <c r="L435" s="242">
        <f t="shared" ref="L435" si="697">G435*H435</f>
        <v>0</v>
      </c>
      <c r="M435" s="233">
        <f t="shared" ref="M435" si="698">L435*(1+BW435/100)</f>
        <v>0</v>
      </c>
      <c r="N435" s="241">
        <v>4.5109900000000001E-2</v>
      </c>
      <c r="O435" s="240">
        <f t="shared" ref="O435" si="699">G435*N435</f>
        <v>4.5109900000000001E-2</v>
      </c>
      <c r="P435" s="213" t="s">
        <v>769</v>
      </c>
      <c r="Z435" s="268">
        <f t="shared" ref="Z435" si="700">IF(AQ435="5",BJ435,0)</f>
        <v>0</v>
      </c>
      <c r="AB435" s="268">
        <f t="shared" ref="AB435" si="701">IF(AQ435="1",BH435,0)</f>
        <v>0</v>
      </c>
      <c r="AC435" s="268">
        <f t="shared" ref="AC435" si="702">IF(AQ435="1",BI435,0)</f>
        <v>0</v>
      </c>
      <c r="AD435" s="268">
        <f t="shared" ref="AD435" si="703">IF(AQ435="7",BH435,0)</f>
        <v>0</v>
      </c>
      <c r="AE435" s="268">
        <f t="shared" ref="AE435" si="704">IF(AQ435="7",BI435,0)</f>
        <v>0</v>
      </c>
      <c r="AF435" s="268">
        <f t="shared" ref="AF435" si="705">IF(AQ435="2",BH435,0)</f>
        <v>0</v>
      </c>
      <c r="AG435" s="268">
        <f t="shared" ref="AG435" si="706">IF(AQ435="2",BI435,0)</f>
        <v>0</v>
      </c>
      <c r="AH435" s="268">
        <f t="shared" ref="AH435" si="707">IF(AQ435="0",BJ435,0)</f>
        <v>0</v>
      </c>
      <c r="AI435" s="268" t="s">
        <v>43</v>
      </c>
      <c r="AJ435" s="268">
        <f t="shared" ref="AJ435" si="708">IF(AN435=0,L435,0)</f>
        <v>0</v>
      </c>
      <c r="AK435" s="268">
        <f t="shared" ref="AK435" si="709">IF(AN435=12,L435,0)</f>
        <v>0</v>
      </c>
      <c r="AL435" s="268">
        <f t="shared" ref="AL435" si="710">IF(AN435=21,L435,0)</f>
        <v>0</v>
      </c>
      <c r="AN435" s="268">
        <v>12</v>
      </c>
      <c r="AO435" s="268">
        <f t="shared" ref="AO435" si="711">H435*1</f>
        <v>0</v>
      </c>
      <c r="AP435" s="268">
        <f t="shared" ref="AP435" si="712">H435*(1-1)</f>
        <v>0</v>
      </c>
      <c r="AQ435" s="268" t="s">
        <v>93</v>
      </c>
      <c r="AV435" s="268">
        <f t="shared" ref="AV435" si="713">AW435+AX435</f>
        <v>0</v>
      </c>
      <c r="AW435" s="268">
        <f t="shared" ref="AW435" si="714">G435*AO435</f>
        <v>0</v>
      </c>
      <c r="AX435" s="268">
        <f t="shared" ref="AX435" si="715">G435*AP435</f>
        <v>0</v>
      </c>
      <c r="AY435" s="268" t="s">
        <v>373</v>
      </c>
      <c r="AZ435" s="268" t="s">
        <v>267</v>
      </c>
      <c r="BA435" s="268" t="s">
        <v>85</v>
      </c>
      <c r="BC435" s="268">
        <f t="shared" ref="BC435" si="716">AW435+AX435</f>
        <v>0</v>
      </c>
      <c r="BD435" s="268">
        <f t="shared" ref="BD435" si="717">H435/(100-BE435)*100</f>
        <v>0</v>
      </c>
      <c r="BE435" s="268">
        <v>0</v>
      </c>
      <c r="BF435" s="268">
        <f t="shared" ref="BF435" si="718">O435</f>
        <v>4.5109900000000001E-2</v>
      </c>
      <c r="BH435" s="268">
        <f t="shared" ref="BH435" si="719">G435*AO435</f>
        <v>0</v>
      </c>
      <c r="BI435" s="268">
        <f t="shared" ref="BI435" si="720">G435*AP435</f>
        <v>0</v>
      </c>
      <c r="BJ435" s="268">
        <f t="shared" ref="BJ435" si="721">G435*H435</f>
        <v>0</v>
      </c>
      <c r="BL435" s="268">
        <v>766</v>
      </c>
      <c r="BW435" s="268" t="str">
        <f t="shared" ref="BW435" si="722">I435</f>
        <v>12</v>
      </c>
      <c r="BX435" s="268" t="s">
        <v>390</v>
      </c>
    </row>
    <row r="436" spans="1:76" s="230" customFormat="1" ht="6.75" customHeight="1" x14ac:dyDescent="0.25">
      <c r="A436" s="362"/>
      <c r="B436" s="276"/>
      <c r="C436" s="275"/>
      <c r="D436" s="541"/>
      <c r="E436" s="238" t="s">
        <v>414</v>
      </c>
      <c r="F436" s="265" t="s">
        <v>265</v>
      </c>
      <c r="G436" s="236">
        <v>1</v>
      </c>
      <c r="H436" s="235"/>
      <c r="I436" s="235"/>
      <c r="J436" s="234"/>
      <c r="K436" s="234"/>
      <c r="L436" s="233"/>
      <c r="M436" s="233"/>
      <c r="N436" s="232"/>
      <c r="O436" s="231"/>
    </row>
    <row r="437" spans="1:76" s="268" customFormat="1" x14ac:dyDescent="0.2">
      <c r="A437" s="251">
        <f t="shared" si="694"/>
        <v>99</v>
      </c>
      <c r="B437" s="250" t="s">
        <v>43</v>
      </c>
      <c r="C437" s="249" t="s">
        <v>391</v>
      </c>
      <c r="D437" s="248" t="s">
        <v>392</v>
      </c>
      <c r="E437" s="248"/>
      <c r="F437" s="247" t="s">
        <v>82</v>
      </c>
      <c r="G437" s="246">
        <f>O364</f>
        <v>6.9881434798200006</v>
      </c>
      <c r="H437" s="245"/>
      <c r="I437" s="244" t="s">
        <v>95</v>
      </c>
      <c r="J437" s="233">
        <f t="shared" si="543"/>
        <v>0</v>
      </c>
      <c r="K437" s="243">
        <f t="shared" si="544"/>
        <v>0</v>
      </c>
      <c r="L437" s="242">
        <f t="shared" si="545"/>
        <v>0</v>
      </c>
      <c r="M437" s="233">
        <f t="shared" si="546"/>
        <v>0</v>
      </c>
      <c r="N437" s="241">
        <v>0</v>
      </c>
      <c r="O437" s="240">
        <v>0</v>
      </c>
      <c r="P437" s="213" t="s">
        <v>769</v>
      </c>
      <c r="Z437" s="268">
        <f t="shared" si="548"/>
        <v>0</v>
      </c>
      <c r="AB437" s="268">
        <f t="shared" si="549"/>
        <v>0</v>
      </c>
      <c r="AC437" s="268">
        <f t="shared" si="550"/>
        <v>0</v>
      </c>
      <c r="AD437" s="268">
        <f t="shared" si="551"/>
        <v>0</v>
      </c>
      <c r="AE437" s="268">
        <f t="shared" si="552"/>
        <v>0</v>
      </c>
      <c r="AF437" s="268">
        <f t="shared" si="553"/>
        <v>0</v>
      </c>
      <c r="AG437" s="268">
        <f t="shared" si="554"/>
        <v>0</v>
      </c>
      <c r="AH437" s="268">
        <f t="shared" si="555"/>
        <v>0</v>
      </c>
      <c r="AI437" s="268" t="s">
        <v>43</v>
      </c>
      <c r="AJ437" s="268">
        <f t="shared" si="556"/>
        <v>0</v>
      </c>
      <c r="AK437" s="268">
        <f t="shared" si="557"/>
        <v>0</v>
      </c>
      <c r="AL437" s="268">
        <f t="shared" si="558"/>
        <v>0</v>
      </c>
      <c r="AN437" s="268">
        <v>12</v>
      </c>
      <c r="AO437" s="268">
        <f>H437*0</f>
        <v>0</v>
      </c>
      <c r="AP437" s="268">
        <f>H437*(1-0)</f>
        <v>0</v>
      </c>
      <c r="AQ437" s="268" t="s">
        <v>88</v>
      </c>
      <c r="AV437" s="268">
        <f t="shared" si="559"/>
        <v>0</v>
      </c>
      <c r="AW437" s="268">
        <f t="shared" si="560"/>
        <v>0</v>
      </c>
      <c r="AX437" s="268">
        <f t="shared" si="561"/>
        <v>0</v>
      </c>
      <c r="AY437" s="268" t="s">
        <v>373</v>
      </c>
      <c r="AZ437" s="268" t="s">
        <v>267</v>
      </c>
      <c r="BA437" s="268" t="s">
        <v>85</v>
      </c>
      <c r="BC437" s="268">
        <f t="shared" si="562"/>
        <v>0</v>
      </c>
      <c r="BD437" s="268">
        <f t="shared" si="563"/>
        <v>0</v>
      </c>
      <c r="BE437" s="268">
        <v>0</v>
      </c>
      <c r="BF437" s="268">
        <f t="shared" si="564"/>
        <v>0</v>
      </c>
      <c r="BH437" s="268">
        <f t="shared" si="565"/>
        <v>0</v>
      </c>
      <c r="BI437" s="268">
        <f t="shared" si="566"/>
        <v>0</v>
      </c>
      <c r="BJ437" s="268">
        <f t="shared" si="567"/>
        <v>0</v>
      </c>
      <c r="BL437" s="268">
        <v>766</v>
      </c>
      <c r="BW437" s="268" t="str">
        <f t="shared" si="568"/>
        <v>12</v>
      </c>
      <c r="BX437" s="268" t="s">
        <v>392</v>
      </c>
    </row>
    <row r="438" spans="1:76" x14ac:dyDescent="0.25">
      <c r="A438" s="264" t="s">
        <v>43</v>
      </c>
      <c r="B438" s="263" t="s">
        <v>43</v>
      </c>
      <c r="C438" s="262"/>
      <c r="D438" s="261" t="str">
        <f>'1-Rekapitulace'!B32</f>
        <v>771 : Podlahy z dlaždic</v>
      </c>
      <c r="E438" s="261"/>
      <c r="F438" s="260" t="s">
        <v>49</v>
      </c>
      <c r="G438" s="259" t="s">
        <v>49</v>
      </c>
      <c r="H438" s="258"/>
      <c r="I438" s="257" t="s">
        <v>49</v>
      </c>
      <c r="J438" s="256">
        <f>SUM(J439:J460)</f>
        <v>0</v>
      </c>
      <c r="K438" s="256">
        <f>SUM(K439:K460)</f>
        <v>0</v>
      </c>
      <c r="L438" s="255">
        <f>SUM(L439:L460)</f>
        <v>0</v>
      </c>
      <c r="M438" s="254">
        <f>SUM(M439:M460)</f>
        <v>0</v>
      </c>
      <c r="N438" s="253" t="s">
        <v>43</v>
      </c>
      <c r="O438" s="252">
        <f>SUM(O439:O460)</f>
        <v>1.4362509300000001</v>
      </c>
      <c r="P438" s="213" t="s">
        <v>43</v>
      </c>
      <c r="AI438" s="212" t="s">
        <v>43</v>
      </c>
      <c r="AS438" s="212">
        <f>SUM(AJ439:AJ460)</f>
        <v>0</v>
      </c>
      <c r="AT438" s="212">
        <f>SUM(AK439:AK460)</f>
        <v>0</v>
      </c>
      <c r="AU438" s="212">
        <f>SUM(AL439:AL460)</f>
        <v>0</v>
      </c>
    </row>
    <row r="439" spans="1:76" x14ac:dyDescent="0.25">
      <c r="A439" s="251">
        <f>A437+1</f>
        <v>100</v>
      </c>
      <c r="B439" s="250" t="s">
        <v>43</v>
      </c>
      <c r="C439" s="249" t="s">
        <v>884</v>
      </c>
      <c r="D439" s="248" t="s">
        <v>885</v>
      </c>
      <c r="E439" s="248"/>
      <c r="F439" s="247" t="s">
        <v>92</v>
      </c>
      <c r="G439" s="246">
        <f>SUM(G440:G441)</f>
        <v>50.353000000000002</v>
      </c>
      <c r="H439" s="245"/>
      <c r="I439" s="244" t="s">
        <v>95</v>
      </c>
      <c r="J439" s="279">
        <f t="shared" ref="J439:J460" si="723">G439*AO439</f>
        <v>0</v>
      </c>
      <c r="K439" s="279">
        <f t="shared" ref="K439:K460" si="724">G439*AP439</f>
        <v>0</v>
      </c>
      <c r="L439" s="242">
        <f t="shared" ref="L439:L460" si="725">G439*H439</f>
        <v>0</v>
      </c>
      <c r="M439" s="233">
        <f t="shared" ref="M439:M460" si="726">L439*(1+BW439/100)</f>
        <v>0</v>
      </c>
      <c r="N439" s="241">
        <v>2.1000000000000001E-4</v>
      </c>
      <c r="O439" s="240">
        <f t="shared" ref="O439:O457" si="727">G439*N439</f>
        <v>1.0574130000000001E-2</v>
      </c>
      <c r="P439" s="213" t="s">
        <v>769</v>
      </c>
      <c r="Z439" s="212">
        <f t="shared" ref="Z439:Z460" si="728">IF(AQ439="5",BJ439,0)</f>
        <v>0</v>
      </c>
      <c r="AB439" s="212">
        <f t="shared" ref="AB439:AB460" si="729">IF(AQ439="1",BH439,0)</f>
        <v>0</v>
      </c>
      <c r="AC439" s="212">
        <f t="shared" ref="AC439:AC460" si="730">IF(AQ439="1",BI439,0)</f>
        <v>0</v>
      </c>
      <c r="AD439" s="212">
        <f t="shared" ref="AD439:AD460" si="731">IF(AQ439="7",BH439,0)</f>
        <v>0</v>
      </c>
      <c r="AE439" s="212">
        <f t="shared" ref="AE439:AE460" si="732">IF(AQ439="7",BI439,0)</f>
        <v>0</v>
      </c>
      <c r="AF439" s="212">
        <f t="shared" ref="AF439:AF460" si="733">IF(AQ439="2",BH439,0)</f>
        <v>0</v>
      </c>
      <c r="AG439" s="212">
        <f t="shared" ref="AG439:AG460" si="734">IF(AQ439="2",BI439,0)</f>
        <v>0</v>
      </c>
      <c r="AH439" s="212">
        <f t="shared" ref="AH439:AH460" si="735">IF(AQ439="0",BJ439,0)</f>
        <v>0</v>
      </c>
      <c r="AI439" s="212" t="s">
        <v>43</v>
      </c>
      <c r="AJ439" s="212">
        <f t="shared" ref="AJ439:AJ460" si="736">IF(AN439=0,L439,0)</f>
        <v>0</v>
      </c>
      <c r="AK439" s="212">
        <f t="shared" ref="AK439:AK460" si="737">IF(AN439=12,L439,0)</f>
        <v>0</v>
      </c>
      <c r="AL439" s="212">
        <f t="shared" ref="AL439:AL460" si="738">IF(AN439=21,L439,0)</f>
        <v>0</v>
      </c>
      <c r="AN439" s="212">
        <v>12</v>
      </c>
      <c r="AO439" s="212">
        <f>H439*0.447130435</f>
        <v>0</v>
      </c>
      <c r="AP439" s="212">
        <f>H439*(1-0.447130435)</f>
        <v>0</v>
      </c>
      <c r="AQ439" s="212" t="s">
        <v>93</v>
      </c>
      <c r="AV439" s="212">
        <f t="shared" ref="AV439:AV460" si="739">AW439+AX439</f>
        <v>0</v>
      </c>
      <c r="AW439" s="212">
        <f t="shared" ref="AW439:AW460" si="740">G439*AO439</f>
        <v>0</v>
      </c>
      <c r="AX439" s="212">
        <f t="shared" ref="AX439:AX460" si="741">G439*AP439</f>
        <v>0</v>
      </c>
      <c r="AY439" s="212" t="s">
        <v>886</v>
      </c>
      <c r="AZ439" s="212" t="s">
        <v>887</v>
      </c>
      <c r="BA439" s="212" t="s">
        <v>85</v>
      </c>
      <c r="BC439" s="212">
        <f t="shared" ref="BC439:BC460" si="742">AW439+AX439</f>
        <v>0</v>
      </c>
      <c r="BD439" s="212">
        <f t="shared" ref="BD439:BD460" si="743">H439/(100-BE439)*100</f>
        <v>0</v>
      </c>
      <c r="BE439" s="212">
        <v>0</v>
      </c>
      <c r="BF439" s="212">
        <f t="shared" ref="BF439:BF460" si="744">O439</f>
        <v>1.0574130000000001E-2</v>
      </c>
      <c r="BH439" s="212">
        <f t="shared" ref="BH439:BH460" si="745">G439*AO439</f>
        <v>0</v>
      </c>
      <c r="BI439" s="212">
        <f t="shared" ref="BI439:BI460" si="746">G439*AP439</f>
        <v>0</v>
      </c>
      <c r="BJ439" s="212">
        <f t="shared" ref="BJ439:BJ460" si="747">G439*H439</f>
        <v>0</v>
      </c>
      <c r="BL439" s="212">
        <v>771</v>
      </c>
      <c r="BW439" s="212" t="str">
        <f t="shared" ref="BW439:BW460" si="748">I439</f>
        <v>12</v>
      </c>
      <c r="BX439" s="212" t="s">
        <v>885</v>
      </c>
    </row>
    <row r="440" spans="1:76" s="230" customFormat="1" ht="6.75" customHeight="1" x14ac:dyDescent="0.25">
      <c r="A440" s="361">
        <f>G443</f>
        <v>24.93</v>
      </c>
      <c r="B440" s="276"/>
      <c r="C440" s="275" t="s">
        <v>90</v>
      </c>
      <c r="D440" s="541">
        <v>0.1</v>
      </c>
      <c r="E440" s="238" t="str">
        <f>D442</f>
        <v>Obklad soklíků keram.rovných, tmel,výška 10 cm</v>
      </c>
      <c r="F440" s="265" t="s">
        <v>92</v>
      </c>
      <c r="G440" s="236">
        <f>A440*D440</f>
        <v>2.4930000000000003</v>
      </c>
      <c r="H440" s="235"/>
      <c r="I440" s="235"/>
      <c r="J440" s="234"/>
      <c r="K440" s="234"/>
      <c r="L440" s="233"/>
      <c r="M440" s="233"/>
      <c r="N440" s="232"/>
      <c r="O440" s="231"/>
    </row>
    <row r="441" spans="1:76" s="230" customFormat="1" ht="6.75" customHeight="1" x14ac:dyDescent="0.25">
      <c r="A441" s="362"/>
      <c r="B441" s="276"/>
      <c r="C441" s="275" t="s">
        <v>90</v>
      </c>
      <c r="D441" s="541"/>
      <c r="E441" s="238" t="str">
        <f>D453</f>
        <v>Montáž keramické dlažby, hladké, na tmel, 300 x 300 m</v>
      </c>
      <c r="F441" s="265" t="s">
        <v>92</v>
      </c>
      <c r="G441" s="236">
        <f>G453</f>
        <v>47.86</v>
      </c>
      <c r="H441" s="235"/>
      <c r="I441" s="235"/>
      <c r="J441" s="234"/>
      <c r="K441" s="234"/>
      <c r="L441" s="233"/>
      <c r="M441" s="233"/>
      <c r="N441" s="232"/>
      <c r="O441" s="231"/>
    </row>
    <row r="442" spans="1:76" x14ac:dyDescent="0.25">
      <c r="A442" s="251">
        <f>A439+1</f>
        <v>101</v>
      </c>
      <c r="B442" s="250" t="s">
        <v>43</v>
      </c>
      <c r="C442" s="249" t="s">
        <v>892</v>
      </c>
      <c r="D442" s="248" t="s">
        <v>893</v>
      </c>
      <c r="E442" s="248"/>
      <c r="F442" s="247" t="s">
        <v>272</v>
      </c>
      <c r="G442" s="246">
        <f>SUM(G443:G445)</f>
        <v>43.67</v>
      </c>
      <c r="H442" s="245"/>
      <c r="I442" s="244" t="s">
        <v>95</v>
      </c>
      <c r="J442" s="279">
        <f>G442*AO442</f>
        <v>0</v>
      </c>
      <c r="K442" s="279">
        <f>G442*AP442</f>
        <v>0</v>
      </c>
      <c r="L442" s="242">
        <f>G442*H442</f>
        <v>0</v>
      </c>
      <c r="M442" s="233">
        <f>L442*(1+BW442/100)</f>
        <v>0</v>
      </c>
      <c r="N442" s="241">
        <v>3.2000000000000003E-4</v>
      </c>
      <c r="O442" s="240">
        <f>G442*N442</f>
        <v>1.3974400000000001E-2</v>
      </c>
      <c r="P442" s="213" t="s">
        <v>769</v>
      </c>
      <c r="Z442" s="212">
        <f>IF(AQ442="5",BJ442,0)</f>
        <v>0</v>
      </c>
      <c r="AB442" s="212">
        <f>IF(AQ442="1",BH442,0)</f>
        <v>0</v>
      </c>
      <c r="AC442" s="212">
        <f>IF(AQ442="1",BI442,0)</f>
        <v>0</v>
      </c>
      <c r="AD442" s="212">
        <f>IF(AQ442="7",BH442,0)</f>
        <v>0</v>
      </c>
      <c r="AE442" s="212">
        <f>IF(AQ442="7",BI442,0)</f>
        <v>0</v>
      </c>
      <c r="AF442" s="212">
        <f>IF(AQ442="2",BH442,0)</f>
        <v>0</v>
      </c>
      <c r="AG442" s="212">
        <f>IF(AQ442="2",BI442,0)</f>
        <v>0</v>
      </c>
      <c r="AH442" s="212">
        <f>IF(AQ442="0",BJ442,0)</f>
        <v>0</v>
      </c>
      <c r="AI442" s="212" t="s">
        <v>43</v>
      </c>
      <c r="AJ442" s="212">
        <f>IF(AN442=0,L442,0)</f>
        <v>0</v>
      </c>
      <c r="AK442" s="212">
        <f>IF(AN442=12,L442,0)</f>
        <v>0</v>
      </c>
      <c r="AL442" s="212">
        <f>IF(AN442=21,L442,0)</f>
        <v>0</v>
      </c>
      <c r="AN442" s="212">
        <v>12</v>
      </c>
      <c r="AO442" s="212">
        <f>H442*0.096636637</f>
        <v>0</v>
      </c>
      <c r="AP442" s="212">
        <f>H442*(1-0.096636637)</f>
        <v>0</v>
      </c>
      <c r="AQ442" s="212" t="s">
        <v>93</v>
      </c>
      <c r="AV442" s="212">
        <f>AW442+AX442</f>
        <v>0</v>
      </c>
      <c r="AW442" s="212">
        <f>G442*AO442</f>
        <v>0</v>
      </c>
      <c r="AX442" s="212">
        <f>G442*AP442</f>
        <v>0</v>
      </c>
      <c r="AY442" s="212" t="s">
        <v>886</v>
      </c>
      <c r="AZ442" s="212" t="s">
        <v>887</v>
      </c>
      <c r="BA442" s="212" t="s">
        <v>85</v>
      </c>
      <c r="BC442" s="212">
        <f>AW442+AX442</f>
        <v>0</v>
      </c>
      <c r="BD442" s="212">
        <f>H442/(100-BE442)*100</f>
        <v>0</v>
      </c>
      <c r="BE442" s="212">
        <v>0</v>
      </c>
      <c r="BF442" s="212">
        <f>O442</f>
        <v>1.3974400000000001E-2</v>
      </c>
      <c r="BH442" s="212">
        <f>G442*AO442</f>
        <v>0</v>
      </c>
      <c r="BI442" s="212">
        <f>G442*AP442</f>
        <v>0</v>
      </c>
      <c r="BJ442" s="212">
        <f>G442*H442</f>
        <v>0</v>
      </c>
      <c r="BL442" s="212">
        <v>771</v>
      </c>
      <c r="BW442" s="212" t="str">
        <f>I442</f>
        <v>12</v>
      </c>
      <c r="BX442" s="212" t="s">
        <v>893</v>
      </c>
    </row>
    <row r="443" spans="1:76" s="230" customFormat="1" ht="6.75" customHeight="1" x14ac:dyDescent="0.25">
      <c r="A443" s="361">
        <v>7.63</v>
      </c>
      <c r="B443" s="276"/>
      <c r="C443" s="275" t="s">
        <v>90</v>
      </c>
      <c r="D443" s="541">
        <v>4.835</v>
      </c>
      <c r="E443" s="238" t="str">
        <f>E454</f>
        <v>míst.č.: 1.01 sklad</v>
      </c>
      <c r="F443" s="265" t="s">
        <v>272</v>
      </c>
      <c r="G443" s="236">
        <f>2*(A443+D443)</f>
        <v>24.93</v>
      </c>
      <c r="H443" s="235"/>
      <c r="I443" s="235"/>
      <c r="J443" s="234"/>
      <c r="K443" s="234"/>
      <c r="L443" s="233"/>
      <c r="M443" s="233"/>
      <c r="N443" s="232"/>
      <c r="O443" s="231"/>
    </row>
    <row r="444" spans="1:76" s="230" customFormat="1" ht="6.75" customHeight="1" x14ac:dyDescent="0.25">
      <c r="A444" s="361">
        <v>2.33</v>
      </c>
      <c r="B444" s="276"/>
      <c r="C444" s="275" t="s">
        <v>90</v>
      </c>
      <c r="D444" s="541">
        <v>2</v>
      </c>
      <c r="E444" s="238" t="str">
        <f t="shared" ref="E444:E445" si="749">E455</f>
        <v>míst.č.: 1.02 WC</v>
      </c>
      <c r="F444" s="265" t="s">
        <v>272</v>
      </c>
      <c r="G444" s="236">
        <f t="shared" ref="G444" si="750">2*(A444+D444)</f>
        <v>8.66</v>
      </c>
      <c r="H444" s="235"/>
      <c r="I444" s="235"/>
      <c r="J444" s="234"/>
      <c r="K444" s="234"/>
      <c r="L444" s="233"/>
      <c r="M444" s="233"/>
      <c r="N444" s="232"/>
      <c r="O444" s="231"/>
    </row>
    <row r="445" spans="1:76" s="230" customFormat="1" ht="6.75" customHeight="1" x14ac:dyDescent="0.25">
      <c r="A445" s="361">
        <v>2.33</v>
      </c>
      <c r="B445" s="276"/>
      <c r="C445" s="275" t="s">
        <v>90</v>
      </c>
      <c r="D445" s="541">
        <v>2.71</v>
      </c>
      <c r="E445" s="238" t="str">
        <f t="shared" si="749"/>
        <v>míst.č.: 1.03 kancelář</v>
      </c>
      <c r="F445" s="265" t="s">
        <v>272</v>
      </c>
      <c r="G445" s="236">
        <f>2*(A445+D445)</f>
        <v>10.08</v>
      </c>
      <c r="H445" s="235"/>
      <c r="I445" s="235"/>
      <c r="J445" s="234"/>
      <c r="K445" s="234"/>
      <c r="L445" s="233"/>
      <c r="M445" s="233"/>
      <c r="N445" s="232"/>
      <c r="O445" s="231"/>
    </row>
    <row r="446" spans="1:76" x14ac:dyDescent="0.25">
      <c r="A446" s="251">
        <f>A442+1</f>
        <v>102</v>
      </c>
      <c r="B446" s="250" t="s">
        <v>43</v>
      </c>
      <c r="C446" s="249" t="s">
        <v>894</v>
      </c>
      <c r="D446" s="248" t="s">
        <v>895</v>
      </c>
      <c r="E446" s="248"/>
      <c r="F446" s="247" t="s">
        <v>272</v>
      </c>
      <c r="G446" s="246">
        <f>SUM(G447:G448)</f>
        <v>87.34</v>
      </c>
      <c r="H446" s="245"/>
      <c r="I446" s="244" t="s">
        <v>95</v>
      </c>
      <c r="J446" s="279">
        <f>G446*AO446</f>
        <v>0</v>
      </c>
      <c r="K446" s="279">
        <f>G446*AP446</f>
        <v>0</v>
      </c>
      <c r="L446" s="242">
        <f>G446*H446</f>
        <v>0</v>
      </c>
      <c r="M446" s="233">
        <f>L446*(1+BW446/100)</f>
        <v>0</v>
      </c>
      <c r="N446" s="241">
        <v>0</v>
      </c>
      <c r="O446" s="240">
        <f>G446*N446</f>
        <v>0</v>
      </c>
      <c r="P446" s="213" t="s">
        <v>769</v>
      </c>
      <c r="Z446" s="212">
        <f>IF(AQ446="5",BJ446,0)</f>
        <v>0</v>
      </c>
      <c r="AB446" s="212">
        <f>IF(AQ446="1",BH446,0)</f>
        <v>0</v>
      </c>
      <c r="AC446" s="212">
        <f>IF(AQ446="1",BI446,0)</f>
        <v>0</v>
      </c>
      <c r="AD446" s="212">
        <f>IF(AQ446="7",BH446,0)</f>
        <v>0</v>
      </c>
      <c r="AE446" s="212">
        <f>IF(AQ446="7",BI446,0)</f>
        <v>0</v>
      </c>
      <c r="AF446" s="212">
        <f>IF(AQ446="2",BH446,0)</f>
        <v>0</v>
      </c>
      <c r="AG446" s="212">
        <f>IF(AQ446="2",BI446,0)</f>
        <v>0</v>
      </c>
      <c r="AH446" s="212">
        <f>IF(AQ446="0",BJ446,0)</f>
        <v>0</v>
      </c>
      <c r="AI446" s="212" t="s">
        <v>43</v>
      </c>
      <c r="AJ446" s="212">
        <f>IF(AN446=0,L446,0)</f>
        <v>0</v>
      </c>
      <c r="AK446" s="212">
        <f>IF(AN446=12,L446,0)</f>
        <v>0</v>
      </c>
      <c r="AL446" s="212">
        <f>IF(AN446=21,L446,0)</f>
        <v>0</v>
      </c>
      <c r="AN446" s="212">
        <v>12</v>
      </c>
      <c r="AO446" s="212">
        <f>H446*0.048376068</f>
        <v>0</v>
      </c>
      <c r="AP446" s="212">
        <f>H446*(1-0.048376068)</f>
        <v>0</v>
      </c>
      <c r="AQ446" s="212" t="s">
        <v>93</v>
      </c>
      <c r="AV446" s="212">
        <f>AW446+AX446</f>
        <v>0</v>
      </c>
      <c r="AW446" s="212">
        <f>G446*AO446</f>
        <v>0</v>
      </c>
      <c r="AX446" s="212">
        <f>G446*AP446</f>
        <v>0</v>
      </c>
      <c r="AY446" s="212" t="s">
        <v>886</v>
      </c>
      <c r="AZ446" s="212" t="s">
        <v>887</v>
      </c>
      <c r="BA446" s="212" t="s">
        <v>85</v>
      </c>
      <c r="BC446" s="212">
        <f>AW446+AX446</f>
        <v>0</v>
      </c>
      <c r="BD446" s="212">
        <f>H446/(100-BE446)*100</f>
        <v>0</v>
      </c>
      <c r="BE446" s="212">
        <v>0</v>
      </c>
      <c r="BF446" s="212">
        <f>O446</f>
        <v>0</v>
      </c>
      <c r="BH446" s="212">
        <f>G446*AO446</f>
        <v>0</v>
      </c>
      <c r="BI446" s="212">
        <f>G446*AP446</f>
        <v>0</v>
      </c>
      <c r="BJ446" s="212">
        <f>G446*H446</f>
        <v>0</v>
      </c>
      <c r="BL446" s="212">
        <v>771</v>
      </c>
      <c r="BW446" s="212" t="str">
        <f>I446</f>
        <v>12</v>
      </c>
      <c r="BX446" s="212" t="s">
        <v>895</v>
      </c>
    </row>
    <row r="447" spans="1:76" s="230" customFormat="1" ht="6.75" customHeight="1" x14ac:dyDescent="0.25">
      <c r="A447" s="362"/>
      <c r="B447" s="276"/>
      <c r="C447" s="275" t="s">
        <v>90</v>
      </c>
      <c r="D447" s="541"/>
      <c r="E447" s="238" t="str">
        <f>D442</f>
        <v>Obklad soklíků keram.rovných, tmel,výška 10 cm</v>
      </c>
      <c r="F447" s="265" t="s">
        <v>272</v>
      </c>
      <c r="G447" s="236">
        <f>G442</f>
        <v>43.67</v>
      </c>
      <c r="H447" s="235"/>
      <c r="I447" s="235"/>
      <c r="J447" s="234"/>
      <c r="K447" s="234"/>
      <c r="L447" s="233"/>
      <c r="M447" s="233"/>
      <c r="N447" s="232"/>
      <c r="O447" s="231"/>
    </row>
    <row r="448" spans="1:76" s="230" customFormat="1" ht="6.75" customHeight="1" x14ac:dyDescent="0.25">
      <c r="A448" s="362"/>
      <c r="B448" s="276"/>
      <c r="C448" s="275"/>
      <c r="D448" s="541"/>
      <c r="E448" s="238" t="s">
        <v>912</v>
      </c>
      <c r="F448" s="265" t="s">
        <v>272</v>
      </c>
      <c r="G448" s="236">
        <f>G447</f>
        <v>43.67</v>
      </c>
      <c r="H448" s="235"/>
      <c r="I448" s="235"/>
      <c r="J448" s="234"/>
      <c r="K448" s="234"/>
      <c r="L448" s="233"/>
      <c r="M448" s="233"/>
      <c r="N448" s="232"/>
      <c r="O448" s="231"/>
    </row>
    <row r="449" spans="1:76" x14ac:dyDescent="0.25">
      <c r="A449" s="251">
        <f>A446+1</f>
        <v>103</v>
      </c>
      <c r="B449" s="250" t="s">
        <v>43</v>
      </c>
      <c r="C449" s="249" t="s">
        <v>913</v>
      </c>
      <c r="D449" s="248" t="s">
        <v>914</v>
      </c>
      <c r="E449" s="248"/>
      <c r="F449" s="247" t="s">
        <v>272</v>
      </c>
      <c r="G449" s="246">
        <f>SUM(G450:G450)</f>
        <v>43.67</v>
      </c>
      <c r="H449" s="245"/>
      <c r="I449" s="244" t="s">
        <v>95</v>
      </c>
      <c r="J449" s="279">
        <f>G449*AO449</f>
        <v>0</v>
      </c>
      <c r="K449" s="279">
        <f>G449*AP449</f>
        <v>0</v>
      </c>
      <c r="L449" s="242">
        <f>G449*H449</f>
        <v>0</v>
      </c>
      <c r="M449" s="233">
        <f>L449*(1+BW449/100)</f>
        <v>0</v>
      </c>
      <c r="N449" s="241">
        <v>4.0000000000000003E-5</v>
      </c>
      <c r="O449" s="240">
        <f>G449*N449</f>
        <v>1.7468000000000002E-3</v>
      </c>
      <c r="P449" s="213" t="s">
        <v>769</v>
      </c>
      <c r="Z449" s="212">
        <f>IF(AQ449="5",BJ449,0)</f>
        <v>0</v>
      </c>
      <c r="AB449" s="212">
        <f>IF(AQ449="1",BH449,0)</f>
        <v>0</v>
      </c>
      <c r="AC449" s="212">
        <f>IF(AQ449="1",BI449,0)</f>
        <v>0</v>
      </c>
      <c r="AD449" s="212">
        <f>IF(AQ449="7",BH449,0)</f>
        <v>0</v>
      </c>
      <c r="AE449" s="212">
        <f>IF(AQ449="7",BI449,0)</f>
        <v>0</v>
      </c>
      <c r="AF449" s="212">
        <f>IF(AQ449="2",BH449,0)</f>
        <v>0</v>
      </c>
      <c r="AG449" s="212">
        <f>IF(AQ449="2",BI449,0)</f>
        <v>0</v>
      </c>
      <c r="AH449" s="212">
        <f>IF(AQ449="0",BJ449,0)</f>
        <v>0</v>
      </c>
      <c r="AI449" s="212" t="s">
        <v>43</v>
      </c>
      <c r="AJ449" s="212">
        <f>IF(AN449=0,L449,0)</f>
        <v>0</v>
      </c>
      <c r="AK449" s="212">
        <f>IF(AN449=12,L449,0)</f>
        <v>0</v>
      </c>
      <c r="AL449" s="212">
        <f>IF(AN449=21,L449,0)</f>
        <v>0</v>
      </c>
      <c r="AN449" s="212">
        <v>12</v>
      </c>
      <c r="AO449" s="212">
        <f>H449*0.048376068</f>
        <v>0</v>
      </c>
      <c r="AP449" s="212">
        <f>H449*(1-0.048376068)</f>
        <v>0</v>
      </c>
      <c r="AQ449" s="212" t="s">
        <v>93</v>
      </c>
      <c r="AV449" s="212">
        <f>AW449+AX449</f>
        <v>0</v>
      </c>
      <c r="AW449" s="212">
        <f>G449*AO449</f>
        <v>0</v>
      </c>
      <c r="AX449" s="212">
        <f>G449*AP449</f>
        <v>0</v>
      </c>
      <c r="AY449" s="212" t="s">
        <v>886</v>
      </c>
      <c r="AZ449" s="212" t="s">
        <v>887</v>
      </c>
      <c r="BA449" s="212" t="s">
        <v>85</v>
      </c>
      <c r="BC449" s="212">
        <f>AW449+AX449</f>
        <v>0</v>
      </c>
      <c r="BD449" s="212">
        <f>H449/(100-BE449)*100</f>
        <v>0</v>
      </c>
      <c r="BE449" s="212">
        <v>0</v>
      </c>
      <c r="BF449" s="212">
        <f>O449</f>
        <v>1.7468000000000002E-3</v>
      </c>
      <c r="BH449" s="212">
        <f>G449*AO449</f>
        <v>0</v>
      </c>
      <c r="BI449" s="212">
        <f>G449*AP449</f>
        <v>0</v>
      </c>
      <c r="BJ449" s="212">
        <f>G449*H449</f>
        <v>0</v>
      </c>
      <c r="BL449" s="212">
        <v>771</v>
      </c>
      <c r="BW449" s="212" t="str">
        <f>I449</f>
        <v>12</v>
      </c>
      <c r="BX449" s="212" t="s">
        <v>895</v>
      </c>
    </row>
    <row r="450" spans="1:76" s="230" customFormat="1" ht="6.75" customHeight="1" x14ac:dyDescent="0.25">
      <c r="A450" s="362"/>
      <c r="B450" s="276"/>
      <c r="C450" s="275" t="s">
        <v>90</v>
      </c>
      <c r="D450" s="541"/>
      <c r="E450" s="238" t="str">
        <f>E448</f>
        <v>dtto, ale po obvodu místností</v>
      </c>
      <c r="F450" s="265" t="s">
        <v>272</v>
      </c>
      <c r="G450" s="236">
        <f>G447</f>
        <v>43.67</v>
      </c>
      <c r="H450" s="235"/>
      <c r="I450" s="235"/>
      <c r="J450" s="234"/>
      <c r="K450" s="234"/>
      <c r="L450" s="233"/>
      <c r="M450" s="233"/>
      <c r="N450" s="232"/>
      <c r="O450" s="231"/>
    </row>
    <row r="451" spans="1:76" x14ac:dyDescent="0.25">
      <c r="A451" s="251">
        <f>A449+1</f>
        <v>104</v>
      </c>
      <c r="B451" s="250" t="s">
        <v>43</v>
      </c>
      <c r="C451" s="249" t="s">
        <v>888</v>
      </c>
      <c r="D451" s="248" t="s">
        <v>889</v>
      </c>
      <c r="E451" s="248"/>
      <c r="F451" s="247" t="s">
        <v>92</v>
      </c>
      <c r="G451" s="246">
        <f>SUM(G452:G452)</f>
        <v>4.7860000000000005</v>
      </c>
      <c r="H451" s="245"/>
      <c r="I451" s="244" t="s">
        <v>95</v>
      </c>
      <c r="J451" s="279">
        <f t="shared" si="723"/>
        <v>0</v>
      </c>
      <c r="K451" s="279">
        <f t="shared" si="724"/>
        <v>0</v>
      </c>
      <c r="L451" s="242">
        <f t="shared" si="725"/>
        <v>0</v>
      </c>
      <c r="M451" s="233">
        <f t="shared" si="726"/>
        <v>0</v>
      </c>
      <c r="N451" s="241">
        <v>0</v>
      </c>
      <c r="O451" s="240">
        <f t="shared" si="727"/>
        <v>0</v>
      </c>
      <c r="P451" s="213" t="s">
        <v>769</v>
      </c>
      <c r="Z451" s="212">
        <f t="shared" si="728"/>
        <v>0</v>
      </c>
      <c r="AB451" s="212">
        <f t="shared" si="729"/>
        <v>0</v>
      </c>
      <c r="AC451" s="212">
        <f t="shared" si="730"/>
        <v>0</v>
      </c>
      <c r="AD451" s="212">
        <f t="shared" si="731"/>
        <v>0</v>
      </c>
      <c r="AE451" s="212">
        <f t="shared" si="732"/>
        <v>0</v>
      </c>
      <c r="AF451" s="212">
        <f t="shared" si="733"/>
        <v>0</v>
      </c>
      <c r="AG451" s="212">
        <f t="shared" si="734"/>
        <v>0</v>
      </c>
      <c r="AH451" s="212">
        <f t="shared" si="735"/>
        <v>0</v>
      </c>
      <c r="AI451" s="212" t="s">
        <v>43</v>
      </c>
      <c r="AJ451" s="212">
        <f t="shared" si="736"/>
        <v>0</v>
      </c>
      <c r="AK451" s="212">
        <f t="shared" si="737"/>
        <v>0</v>
      </c>
      <c r="AL451" s="212">
        <f t="shared" si="738"/>
        <v>0</v>
      </c>
      <c r="AN451" s="212">
        <v>12</v>
      </c>
      <c r="AO451" s="212">
        <f>H451*0</f>
        <v>0</v>
      </c>
      <c r="AP451" s="212">
        <f>H451*(1-0)</f>
        <v>0</v>
      </c>
      <c r="AQ451" s="212" t="s">
        <v>93</v>
      </c>
      <c r="AV451" s="212">
        <f t="shared" si="739"/>
        <v>0</v>
      </c>
      <c r="AW451" s="212">
        <f t="shared" si="740"/>
        <v>0</v>
      </c>
      <c r="AX451" s="212">
        <f t="shared" si="741"/>
        <v>0</v>
      </c>
      <c r="AY451" s="212" t="s">
        <v>886</v>
      </c>
      <c r="AZ451" s="212" t="s">
        <v>887</v>
      </c>
      <c r="BA451" s="212" t="s">
        <v>85</v>
      </c>
      <c r="BC451" s="212">
        <f t="shared" si="742"/>
        <v>0</v>
      </c>
      <c r="BD451" s="212">
        <f t="shared" si="743"/>
        <v>0</v>
      </c>
      <c r="BE451" s="212">
        <v>0</v>
      </c>
      <c r="BF451" s="212">
        <f t="shared" si="744"/>
        <v>0</v>
      </c>
      <c r="BH451" s="212">
        <f t="shared" si="745"/>
        <v>0</v>
      </c>
      <c r="BI451" s="212">
        <f t="shared" si="746"/>
        <v>0</v>
      </c>
      <c r="BJ451" s="212">
        <f t="shared" si="747"/>
        <v>0</v>
      </c>
      <c r="BL451" s="212">
        <v>771</v>
      </c>
      <c r="BW451" s="212" t="str">
        <f t="shared" si="748"/>
        <v>12</v>
      </c>
      <c r="BX451" s="212" t="s">
        <v>889</v>
      </c>
    </row>
    <row r="452" spans="1:76" s="230" customFormat="1" ht="6.75" customHeight="1" x14ac:dyDescent="0.25">
      <c r="A452" s="361">
        <f>G453</f>
        <v>47.86</v>
      </c>
      <c r="B452" s="276"/>
      <c r="C452" s="275" t="s">
        <v>90</v>
      </c>
      <c r="D452" s="541">
        <v>0.1</v>
      </c>
      <c r="E452" s="238" t="str">
        <f>D453</f>
        <v>Montáž keramické dlažby, hladké, na tmel, 300 x 300 m</v>
      </c>
      <c r="F452" s="265" t="s">
        <v>92</v>
      </c>
      <c r="G452" s="236">
        <f>D452*A452</f>
        <v>4.7860000000000005</v>
      </c>
      <c r="H452" s="235"/>
      <c r="I452" s="235"/>
      <c r="J452" s="234"/>
      <c r="K452" s="234"/>
      <c r="L452" s="233"/>
      <c r="M452" s="233"/>
      <c r="N452" s="232"/>
      <c r="O452" s="231"/>
    </row>
    <row r="453" spans="1:76" x14ac:dyDescent="0.25">
      <c r="A453" s="251">
        <f>A451+1</f>
        <v>105</v>
      </c>
      <c r="B453" s="250" t="s">
        <v>43</v>
      </c>
      <c r="C453" s="249" t="s">
        <v>890</v>
      </c>
      <c r="D453" s="248" t="s">
        <v>891</v>
      </c>
      <c r="E453" s="248"/>
      <c r="F453" s="247" t="s">
        <v>92</v>
      </c>
      <c r="G453" s="246">
        <f>SUM(G454:G456)</f>
        <v>47.86</v>
      </c>
      <c r="H453" s="245"/>
      <c r="I453" s="244" t="s">
        <v>95</v>
      </c>
      <c r="J453" s="279">
        <f t="shared" si="723"/>
        <v>0</v>
      </c>
      <c r="K453" s="279">
        <f t="shared" si="724"/>
        <v>0</v>
      </c>
      <c r="L453" s="242">
        <f t="shared" si="725"/>
        <v>0</v>
      </c>
      <c r="M453" s="233">
        <f t="shared" si="726"/>
        <v>0</v>
      </c>
      <c r="N453" s="241">
        <v>5.0400000000000002E-3</v>
      </c>
      <c r="O453" s="240">
        <f t="shared" si="727"/>
        <v>0.2412144</v>
      </c>
      <c r="P453" s="213" t="s">
        <v>769</v>
      </c>
      <c r="Z453" s="212">
        <f t="shared" si="728"/>
        <v>0</v>
      </c>
      <c r="AB453" s="212">
        <f t="shared" si="729"/>
        <v>0</v>
      </c>
      <c r="AC453" s="212">
        <f t="shared" si="730"/>
        <v>0</v>
      </c>
      <c r="AD453" s="212">
        <f t="shared" si="731"/>
        <v>0</v>
      </c>
      <c r="AE453" s="212">
        <f t="shared" si="732"/>
        <v>0</v>
      </c>
      <c r="AF453" s="212">
        <f t="shared" si="733"/>
        <v>0</v>
      </c>
      <c r="AG453" s="212">
        <f t="shared" si="734"/>
        <v>0</v>
      </c>
      <c r="AH453" s="212">
        <f t="shared" si="735"/>
        <v>0</v>
      </c>
      <c r="AI453" s="212" t="s">
        <v>43</v>
      </c>
      <c r="AJ453" s="212">
        <f t="shared" si="736"/>
        <v>0</v>
      </c>
      <c r="AK453" s="212">
        <f t="shared" si="737"/>
        <v>0</v>
      </c>
      <c r="AL453" s="212">
        <f t="shared" si="738"/>
        <v>0</v>
      </c>
      <c r="AN453" s="212">
        <v>12</v>
      </c>
      <c r="AO453" s="212">
        <f>H453*0.222125</f>
        <v>0</v>
      </c>
      <c r="AP453" s="212">
        <f>H453*(1-0.222125)</f>
        <v>0</v>
      </c>
      <c r="AQ453" s="212" t="s">
        <v>93</v>
      </c>
      <c r="AV453" s="212">
        <f t="shared" si="739"/>
        <v>0</v>
      </c>
      <c r="AW453" s="212">
        <f t="shared" si="740"/>
        <v>0</v>
      </c>
      <c r="AX453" s="212">
        <f t="shared" si="741"/>
        <v>0</v>
      </c>
      <c r="AY453" s="212" t="s">
        <v>886</v>
      </c>
      <c r="AZ453" s="212" t="s">
        <v>887</v>
      </c>
      <c r="BA453" s="212" t="s">
        <v>85</v>
      </c>
      <c r="BC453" s="212">
        <f t="shared" si="742"/>
        <v>0</v>
      </c>
      <c r="BD453" s="212">
        <f t="shared" si="743"/>
        <v>0</v>
      </c>
      <c r="BE453" s="212">
        <v>0</v>
      </c>
      <c r="BF453" s="212">
        <f t="shared" si="744"/>
        <v>0.2412144</v>
      </c>
      <c r="BH453" s="212">
        <f t="shared" si="745"/>
        <v>0</v>
      </c>
      <c r="BI453" s="212">
        <f t="shared" si="746"/>
        <v>0</v>
      </c>
      <c r="BJ453" s="212">
        <f t="shared" si="747"/>
        <v>0</v>
      </c>
      <c r="BL453" s="212">
        <v>771</v>
      </c>
      <c r="BW453" s="212" t="str">
        <f t="shared" si="748"/>
        <v>12</v>
      </c>
      <c r="BX453" s="212" t="s">
        <v>891</v>
      </c>
    </row>
    <row r="454" spans="1:76" s="230" customFormat="1" ht="6.75" customHeight="1" x14ac:dyDescent="0.25">
      <c r="A454" s="362"/>
      <c r="B454" s="276"/>
      <c r="C454" s="275" t="s">
        <v>90</v>
      </c>
      <c r="D454" s="541"/>
      <c r="E454" s="238" t="str">
        <f>E515</f>
        <v>míst.č.: 1.01 sklad</v>
      </c>
      <c r="F454" s="265" t="s">
        <v>92</v>
      </c>
      <c r="G454" s="236">
        <f>G515</f>
        <v>36.89</v>
      </c>
      <c r="H454" s="235"/>
      <c r="I454" s="235"/>
      <c r="J454" s="234"/>
      <c r="K454" s="234"/>
      <c r="L454" s="233"/>
      <c r="M454" s="233"/>
      <c r="N454" s="232"/>
      <c r="O454" s="231"/>
    </row>
    <row r="455" spans="1:76" s="230" customFormat="1" ht="6.75" customHeight="1" x14ac:dyDescent="0.25">
      <c r="A455" s="362"/>
      <c r="B455" s="276"/>
      <c r="C455" s="275" t="s">
        <v>90</v>
      </c>
      <c r="D455" s="541"/>
      <c r="E455" s="238" t="str">
        <f t="shared" ref="E455:E456" si="751">E516</f>
        <v>míst.č.: 1.02 WC</v>
      </c>
      <c r="F455" s="265" t="s">
        <v>92</v>
      </c>
      <c r="G455" s="236">
        <f t="shared" ref="G455:G456" si="752">G516</f>
        <v>4.66</v>
      </c>
      <c r="H455" s="235"/>
      <c r="I455" s="235"/>
      <c r="J455" s="234"/>
      <c r="K455" s="234"/>
      <c r="L455" s="233"/>
      <c r="M455" s="233"/>
      <c r="N455" s="232"/>
      <c r="O455" s="231"/>
    </row>
    <row r="456" spans="1:76" s="230" customFormat="1" ht="6.75" customHeight="1" x14ac:dyDescent="0.25">
      <c r="A456" s="362"/>
      <c r="B456" s="276"/>
      <c r="C456" s="275" t="s">
        <v>90</v>
      </c>
      <c r="D456" s="541"/>
      <c r="E456" s="238" t="str">
        <f t="shared" si="751"/>
        <v>míst.č.: 1.03 kancelář</v>
      </c>
      <c r="F456" s="265" t="s">
        <v>92</v>
      </c>
      <c r="G456" s="236">
        <f t="shared" si="752"/>
        <v>6.31</v>
      </c>
      <c r="H456" s="235"/>
      <c r="I456" s="235"/>
      <c r="J456" s="234"/>
      <c r="K456" s="234"/>
      <c r="L456" s="233"/>
      <c r="M456" s="233"/>
      <c r="N456" s="232"/>
      <c r="O456" s="231"/>
    </row>
    <row r="457" spans="1:76" x14ac:dyDescent="0.25">
      <c r="A457" s="251">
        <f>A453+1</f>
        <v>106</v>
      </c>
      <c r="B457" s="250" t="s">
        <v>43</v>
      </c>
      <c r="C457" s="249" t="s">
        <v>919</v>
      </c>
      <c r="D457" s="248" t="s">
        <v>915</v>
      </c>
      <c r="E457" s="248"/>
      <c r="F457" s="247" t="s">
        <v>92</v>
      </c>
      <c r="G457" s="246">
        <f>SUM(G458:G459)</f>
        <v>52.646000000000001</v>
      </c>
      <c r="H457" s="245"/>
      <c r="I457" s="244" t="s">
        <v>95</v>
      </c>
      <c r="J457" s="279">
        <f t="shared" si="723"/>
        <v>0</v>
      </c>
      <c r="K457" s="279">
        <f t="shared" si="724"/>
        <v>0</v>
      </c>
      <c r="L457" s="242">
        <f t="shared" si="725"/>
        <v>0</v>
      </c>
      <c r="M457" s="233">
        <f t="shared" si="726"/>
        <v>0</v>
      </c>
      <c r="N457" s="241">
        <v>2.2200000000000001E-2</v>
      </c>
      <c r="O457" s="240">
        <f t="shared" si="727"/>
        <v>1.1687412000000001</v>
      </c>
      <c r="P457" s="213" t="s">
        <v>769</v>
      </c>
      <c r="Z457" s="212">
        <f t="shared" si="728"/>
        <v>0</v>
      </c>
      <c r="AB457" s="212">
        <f t="shared" si="729"/>
        <v>0</v>
      </c>
      <c r="AC457" s="212">
        <f t="shared" si="730"/>
        <v>0</v>
      </c>
      <c r="AD457" s="212">
        <f t="shared" si="731"/>
        <v>0</v>
      </c>
      <c r="AE457" s="212">
        <f t="shared" si="732"/>
        <v>0</v>
      </c>
      <c r="AF457" s="212">
        <f t="shared" si="733"/>
        <v>0</v>
      </c>
      <c r="AG457" s="212">
        <f t="shared" si="734"/>
        <v>0</v>
      </c>
      <c r="AH457" s="212">
        <f t="shared" si="735"/>
        <v>0</v>
      </c>
      <c r="AI457" s="212" t="s">
        <v>43</v>
      </c>
      <c r="AJ457" s="212">
        <f t="shared" si="736"/>
        <v>0</v>
      </c>
      <c r="AK457" s="212">
        <f t="shared" si="737"/>
        <v>0</v>
      </c>
      <c r="AL457" s="212">
        <f t="shared" si="738"/>
        <v>0</v>
      </c>
      <c r="AN457" s="212">
        <v>12</v>
      </c>
      <c r="AO457" s="212">
        <f>H457*1</f>
        <v>0</v>
      </c>
      <c r="AP457" s="212">
        <f>H457*(1-1)</f>
        <v>0</v>
      </c>
      <c r="AQ457" s="212" t="s">
        <v>93</v>
      </c>
      <c r="AV457" s="212">
        <f t="shared" si="739"/>
        <v>0</v>
      </c>
      <c r="AW457" s="212">
        <f t="shared" si="740"/>
        <v>0</v>
      </c>
      <c r="AX457" s="212">
        <f t="shared" si="741"/>
        <v>0</v>
      </c>
      <c r="AY457" s="212" t="s">
        <v>886</v>
      </c>
      <c r="AZ457" s="212" t="s">
        <v>887</v>
      </c>
      <c r="BA457" s="212" t="s">
        <v>85</v>
      </c>
      <c r="BC457" s="212">
        <f t="shared" si="742"/>
        <v>0</v>
      </c>
      <c r="BD457" s="212">
        <f t="shared" si="743"/>
        <v>0</v>
      </c>
      <c r="BE457" s="212">
        <v>0</v>
      </c>
      <c r="BF457" s="212">
        <f t="shared" si="744"/>
        <v>1.1687412000000001</v>
      </c>
      <c r="BH457" s="212">
        <f t="shared" si="745"/>
        <v>0</v>
      </c>
      <c r="BI457" s="212">
        <f t="shared" si="746"/>
        <v>0</v>
      </c>
      <c r="BJ457" s="212">
        <f t="shared" si="747"/>
        <v>0</v>
      </c>
      <c r="BL457" s="212">
        <v>771</v>
      </c>
      <c r="BW457" s="212" t="str">
        <f t="shared" si="748"/>
        <v>12</v>
      </c>
      <c r="BX457" s="212" t="s">
        <v>896</v>
      </c>
    </row>
    <row r="458" spans="1:76" s="230" customFormat="1" ht="6.75" customHeight="1" x14ac:dyDescent="0.25">
      <c r="A458" s="362"/>
      <c r="B458" s="276"/>
      <c r="C458" s="275" t="s">
        <v>90</v>
      </c>
      <c r="D458" s="541"/>
      <c r="E458" s="238" t="str">
        <f>D453</f>
        <v>Montáž keramické dlažby, hladké, na tmel, 300 x 300 m</v>
      </c>
      <c r="F458" s="265" t="s">
        <v>92</v>
      </c>
      <c r="G458" s="236">
        <f>G453</f>
        <v>47.86</v>
      </c>
      <c r="H458" s="235"/>
      <c r="I458" s="235"/>
      <c r="J458" s="234"/>
      <c r="K458" s="234"/>
      <c r="L458" s="233"/>
      <c r="M458" s="233"/>
      <c r="N458" s="232"/>
      <c r="O458" s="231"/>
    </row>
    <row r="459" spans="1:76" s="230" customFormat="1" ht="6.75" customHeight="1" x14ac:dyDescent="0.25">
      <c r="A459" s="361">
        <f>SUM(G458:G458)</f>
        <v>47.86</v>
      </c>
      <c r="B459" s="542"/>
      <c r="C459" s="277"/>
      <c r="D459" s="543">
        <v>0.1</v>
      </c>
      <c r="E459" s="238" t="s">
        <v>320</v>
      </c>
      <c r="F459" s="265" t="s">
        <v>92</v>
      </c>
      <c r="G459" s="236">
        <f>D459*A459</f>
        <v>4.7860000000000005</v>
      </c>
      <c r="H459" s="235"/>
      <c r="I459" s="235"/>
      <c r="J459" s="234"/>
      <c r="K459" s="234"/>
      <c r="L459" s="233"/>
      <c r="M459" s="233"/>
      <c r="N459" s="232"/>
      <c r="O459" s="231"/>
    </row>
    <row r="460" spans="1:76" x14ac:dyDescent="0.25">
      <c r="A460" s="251">
        <f>A457+1</f>
        <v>107</v>
      </c>
      <c r="B460" s="250" t="s">
        <v>43</v>
      </c>
      <c r="C460" s="249" t="s">
        <v>897</v>
      </c>
      <c r="D460" s="248" t="s">
        <v>898</v>
      </c>
      <c r="E460" s="248"/>
      <c r="F460" s="247" t="s">
        <v>82</v>
      </c>
      <c r="G460" s="246">
        <f>O438</f>
        <v>1.4362509300000001</v>
      </c>
      <c r="H460" s="245"/>
      <c r="I460" s="244" t="s">
        <v>95</v>
      </c>
      <c r="J460" s="279">
        <f t="shared" si="723"/>
        <v>0</v>
      </c>
      <c r="K460" s="279">
        <f t="shared" si="724"/>
        <v>0</v>
      </c>
      <c r="L460" s="242">
        <f t="shared" si="725"/>
        <v>0</v>
      </c>
      <c r="M460" s="233">
        <f t="shared" si="726"/>
        <v>0</v>
      </c>
      <c r="N460" s="241">
        <v>0</v>
      </c>
      <c r="O460" s="240">
        <v>0</v>
      </c>
      <c r="P460" s="213" t="s">
        <v>769</v>
      </c>
      <c r="Z460" s="212">
        <f t="shared" si="728"/>
        <v>0</v>
      </c>
      <c r="AB460" s="212">
        <f t="shared" si="729"/>
        <v>0</v>
      </c>
      <c r="AC460" s="212">
        <f t="shared" si="730"/>
        <v>0</v>
      </c>
      <c r="AD460" s="212">
        <f t="shared" si="731"/>
        <v>0</v>
      </c>
      <c r="AE460" s="212">
        <f t="shared" si="732"/>
        <v>0</v>
      </c>
      <c r="AF460" s="212">
        <f t="shared" si="733"/>
        <v>0</v>
      </c>
      <c r="AG460" s="212">
        <f t="shared" si="734"/>
        <v>0</v>
      </c>
      <c r="AH460" s="212">
        <f t="shared" si="735"/>
        <v>0</v>
      </c>
      <c r="AI460" s="212" t="s">
        <v>43</v>
      </c>
      <c r="AJ460" s="212">
        <f t="shared" si="736"/>
        <v>0</v>
      </c>
      <c r="AK460" s="212">
        <f t="shared" si="737"/>
        <v>0</v>
      </c>
      <c r="AL460" s="212">
        <f t="shared" si="738"/>
        <v>0</v>
      </c>
      <c r="AN460" s="212">
        <v>12</v>
      </c>
      <c r="AO460" s="212">
        <f>H460*0</f>
        <v>0</v>
      </c>
      <c r="AP460" s="212">
        <f>H460*(1-0)</f>
        <v>0</v>
      </c>
      <c r="AQ460" s="212" t="s">
        <v>88</v>
      </c>
      <c r="AV460" s="212">
        <f t="shared" si="739"/>
        <v>0</v>
      </c>
      <c r="AW460" s="212">
        <f t="shared" si="740"/>
        <v>0</v>
      </c>
      <c r="AX460" s="212">
        <f t="shared" si="741"/>
        <v>0</v>
      </c>
      <c r="AY460" s="212" t="s">
        <v>886</v>
      </c>
      <c r="AZ460" s="212" t="s">
        <v>887</v>
      </c>
      <c r="BA460" s="212" t="s">
        <v>85</v>
      </c>
      <c r="BC460" s="212">
        <f t="shared" si="742"/>
        <v>0</v>
      </c>
      <c r="BD460" s="212">
        <f t="shared" si="743"/>
        <v>0</v>
      </c>
      <c r="BE460" s="212">
        <v>0</v>
      </c>
      <c r="BF460" s="212">
        <f t="shared" si="744"/>
        <v>0</v>
      </c>
      <c r="BH460" s="212">
        <f t="shared" si="745"/>
        <v>0</v>
      </c>
      <c r="BI460" s="212">
        <f t="shared" si="746"/>
        <v>0</v>
      </c>
      <c r="BJ460" s="212">
        <f t="shared" si="747"/>
        <v>0</v>
      </c>
      <c r="BL460" s="212">
        <v>771</v>
      </c>
      <c r="BW460" s="212" t="str">
        <f t="shared" si="748"/>
        <v>12</v>
      </c>
      <c r="BX460" s="212" t="s">
        <v>898</v>
      </c>
    </row>
    <row r="461" spans="1:76" x14ac:dyDescent="0.25">
      <c r="A461" s="264" t="s">
        <v>43</v>
      </c>
      <c r="B461" s="263" t="s">
        <v>43</v>
      </c>
      <c r="C461" s="262"/>
      <c r="D461" s="261" t="str">
        <f>'1-Rekapitulace'!B34</f>
        <v>781 : Obklady keramické</v>
      </c>
      <c r="E461" s="261"/>
      <c r="F461" s="260" t="s">
        <v>49</v>
      </c>
      <c r="G461" s="259" t="s">
        <v>49</v>
      </c>
      <c r="H461" s="258"/>
      <c r="I461" s="257" t="s">
        <v>49</v>
      </c>
      <c r="J461" s="256">
        <f>SUM(J462:J479)</f>
        <v>0</v>
      </c>
      <c r="K461" s="256">
        <f>SUM(K462:K479)</f>
        <v>0</v>
      </c>
      <c r="L461" s="255">
        <f>SUM(L462:L479)</f>
        <v>0</v>
      </c>
      <c r="M461" s="254">
        <f>SUM(M462:M479)</f>
        <v>0</v>
      </c>
      <c r="N461" s="253" t="s">
        <v>43</v>
      </c>
      <c r="O461" s="252">
        <f>SUM(O462:O479)</f>
        <v>0.11482624999999999</v>
      </c>
      <c r="P461" s="213" t="s">
        <v>43</v>
      </c>
      <c r="AI461" s="212" t="s">
        <v>43</v>
      </c>
      <c r="AS461" s="212">
        <f>SUM(AJ462:AJ479)</f>
        <v>0</v>
      </c>
      <c r="AT461" s="212">
        <f>SUM(AK462:AK479)</f>
        <v>0</v>
      </c>
      <c r="AU461" s="212">
        <f>SUM(AL462:AL479)</f>
        <v>0</v>
      </c>
    </row>
    <row r="462" spans="1:76" x14ac:dyDescent="0.25">
      <c r="A462" s="251">
        <f>A460+1</f>
        <v>108</v>
      </c>
      <c r="B462" s="250" t="s">
        <v>43</v>
      </c>
      <c r="C462" s="249" t="s">
        <v>965</v>
      </c>
      <c r="D462" s="248" t="s">
        <v>966</v>
      </c>
      <c r="E462" s="248"/>
      <c r="F462" s="247" t="s">
        <v>92</v>
      </c>
      <c r="G462" s="246">
        <f>SUM(G463:G463)</f>
        <v>5.625</v>
      </c>
      <c r="H462" s="245"/>
      <c r="I462" s="244" t="s">
        <v>95</v>
      </c>
      <c r="J462" s="279">
        <f t="shared" ref="J462:J479" si="753">G462*AO462</f>
        <v>0</v>
      </c>
      <c r="K462" s="279">
        <f t="shared" ref="K462:K479" si="754">G462*AP462</f>
        <v>0</v>
      </c>
      <c r="L462" s="242">
        <f t="shared" ref="L462:L479" si="755">G462*H462</f>
        <v>0</v>
      </c>
      <c r="M462" s="233">
        <f t="shared" ref="M462:M479" si="756">L462*(1+BW462/100)</f>
        <v>0</v>
      </c>
      <c r="N462" s="241">
        <v>2.1000000000000001E-4</v>
      </c>
      <c r="O462" s="240">
        <f t="shared" ref="O462:O476" si="757">G462*N462</f>
        <v>1.18125E-3</v>
      </c>
      <c r="P462" s="213" t="s">
        <v>769</v>
      </c>
      <c r="Z462" s="212">
        <f t="shared" ref="Z462:Z479" si="758">IF(AQ462="5",BJ462,0)</f>
        <v>0</v>
      </c>
      <c r="AB462" s="212">
        <f t="shared" ref="AB462:AB479" si="759">IF(AQ462="1",BH462,0)</f>
        <v>0</v>
      </c>
      <c r="AC462" s="212">
        <f t="shared" ref="AC462:AC479" si="760">IF(AQ462="1",BI462,0)</f>
        <v>0</v>
      </c>
      <c r="AD462" s="212">
        <f t="shared" ref="AD462:AD479" si="761">IF(AQ462="7",BH462,0)</f>
        <v>0</v>
      </c>
      <c r="AE462" s="212">
        <f t="shared" ref="AE462:AE479" si="762">IF(AQ462="7",BI462,0)</f>
        <v>0</v>
      </c>
      <c r="AF462" s="212">
        <f t="shared" ref="AF462:AF479" si="763">IF(AQ462="2",BH462,0)</f>
        <v>0</v>
      </c>
      <c r="AG462" s="212">
        <f t="shared" ref="AG462:AG479" si="764">IF(AQ462="2",BI462,0)</f>
        <v>0</v>
      </c>
      <c r="AH462" s="212">
        <f t="shared" ref="AH462:AH479" si="765">IF(AQ462="0",BJ462,0)</f>
        <v>0</v>
      </c>
      <c r="AI462" s="212" t="s">
        <v>43</v>
      </c>
      <c r="AJ462" s="212">
        <f t="shared" ref="AJ462:AJ479" si="766">IF(AN462=0,L462,0)</f>
        <v>0</v>
      </c>
      <c r="AK462" s="212">
        <f t="shared" ref="AK462:AK479" si="767">IF(AN462=12,L462,0)</f>
        <v>0</v>
      </c>
      <c r="AL462" s="212">
        <f t="shared" ref="AL462:AL479" si="768">IF(AN462=21,L462,0)</f>
        <v>0</v>
      </c>
      <c r="AN462" s="212">
        <v>12</v>
      </c>
      <c r="AO462" s="212">
        <f>H462*0.447130435</f>
        <v>0</v>
      </c>
      <c r="AP462" s="212">
        <f>H462*(1-0.447130435)</f>
        <v>0</v>
      </c>
      <c r="AQ462" s="212" t="s">
        <v>93</v>
      </c>
      <c r="AV462" s="212">
        <f t="shared" ref="AV462:AV479" si="769">AW462+AX462</f>
        <v>0</v>
      </c>
      <c r="AW462" s="212">
        <f t="shared" ref="AW462:AW479" si="770">G462*AO462</f>
        <v>0</v>
      </c>
      <c r="AX462" s="212">
        <f t="shared" ref="AX462:AX479" si="771">G462*AP462</f>
        <v>0</v>
      </c>
      <c r="AY462" s="212" t="s">
        <v>967</v>
      </c>
      <c r="AZ462" s="212" t="s">
        <v>902</v>
      </c>
      <c r="BA462" s="212" t="s">
        <v>85</v>
      </c>
      <c r="BC462" s="212">
        <f t="shared" ref="BC462:BC479" si="772">AW462+AX462</f>
        <v>0</v>
      </c>
      <c r="BD462" s="212">
        <f t="shared" ref="BD462:BD479" si="773">H462/(100-BE462)*100</f>
        <v>0</v>
      </c>
      <c r="BE462" s="212">
        <v>0</v>
      </c>
      <c r="BF462" s="212">
        <f t="shared" ref="BF462:BF479" si="774">O462</f>
        <v>1.18125E-3</v>
      </c>
      <c r="BH462" s="212">
        <f t="shared" ref="BH462:BH479" si="775">G462*AO462</f>
        <v>0</v>
      </c>
      <c r="BI462" s="212">
        <f t="shared" ref="BI462:BI479" si="776">G462*AP462</f>
        <v>0</v>
      </c>
      <c r="BJ462" s="212">
        <f t="shared" ref="BJ462:BJ479" si="777">G462*H462</f>
        <v>0</v>
      </c>
      <c r="BL462" s="212">
        <v>781</v>
      </c>
      <c r="BW462" s="212" t="str">
        <f t="shared" ref="BW462:BW479" si="778">I462</f>
        <v>12</v>
      </c>
      <c r="BX462" s="212" t="s">
        <v>966</v>
      </c>
    </row>
    <row r="463" spans="1:76" s="230" customFormat="1" ht="6.75" customHeight="1" x14ac:dyDescent="0.25">
      <c r="A463" s="362"/>
      <c r="B463" s="276"/>
      <c r="C463" s="275" t="s">
        <v>90</v>
      </c>
      <c r="D463" s="541"/>
      <c r="E463" s="238" t="str">
        <f>D473</f>
        <v>Provedení keramického obkladu vnitřních stěn do tmele</v>
      </c>
      <c r="F463" s="265" t="s">
        <v>92</v>
      </c>
      <c r="G463" s="236">
        <f>G473</f>
        <v>5.625</v>
      </c>
      <c r="H463" s="235"/>
      <c r="I463" s="235"/>
      <c r="J463" s="234"/>
      <c r="K463" s="234"/>
      <c r="L463" s="233"/>
      <c r="M463" s="233"/>
      <c r="N463" s="232"/>
      <c r="O463" s="231"/>
    </row>
    <row r="464" spans="1:76" x14ac:dyDescent="0.25">
      <c r="A464" s="251">
        <f>A462+1</f>
        <v>109</v>
      </c>
      <c r="B464" s="250" t="s">
        <v>43</v>
      </c>
      <c r="C464" s="249" t="s">
        <v>968</v>
      </c>
      <c r="D464" s="248" t="s">
        <v>969</v>
      </c>
      <c r="E464" s="248"/>
      <c r="F464" s="247" t="s">
        <v>272</v>
      </c>
      <c r="G464" s="246">
        <f>SUM(G465:G466)</f>
        <v>3</v>
      </c>
      <c r="H464" s="245"/>
      <c r="I464" s="244" t="s">
        <v>95</v>
      </c>
      <c r="J464" s="279">
        <f t="shared" si="753"/>
        <v>0</v>
      </c>
      <c r="K464" s="279">
        <f t="shared" si="754"/>
        <v>0</v>
      </c>
      <c r="L464" s="242">
        <f t="shared" si="755"/>
        <v>0</v>
      </c>
      <c r="M464" s="233">
        <f t="shared" si="756"/>
        <v>0</v>
      </c>
      <c r="N464" s="241">
        <v>0</v>
      </c>
      <c r="O464" s="240">
        <f t="shared" si="757"/>
        <v>0</v>
      </c>
      <c r="P464" s="213" t="s">
        <v>769</v>
      </c>
      <c r="Z464" s="212">
        <f t="shared" si="758"/>
        <v>0</v>
      </c>
      <c r="AB464" s="212">
        <f t="shared" si="759"/>
        <v>0</v>
      </c>
      <c r="AC464" s="212">
        <f t="shared" si="760"/>
        <v>0</v>
      </c>
      <c r="AD464" s="212">
        <f t="shared" si="761"/>
        <v>0</v>
      </c>
      <c r="AE464" s="212">
        <f t="shared" si="762"/>
        <v>0</v>
      </c>
      <c r="AF464" s="212">
        <f t="shared" si="763"/>
        <v>0</v>
      </c>
      <c r="AG464" s="212">
        <f t="shared" si="764"/>
        <v>0</v>
      </c>
      <c r="AH464" s="212">
        <f t="shared" si="765"/>
        <v>0</v>
      </c>
      <c r="AI464" s="212" t="s">
        <v>43</v>
      </c>
      <c r="AJ464" s="212">
        <f t="shared" si="766"/>
        <v>0</v>
      </c>
      <c r="AK464" s="212">
        <f t="shared" si="767"/>
        <v>0</v>
      </c>
      <c r="AL464" s="212">
        <f t="shared" si="768"/>
        <v>0</v>
      </c>
      <c r="AN464" s="212">
        <v>12</v>
      </c>
      <c r="AO464" s="212">
        <f>H464*0.048376068</f>
        <v>0</v>
      </c>
      <c r="AP464" s="212">
        <f>H464*(1-0.048376068)</f>
        <v>0</v>
      </c>
      <c r="AQ464" s="212" t="s">
        <v>93</v>
      </c>
      <c r="AV464" s="212">
        <f t="shared" si="769"/>
        <v>0</v>
      </c>
      <c r="AW464" s="212">
        <f t="shared" si="770"/>
        <v>0</v>
      </c>
      <c r="AX464" s="212">
        <f t="shared" si="771"/>
        <v>0</v>
      </c>
      <c r="AY464" s="212" t="s">
        <v>967</v>
      </c>
      <c r="AZ464" s="212" t="s">
        <v>902</v>
      </c>
      <c r="BA464" s="212" t="s">
        <v>85</v>
      </c>
      <c r="BC464" s="212">
        <f t="shared" si="772"/>
        <v>0</v>
      </c>
      <c r="BD464" s="212">
        <f t="shared" si="773"/>
        <v>0</v>
      </c>
      <c r="BE464" s="212">
        <v>0</v>
      </c>
      <c r="BF464" s="212">
        <f t="shared" si="774"/>
        <v>0</v>
      </c>
      <c r="BH464" s="212">
        <f t="shared" si="775"/>
        <v>0</v>
      </c>
      <c r="BI464" s="212">
        <f t="shared" si="776"/>
        <v>0</v>
      </c>
      <c r="BJ464" s="212">
        <f t="shared" si="777"/>
        <v>0</v>
      </c>
      <c r="BL464" s="212">
        <v>781</v>
      </c>
      <c r="BW464" s="212" t="str">
        <f t="shared" si="778"/>
        <v>12</v>
      </c>
      <c r="BX464" s="212" t="s">
        <v>969</v>
      </c>
    </row>
    <row r="465" spans="1:76" s="230" customFormat="1" ht="6.75" customHeight="1" x14ac:dyDescent="0.25">
      <c r="A465" s="362"/>
      <c r="B465" s="276"/>
      <c r="C465" s="275" t="s">
        <v>90</v>
      </c>
      <c r="D465" s="541">
        <f>C474</f>
        <v>1.5</v>
      </c>
      <c r="E465" s="238" t="str">
        <f>E474</f>
        <v>míst.č.: 1.01 sklad</v>
      </c>
      <c r="F465" s="265" t="s">
        <v>272</v>
      </c>
      <c r="G465" s="236">
        <f>D465</f>
        <v>1.5</v>
      </c>
      <c r="H465" s="235"/>
      <c r="I465" s="235"/>
      <c r="J465" s="234"/>
      <c r="K465" s="234"/>
      <c r="L465" s="233"/>
      <c r="M465" s="233"/>
      <c r="N465" s="232"/>
      <c r="O465" s="231"/>
    </row>
    <row r="466" spans="1:76" s="230" customFormat="1" ht="6.75" customHeight="1" x14ac:dyDescent="0.25">
      <c r="A466" s="362"/>
      <c r="B466" s="276"/>
      <c r="C466" s="275" t="s">
        <v>90</v>
      </c>
      <c r="D466" s="541">
        <f>C475</f>
        <v>1.5</v>
      </c>
      <c r="E466" s="238" t="str">
        <f>E475</f>
        <v>míst.č.: 1.02 WC</v>
      </c>
      <c r="F466" s="265" t="s">
        <v>272</v>
      </c>
      <c r="G466" s="236">
        <f>D466</f>
        <v>1.5</v>
      </c>
      <c r="H466" s="235"/>
      <c r="I466" s="235"/>
      <c r="J466" s="234"/>
      <c r="K466" s="234"/>
      <c r="L466" s="233"/>
      <c r="M466" s="233"/>
      <c r="N466" s="232"/>
      <c r="O466" s="231"/>
    </row>
    <row r="467" spans="1:76" x14ac:dyDescent="0.25">
      <c r="A467" s="251">
        <f>A464+1</f>
        <v>110</v>
      </c>
      <c r="B467" s="250" t="s">
        <v>43</v>
      </c>
      <c r="C467" s="249" t="s">
        <v>970</v>
      </c>
      <c r="D467" s="248" t="s">
        <v>971</v>
      </c>
      <c r="E467" s="248"/>
      <c r="F467" s="247" t="s">
        <v>265</v>
      </c>
      <c r="G467" s="246">
        <f>SUM(G468:G469)</f>
        <v>4</v>
      </c>
      <c r="H467" s="245"/>
      <c r="I467" s="244" t="s">
        <v>95</v>
      </c>
      <c r="J467" s="279">
        <f t="shared" si="753"/>
        <v>0</v>
      </c>
      <c r="K467" s="279">
        <f t="shared" si="754"/>
        <v>0</v>
      </c>
      <c r="L467" s="242">
        <f t="shared" si="755"/>
        <v>0</v>
      </c>
      <c r="M467" s="233">
        <f t="shared" si="756"/>
        <v>0</v>
      </c>
      <c r="N467" s="241">
        <v>0</v>
      </c>
      <c r="O467" s="240">
        <f t="shared" si="757"/>
        <v>0</v>
      </c>
      <c r="P467" s="213" t="s">
        <v>769</v>
      </c>
      <c r="Z467" s="212">
        <f t="shared" si="758"/>
        <v>0</v>
      </c>
      <c r="AB467" s="212">
        <f t="shared" si="759"/>
        <v>0</v>
      </c>
      <c r="AC467" s="212">
        <f t="shared" si="760"/>
        <v>0</v>
      </c>
      <c r="AD467" s="212">
        <f t="shared" si="761"/>
        <v>0</v>
      </c>
      <c r="AE467" s="212">
        <f t="shared" si="762"/>
        <v>0</v>
      </c>
      <c r="AF467" s="212">
        <f t="shared" si="763"/>
        <v>0</v>
      </c>
      <c r="AG467" s="212">
        <f t="shared" si="764"/>
        <v>0</v>
      </c>
      <c r="AH467" s="212">
        <f t="shared" si="765"/>
        <v>0</v>
      </c>
      <c r="AI467" s="212" t="s">
        <v>43</v>
      </c>
      <c r="AJ467" s="212">
        <f t="shared" si="766"/>
        <v>0</v>
      </c>
      <c r="AK467" s="212">
        <f t="shared" si="767"/>
        <v>0</v>
      </c>
      <c r="AL467" s="212">
        <f t="shared" si="768"/>
        <v>0</v>
      </c>
      <c r="AN467" s="212">
        <v>12</v>
      </c>
      <c r="AO467" s="212">
        <f>H467*0.024539877</f>
        <v>0</v>
      </c>
      <c r="AP467" s="212">
        <f>H467*(1-0.024539877)</f>
        <v>0</v>
      </c>
      <c r="AQ467" s="212" t="s">
        <v>93</v>
      </c>
      <c r="AV467" s="212">
        <f t="shared" si="769"/>
        <v>0</v>
      </c>
      <c r="AW467" s="212">
        <f t="shared" si="770"/>
        <v>0</v>
      </c>
      <c r="AX467" s="212">
        <f t="shared" si="771"/>
        <v>0</v>
      </c>
      <c r="AY467" s="212" t="s">
        <v>967</v>
      </c>
      <c r="AZ467" s="212" t="s">
        <v>902</v>
      </c>
      <c r="BA467" s="212" t="s">
        <v>85</v>
      </c>
      <c r="BC467" s="212">
        <f t="shared" si="772"/>
        <v>0</v>
      </c>
      <c r="BD467" s="212">
        <f t="shared" si="773"/>
        <v>0</v>
      </c>
      <c r="BE467" s="212">
        <v>0</v>
      </c>
      <c r="BF467" s="212">
        <f t="shared" si="774"/>
        <v>0</v>
      </c>
      <c r="BH467" s="212">
        <f t="shared" si="775"/>
        <v>0</v>
      </c>
      <c r="BI467" s="212">
        <f t="shared" si="776"/>
        <v>0</v>
      </c>
      <c r="BJ467" s="212">
        <f t="shared" si="777"/>
        <v>0</v>
      </c>
      <c r="BL467" s="212">
        <v>781</v>
      </c>
      <c r="BW467" s="212" t="str">
        <f t="shared" si="778"/>
        <v>12</v>
      </c>
      <c r="BX467" s="212" t="s">
        <v>971</v>
      </c>
    </row>
    <row r="468" spans="1:76" s="230" customFormat="1" ht="6.75" customHeight="1" x14ac:dyDescent="0.25">
      <c r="A468" s="362"/>
      <c r="B468" s="276"/>
      <c r="C468" s="275" t="s">
        <v>90</v>
      </c>
      <c r="D468" s="541">
        <v>2</v>
      </c>
      <c r="E468" s="238" t="str">
        <f>E474</f>
        <v>míst.č.: 1.01 sklad</v>
      </c>
      <c r="F468" s="265" t="s">
        <v>265</v>
      </c>
      <c r="G468" s="236">
        <f>D468</f>
        <v>2</v>
      </c>
      <c r="H468" s="235"/>
      <c r="I468" s="235"/>
      <c r="J468" s="234"/>
      <c r="K468" s="234"/>
      <c r="L468" s="233"/>
      <c r="M468" s="233"/>
      <c r="N468" s="232"/>
      <c r="O468" s="231"/>
    </row>
    <row r="469" spans="1:76" s="230" customFormat="1" ht="6.75" customHeight="1" x14ac:dyDescent="0.25">
      <c r="A469" s="362"/>
      <c r="B469" s="276"/>
      <c r="C469" s="275" t="s">
        <v>90</v>
      </c>
      <c r="D469" s="541">
        <v>2</v>
      </c>
      <c r="E469" s="238" t="str">
        <f>E475</f>
        <v>míst.č.: 1.02 WC</v>
      </c>
      <c r="F469" s="265" t="s">
        <v>265</v>
      </c>
      <c r="G469" s="236">
        <f>D469</f>
        <v>2</v>
      </c>
      <c r="H469" s="235"/>
      <c r="I469" s="235"/>
      <c r="J469" s="234"/>
      <c r="K469" s="234"/>
      <c r="L469" s="233"/>
      <c r="M469" s="233"/>
      <c r="N469" s="232"/>
      <c r="O469" s="231"/>
    </row>
    <row r="470" spans="1:76" x14ac:dyDescent="0.25">
      <c r="A470" s="251">
        <f>A467+1</f>
        <v>111</v>
      </c>
      <c r="B470" s="250" t="s">
        <v>43</v>
      </c>
      <c r="C470" s="249" t="s">
        <v>972</v>
      </c>
      <c r="D470" s="248" t="s">
        <v>973</v>
      </c>
      <c r="E470" s="248"/>
      <c r="F470" s="247" t="s">
        <v>265</v>
      </c>
      <c r="G470" s="246">
        <f>SUM(G471:G472)</f>
        <v>2</v>
      </c>
      <c r="H470" s="245"/>
      <c r="I470" s="244" t="s">
        <v>95</v>
      </c>
      <c r="J470" s="279">
        <f t="shared" si="753"/>
        <v>0</v>
      </c>
      <c r="K470" s="279">
        <f t="shared" si="754"/>
        <v>0</v>
      </c>
      <c r="L470" s="242">
        <f t="shared" si="755"/>
        <v>0</v>
      </c>
      <c r="M470" s="233">
        <f t="shared" si="756"/>
        <v>0</v>
      </c>
      <c r="N470" s="241">
        <v>1.0000000000000001E-5</v>
      </c>
      <c r="O470" s="240">
        <f t="shared" si="757"/>
        <v>2.0000000000000002E-5</v>
      </c>
      <c r="P470" s="213" t="s">
        <v>769</v>
      </c>
      <c r="Z470" s="212">
        <f t="shared" si="758"/>
        <v>0</v>
      </c>
      <c r="AB470" s="212">
        <f t="shared" si="759"/>
        <v>0</v>
      </c>
      <c r="AC470" s="212">
        <f t="shared" si="760"/>
        <v>0</v>
      </c>
      <c r="AD470" s="212">
        <f t="shared" si="761"/>
        <v>0</v>
      </c>
      <c r="AE470" s="212">
        <f t="shared" si="762"/>
        <v>0</v>
      </c>
      <c r="AF470" s="212">
        <f t="shared" si="763"/>
        <v>0</v>
      </c>
      <c r="AG470" s="212">
        <f t="shared" si="764"/>
        <v>0</v>
      </c>
      <c r="AH470" s="212">
        <f t="shared" si="765"/>
        <v>0</v>
      </c>
      <c r="AI470" s="212" t="s">
        <v>43</v>
      </c>
      <c r="AJ470" s="212">
        <f t="shared" si="766"/>
        <v>0</v>
      </c>
      <c r="AK470" s="212">
        <f t="shared" si="767"/>
        <v>0</v>
      </c>
      <c r="AL470" s="212">
        <f t="shared" si="768"/>
        <v>0</v>
      </c>
      <c r="AN470" s="212">
        <v>12</v>
      </c>
      <c r="AO470" s="212">
        <f>H470*0.056730899</f>
        <v>0</v>
      </c>
      <c r="AP470" s="212">
        <f>H470*(1-0.056730899)</f>
        <v>0</v>
      </c>
      <c r="AQ470" s="212" t="s">
        <v>93</v>
      </c>
      <c r="AV470" s="212">
        <f t="shared" si="769"/>
        <v>0</v>
      </c>
      <c r="AW470" s="212">
        <f t="shared" si="770"/>
        <v>0</v>
      </c>
      <c r="AX470" s="212">
        <f t="shared" si="771"/>
        <v>0</v>
      </c>
      <c r="AY470" s="212" t="s">
        <v>967</v>
      </c>
      <c r="AZ470" s="212" t="s">
        <v>902</v>
      </c>
      <c r="BA470" s="212" t="s">
        <v>85</v>
      </c>
      <c r="BC470" s="212">
        <f t="shared" si="772"/>
        <v>0</v>
      </c>
      <c r="BD470" s="212">
        <f t="shared" si="773"/>
        <v>0</v>
      </c>
      <c r="BE470" s="212">
        <v>0</v>
      </c>
      <c r="BF470" s="212">
        <f t="shared" si="774"/>
        <v>2.0000000000000002E-5</v>
      </c>
      <c r="BH470" s="212">
        <f t="shared" si="775"/>
        <v>0</v>
      </c>
      <c r="BI470" s="212">
        <f t="shared" si="776"/>
        <v>0</v>
      </c>
      <c r="BJ470" s="212">
        <f t="shared" si="777"/>
        <v>0</v>
      </c>
      <c r="BL470" s="212">
        <v>781</v>
      </c>
      <c r="BW470" s="212" t="str">
        <f t="shared" si="778"/>
        <v>12</v>
      </c>
      <c r="BX470" s="212" t="s">
        <v>973</v>
      </c>
    </row>
    <row r="471" spans="1:76" s="230" customFormat="1" ht="6.75" customHeight="1" x14ac:dyDescent="0.25">
      <c r="A471" s="362"/>
      <c r="B471" s="276"/>
      <c r="C471" s="275" t="s">
        <v>90</v>
      </c>
      <c r="D471" s="541">
        <v>1</v>
      </c>
      <c r="E471" s="238" t="str">
        <f>E474</f>
        <v>míst.č.: 1.01 sklad</v>
      </c>
      <c r="F471" s="265" t="s">
        <v>265</v>
      </c>
      <c r="G471" s="236">
        <f>D471</f>
        <v>1</v>
      </c>
      <c r="H471" s="235"/>
      <c r="I471" s="235"/>
      <c r="J471" s="234"/>
      <c r="K471" s="234"/>
      <c r="L471" s="233"/>
      <c r="M471" s="233"/>
      <c r="N471" s="232"/>
      <c r="O471" s="231"/>
    </row>
    <row r="472" spans="1:76" s="230" customFormat="1" ht="6.75" customHeight="1" x14ac:dyDescent="0.25">
      <c r="A472" s="362"/>
      <c r="B472" s="276"/>
      <c r="C472" s="275" t="s">
        <v>90</v>
      </c>
      <c r="D472" s="541">
        <v>1</v>
      </c>
      <c r="E472" s="238" t="str">
        <f>E475</f>
        <v>míst.č.: 1.02 WC</v>
      </c>
      <c r="F472" s="265" t="s">
        <v>265</v>
      </c>
      <c r="G472" s="236">
        <f>D472</f>
        <v>1</v>
      </c>
      <c r="H472" s="235"/>
      <c r="I472" s="235"/>
      <c r="J472" s="234"/>
      <c r="K472" s="234"/>
      <c r="L472" s="233"/>
      <c r="M472" s="233"/>
      <c r="N472" s="232"/>
      <c r="O472" s="231"/>
    </row>
    <row r="473" spans="1:76" x14ac:dyDescent="0.25">
      <c r="A473" s="251">
        <f>A470+1</f>
        <v>112</v>
      </c>
      <c r="B473" s="250" t="s">
        <v>43</v>
      </c>
      <c r="C473" s="249" t="s">
        <v>974</v>
      </c>
      <c r="D473" s="248" t="s">
        <v>980</v>
      </c>
      <c r="E473" s="248"/>
      <c r="F473" s="247" t="s">
        <v>92</v>
      </c>
      <c r="G473" s="246">
        <f>SUM(G474:G475)</f>
        <v>5.625</v>
      </c>
      <c r="H473" s="245"/>
      <c r="I473" s="244" t="s">
        <v>95</v>
      </c>
      <c r="J473" s="279">
        <f t="shared" si="753"/>
        <v>0</v>
      </c>
      <c r="K473" s="279">
        <f t="shared" si="754"/>
        <v>0</v>
      </c>
      <c r="L473" s="242">
        <f t="shared" si="755"/>
        <v>0</v>
      </c>
      <c r="M473" s="233">
        <f t="shared" si="756"/>
        <v>0</v>
      </c>
      <c r="N473" s="241">
        <v>5.2399999999999999E-3</v>
      </c>
      <c r="O473" s="240">
        <f t="shared" si="757"/>
        <v>2.9474999999999998E-2</v>
      </c>
      <c r="P473" s="213" t="s">
        <v>769</v>
      </c>
      <c r="Z473" s="212">
        <f t="shared" si="758"/>
        <v>0</v>
      </c>
      <c r="AB473" s="212">
        <f t="shared" si="759"/>
        <v>0</v>
      </c>
      <c r="AC473" s="212">
        <f t="shared" si="760"/>
        <v>0</v>
      </c>
      <c r="AD473" s="212">
        <f t="shared" si="761"/>
        <v>0</v>
      </c>
      <c r="AE473" s="212">
        <f t="shared" si="762"/>
        <v>0</v>
      </c>
      <c r="AF473" s="212">
        <f t="shared" si="763"/>
        <v>0</v>
      </c>
      <c r="AG473" s="212">
        <f t="shared" si="764"/>
        <v>0</v>
      </c>
      <c r="AH473" s="212">
        <f t="shared" si="765"/>
        <v>0</v>
      </c>
      <c r="AI473" s="212" t="s">
        <v>43</v>
      </c>
      <c r="AJ473" s="212">
        <f t="shared" si="766"/>
        <v>0</v>
      </c>
      <c r="AK473" s="212">
        <f t="shared" si="767"/>
        <v>0</v>
      </c>
      <c r="AL473" s="212">
        <f t="shared" si="768"/>
        <v>0</v>
      </c>
      <c r="AN473" s="212">
        <v>12</v>
      </c>
      <c r="AO473" s="212">
        <f>H473*0.230326223</f>
        <v>0</v>
      </c>
      <c r="AP473" s="212">
        <f>H473*(1-0.230326223)</f>
        <v>0</v>
      </c>
      <c r="AQ473" s="212" t="s">
        <v>93</v>
      </c>
      <c r="AV473" s="212">
        <f t="shared" si="769"/>
        <v>0</v>
      </c>
      <c r="AW473" s="212">
        <f t="shared" si="770"/>
        <v>0</v>
      </c>
      <c r="AX473" s="212">
        <f t="shared" si="771"/>
        <v>0</v>
      </c>
      <c r="AY473" s="212" t="s">
        <v>967</v>
      </c>
      <c r="AZ473" s="212" t="s">
        <v>902</v>
      </c>
      <c r="BA473" s="212" t="s">
        <v>85</v>
      </c>
      <c r="BC473" s="212">
        <f t="shared" si="772"/>
        <v>0</v>
      </c>
      <c r="BD473" s="212">
        <f t="shared" si="773"/>
        <v>0</v>
      </c>
      <c r="BE473" s="212">
        <v>0</v>
      </c>
      <c r="BF473" s="212">
        <f t="shared" si="774"/>
        <v>2.9474999999999998E-2</v>
      </c>
      <c r="BH473" s="212">
        <f t="shared" si="775"/>
        <v>0</v>
      </c>
      <c r="BI473" s="212">
        <f t="shared" si="776"/>
        <v>0</v>
      </c>
      <c r="BJ473" s="212">
        <f t="shared" si="777"/>
        <v>0</v>
      </c>
      <c r="BL473" s="212">
        <v>781</v>
      </c>
      <c r="BW473" s="212" t="str">
        <f t="shared" si="778"/>
        <v>12</v>
      </c>
      <c r="BX473" s="212" t="s">
        <v>975</v>
      </c>
    </row>
    <row r="474" spans="1:76" s="230" customFormat="1" ht="6.75" customHeight="1" x14ac:dyDescent="0.25">
      <c r="A474" s="362"/>
      <c r="B474" s="276"/>
      <c r="C474" s="275">
        <v>1.5</v>
      </c>
      <c r="D474" s="541">
        <v>1.75</v>
      </c>
      <c r="E474" s="238" t="str">
        <f>E454</f>
        <v>míst.č.: 1.01 sklad</v>
      </c>
      <c r="F474" s="265" t="s">
        <v>92</v>
      </c>
      <c r="G474" s="236">
        <f>D474*C474</f>
        <v>2.625</v>
      </c>
      <c r="H474" s="235"/>
      <c r="I474" s="235"/>
      <c r="J474" s="234"/>
      <c r="K474" s="234"/>
      <c r="L474" s="233"/>
      <c r="M474" s="233"/>
      <c r="N474" s="232"/>
      <c r="O474" s="231"/>
    </row>
    <row r="475" spans="1:76" s="230" customFormat="1" ht="6.75" customHeight="1" x14ac:dyDescent="0.25">
      <c r="A475" s="362"/>
      <c r="B475" s="276"/>
      <c r="C475" s="275">
        <v>1.5</v>
      </c>
      <c r="D475" s="541">
        <v>2</v>
      </c>
      <c r="E475" s="238" t="str">
        <f>E455</f>
        <v>míst.č.: 1.02 WC</v>
      </c>
      <c r="F475" s="265" t="s">
        <v>92</v>
      </c>
      <c r="G475" s="236">
        <f>D475*C475</f>
        <v>3</v>
      </c>
      <c r="H475" s="235"/>
      <c r="I475" s="235"/>
      <c r="J475" s="234"/>
      <c r="K475" s="234"/>
      <c r="L475" s="233"/>
      <c r="M475" s="233"/>
      <c r="N475" s="232"/>
      <c r="O475" s="231"/>
    </row>
    <row r="476" spans="1:76" x14ac:dyDescent="0.25">
      <c r="A476" s="251">
        <f>A473+1</f>
        <v>113</v>
      </c>
      <c r="B476" s="250" t="s">
        <v>43</v>
      </c>
      <c r="C476" s="249" t="s">
        <v>976</v>
      </c>
      <c r="D476" s="248" t="s">
        <v>977</v>
      </c>
      <c r="E476" s="248"/>
      <c r="F476" s="247" t="s">
        <v>92</v>
      </c>
      <c r="G476" s="246">
        <f>SUM(G477:G478)</f>
        <v>6.1875</v>
      </c>
      <c r="H476" s="245"/>
      <c r="I476" s="244" t="s">
        <v>95</v>
      </c>
      <c r="J476" s="279">
        <f t="shared" si="753"/>
        <v>0</v>
      </c>
      <c r="K476" s="279">
        <f t="shared" si="754"/>
        <v>0</v>
      </c>
      <c r="L476" s="242">
        <f t="shared" si="755"/>
        <v>0</v>
      </c>
      <c r="M476" s="233">
        <f t="shared" si="756"/>
        <v>0</v>
      </c>
      <c r="N476" s="241">
        <v>1.3599999999999999E-2</v>
      </c>
      <c r="O476" s="240">
        <f t="shared" si="757"/>
        <v>8.4149999999999989E-2</v>
      </c>
      <c r="P476" s="213" t="s">
        <v>769</v>
      </c>
      <c r="Z476" s="212">
        <f t="shared" si="758"/>
        <v>0</v>
      </c>
      <c r="AB476" s="212">
        <f t="shared" si="759"/>
        <v>0</v>
      </c>
      <c r="AC476" s="212">
        <f t="shared" si="760"/>
        <v>0</v>
      </c>
      <c r="AD476" s="212">
        <f t="shared" si="761"/>
        <v>0</v>
      </c>
      <c r="AE476" s="212">
        <f t="shared" si="762"/>
        <v>0</v>
      </c>
      <c r="AF476" s="212">
        <f t="shared" si="763"/>
        <v>0</v>
      </c>
      <c r="AG476" s="212">
        <f t="shared" si="764"/>
        <v>0</v>
      </c>
      <c r="AH476" s="212">
        <f t="shared" si="765"/>
        <v>0</v>
      </c>
      <c r="AI476" s="212" t="s">
        <v>43</v>
      </c>
      <c r="AJ476" s="212">
        <f t="shared" si="766"/>
        <v>0</v>
      </c>
      <c r="AK476" s="212">
        <f t="shared" si="767"/>
        <v>0</v>
      </c>
      <c r="AL476" s="212">
        <f t="shared" si="768"/>
        <v>0</v>
      </c>
      <c r="AN476" s="212">
        <v>12</v>
      </c>
      <c r="AO476" s="212">
        <f>H476*1</f>
        <v>0</v>
      </c>
      <c r="AP476" s="212">
        <f>H476*(1-1)</f>
        <v>0</v>
      </c>
      <c r="AQ476" s="212" t="s">
        <v>93</v>
      </c>
      <c r="AV476" s="212">
        <f t="shared" si="769"/>
        <v>0</v>
      </c>
      <c r="AW476" s="212">
        <f t="shared" si="770"/>
        <v>0</v>
      </c>
      <c r="AX476" s="212">
        <f t="shared" si="771"/>
        <v>0</v>
      </c>
      <c r="AY476" s="212" t="s">
        <v>967</v>
      </c>
      <c r="AZ476" s="212" t="s">
        <v>902</v>
      </c>
      <c r="BA476" s="212" t="s">
        <v>85</v>
      </c>
      <c r="BC476" s="212">
        <f t="shared" si="772"/>
        <v>0</v>
      </c>
      <c r="BD476" s="212">
        <f t="shared" si="773"/>
        <v>0</v>
      </c>
      <c r="BE476" s="212">
        <v>0</v>
      </c>
      <c r="BF476" s="212">
        <f t="shared" si="774"/>
        <v>8.4149999999999989E-2</v>
      </c>
      <c r="BH476" s="212">
        <f t="shared" si="775"/>
        <v>0</v>
      </c>
      <c r="BI476" s="212">
        <f t="shared" si="776"/>
        <v>0</v>
      </c>
      <c r="BJ476" s="212">
        <f t="shared" si="777"/>
        <v>0</v>
      </c>
      <c r="BL476" s="212">
        <v>781</v>
      </c>
      <c r="BW476" s="212" t="str">
        <f t="shared" si="778"/>
        <v>12</v>
      </c>
      <c r="BX476" s="212" t="s">
        <v>977</v>
      </c>
    </row>
    <row r="477" spans="1:76" s="230" customFormat="1" ht="6.75" customHeight="1" x14ac:dyDescent="0.25">
      <c r="A477" s="362"/>
      <c r="B477" s="276"/>
      <c r="C477" s="275" t="s">
        <v>90</v>
      </c>
      <c r="D477" s="541"/>
      <c r="E477" s="238" t="str">
        <f>D473</f>
        <v>Provedení keramického obkladu vnitřních stěn do tmele</v>
      </c>
      <c r="F477" s="265" t="s">
        <v>92</v>
      </c>
      <c r="G477" s="236">
        <f>G473</f>
        <v>5.625</v>
      </c>
      <c r="H477" s="235"/>
      <c r="I477" s="235"/>
      <c r="J477" s="234"/>
      <c r="K477" s="234"/>
      <c r="L477" s="233"/>
      <c r="M477" s="233"/>
      <c r="N477" s="232"/>
      <c r="O477" s="231"/>
    </row>
    <row r="478" spans="1:76" s="230" customFormat="1" ht="6.75" customHeight="1" x14ac:dyDescent="0.25">
      <c r="A478" s="361">
        <f>SUM(G477:G477)</f>
        <v>5.625</v>
      </c>
      <c r="B478" s="542"/>
      <c r="C478" s="277"/>
      <c r="D478" s="543">
        <v>0.1</v>
      </c>
      <c r="E478" s="238" t="s">
        <v>320</v>
      </c>
      <c r="F478" s="265" t="s">
        <v>92</v>
      </c>
      <c r="G478" s="236">
        <f>D478*A478</f>
        <v>0.5625</v>
      </c>
      <c r="H478" s="235"/>
      <c r="I478" s="235"/>
      <c r="J478" s="234"/>
      <c r="K478" s="234"/>
      <c r="L478" s="233"/>
      <c r="M478" s="233"/>
      <c r="N478" s="232"/>
      <c r="O478" s="231"/>
    </row>
    <row r="479" spans="1:76" x14ac:dyDescent="0.25">
      <c r="A479" s="251">
        <f>A476+1</f>
        <v>114</v>
      </c>
      <c r="B479" s="250" t="s">
        <v>43</v>
      </c>
      <c r="C479" s="249" t="s">
        <v>978</v>
      </c>
      <c r="D479" s="248" t="s">
        <v>979</v>
      </c>
      <c r="E479" s="248"/>
      <c r="F479" s="247" t="s">
        <v>82</v>
      </c>
      <c r="G479" s="246">
        <f>O461</f>
        <v>0.11482624999999999</v>
      </c>
      <c r="H479" s="245"/>
      <c r="I479" s="244" t="s">
        <v>95</v>
      </c>
      <c r="J479" s="279">
        <f t="shared" si="753"/>
        <v>0</v>
      </c>
      <c r="K479" s="279">
        <f t="shared" si="754"/>
        <v>0</v>
      </c>
      <c r="L479" s="242">
        <f t="shared" si="755"/>
        <v>0</v>
      </c>
      <c r="M479" s="233">
        <f t="shared" si="756"/>
        <v>0</v>
      </c>
      <c r="N479" s="241">
        <v>0</v>
      </c>
      <c r="O479" s="240">
        <v>0</v>
      </c>
      <c r="P479" s="213" t="s">
        <v>769</v>
      </c>
      <c r="Z479" s="212">
        <f t="shared" si="758"/>
        <v>0</v>
      </c>
      <c r="AB479" s="212">
        <f t="shared" si="759"/>
        <v>0</v>
      </c>
      <c r="AC479" s="212">
        <f t="shared" si="760"/>
        <v>0</v>
      </c>
      <c r="AD479" s="212">
        <f t="shared" si="761"/>
        <v>0</v>
      </c>
      <c r="AE479" s="212">
        <f t="shared" si="762"/>
        <v>0</v>
      </c>
      <c r="AF479" s="212">
        <f t="shared" si="763"/>
        <v>0</v>
      </c>
      <c r="AG479" s="212">
        <f t="shared" si="764"/>
        <v>0</v>
      </c>
      <c r="AH479" s="212">
        <f t="shared" si="765"/>
        <v>0</v>
      </c>
      <c r="AI479" s="212" t="s">
        <v>43</v>
      </c>
      <c r="AJ479" s="212">
        <f t="shared" si="766"/>
        <v>0</v>
      </c>
      <c r="AK479" s="212">
        <f t="shared" si="767"/>
        <v>0</v>
      </c>
      <c r="AL479" s="212">
        <f t="shared" si="768"/>
        <v>0</v>
      </c>
      <c r="AN479" s="212">
        <v>12</v>
      </c>
      <c r="AO479" s="212">
        <f>H479*0</f>
        <v>0</v>
      </c>
      <c r="AP479" s="212">
        <f>H479*(1-0)</f>
        <v>0</v>
      </c>
      <c r="AQ479" s="212" t="s">
        <v>88</v>
      </c>
      <c r="AV479" s="212">
        <f t="shared" si="769"/>
        <v>0</v>
      </c>
      <c r="AW479" s="212">
        <f t="shared" si="770"/>
        <v>0</v>
      </c>
      <c r="AX479" s="212">
        <f t="shared" si="771"/>
        <v>0</v>
      </c>
      <c r="AY479" s="212" t="s">
        <v>967</v>
      </c>
      <c r="AZ479" s="212" t="s">
        <v>902</v>
      </c>
      <c r="BA479" s="212" t="s">
        <v>85</v>
      </c>
      <c r="BC479" s="212">
        <f t="shared" si="772"/>
        <v>0</v>
      </c>
      <c r="BD479" s="212">
        <f t="shared" si="773"/>
        <v>0</v>
      </c>
      <c r="BE479" s="212">
        <v>0</v>
      </c>
      <c r="BF479" s="212">
        <f t="shared" si="774"/>
        <v>0</v>
      </c>
      <c r="BH479" s="212">
        <f t="shared" si="775"/>
        <v>0</v>
      </c>
      <c r="BI479" s="212">
        <f t="shared" si="776"/>
        <v>0</v>
      </c>
      <c r="BJ479" s="212">
        <f t="shared" si="777"/>
        <v>0</v>
      </c>
      <c r="BL479" s="212">
        <v>781</v>
      </c>
      <c r="BW479" s="212" t="str">
        <f t="shared" si="778"/>
        <v>12</v>
      </c>
      <c r="BX479" s="212" t="s">
        <v>979</v>
      </c>
    </row>
    <row r="480" spans="1:76" x14ac:dyDescent="0.25">
      <c r="A480" s="264" t="s">
        <v>43</v>
      </c>
      <c r="B480" s="263" t="s">
        <v>43</v>
      </c>
      <c r="C480" s="262"/>
      <c r="D480" s="261" t="str">
        <f>'1-Rekapitulace'!B35</f>
        <v>783 : Nátěry</v>
      </c>
      <c r="E480" s="261"/>
      <c r="F480" s="260" t="s">
        <v>49</v>
      </c>
      <c r="G480" s="259" t="s">
        <v>49</v>
      </c>
      <c r="H480" s="258"/>
      <c r="I480" s="257" t="s">
        <v>49</v>
      </c>
      <c r="J480" s="256">
        <f>SUM(J481:J489)</f>
        <v>0</v>
      </c>
      <c r="K480" s="256">
        <f>SUM(K481:K489)</f>
        <v>0</v>
      </c>
      <c r="L480" s="255">
        <f>SUM(L481:L489)</f>
        <v>0</v>
      </c>
      <c r="M480" s="254">
        <f>SUM(M481:M489)</f>
        <v>0</v>
      </c>
      <c r="N480" s="253" t="s">
        <v>43</v>
      </c>
      <c r="O480" s="252">
        <f>SUM(O481:O489)</f>
        <v>0.26657356954703992</v>
      </c>
      <c r="P480" s="213" t="s">
        <v>43</v>
      </c>
      <c r="AI480" s="212" t="s">
        <v>43</v>
      </c>
      <c r="AS480" s="212">
        <f>SUM(AJ481:AJ489)</f>
        <v>0</v>
      </c>
      <c r="AT480" s="212">
        <f>SUM(AK481:AK489)</f>
        <v>0</v>
      </c>
      <c r="AU480" s="212">
        <f>SUM(AL481:AL489)</f>
        <v>0</v>
      </c>
    </row>
    <row r="481" spans="1:76" x14ac:dyDescent="0.25">
      <c r="A481" s="251">
        <f>A479+1</f>
        <v>115</v>
      </c>
      <c r="B481" s="250" t="s">
        <v>43</v>
      </c>
      <c r="C481" s="249" t="s">
        <v>899</v>
      </c>
      <c r="D481" s="248" t="s">
        <v>900</v>
      </c>
      <c r="E481" s="248"/>
      <c r="F481" s="247" t="s">
        <v>94</v>
      </c>
      <c r="G481" s="246">
        <f>SUM(G482:G484)</f>
        <v>18.590072582399998</v>
      </c>
      <c r="H481" s="245"/>
      <c r="I481" s="244" t="s">
        <v>95</v>
      </c>
      <c r="J481" s="279">
        <f>G481*AO481</f>
        <v>0</v>
      </c>
      <c r="K481" s="279">
        <f>G481*AP481</f>
        <v>0</v>
      </c>
      <c r="L481" s="242">
        <f>G481*H481</f>
        <v>0</v>
      </c>
      <c r="M481" s="233">
        <f>L481*(1+BW481/100)</f>
        <v>0</v>
      </c>
      <c r="N481" s="241">
        <v>1.21E-2</v>
      </c>
      <c r="O481" s="240">
        <f>G481*N481</f>
        <v>0.22493987824703995</v>
      </c>
      <c r="P481" s="213" t="s">
        <v>769</v>
      </c>
      <c r="Z481" s="212">
        <f>IF(AQ481="5",BJ481,0)</f>
        <v>0</v>
      </c>
      <c r="AB481" s="212">
        <f>IF(AQ481="1",BH481,0)</f>
        <v>0</v>
      </c>
      <c r="AC481" s="212">
        <f>IF(AQ481="1",BI481,0)</f>
        <v>0</v>
      </c>
      <c r="AD481" s="212">
        <f>IF(AQ481="7",BH481,0)</f>
        <v>0</v>
      </c>
      <c r="AE481" s="212">
        <f>IF(AQ481="7",BI481,0)</f>
        <v>0</v>
      </c>
      <c r="AF481" s="212">
        <f>IF(AQ481="2",BH481,0)</f>
        <v>0</v>
      </c>
      <c r="AG481" s="212">
        <f>IF(AQ481="2",BI481,0)</f>
        <v>0</v>
      </c>
      <c r="AH481" s="212">
        <f>IF(AQ481="0",BJ481,0)</f>
        <v>0</v>
      </c>
      <c r="AI481" s="212" t="s">
        <v>43</v>
      </c>
      <c r="AJ481" s="212">
        <f>IF(AN481=0,L481,0)</f>
        <v>0</v>
      </c>
      <c r="AK481" s="212">
        <f>IF(AN481=12,L481,0)</f>
        <v>0</v>
      </c>
      <c r="AL481" s="212">
        <f>IF(AN481=21,L481,0)</f>
        <v>0</v>
      </c>
      <c r="AN481" s="212">
        <v>12</v>
      </c>
      <c r="AO481" s="212">
        <f>H481*0.994445509</f>
        <v>0</v>
      </c>
      <c r="AP481" s="212">
        <f>H481*(1-0.994445509)</f>
        <v>0</v>
      </c>
      <c r="AQ481" s="212" t="s">
        <v>93</v>
      </c>
      <c r="AV481" s="212">
        <f>AW481+AX481</f>
        <v>0</v>
      </c>
      <c r="AW481" s="212">
        <f>G481*AO481</f>
        <v>0</v>
      </c>
      <c r="AX481" s="212">
        <f>G481*AP481</f>
        <v>0</v>
      </c>
      <c r="AY481" s="212" t="s">
        <v>901</v>
      </c>
      <c r="AZ481" s="212" t="s">
        <v>902</v>
      </c>
      <c r="BA481" s="212" t="s">
        <v>85</v>
      </c>
      <c r="BC481" s="212">
        <f>AW481+AX481</f>
        <v>0</v>
      </c>
      <c r="BD481" s="212">
        <f>H481/(100-BE481)*100</f>
        <v>0</v>
      </c>
      <c r="BE481" s="212">
        <v>0</v>
      </c>
      <c r="BF481" s="212">
        <f>O481</f>
        <v>0.22493987824703995</v>
      </c>
      <c r="BH481" s="212">
        <f>G481*AO481</f>
        <v>0</v>
      </c>
      <c r="BI481" s="212">
        <f>G481*AP481</f>
        <v>0</v>
      </c>
      <c r="BJ481" s="212">
        <f>G481*H481</f>
        <v>0</v>
      </c>
      <c r="BL481" s="212">
        <v>783</v>
      </c>
      <c r="BW481" s="212" t="str">
        <f>I481</f>
        <v>12</v>
      </c>
      <c r="BX481" s="212" t="s">
        <v>900</v>
      </c>
    </row>
    <row r="482" spans="1:76" s="230" customFormat="1" ht="6.75" customHeight="1" x14ac:dyDescent="0.25">
      <c r="A482" s="362"/>
      <c r="B482" s="276"/>
      <c r="C482" s="275" t="s">
        <v>90</v>
      </c>
      <c r="D482" s="541"/>
      <c r="E482" s="238" t="s">
        <v>916</v>
      </c>
      <c r="F482" s="265" t="s">
        <v>94</v>
      </c>
      <c r="G482" s="236">
        <f>G247</f>
        <v>9.5558237039999998</v>
      </c>
      <c r="H482" s="235"/>
      <c r="I482" s="235"/>
      <c r="J482" s="234"/>
      <c r="K482" s="234"/>
      <c r="L482" s="233"/>
      <c r="M482" s="233"/>
      <c r="N482" s="232"/>
      <c r="O482" s="231"/>
    </row>
    <row r="483" spans="1:76" s="230" customFormat="1" ht="6.75" customHeight="1" x14ac:dyDescent="0.25">
      <c r="A483" s="362"/>
      <c r="B483" s="276"/>
      <c r="C483" s="275" t="s">
        <v>90</v>
      </c>
      <c r="D483" s="541"/>
      <c r="E483" s="238" t="s">
        <v>917</v>
      </c>
      <c r="F483" s="265" t="s">
        <v>94</v>
      </c>
      <c r="G483" s="236">
        <f>G285</f>
        <v>3.9440093759999995</v>
      </c>
      <c r="H483" s="235"/>
      <c r="I483" s="235"/>
      <c r="J483" s="234"/>
      <c r="K483" s="234"/>
      <c r="L483" s="233"/>
      <c r="M483" s="233"/>
      <c r="N483" s="232"/>
      <c r="O483" s="231"/>
    </row>
    <row r="484" spans="1:76" s="230" customFormat="1" ht="6.75" customHeight="1" x14ac:dyDescent="0.25">
      <c r="A484" s="361">
        <f>G411*D239</f>
        <v>3.2232535200000001</v>
      </c>
      <c r="B484" s="276"/>
      <c r="C484" s="275" t="s">
        <v>90</v>
      </c>
      <c r="D484" s="541">
        <f>G402*0.06*0.04</f>
        <v>1.8669859823999997</v>
      </c>
      <c r="E484" s="238" t="s">
        <v>918</v>
      </c>
      <c r="F484" s="265" t="s">
        <v>94</v>
      </c>
      <c r="G484" s="236">
        <f>D484+A484</f>
        <v>5.0902395023999993</v>
      </c>
      <c r="H484" s="235"/>
      <c r="I484" s="235"/>
      <c r="J484" s="234"/>
      <c r="K484" s="234"/>
      <c r="L484" s="233"/>
      <c r="M484" s="233"/>
      <c r="N484" s="232"/>
      <c r="O484" s="231"/>
    </row>
    <row r="485" spans="1:76" x14ac:dyDescent="0.25">
      <c r="A485" s="251">
        <f>A481+1</f>
        <v>116</v>
      </c>
      <c r="B485" s="250" t="s">
        <v>43</v>
      </c>
      <c r="C485" s="249" t="s">
        <v>883</v>
      </c>
      <c r="D485" s="248" t="s">
        <v>903</v>
      </c>
      <c r="E485" s="248"/>
      <c r="F485" s="247" t="s">
        <v>92</v>
      </c>
      <c r="G485" s="246">
        <f>SUM(G486:G486)</f>
        <v>134.30223000000001</v>
      </c>
      <c r="H485" s="245"/>
      <c r="I485" s="244" t="s">
        <v>95</v>
      </c>
      <c r="J485" s="279">
        <f>G485*AO485</f>
        <v>0</v>
      </c>
      <c r="K485" s="279">
        <f>G485*AP485</f>
        <v>0</v>
      </c>
      <c r="L485" s="242">
        <f>G485*H485</f>
        <v>0</v>
      </c>
      <c r="M485" s="233">
        <f>L485*(1+BW485/100)</f>
        <v>0</v>
      </c>
      <c r="N485" s="241">
        <v>1E-4</v>
      </c>
      <c r="O485" s="240">
        <f>G485*N485</f>
        <v>1.3430223000000002E-2</v>
      </c>
      <c r="P485" s="213" t="s">
        <v>769</v>
      </c>
      <c r="Z485" s="212">
        <f>IF(AQ485="5",BJ485,0)</f>
        <v>0</v>
      </c>
      <c r="AB485" s="212">
        <f>IF(AQ485="1",BH485,0)</f>
        <v>0</v>
      </c>
      <c r="AC485" s="212">
        <f>IF(AQ485="1",BI485,0)</f>
        <v>0</v>
      </c>
      <c r="AD485" s="212">
        <f>IF(AQ485="7",BH485,0)</f>
        <v>0</v>
      </c>
      <c r="AE485" s="212">
        <f>IF(AQ485="7",BI485,0)</f>
        <v>0</v>
      </c>
      <c r="AF485" s="212">
        <f>IF(AQ485="2",BH485,0)</f>
        <v>0</v>
      </c>
      <c r="AG485" s="212">
        <f>IF(AQ485="2",BI485,0)</f>
        <v>0</v>
      </c>
      <c r="AH485" s="212">
        <f>IF(AQ485="0",BJ485,0)</f>
        <v>0</v>
      </c>
      <c r="AI485" s="212" t="s">
        <v>43</v>
      </c>
      <c r="AJ485" s="212">
        <f>IF(AN485=0,L485,0)</f>
        <v>0</v>
      </c>
      <c r="AK485" s="212">
        <f>IF(AN485=12,L485,0)</f>
        <v>0</v>
      </c>
      <c r="AL485" s="212">
        <f>IF(AN485=21,L485,0)</f>
        <v>0</v>
      </c>
      <c r="AN485" s="212">
        <v>12</v>
      </c>
      <c r="AO485" s="212">
        <f>H485*0.223167849</f>
        <v>0</v>
      </c>
      <c r="AP485" s="212">
        <f>H485*(1-0.223167849)</f>
        <v>0</v>
      </c>
      <c r="AQ485" s="212" t="s">
        <v>93</v>
      </c>
      <c r="AV485" s="212">
        <f>AW485+AX485</f>
        <v>0</v>
      </c>
      <c r="AW485" s="212">
        <f>G485*AO485</f>
        <v>0</v>
      </c>
      <c r="AX485" s="212">
        <f>G485*AP485</f>
        <v>0</v>
      </c>
      <c r="AY485" s="212" t="s">
        <v>901</v>
      </c>
      <c r="AZ485" s="212" t="s">
        <v>902</v>
      </c>
      <c r="BA485" s="212" t="s">
        <v>85</v>
      </c>
      <c r="BC485" s="212">
        <f>AW485+AX485</f>
        <v>0</v>
      </c>
      <c r="BD485" s="212">
        <f>H485/(100-BE485)*100</f>
        <v>0</v>
      </c>
      <c r="BE485" s="212">
        <v>0</v>
      </c>
      <c r="BF485" s="212">
        <f>O485</f>
        <v>1.3430223000000002E-2</v>
      </c>
      <c r="BH485" s="212">
        <f>G485*AO485</f>
        <v>0</v>
      </c>
      <c r="BI485" s="212">
        <f>G485*AP485</f>
        <v>0</v>
      </c>
      <c r="BJ485" s="212">
        <f>G485*H485</f>
        <v>0</v>
      </c>
      <c r="BL485" s="212">
        <v>783</v>
      </c>
      <c r="BW485" s="212" t="str">
        <f>I485</f>
        <v>12</v>
      </c>
      <c r="BX485" s="212" t="s">
        <v>903</v>
      </c>
    </row>
    <row r="486" spans="1:76" s="230" customFormat="1" ht="6.75" customHeight="1" x14ac:dyDescent="0.25">
      <c r="A486" s="362"/>
      <c r="B486" s="276"/>
      <c r="C486" s="275" t="s">
        <v>90</v>
      </c>
      <c r="D486" s="541"/>
      <c r="E486" s="238" t="str">
        <f>D411</f>
        <v>Palubka obkladová MD, tl. 24 mm, šířka 121 mm</v>
      </c>
      <c r="F486" s="265" t="s">
        <v>92</v>
      </c>
      <c r="G486" s="236">
        <f>G411</f>
        <v>134.30223000000001</v>
      </c>
      <c r="H486" s="235"/>
      <c r="I486" s="235"/>
      <c r="J486" s="234"/>
      <c r="K486" s="234"/>
      <c r="L486" s="233"/>
      <c r="M486" s="233"/>
      <c r="N486" s="232"/>
      <c r="O486" s="231"/>
    </row>
    <row r="487" spans="1:76" x14ac:dyDescent="0.25">
      <c r="A487" s="251">
        <f>A485+1</f>
        <v>117</v>
      </c>
      <c r="B487" s="250" t="s">
        <v>43</v>
      </c>
      <c r="C487" s="249" t="s">
        <v>904</v>
      </c>
      <c r="D487" s="248" t="s">
        <v>905</v>
      </c>
      <c r="E487" s="248"/>
      <c r="F487" s="247" t="s">
        <v>92</v>
      </c>
      <c r="G487" s="246">
        <f>SUM(G488:G488)</f>
        <v>134.30223000000001</v>
      </c>
      <c r="H487" s="245"/>
      <c r="I487" s="244" t="s">
        <v>95</v>
      </c>
      <c r="J487" s="279">
        <f>G487*AO487</f>
        <v>0</v>
      </c>
      <c r="K487" s="279">
        <f>G487*AP487</f>
        <v>0</v>
      </c>
      <c r="L487" s="242">
        <f>G487*H487</f>
        <v>0</v>
      </c>
      <c r="M487" s="233">
        <f>L487*(1+BW487/100)</f>
        <v>0</v>
      </c>
      <c r="N487" s="241">
        <v>1.3999999999999999E-4</v>
      </c>
      <c r="O487" s="240">
        <f>G487*N487</f>
        <v>1.8802312200000001E-2</v>
      </c>
      <c r="P487" s="213" t="s">
        <v>769</v>
      </c>
      <c r="Z487" s="212">
        <f>IF(AQ487="5",BJ487,0)</f>
        <v>0</v>
      </c>
      <c r="AB487" s="212">
        <f>IF(AQ487="1",BH487,0)</f>
        <v>0</v>
      </c>
      <c r="AC487" s="212">
        <f>IF(AQ487="1",BI487,0)</f>
        <v>0</v>
      </c>
      <c r="AD487" s="212">
        <f>IF(AQ487="7",BH487,0)</f>
        <v>0</v>
      </c>
      <c r="AE487" s="212">
        <f>IF(AQ487="7",BI487,0)</f>
        <v>0</v>
      </c>
      <c r="AF487" s="212">
        <f>IF(AQ487="2",BH487,0)</f>
        <v>0</v>
      </c>
      <c r="AG487" s="212">
        <f>IF(AQ487="2",BI487,0)</f>
        <v>0</v>
      </c>
      <c r="AH487" s="212">
        <f>IF(AQ487="0",BJ487,0)</f>
        <v>0</v>
      </c>
      <c r="AI487" s="212" t="s">
        <v>43</v>
      </c>
      <c r="AJ487" s="212">
        <f>IF(AN487=0,L487,0)</f>
        <v>0</v>
      </c>
      <c r="AK487" s="212">
        <f>IF(AN487=12,L487,0)</f>
        <v>0</v>
      </c>
      <c r="AL487" s="212">
        <f>IF(AN487=21,L487,0)</f>
        <v>0</v>
      </c>
      <c r="AN487" s="212">
        <v>12</v>
      </c>
      <c r="AO487" s="212">
        <f>H487*0.407571429</f>
        <v>0</v>
      </c>
      <c r="AP487" s="212">
        <f>H487*(1-0.407571429)</f>
        <v>0</v>
      </c>
      <c r="AQ487" s="212" t="s">
        <v>93</v>
      </c>
      <c r="AV487" s="212">
        <f>AW487+AX487</f>
        <v>0</v>
      </c>
      <c r="AW487" s="212">
        <f>G487*AO487</f>
        <v>0</v>
      </c>
      <c r="AX487" s="212">
        <f>G487*AP487</f>
        <v>0</v>
      </c>
      <c r="AY487" s="212" t="s">
        <v>901</v>
      </c>
      <c r="AZ487" s="212" t="s">
        <v>902</v>
      </c>
      <c r="BA487" s="212" t="s">
        <v>85</v>
      </c>
      <c r="BC487" s="212">
        <f>AW487+AX487</f>
        <v>0</v>
      </c>
      <c r="BD487" s="212">
        <f>H487/(100-BE487)*100</f>
        <v>0</v>
      </c>
      <c r="BE487" s="212">
        <v>0</v>
      </c>
      <c r="BF487" s="212">
        <f>O487</f>
        <v>1.8802312200000001E-2</v>
      </c>
      <c r="BH487" s="212">
        <f>G487*AO487</f>
        <v>0</v>
      </c>
      <c r="BI487" s="212">
        <f>G487*AP487</f>
        <v>0</v>
      </c>
      <c r="BJ487" s="212">
        <f>G487*H487</f>
        <v>0</v>
      </c>
      <c r="BL487" s="212">
        <v>783</v>
      </c>
      <c r="BW487" s="212" t="str">
        <f>I487</f>
        <v>12</v>
      </c>
      <c r="BX487" s="212" t="s">
        <v>905</v>
      </c>
    </row>
    <row r="488" spans="1:76" s="230" customFormat="1" ht="6.75" customHeight="1" x14ac:dyDescent="0.25">
      <c r="A488" s="362"/>
      <c r="B488" s="276"/>
      <c r="C488" s="275" t="s">
        <v>90</v>
      </c>
      <c r="D488" s="541"/>
      <c r="E488" s="238" t="str">
        <f>D485</f>
        <v>Nátěr olejový truhlářských výrobků, napuštění</v>
      </c>
      <c r="F488" s="265" t="s">
        <v>92</v>
      </c>
      <c r="G488" s="236">
        <f>G485</f>
        <v>134.30223000000001</v>
      </c>
      <c r="H488" s="235"/>
      <c r="I488" s="235"/>
      <c r="J488" s="234"/>
      <c r="K488" s="234"/>
      <c r="L488" s="233"/>
      <c r="M488" s="233"/>
      <c r="N488" s="232"/>
      <c r="O488" s="231"/>
    </row>
    <row r="489" spans="1:76" x14ac:dyDescent="0.25">
      <c r="A489" s="251">
        <f t="shared" ref="A489" si="779">A487+1</f>
        <v>118</v>
      </c>
      <c r="B489" s="250" t="s">
        <v>43</v>
      </c>
      <c r="C489" s="249" t="s">
        <v>906</v>
      </c>
      <c r="D489" s="248" t="s">
        <v>908</v>
      </c>
      <c r="E489" s="248"/>
      <c r="F489" s="247" t="s">
        <v>92</v>
      </c>
      <c r="G489" s="246">
        <f>SUM(G490:G490)</f>
        <v>134.30223000000001</v>
      </c>
      <c r="H489" s="245"/>
      <c r="I489" s="244" t="s">
        <v>95</v>
      </c>
      <c r="J489" s="279">
        <f>G489*AO489</f>
        <v>0</v>
      </c>
      <c r="K489" s="279">
        <f>G489*AP489</f>
        <v>0</v>
      </c>
      <c r="L489" s="242">
        <f>G489*H489</f>
        <v>0</v>
      </c>
      <c r="M489" s="233">
        <f>L489*(1+BW489/100)</f>
        <v>0</v>
      </c>
      <c r="N489" s="241">
        <v>6.9999999999999994E-5</v>
      </c>
      <c r="O489" s="240">
        <f>G489*N489</f>
        <v>9.4011561000000004E-3</v>
      </c>
      <c r="P489" s="213" t="s">
        <v>769</v>
      </c>
      <c r="Z489" s="212">
        <f>IF(AQ489="5",BJ489,0)</f>
        <v>0</v>
      </c>
      <c r="AB489" s="212">
        <f>IF(AQ489="1",BH489,0)</f>
        <v>0</v>
      </c>
      <c r="AC489" s="212">
        <f>IF(AQ489="1",BI489,0)</f>
        <v>0</v>
      </c>
      <c r="AD489" s="212">
        <f>IF(AQ489="7",BH489,0)</f>
        <v>0</v>
      </c>
      <c r="AE489" s="212">
        <f>IF(AQ489="7",BI489,0)</f>
        <v>0</v>
      </c>
      <c r="AF489" s="212">
        <f>IF(AQ489="2",BH489,0)</f>
        <v>0</v>
      </c>
      <c r="AG489" s="212">
        <f>IF(AQ489="2",BI489,0)</f>
        <v>0</v>
      </c>
      <c r="AH489" s="212">
        <f>IF(AQ489="0",BJ489,0)</f>
        <v>0</v>
      </c>
      <c r="AI489" s="212" t="s">
        <v>43</v>
      </c>
      <c r="AJ489" s="212">
        <f>IF(AN489=0,L489,0)</f>
        <v>0</v>
      </c>
      <c r="AK489" s="212">
        <f>IF(AN489=12,L489,0)</f>
        <v>0</v>
      </c>
      <c r="AL489" s="212">
        <f>IF(AN489=21,L489,0)</f>
        <v>0</v>
      </c>
      <c r="AN489" s="212">
        <v>12</v>
      </c>
      <c r="AO489" s="212">
        <f>H489*0.100498132</f>
        <v>0</v>
      </c>
      <c r="AP489" s="212">
        <f>H489*(1-0.100498132)</f>
        <v>0</v>
      </c>
      <c r="AQ489" s="212" t="s">
        <v>93</v>
      </c>
      <c r="AV489" s="212">
        <f>AW489+AX489</f>
        <v>0</v>
      </c>
      <c r="AW489" s="212">
        <f>G489*AO489</f>
        <v>0</v>
      </c>
      <c r="AX489" s="212">
        <f>G489*AP489</f>
        <v>0</v>
      </c>
      <c r="AY489" s="212" t="s">
        <v>901</v>
      </c>
      <c r="AZ489" s="212" t="s">
        <v>902</v>
      </c>
      <c r="BA489" s="212" t="s">
        <v>85</v>
      </c>
      <c r="BC489" s="212">
        <f>AW489+AX489</f>
        <v>0</v>
      </c>
      <c r="BD489" s="212">
        <f>H489/(100-BE489)*100</f>
        <v>0</v>
      </c>
      <c r="BE489" s="212">
        <v>0</v>
      </c>
      <c r="BF489" s="212">
        <f>O489</f>
        <v>9.4011561000000004E-3</v>
      </c>
      <c r="BH489" s="212">
        <f>G489*AO489</f>
        <v>0</v>
      </c>
      <c r="BI489" s="212">
        <f>G489*AP489</f>
        <v>0</v>
      </c>
      <c r="BJ489" s="212">
        <f>G489*H489</f>
        <v>0</v>
      </c>
      <c r="BL489" s="212">
        <v>783</v>
      </c>
      <c r="BW489" s="212" t="str">
        <f>I489</f>
        <v>12</v>
      </c>
      <c r="BX489" s="212" t="s">
        <v>907</v>
      </c>
    </row>
    <row r="490" spans="1:76" s="230" customFormat="1" ht="6.75" customHeight="1" x14ac:dyDescent="0.25">
      <c r="A490" s="362"/>
      <c r="B490" s="276"/>
      <c r="C490" s="275" t="s">
        <v>90</v>
      </c>
      <c r="D490" s="541"/>
      <c r="E490" s="238" t="str">
        <f>D487</f>
        <v>Nátěr truhlářských výrobků dvojnásobný vrchní vodoodpudivý</v>
      </c>
      <c r="F490" s="265" t="s">
        <v>92</v>
      </c>
      <c r="G490" s="236">
        <f>G487</f>
        <v>134.30223000000001</v>
      </c>
      <c r="H490" s="235"/>
      <c r="I490" s="235"/>
      <c r="J490" s="234"/>
      <c r="K490" s="234"/>
      <c r="L490" s="233"/>
      <c r="M490" s="233"/>
      <c r="N490" s="232"/>
      <c r="O490" s="231"/>
    </row>
    <row r="491" spans="1:76" x14ac:dyDescent="0.25">
      <c r="A491" s="264"/>
      <c r="B491" s="263"/>
      <c r="C491" s="262"/>
      <c r="D491" s="261" t="str">
        <f>'1-Rekapitulace'!B38</f>
        <v>90 : hodinové zúčtovací sazby (HZS)</v>
      </c>
      <c r="E491" s="261"/>
      <c r="F491" s="260"/>
      <c r="G491" s="259"/>
      <c r="H491" s="258"/>
      <c r="I491" s="257"/>
      <c r="J491" s="256"/>
      <c r="K491" s="256"/>
      <c r="L491" s="255">
        <f>SUM(L492:L493)</f>
        <v>0</v>
      </c>
      <c r="M491" s="254"/>
      <c r="N491" s="253"/>
      <c r="O491" s="252">
        <f>SUM(O492:O493)</f>
        <v>0</v>
      </c>
    </row>
    <row r="492" spans="1:76" s="268" customFormat="1" x14ac:dyDescent="0.2">
      <c r="A492" s="251">
        <f>A489+1</f>
        <v>119</v>
      </c>
      <c r="B492" s="250"/>
      <c r="C492" s="249" t="s">
        <v>116</v>
      </c>
      <c r="D492" s="248" t="s">
        <v>115</v>
      </c>
      <c r="E492" s="248"/>
      <c r="F492" s="247" t="s">
        <v>113</v>
      </c>
      <c r="G492" s="246">
        <f>SUM(G493:G493)</f>
        <v>6</v>
      </c>
      <c r="H492" s="245"/>
      <c r="I492" s="244"/>
      <c r="J492" s="233"/>
      <c r="K492" s="243"/>
      <c r="L492" s="242">
        <f>ROUND(G492*H492,2)</f>
        <v>0</v>
      </c>
      <c r="M492" s="233"/>
      <c r="N492" s="241">
        <v>0</v>
      </c>
      <c r="O492" s="240">
        <f>G492*N492</f>
        <v>0</v>
      </c>
      <c r="P492" s="213" t="s">
        <v>769</v>
      </c>
    </row>
    <row r="493" spans="1:76" s="230" customFormat="1" ht="6.75" customHeight="1" x14ac:dyDescent="0.25">
      <c r="A493" s="274"/>
      <c r="B493" s="276"/>
      <c r="C493" s="275"/>
      <c r="D493" s="274"/>
      <c r="E493" s="238" t="s">
        <v>114</v>
      </c>
      <c r="F493" s="265" t="s">
        <v>113</v>
      </c>
      <c r="G493" s="236">
        <v>6</v>
      </c>
      <c r="H493" s="235"/>
      <c r="I493" s="235"/>
      <c r="J493" s="234"/>
      <c r="K493" s="234"/>
      <c r="L493" s="233"/>
      <c r="M493" s="233"/>
      <c r="N493" s="232"/>
      <c r="O493" s="231"/>
    </row>
    <row r="494" spans="1:76" x14ac:dyDescent="0.25">
      <c r="A494" s="264"/>
      <c r="B494" s="263"/>
      <c r="C494" s="262"/>
      <c r="D494" s="261" t="str">
        <f>'1-Rekapitulace'!B39</f>
        <v>94 : lešení, systémové bednění a stavební výtahy</v>
      </c>
      <c r="E494" s="261"/>
      <c r="F494" s="260"/>
      <c r="G494" s="259"/>
      <c r="H494" s="258"/>
      <c r="I494" s="257"/>
      <c r="J494" s="256"/>
      <c r="K494" s="256"/>
      <c r="L494" s="255">
        <f>SUM(L495:L512)</f>
        <v>0</v>
      </c>
      <c r="M494" s="254"/>
      <c r="N494" s="253"/>
      <c r="O494" s="252">
        <f>SUM(O495:O512)</f>
        <v>3.4507084984374998</v>
      </c>
    </row>
    <row r="495" spans="1:76" x14ac:dyDescent="0.25">
      <c r="A495" s="251">
        <f>A492+1</f>
        <v>120</v>
      </c>
      <c r="B495" s="250"/>
      <c r="C495" s="249" t="s">
        <v>112</v>
      </c>
      <c r="D495" s="248" t="s">
        <v>111</v>
      </c>
      <c r="E495" s="248"/>
      <c r="F495" s="247" t="s">
        <v>92</v>
      </c>
      <c r="G495" s="269">
        <f>SUM(G496:G500)</f>
        <v>130.64296874999999</v>
      </c>
      <c r="H495" s="245"/>
      <c r="I495" s="244"/>
      <c r="J495" s="279"/>
      <c r="K495" s="279"/>
      <c r="L495" s="242">
        <f>G495*H495</f>
        <v>0</v>
      </c>
      <c r="M495" s="233"/>
      <c r="N495" s="241">
        <v>2.426E-2</v>
      </c>
      <c r="O495" s="240">
        <f>G495*N495</f>
        <v>3.169398421875</v>
      </c>
      <c r="P495" s="213" t="s">
        <v>769</v>
      </c>
    </row>
    <row r="496" spans="1:76" s="230" customFormat="1" ht="6.75" customHeight="1" x14ac:dyDescent="0.25">
      <c r="A496" s="361"/>
      <c r="B496" s="276"/>
      <c r="C496" s="275">
        <f>0.45+2.42</f>
        <v>2.87</v>
      </c>
      <c r="D496" s="541">
        <v>10.5</v>
      </c>
      <c r="E496" s="238" t="s">
        <v>923</v>
      </c>
      <c r="F496" s="265" t="s">
        <v>92</v>
      </c>
      <c r="G496" s="236">
        <f>C496*D496</f>
        <v>30.135000000000002</v>
      </c>
      <c r="H496" s="235"/>
      <c r="I496" s="235"/>
      <c r="J496" s="234"/>
      <c r="K496" s="234"/>
      <c r="L496" s="233"/>
      <c r="M496" s="233"/>
      <c r="N496" s="232"/>
      <c r="O496" s="231"/>
    </row>
    <row r="497" spans="1:16" s="230" customFormat="1" ht="6.75" customHeight="1" x14ac:dyDescent="0.25">
      <c r="A497" s="361"/>
      <c r="B497" s="276"/>
      <c r="C497" s="275">
        <f>0.45+2.42</f>
        <v>2.87</v>
      </c>
      <c r="D497" s="541">
        <v>5.25</v>
      </c>
      <c r="E497" s="238" t="s">
        <v>921</v>
      </c>
      <c r="F497" s="265" t="s">
        <v>92</v>
      </c>
      <c r="G497" s="236">
        <f t="shared" ref="G497:G499" si="780">C497*D497</f>
        <v>15.067500000000001</v>
      </c>
      <c r="H497" s="235"/>
      <c r="I497" s="235"/>
      <c r="J497" s="234"/>
      <c r="K497" s="234"/>
      <c r="L497" s="233"/>
      <c r="M497" s="233"/>
      <c r="N497" s="232"/>
      <c r="O497" s="231"/>
    </row>
    <row r="498" spans="1:16" s="230" customFormat="1" ht="6.75" customHeight="1" x14ac:dyDescent="0.25">
      <c r="A498" s="361"/>
      <c r="B498" s="276"/>
      <c r="C498" s="275">
        <f>(1.75+0.45)/2+2.42</f>
        <v>3.52</v>
      </c>
      <c r="D498" s="541">
        <f>D496</f>
        <v>10.5</v>
      </c>
      <c r="E498" s="238" t="s">
        <v>922</v>
      </c>
      <c r="F498" s="265" t="s">
        <v>92</v>
      </c>
      <c r="G498" s="236">
        <f t="shared" si="780"/>
        <v>36.96</v>
      </c>
      <c r="H498" s="235"/>
      <c r="I498" s="235"/>
      <c r="J498" s="234"/>
      <c r="K498" s="234"/>
      <c r="L498" s="233"/>
      <c r="M498" s="233"/>
      <c r="N498" s="232"/>
      <c r="O498" s="231"/>
    </row>
    <row r="499" spans="1:16" s="230" customFormat="1" ht="6.75" customHeight="1" x14ac:dyDescent="0.25">
      <c r="A499" s="361"/>
      <c r="B499" s="276"/>
      <c r="C499" s="275">
        <f>(2.425+1.25)/2+2.42</f>
        <v>4.2575000000000003</v>
      </c>
      <c r="D499" s="541">
        <f>D497</f>
        <v>5.25</v>
      </c>
      <c r="E499" s="238" t="s">
        <v>920</v>
      </c>
      <c r="F499" s="265" t="s">
        <v>92</v>
      </c>
      <c r="G499" s="236">
        <f t="shared" si="780"/>
        <v>22.351875</v>
      </c>
      <c r="H499" s="235"/>
      <c r="I499" s="235"/>
      <c r="J499" s="234"/>
      <c r="K499" s="234"/>
      <c r="L499" s="233"/>
      <c r="M499" s="233"/>
      <c r="N499" s="232"/>
      <c r="O499" s="231"/>
    </row>
    <row r="500" spans="1:16" s="230" customFormat="1" ht="6.75" customHeight="1" x14ac:dyDescent="0.25">
      <c r="A500" s="278">
        <v>0.25</v>
      </c>
      <c r="B500" s="276"/>
      <c r="C500" s="275"/>
      <c r="D500" s="274">
        <f>SUM(G496:G499)</f>
        <v>104.514375</v>
      </c>
      <c r="E500" s="238" t="s">
        <v>110</v>
      </c>
      <c r="F500" s="265" t="s">
        <v>92</v>
      </c>
      <c r="G500" s="236">
        <f>D500*A500</f>
        <v>26.12859375</v>
      </c>
      <c r="H500" s="235"/>
      <c r="I500" s="235"/>
      <c r="J500" s="234"/>
      <c r="K500" s="234"/>
      <c r="L500" s="233"/>
      <c r="M500" s="233"/>
      <c r="N500" s="232"/>
      <c r="O500" s="231"/>
    </row>
    <row r="501" spans="1:16" x14ac:dyDescent="0.25">
      <c r="A501" s="251">
        <f>A495+1</f>
        <v>121</v>
      </c>
      <c r="B501" s="250"/>
      <c r="C501" s="249" t="s">
        <v>109</v>
      </c>
      <c r="D501" s="248" t="s">
        <v>108</v>
      </c>
      <c r="E501" s="248"/>
      <c r="F501" s="247" t="s">
        <v>92</v>
      </c>
      <c r="G501" s="269">
        <f>SUM(G502:G502)</f>
        <v>195.96445312499998</v>
      </c>
      <c r="H501" s="245"/>
      <c r="I501" s="244"/>
      <c r="J501" s="279"/>
      <c r="K501" s="279"/>
      <c r="L501" s="242">
        <f>G501*H501</f>
        <v>0</v>
      </c>
      <c r="M501" s="233"/>
      <c r="N501" s="241">
        <v>1.09E-3</v>
      </c>
      <c r="O501" s="240">
        <f>G501*N501</f>
        <v>0.21360125390624998</v>
      </c>
      <c r="P501" s="213" t="s">
        <v>769</v>
      </c>
    </row>
    <row r="502" spans="1:16" s="230" customFormat="1" ht="6.75" customHeight="1" x14ac:dyDescent="0.25">
      <c r="A502" s="274">
        <v>1.5</v>
      </c>
      <c r="B502" s="276"/>
      <c r="C502" s="275" t="s">
        <v>90</v>
      </c>
      <c r="D502" s="274"/>
      <c r="E502" s="238" t="str">
        <f>D495</f>
        <v>Montáž lešení leh.řad.s podlahami,š.1,5 m, H 10 m</v>
      </c>
      <c r="F502" s="265" t="s">
        <v>92</v>
      </c>
      <c r="G502" s="236">
        <f>A502*G495</f>
        <v>195.96445312499998</v>
      </c>
      <c r="H502" s="235"/>
      <c r="I502" s="235"/>
      <c r="J502" s="234"/>
      <c r="K502" s="234"/>
      <c r="L502" s="233"/>
      <c r="M502" s="233"/>
      <c r="N502" s="232"/>
      <c r="O502" s="231"/>
    </row>
    <row r="503" spans="1:16" x14ac:dyDescent="0.25">
      <c r="A503" s="251">
        <f>A501+1</f>
        <v>122</v>
      </c>
      <c r="B503" s="250"/>
      <c r="C503" s="249" t="s">
        <v>107</v>
      </c>
      <c r="D503" s="248" t="s">
        <v>106</v>
      </c>
      <c r="E503" s="248"/>
      <c r="F503" s="247" t="s">
        <v>92</v>
      </c>
      <c r="G503" s="269">
        <f>SUM(G504:G504)</f>
        <v>130.64296874999999</v>
      </c>
      <c r="H503" s="245"/>
      <c r="I503" s="244"/>
      <c r="J503" s="279"/>
      <c r="K503" s="279"/>
      <c r="L503" s="242">
        <f>G503*H503</f>
        <v>0</v>
      </c>
      <c r="M503" s="233"/>
      <c r="N503" s="241">
        <v>0</v>
      </c>
      <c r="O503" s="240">
        <f>G503*N503</f>
        <v>0</v>
      </c>
      <c r="P503" s="213" t="s">
        <v>769</v>
      </c>
    </row>
    <row r="504" spans="1:16" s="230" customFormat="1" ht="6.75" customHeight="1" x14ac:dyDescent="0.25">
      <c r="A504" s="274"/>
      <c r="B504" s="276"/>
      <c r="C504" s="275" t="s">
        <v>90</v>
      </c>
      <c r="D504" s="274"/>
      <c r="E504" s="238" t="str">
        <f>D495</f>
        <v>Montáž lešení leh.řad.s podlahami,š.1,5 m, H 10 m</v>
      </c>
      <c r="F504" s="265" t="s">
        <v>92</v>
      </c>
      <c r="G504" s="236">
        <f>G495</f>
        <v>130.64296874999999</v>
      </c>
      <c r="H504" s="235"/>
      <c r="I504" s="235"/>
      <c r="J504" s="234"/>
      <c r="K504" s="234"/>
      <c r="L504" s="233"/>
      <c r="M504" s="233"/>
      <c r="N504" s="232"/>
      <c r="O504" s="231"/>
    </row>
    <row r="505" spans="1:16" x14ac:dyDescent="0.25">
      <c r="A505" s="251">
        <f>A503+1</f>
        <v>123</v>
      </c>
      <c r="B505" s="250"/>
      <c r="C505" s="249" t="s">
        <v>105</v>
      </c>
      <c r="D505" s="248" t="s">
        <v>104</v>
      </c>
      <c r="E505" s="248"/>
      <c r="F505" s="247" t="s">
        <v>92</v>
      </c>
      <c r="G505" s="269">
        <f>SUM(G506:G506)</f>
        <v>130.64296874999999</v>
      </c>
      <c r="H505" s="245"/>
      <c r="I505" s="244"/>
      <c r="J505" s="279"/>
      <c r="K505" s="279"/>
      <c r="L505" s="242">
        <f>G505*H505</f>
        <v>0</v>
      </c>
      <c r="M505" s="233"/>
      <c r="N505" s="241">
        <v>0</v>
      </c>
      <c r="O505" s="240">
        <f>G505*N505</f>
        <v>0</v>
      </c>
      <c r="P505" s="213" t="s">
        <v>769</v>
      </c>
    </row>
    <row r="506" spans="1:16" s="230" customFormat="1" ht="6.75" customHeight="1" x14ac:dyDescent="0.25">
      <c r="A506" s="274"/>
      <c r="B506" s="276"/>
      <c r="C506" s="275" t="s">
        <v>90</v>
      </c>
      <c r="D506" s="274"/>
      <c r="E506" s="238" t="str">
        <f>D495</f>
        <v>Montáž lešení leh.řad.s podlahami,š.1,5 m, H 10 m</v>
      </c>
      <c r="F506" s="265" t="s">
        <v>92</v>
      </c>
      <c r="G506" s="236">
        <f>G495</f>
        <v>130.64296874999999</v>
      </c>
      <c r="H506" s="235"/>
      <c r="I506" s="235"/>
      <c r="J506" s="234"/>
      <c r="K506" s="234"/>
      <c r="L506" s="233"/>
      <c r="M506" s="233"/>
      <c r="N506" s="232"/>
      <c r="O506" s="231"/>
    </row>
    <row r="507" spans="1:16" x14ac:dyDescent="0.25">
      <c r="A507" s="251">
        <f>A505+1</f>
        <v>124</v>
      </c>
      <c r="B507" s="250"/>
      <c r="C507" s="249" t="s">
        <v>103</v>
      </c>
      <c r="D507" s="248" t="s">
        <v>102</v>
      </c>
      <c r="E507" s="248"/>
      <c r="F507" s="247" t="s">
        <v>92</v>
      </c>
      <c r="G507" s="269">
        <f>SUM(G508:G508)</f>
        <v>195.96445312499998</v>
      </c>
      <c r="H507" s="245"/>
      <c r="I507" s="244"/>
      <c r="J507" s="279"/>
      <c r="K507" s="279"/>
      <c r="L507" s="242">
        <f>G507*H507</f>
        <v>0</v>
      </c>
      <c r="M507" s="233"/>
      <c r="N507" s="241">
        <v>5.0000000000000002E-5</v>
      </c>
      <c r="O507" s="240">
        <f>G507*N507</f>
        <v>9.7982226562499993E-3</v>
      </c>
      <c r="P507" s="213" t="s">
        <v>769</v>
      </c>
    </row>
    <row r="508" spans="1:16" s="230" customFormat="1" ht="6.75" customHeight="1" x14ac:dyDescent="0.25">
      <c r="A508" s="274">
        <f>A502</f>
        <v>1.5</v>
      </c>
      <c r="B508" s="276"/>
      <c r="C508" s="275" t="s">
        <v>90</v>
      </c>
      <c r="D508" s="274"/>
      <c r="E508" s="238" t="str">
        <f>D505</f>
        <v>Montáž ochranné sítě z umělých vláken</v>
      </c>
      <c r="F508" s="265" t="s">
        <v>92</v>
      </c>
      <c r="G508" s="236">
        <f>G505*A508</f>
        <v>195.96445312499998</v>
      </c>
      <c r="H508" s="235"/>
      <c r="I508" s="235"/>
      <c r="J508" s="234"/>
      <c r="K508" s="234"/>
      <c r="L508" s="233"/>
      <c r="M508" s="233"/>
      <c r="N508" s="232"/>
      <c r="O508" s="231"/>
    </row>
    <row r="509" spans="1:16" x14ac:dyDescent="0.25">
      <c r="A509" s="251">
        <f>A507+1</f>
        <v>125</v>
      </c>
      <c r="B509" s="250"/>
      <c r="C509" s="249" t="s">
        <v>101</v>
      </c>
      <c r="D509" s="248" t="s">
        <v>100</v>
      </c>
      <c r="E509" s="248"/>
      <c r="F509" s="247" t="s">
        <v>92</v>
      </c>
      <c r="G509" s="269">
        <f>SUM(G510:G510)</f>
        <v>130.64296874999999</v>
      </c>
      <c r="H509" s="245"/>
      <c r="I509" s="244"/>
      <c r="J509" s="279"/>
      <c r="K509" s="279"/>
      <c r="L509" s="242">
        <f>G509*H509</f>
        <v>0</v>
      </c>
      <c r="M509" s="233"/>
      <c r="N509" s="241">
        <v>0</v>
      </c>
      <c r="O509" s="240">
        <f>G509*N509</f>
        <v>0</v>
      </c>
      <c r="P509" s="213" t="s">
        <v>769</v>
      </c>
    </row>
    <row r="510" spans="1:16" s="230" customFormat="1" ht="6.75" customHeight="1" x14ac:dyDescent="0.25">
      <c r="A510" s="274"/>
      <c r="B510" s="276"/>
      <c r="C510" s="275" t="s">
        <v>90</v>
      </c>
      <c r="D510" s="274"/>
      <c r="E510" s="238" t="str">
        <f>E504</f>
        <v>Montáž lešení leh.řad.s podlahami,š.1,5 m, H 10 m</v>
      </c>
      <c r="F510" s="265" t="s">
        <v>92</v>
      </c>
      <c r="G510" s="236">
        <f>G504</f>
        <v>130.64296874999999</v>
      </c>
      <c r="H510" s="235"/>
      <c r="I510" s="235"/>
      <c r="J510" s="234"/>
      <c r="K510" s="234"/>
      <c r="L510" s="233"/>
      <c r="M510" s="233"/>
      <c r="N510" s="232"/>
      <c r="O510" s="231"/>
    </row>
    <row r="511" spans="1:16" x14ac:dyDescent="0.25">
      <c r="A511" s="251">
        <f>A509+1</f>
        <v>126</v>
      </c>
      <c r="B511" s="250"/>
      <c r="C511" s="249" t="s">
        <v>99</v>
      </c>
      <c r="D511" s="248" t="s">
        <v>98</v>
      </c>
      <c r="E511" s="248"/>
      <c r="F511" s="247" t="s">
        <v>92</v>
      </c>
      <c r="G511" s="269">
        <f>SUM(G512:G512)</f>
        <v>47.86</v>
      </c>
      <c r="H511" s="245"/>
      <c r="I511" s="244"/>
      <c r="J511" s="279"/>
      <c r="K511" s="279"/>
      <c r="L511" s="242">
        <f>G511*H511</f>
        <v>0</v>
      </c>
      <c r="M511" s="233"/>
      <c r="N511" s="241">
        <v>1.2099999999999999E-3</v>
      </c>
      <c r="O511" s="240">
        <f>G511*N511</f>
        <v>5.7910599999999993E-2</v>
      </c>
      <c r="P511" s="213" t="s">
        <v>769</v>
      </c>
    </row>
    <row r="512" spans="1:16" s="230" customFormat="1" ht="6.75" customHeight="1" x14ac:dyDescent="0.25">
      <c r="A512" s="274"/>
      <c r="B512" s="276"/>
      <c r="C512" s="275" t="s">
        <v>90</v>
      </c>
      <c r="D512" s="274"/>
      <c r="E512" s="238" t="str">
        <f>D514</f>
        <v>Vyčištění ostatních objektů</v>
      </c>
      <c r="F512" s="265" t="s">
        <v>92</v>
      </c>
      <c r="G512" s="236">
        <f>G514</f>
        <v>47.86</v>
      </c>
      <c r="H512" s="235"/>
      <c r="I512" s="235"/>
      <c r="J512" s="234"/>
      <c r="K512" s="234"/>
      <c r="L512" s="233"/>
      <c r="M512" s="233"/>
      <c r="N512" s="232"/>
      <c r="O512" s="231"/>
    </row>
    <row r="513" spans="1:66" x14ac:dyDescent="0.25">
      <c r="A513" s="264"/>
      <c r="B513" s="263"/>
      <c r="C513" s="262"/>
      <c r="D513" s="261" t="str">
        <f>'1-Rekapitulace'!B40</f>
        <v>95 : různé dokončovací konstrukce a práce pozemních staveb</v>
      </c>
      <c r="E513" s="261"/>
      <c r="F513" s="260"/>
      <c r="G513" s="259"/>
      <c r="H513" s="258"/>
      <c r="I513" s="257"/>
      <c r="J513" s="256"/>
      <c r="K513" s="256"/>
      <c r="L513" s="255">
        <f>SUM(L514:L517)</f>
        <v>0</v>
      </c>
      <c r="M513" s="254"/>
      <c r="N513" s="253"/>
      <c r="O513" s="252">
        <f>SUM(O514:O517)</f>
        <v>1.9144000000000001E-3</v>
      </c>
    </row>
    <row r="514" spans="1:66" x14ac:dyDescent="0.25">
      <c r="A514" s="251">
        <f>A511+1</f>
        <v>127</v>
      </c>
      <c r="B514" s="250"/>
      <c r="C514" s="249" t="s">
        <v>881</v>
      </c>
      <c r="D514" s="248" t="s">
        <v>882</v>
      </c>
      <c r="E514" s="248"/>
      <c r="F514" s="247" t="s">
        <v>92</v>
      </c>
      <c r="G514" s="246">
        <f>SUM(G515:G517)</f>
        <v>47.86</v>
      </c>
      <c r="H514" s="245"/>
      <c r="I514" s="244"/>
      <c r="J514" s="279"/>
      <c r="K514" s="279"/>
      <c r="L514" s="242">
        <f>G514*H514</f>
        <v>0</v>
      </c>
      <c r="M514" s="233"/>
      <c r="N514" s="241">
        <v>4.0000000000000003E-5</v>
      </c>
      <c r="O514" s="240">
        <f>G514*N514</f>
        <v>1.9144000000000001E-3</v>
      </c>
      <c r="P514" s="213" t="s">
        <v>769</v>
      </c>
    </row>
    <row r="515" spans="1:66" s="230" customFormat="1" ht="6.75" customHeight="1" x14ac:dyDescent="0.25">
      <c r="A515" s="274" t="s">
        <v>97</v>
      </c>
      <c r="B515" s="276"/>
      <c r="C515" s="274"/>
      <c r="D515" s="274" t="s">
        <v>96</v>
      </c>
      <c r="E515" s="238" t="s">
        <v>909</v>
      </c>
      <c r="F515" s="265" t="s">
        <v>92</v>
      </c>
      <c r="G515" s="236">
        <v>36.89</v>
      </c>
      <c r="H515" s="563"/>
      <c r="I515" s="235"/>
      <c r="J515" s="234"/>
      <c r="K515" s="234"/>
      <c r="L515" s="233"/>
      <c r="M515" s="233"/>
      <c r="N515" s="232"/>
      <c r="O515" s="231"/>
    </row>
    <row r="516" spans="1:66" s="230" customFormat="1" ht="6.75" customHeight="1" x14ac:dyDescent="0.25">
      <c r="A516" s="274" t="s">
        <v>97</v>
      </c>
      <c r="B516" s="276"/>
      <c r="C516" s="274"/>
      <c r="D516" s="274" t="s">
        <v>96</v>
      </c>
      <c r="E516" s="238" t="s">
        <v>910</v>
      </c>
      <c r="F516" s="265" t="s">
        <v>92</v>
      </c>
      <c r="G516" s="236">
        <v>4.66</v>
      </c>
      <c r="H516" s="563"/>
      <c r="I516" s="235"/>
      <c r="J516" s="234"/>
      <c r="K516" s="234"/>
      <c r="L516" s="233"/>
      <c r="M516" s="233"/>
      <c r="N516" s="232"/>
      <c r="O516" s="231"/>
    </row>
    <row r="517" spans="1:66" s="230" customFormat="1" ht="6.75" customHeight="1" x14ac:dyDescent="0.25">
      <c r="A517" s="274" t="s">
        <v>97</v>
      </c>
      <c r="B517" s="276"/>
      <c r="C517" s="274"/>
      <c r="D517" s="274" t="s">
        <v>96</v>
      </c>
      <c r="E517" s="238" t="s">
        <v>911</v>
      </c>
      <c r="F517" s="265" t="s">
        <v>92</v>
      </c>
      <c r="G517" s="236">
        <v>6.31</v>
      </c>
      <c r="H517" s="563"/>
      <c r="I517" s="235"/>
      <c r="J517" s="234"/>
      <c r="K517" s="234"/>
      <c r="L517" s="233"/>
      <c r="M517" s="233"/>
      <c r="N517" s="232"/>
      <c r="O517" s="231"/>
    </row>
    <row r="518" spans="1:66" x14ac:dyDescent="0.25">
      <c r="A518" s="264"/>
      <c r="B518" s="263"/>
      <c r="C518" s="262"/>
      <c r="D518" s="261" t="str">
        <f>'1-Rekapitulace'!B41</f>
        <v>99 : přesun hmot</v>
      </c>
      <c r="E518" s="261"/>
      <c r="F518" s="260"/>
      <c r="G518" s="259"/>
      <c r="H518" s="273"/>
      <c r="I518" s="272"/>
      <c r="J518" s="256"/>
      <c r="K518" s="256"/>
      <c r="L518" s="271">
        <f>SUM(L519:L520)</f>
        <v>0</v>
      </c>
      <c r="M518" s="270"/>
      <c r="N518" s="253"/>
      <c r="O518" s="252">
        <v>0</v>
      </c>
    </row>
    <row r="519" spans="1:66" ht="13.9" customHeight="1" x14ac:dyDescent="0.25">
      <c r="A519" s="251">
        <f>A514+1</f>
        <v>128</v>
      </c>
      <c r="B519" s="250"/>
      <c r="C519" s="249" t="s">
        <v>878</v>
      </c>
      <c r="D519" s="248" t="s">
        <v>879</v>
      </c>
      <c r="E519" s="248"/>
      <c r="F519" s="247" t="s">
        <v>82</v>
      </c>
      <c r="G519" s="269">
        <f>SUM(G520:G520)</f>
        <v>277.86134493348447</v>
      </c>
      <c r="H519" s="245"/>
      <c r="I519" s="244" t="s">
        <v>95</v>
      </c>
      <c r="J519" s="279">
        <f>G519*AO519</f>
        <v>0</v>
      </c>
      <c r="K519" s="279">
        <f>G519*AP519</f>
        <v>4167.9201740022672</v>
      </c>
      <c r="L519" s="242">
        <f>G519*H519</f>
        <v>0</v>
      </c>
      <c r="M519" s="233">
        <f>L519*(1+BW519/100)</f>
        <v>0</v>
      </c>
      <c r="N519" s="241">
        <v>0</v>
      </c>
      <c r="O519" s="240">
        <f>G519*N519</f>
        <v>0</v>
      </c>
      <c r="P519" s="213" t="s">
        <v>769</v>
      </c>
      <c r="AB519" s="212">
        <f>IF(AS519="5",BL519,0)</f>
        <v>0</v>
      </c>
      <c r="AD519" s="212">
        <f>IF(AS519="1",BJ519,0)</f>
        <v>0</v>
      </c>
      <c r="AE519" s="212">
        <f>IF(AS519="1",BK519,0)</f>
        <v>0</v>
      </c>
      <c r="AF519" s="212">
        <f>IF(AS519="7",BJ519,0)</f>
        <v>0</v>
      </c>
      <c r="AG519" s="212">
        <f>IF(AS519="7",BK519,0)</f>
        <v>0</v>
      </c>
      <c r="AH519" s="212">
        <f>IF(AS519="2",BJ519,0)</f>
        <v>0</v>
      </c>
      <c r="AI519" s="212">
        <f>IF(AS519="2",BK519,0)</f>
        <v>0</v>
      </c>
      <c r="AJ519" s="212">
        <f>IF(AS519="0",BL519,0)</f>
        <v>0</v>
      </c>
      <c r="AL519" s="212">
        <f>IF(AP519=0,L519,0)</f>
        <v>0</v>
      </c>
      <c r="AM519" s="212">
        <f>IF(AP519=15,L519,0)</f>
        <v>0</v>
      </c>
      <c r="AN519" s="212">
        <f>IF(AP519=21,L519,0)</f>
        <v>0</v>
      </c>
      <c r="AP519" s="212">
        <v>15</v>
      </c>
      <c r="AQ519" s="212">
        <f>H519*0</f>
        <v>0</v>
      </c>
      <c r="AR519" s="212">
        <f>H519*(1-0)</f>
        <v>0</v>
      </c>
      <c r="AS519" s="212" t="s">
        <v>88</v>
      </c>
      <c r="AX519" s="212">
        <f>AY519+AZ519</f>
        <v>0</v>
      </c>
      <c r="AY519" s="212">
        <f>G519*AQ519</f>
        <v>0</v>
      </c>
      <c r="AZ519" s="212">
        <f>G519*AR519</f>
        <v>0</v>
      </c>
      <c r="BA519" s="212" t="s">
        <v>87</v>
      </c>
      <c r="BB519" s="212" t="s">
        <v>86</v>
      </c>
      <c r="BC519" s="212" t="s">
        <v>85</v>
      </c>
      <c r="BE519" s="212">
        <f>AY519+AZ519</f>
        <v>0</v>
      </c>
      <c r="BF519" s="212">
        <f>H519/(100-BG519)*100</f>
        <v>0</v>
      </c>
      <c r="BG519" s="212">
        <v>0</v>
      </c>
      <c r="BH519" s="212">
        <f>O519</f>
        <v>0</v>
      </c>
      <c r="BJ519" s="212">
        <f>G519*AQ519</f>
        <v>0</v>
      </c>
      <c r="BK519" s="212">
        <f>G519*AR519</f>
        <v>0</v>
      </c>
      <c r="BL519" s="212">
        <f>G519*H519</f>
        <v>0</v>
      </c>
      <c r="BM519" s="212" t="s">
        <v>84</v>
      </c>
      <c r="BN519" s="212" t="s">
        <v>83</v>
      </c>
    </row>
    <row r="520" spans="1:66" s="230" customFormat="1" ht="6.75" customHeight="1" x14ac:dyDescent="0.25">
      <c r="A520" s="266"/>
      <c r="B520" s="239"/>
      <c r="C520" s="267" t="s">
        <v>89</v>
      </c>
      <c r="D520" s="266"/>
      <c r="E520" s="238" t="s">
        <v>880</v>
      </c>
      <c r="F520" s="265" t="s">
        <v>82</v>
      </c>
      <c r="G520" s="236">
        <f>O9+O12+O17+O34+O42+O52+O100+O115+O124+O491+O494+O513</f>
        <v>277.86134493348447</v>
      </c>
      <c r="H520" s="235"/>
      <c r="I520" s="235"/>
      <c r="J520" s="234"/>
      <c r="K520" s="234"/>
      <c r="L520" s="233"/>
      <c r="M520" s="233"/>
      <c r="N520" s="232"/>
      <c r="O520" s="231"/>
    </row>
    <row r="521" spans="1:66" ht="13.5" x14ac:dyDescent="0.25">
      <c r="H521" s="564"/>
      <c r="I521" s="225"/>
      <c r="J521" s="225"/>
      <c r="K521" s="225"/>
      <c r="L521" s="229">
        <f>SUM(L9:L520)/2</f>
        <v>0</v>
      </c>
      <c r="M521" s="228"/>
    </row>
    <row r="522" spans="1:66" ht="13.5" x14ac:dyDescent="0.25">
      <c r="D522" s="227"/>
      <c r="E522" s="227"/>
      <c r="F522" s="226"/>
      <c r="H522" s="564"/>
      <c r="I522" s="225"/>
      <c r="J522" s="225"/>
      <c r="K522" s="225"/>
      <c r="L522" s="224">
        <f>'1-Rekapitulace'!I47</f>
        <v>0</v>
      </c>
      <c r="M522" s="223"/>
    </row>
  </sheetData>
  <sheetProtection algorithmName="SHA-512" hashValue="/vFmGWBjggJwTqZEqKoKEpYfMlocSrS50c39YurO4ym+aqR0PTYqklJ+fzSOypbS9dMa31wwBDpdQlMSnZwy6A==" saltValue="smf2UIH8uchTNDaJQLY3Gw==" spinCount="100000" sheet="1" objects="1" scenarios="1"/>
  <mergeCells count="3">
    <mergeCell ref="N7:O7"/>
    <mergeCell ref="D7:E7"/>
    <mergeCell ref="D8:E8"/>
  </mergeCells>
  <pageMargins left="0.59055118110236227" right="0.19685039370078741" top="0.39370078740157483" bottom="0.31496062992125984" header="0" footer="0"/>
  <pageSetup paperSize="9" scale="94" orientation="portrait" verticalDpi="300" r:id="rId1"/>
  <headerFooter alignWithMargins="0"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414D-75EB-4684-911B-38F9E3B52CB4}">
  <dimension ref="A1:CZ81"/>
  <sheetViews>
    <sheetView showGridLines="0" showZeros="0" view="pageBreakPreview" topLeftCell="A10" zoomScale="70" zoomScaleNormal="100" zoomScaleSheetLayoutView="70" workbookViewId="0">
      <selection activeCell="I54" sqref="I54"/>
    </sheetView>
  </sheetViews>
  <sheetFormatPr defaultColWidth="9.140625" defaultRowHeight="12.75" x14ac:dyDescent="0.2"/>
  <cols>
    <col min="1" max="1" width="3.85546875" style="363" customWidth="1"/>
    <col min="2" max="2" width="12" style="363" customWidth="1"/>
    <col min="3" max="3" width="40.42578125" style="363" customWidth="1"/>
    <col min="4" max="4" width="5.5703125" style="363" customWidth="1"/>
    <col min="5" max="5" width="8.5703125" style="364" customWidth="1"/>
    <col min="6" max="6" width="9.85546875" style="363" customWidth="1"/>
    <col min="7" max="7" width="13.85546875" style="363" customWidth="1"/>
    <col min="8" max="104" width="12.7109375" style="363" customWidth="1"/>
    <col min="105" max="16384" width="9.140625" style="363"/>
  </cols>
  <sheetData>
    <row r="1" spans="1:104" ht="15.75" x14ac:dyDescent="0.25">
      <c r="A1" s="658" t="s">
        <v>544</v>
      </c>
      <c r="B1" s="658"/>
      <c r="C1" s="658"/>
      <c r="D1" s="658"/>
      <c r="E1" s="658"/>
      <c r="F1" s="658"/>
      <c r="G1" s="658"/>
    </row>
    <row r="2" spans="1:104" ht="13.5" thickBot="1" x14ac:dyDescent="0.25">
      <c r="B2" s="448"/>
      <c r="C2" s="446"/>
      <c r="D2" s="446"/>
      <c r="E2" s="447"/>
      <c r="F2" s="446"/>
      <c r="G2" s="446"/>
    </row>
    <row r="3" spans="1:104" ht="13.5" thickTop="1" x14ac:dyDescent="0.2">
      <c r="A3" s="659" t="s">
        <v>464</v>
      </c>
      <c r="B3" s="660"/>
      <c r="C3" s="420" t="s">
        <v>964</v>
      </c>
      <c r="D3" s="418"/>
      <c r="E3" s="445"/>
      <c r="F3" s="548">
        <v>0</v>
      </c>
      <c r="G3" s="444"/>
    </row>
    <row r="4" spans="1:104" ht="13.5" thickBot="1" x14ac:dyDescent="0.25">
      <c r="A4" s="661" t="s">
        <v>463</v>
      </c>
      <c r="B4" s="662"/>
      <c r="C4" s="415" t="s">
        <v>963</v>
      </c>
      <c r="D4" s="413"/>
      <c r="E4" s="663"/>
      <c r="F4" s="663"/>
      <c r="G4" s="664"/>
    </row>
    <row r="5" spans="1:104" s="369" customFormat="1" ht="26.45" customHeight="1" thickTop="1" x14ac:dyDescent="0.25">
      <c r="B5" s="453"/>
      <c r="C5" s="453" t="s">
        <v>462</v>
      </c>
      <c r="D5" s="453"/>
      <c r="E5" s="453"/>
      <c r="F5" s="453"/>
      <c r="G5" s="453"/>
      <c r="H5" s="392"/>
      <c r="I5" s="392"/>
    </row>
    <row r="6" spans="1:104" s="369" customFormat="1" x14ac:dyDescent="0.2"/>
    <row r="7" spans="1:104" s="369" customFormat="1" x14ac:dyDescent="0.2">
      <c r="A7" s="457"/>
      <c r="B7" s="458"/>
      <c r="C7" s="549" t="s">
        <v>461</v>
      </c>
      <c r="D7" s="549"/>
      <c r="E7" s="549"/>
      <c r="F7" s="549"/>
      <c r="G7" s="459"/>
      <c r="H7" s="394"/>
      <c r="I7" s="394"/>
    </row>
    <row r="8" spans="1:104" s="369" customFormat="1" x14ac:dyDescent="0.2">
      <c r="A8" s="460">
        <v>1</v>
      </c>
      <c r="B8" s="454" t="str">
        <f>ZTI!B14</f>
        <v>721</v>
      </c>
      <c r="C8" s="405" t="str">
        <f>ZTI!C14</f>
        <v>Vnitřní kanalizace</v>
      </c>
      <c r="D8" s="449"/>
      <c r="E8" s="449">
        <f>ZTI!BA31</f>
        <v>0</v>
      </c>
      <c r="G8" s="461">
        <f>G31</f>
        <v>0</v>
      </c>
      <c r="H8" s="449">
        <f>ZTI!BD31</f>
        <v>0</v>
      </c>
      <c r="I8" s="449">
        <f>ZTI!BE31</f>
        <v>0</v>
      </c>
    </row>
    <row r="9" spans="1:104" s="369" customFormat="1" x14ac:dyDescent="0.2">
      <c r="A9" s="460">
        <v>2</v>
      </c>
      <c r="B9" s="454" t="str">
        <f>ZTI!B32</f>
        <v>722</v>
      </c>
      <c r="C9" s="405" t="str">
        <f>ZTI!C32</f>
        <v>Vnitřní vodovod</v>
      </c>
      <c r="D9" s="449"/>
      <c r="E9" s="449">
        <f>ZTI!BA55</f>
        <v>0</v>
      </c>
      <c r="G9" s="461">
        <f>G55</f>
        <v>0</v>
      </c>
      <c r="H9" s="449">
        <f>ZTI!BD55</f>
        <v>0</v>
      </c>
      <c r="I9" s="449">
        <f>ZTI!BE55</f>
        <v>0</v>
      </c>
    </row>
    <row r="10" spans="1:104" s="369" customFormat="1" x14ac:dyDescent="0.2">
      <c r="A10" s="462">
        <v>3</v>
      </c>
      <c r="B10" s="463" t="str">
        <f>ZTI!B56</f>
        <v>725</v>
      </c>
      <c r="C10" s="550" t="str">
        <f>ZTI!C56</f>
        <v>Zařizovací předměty-mtž</v>
      </c>
      <c r="D10" s="551"/>
      <c r="E10" s="551"/>
      <c r="F10" s="464"/>
      <c r="G10" s="465">
        <f>G72</f>
        <v>0</v>
      </c>
      <c r="H10" s="449">
        <f>ZTI!BD72</f>
        <v>0</v>
      </c>
      <c r="I10" s="449">
        <f>ZTI!BE72</f>
        <v>0</v>
      </c>
    </row>
    <row r="11" spans="1:104" s="394" customFormat="1" x14ac:dyDescent="0.2">
      <c r="A11" s="451"/>
      <c r="C11" s="394" t="s">
        <v>648</v>
      </c>
      <c r="D11" s="450"/>
      <c r="E11" s="450"/>
      <c r="G11" s="452">
        <f>SUM(G8:G10)</f>
        <v>0</v>
      </c>
      <c r="H11" s="450">
        <f>SUM(H8:H10)</f>
        <v>0</v>
      </c>
      <c r="I11" s="450">
        <f>SUM(I8:I10)</f>
        <v>0</v>
      </c>
    </row>
    <row r="12" spans="1:104" x14ac:dyDescent="0.2">
      <c r="A12" s="443"/>
    </row>
    <row r="13" spans="1:104" x14ac:dyDescent="0.2">
      <c r="A13" s="442" t="s">
        <v>543</v>
      </c>
      <c r="B13" s="441" t="s">
        <v>542</v>
      </c>
      <c r="C13" s="441" t="s">
        <v>541</v>
      </c>
      <c r="D13" s="441" t="s">
        <v>144</v>
      </c>
      <c r="E13" s="441" t="s">
        <v>540</v>
      </c>
      <c r="F13" s="441" t="s">
        <v>539</v>
      </c>
      <c r="G13" s="440" t="s">
        <v>538</v>
      </c>
    </row>
    <row r="14" spans="1:104" x14ac:dyDescent="0.2">
      <c r="A14" s="439" t="s">
        <v>477</v>
      </c>
      <c r="B14" s="438" t="s">
        <v>617</v>
      </c>
      <c r="C14" s="437" t="s">
        <v>616</v>
      </c>
      <c r="D14" s="436"/>
      <c r="E14" s="435"/>
      <c r="F14" s="566"/>
      <c r="G14" s="434"/>
      <c r="O14" s="422">
        <v>1</v>
      </c>
    </row>
    <row r="15" spans="1:104" x14ac:dyDescent="0.2">
      <c r="A15" s="433">
        <v>1</v>
      </c>
      <c r="B15" s="432" t="s">
        <v>615</v>
      </c>
      <c r="C15" s="431" t="s">
        <v>614</v>
      </c>
      <c r="D15" s="430" t="s">
        <v>272</v>
      </c>
      <c r="E15" s="429">
        <v>1</v>
      </c>
      <c r="F15" s="567"/>
      <c r="G15" s="428">
        <f t="shared" ref="G15:G30" si="0">E15*F15</f>
        <v>0</v>
      </c>
      <c r="O15" s="422">
        <v>2</v>
      </c>
      <c r="AA15" s="363">
        <v>12</v>
      </c>
      <c r="AB15" s="363">
        <v>7</v>
      </c>
      <c r="AC15" s="363">
        <v>1</v>
      </c>
      <c r="AZ15" s="363">
        <v>2</v>
      </c>
      <c r="BA15" s="363">
        <f t="shared" ref="BA15:BA30" si="1">IF(AZ15=1,G15,0)</f>
        <v>0</v>
      </c>
      <c r="BB15" s="363">
        <f t="shared" ref="BB15:BB30" si="2">IF(AZ15=2,G15,0)</f>
        <v>0</v>
      </c>
      <c r="BC15" s="363">
        <f t="shared" ref="BC15:BC30" si="3">IF(AZ15=3,G15,0)</f>
        <v>0</v>
      </c>
      <c r="BD15" s="363">
        <f t="shared" ref="BD15:BD30" si="4">IF(AZ15=4,G15,0)</f>
        <v>0</v>
      </c>
      <c r="BE15" s="363">
        <f t="shared" ref="BE15:BE30" si="5">IF(AZ15=5,G15,0)</f>
        <v>0</v>
      </c>
      <c r="CZ15" s="363">
        <v>3.8000000000000002E-4</v>
      </c>
    </row>
    <row r="16" spans="1:104" x14ac:dyDescent="0.2">
      <c r="A16" s="433">
        <v>2</v>
      </c>
      <c r="B16" s="432" t="s">
        <v>613</v>
      </c>
      <c r="C16" s="431" t="s">
        <v>612</v>
      </c>
      <c r="D16" s="430" t="s">
        <v>272</v>
      </c>
      <c r="E16" s="429">
        <v>2</v>
      </c>
      <c r="F16" s="567"/>
      <c r="G16" s="428">
        <f t="shared" si="0"/>
        <v>0</v>
      </c>
      <c r="O16" s="422">
        <v>2</v>
      </c>
      <c r="AA16" s="363">
        <v>12</v>
      </c>
      <c r="AB16" s="363">
        <v>7</v>
      </c>
      <c r="AC16" s="363">
        <v>2</v>
      </c>
      <c r="AZ16" s="363">
        <v>2</v>
      </c>
      <c r="BA16" s="363">
        <f t="shared" si="1"/>
        <v>0</v>
      </c>
      <c r="BB16" s="363">
        <f t="shared" si="2"/>
        <v>0</v>
      </c>
      <c r="BC16" s="363">
        <f t="shared" si="3"/>
        <v>0</v>
      </c>
      <c r="BD16" s="363">
        <f t="shared" si="4"/>
        <v>0</v>
      </c>
      <c r="BE16" s="363">
        <f t="shared" si="5"/>
        <v>0</v>
      </c>
      <c r="CZ16" s="363">
        <v>4.6999999999999999E-4</v>
      </c>
    </row>
    <row r="17" spans="1:104" x14ac:dyDescent="0.2">
      <c r="A17" s="433">
        <v>3</v>
      </c>
      <c r="B17" s="432" t="s">
        <v>611</v>
      </c>
      <c r="C17" s="431" t="s">
        <v>610</v>
      </c>
      <c r="D17" s="430" t="s">
        <v>272</v>
      </c>
      <c r="E17" s="429">
        <v>1.5</v>
      </c>
      <c r="F17" s="567"/>
      <c r="G17" s="428">
        <f t="shared" si="0"/>
        <v>0</v>
      </c>
      <c r="O17" s="422">
        <v>2</v>
      </c>
      <c r="AA17" s="363">
        <v>12</v>
      </c>
      <c r="AB17" s="363">
        <v>7</v>
      </c>
      <c r="AC17" s="363">
        <v>3</v>
      </c>
      <c r="AZ17" s="363">
        <v>2</v>
      </c>
      <c r="BA17" s="363">
        <f t="shared" si="1"/>
        <v>0</v>
      </c>
      <c r="BB17" s="363">
        <f t="shared" si="2"/>
        <v>0</v>
      </c>
      <c r="BC17" s="363">
        <f t="shared" si="3"/>
        <v>0</v>
      </c>
      <c r="BD17" s="363">
        <f t="shared" si="4"/>
        <v>0</v>
      </c>
      <c r="BE17" s="363">
        <f t="shared" si="5"/>
        <v>0</v>
      </c>
      <c r="CZ17" s="363">
        <v>1.5100000000000001E-3</v>
      </c>
    </row>
    <row r="18" spans="1:104" x14ac:dyDescent="0.2">
      <c r="A18" s="433">
        <v>4</v>
      </c>
      <c r="B18" s="432" t="s">
        <v>609</v>
      </c>
      <c r="C18" s="431" t="s">
        <v>608</v>
      </c>
      <c r="D18" s="430" t="s">
        <v>272</v>
      </c>
      <c r="E18" s="429">
        <v>4</v>
      </c>
      <c r="F18" s="567"/>
      <c r="G18" s="428">
        <f t="shared" si="0"/>
        <v>0</v>
      </c>
      <c r="O18" s="422">
        <v>2</v>
      </c>
      <c r="AA18" s="363">
        <v>12</v>
      </c>
      <c r="AB18" s="363">
        <v>7</v>
      </c>
      <c r="AC18" s="363">
        <v>4</v>
      </c>
      <c r="AZ18" s="363">
        <v>2</v>
      </c>
      <c r="BA18" s="363">
        <f t="shared" si="1"/>
        <v>0</v>
      </c>
      <c r="BB18" s="363">
        <f t="shared" si="2"/>
        <v>0</v>
      </c>
      <c r="BC18" s="363">
        <f t="shared" si="3"/>
        <v>0</v>
      </c>
      <c r="BD18" s="363">
        <f t="shared" si="4"/>
        <v>0</v>
      </c>
      <c r="BE18" s="363">
        <f t="shared" si="5"/>
        <v>0</v>
      </c>
      <c r="CZ18" s="363">
        <v>7.9000000000000001E-4</v>
      </c>
    </row>
    <row r="19" spans="1:104" x14ac:dyDescent="0.2">
      <c r="A19" s="433">
        <v>5</v>
      </c>
      <c r="B19" s="432" t="s">
        <v>607</v>
      </c>
      <c r="C19" s="431" t="s">
        <v>606</v>
      </c>
      <c r="D19" s="430" t="s">
        <v>272</v>
      </c>
      <c r="E19" s="429">
        <v>1.5</v>
      </c>
      <c r="F19" s="567"/>
      <c r="G19" s="428">
        <f t="shared" si="0"/>
        <v>0</v>
      </c>
      <c r="O19" s="422">
        <v>2</v>
      </c>
      <c r="AA19" s="363">
        <v>12</v>
      </c>
      <c r="AB19" s="363">
        <v>7</v>
      </c>
      <c r="AC19" s="363">
        <v>5</v>
      </c>
      <c r="AZ19" s="363">
        <v>2</v>
      </c>
      <c r="BA19" s="363">
        <f t="shared" si="1"/>
        <v>0</v>
      </c>
      <c r="BB19" s="363">
        <f t="shared" si="2"/>
        <v>0</v>
      </c>
      <c r="BC19" s="363">
        <f t="shared" si="3"/>
        <v>0</v>
      </c>
      <c r="BD19" s="363">
        <f t="shared" si="4"/>
        <v>0</v>
      </c>
      <c r="BE19" s="363">
        <f t="shared" si="5"/>
        <v>0</v>
      </c>
      <c r="CZ19" s="363">
        <v>1.3799999999999999E-3</v>
      </c>
    </row>
    <row r="20" spans="1:104" x14ac:dyDescent="0.2">
      <c r="A20" s="433">
        <v>6</v>
      </c>
      <c r="B20" s="432" t="s">
        <v>605</v>
      </c>
      <c r="C20" s="431" t="s">
        <v>604</v>
      </c>
      <c r="D20" s="430" t="s">
        <v>272</v>
      </c>
      <c r="E20" s="429">
        <v>1</v>
      </c>
      <c r="F20" s="567"/>
      <c r="G20" s="428">
        <f t="shared" si="0"/>
        <v>0</v>
      </c>
      <c r="O20" s="422">
        <v>2</v>
      </c>
      <c r="AA20" s="363">
        <v>12</v>
      </c>
      <c r="AB20" s="363">
        <v>7</v>
      </c>
      <c r="AC20" s="363">
        <v>6</v>
      </c>
      <c r="AZ20" s="363">
        <v>2</v>
      </c>
      <c r="BA20" s="363">
        <f t="shared" si="1"/>
        <v>0</v>
      </c>
      <c r="BB20" s="363">
        <f t="shared" si="2"/>
        <v>0</v>
      </c>
      <c r="BC20" s="363">
        <f t="shared" si="3"/>
        <v>0</v>
      </c>
      <c r="BD20" s="363">
        <f t="shared" si="4"/>
        <v>0</v>
      </c>
      <c r="BE20" s="363">
        <f t="shared" si="5"/>
        <v>0</v>
      </c>
      <c r="CZ20" s="363">
        <v>1.48E-3</v>
      </c>
    </row>
    <row r="21" spans="1:104" x14ac:dyDescent="0.2">
      <c r="A21" s="433">
        <v>7</v>
      </c>
      <c r="B21" s="432" t="s">
        <v>603</v>
      </c>
      <c r="C21" s="431" t="s">
        <v>602</v>
      </c>
      <c r="D21" s="430" t="s">
        <v>272</v>
      </c>
      <c r="E21" s="429">
        <v>1.5</v>
      </c>
      <c r="F21" s="567"/>
      <c r="G21" s="428">
        <f t="shared" si="0"/>
        <v>0</v>
      </c>
      <c r="O21" s="422">
        <v>2</v>
      </c>
      <c r="AA21" s="363">
        <v>12</v>
      </c>
      <c r="AB21" s="363">
        <v>7</v>
      </c>
      <c r="AC21" s="363">
        <v>7</v>
      </c>
      <c r="AZ21" s="363">
        <v>2</v>
      </c>
      <c r="BA21" s="363">
        <f t="shared" si="1"/>
        <v>0</v>
      </c>
      <c r="BB21" s="363">
        <f t="shared" si="2"/>
        <v>0</v>
      </c>
      <c r="BC21" s="363">
        <f t="shared" si="3"/>
        <v>0</v>
      </c>
      <c r="BD21" s="363">
        <f t="shared" si="4"/>
        <v>0</v>
      </c>
      <c r="BE21" s="363">
        <f t="shared" si="5"/>
        <v>0</v>
      </c>
      <c r="CZ21" s="363">
        <v>1.74E-3</v>
      </c>
    </row>
    <row r="22" spans="1:104" x14ac:dyDescent="0.2">
      <c r="A22" s="433">
        <v>8</v>
      </c>
      <c r="B22" s="432" t="s">
        <v>601</v>
      </c>
      <c r="C22" s="431" t="s">
        <v>600</v>
      </c>
      <c r="D22" s="430" t="s">
        <v>272</v>
      </c>
      <c r="E22" s="429">
        <v>2.5</v>
      </c>
      <c r="F22" s="567"/>
      <c r="G22" s="428">
        <f t="shared" si="0"/>
        <v>0</v>
      </c>
      <c r="O22" s="422">
        <v>2</v>
      </c>
      <c r="AA22" s="363">
        <v>12</v>
      </c>
      <c r="AB22" s="363">
        <v>7</v>
      </c>
      <c r="AC22" s="363">
        <v>8</v>
      </c>
      <c r="AZ22" s="363">
        <v>2</v>
      </c>
      <c r="BA22" s="363">
        <f t="shared" si="1"/>
        <v>0</v>
      </c>
      <c r="BB22" s="363">
        <f t="shared" si="2"/>
        <v>0</v>
      </c>
      <c r="BC22" s="363">
        <f t="shared" si="3"/>
        <v>0</v>
      </c>
      <c r="BD22" s="363">
        <f t="shared" si="4"/>
        <v>0</v>
      </c>
      <c r="BE22" s="363">
        <f t="shared" si="5"/>
        <v>0</v>
      </c>
      <c r="CZ22" s="363">
        <v>2.5799999999999998E-3</v>
      </c>
    </row>
    <row r="23" spans="1:104" x14ac:dyDescent="0.2">
      <c r="A23" s="433">
        <v>9</v>
      </c>
      <c r="B23" s="432" t="s">
        <v>599</v>
      </c>
      <c r="C23" s="431" t="s">
        <v>598</v>
      </c>
      <c r="D23" s="430" t="s">
        <v>265</v>
      </c>
      <c r="E23" s="429">
        <v>2</v>
      </c>
      <c r="F23" s="567"/>
      <c r="G23" s="428">
        <f t="shared" si="0"/>
        <v>0</v>
      </c>
      <c r="O23" s="422">
        <v>2</v>
      </c>
      <c r="AA23" s="363">
        <v>12</v>
      </c>
      <c r="AB23" s="363">
        <v>7</v>
      </c>
      <c r="AC23" s="363">
        <v>9</v>
      </c>
      <c r="AZ23" s="363">
        <v>2</v>
      </c>
      <c r="BA23" s="363">
        <f t="shared" si="1"/>
        <v>0</v>
      </c>
      <c r="BB23" s="363">
        <f t="shared" si="2"/>
        <v>0</v>
      </c>
      <c r="BC23" s="363">
        <f t="shared" si="3"/>
        <v>0</v>
      </c>
      <c r="BD23" s="363">
        <f t="shared" si="4"/>
        <v>0</v>
      </c>
      <c r="BE23" s="363">
        <f t="shared" si="5"/>
        <v>0</v>
      </c>
      <c r="CZ23" s="363">
        <v>0</v>
      </c>
    </row>
    <row r="24" spans="1:104" x14ac:dyDescent="0.2">
      <c r="A24" s="433">
        <v>10</v>
      </c>
      <c r="B24" s="432" t="s">
        <v>597</v>
      </c>
      <c r="C24" s="431" t="s">
        <v>596</v>
      </c>
      <c r="D24" s="430" t="s">
        <v>265</v>
      </c>
      <c r="E24" s="429">
        <v>1</v>
      </c>
      <c r="F24" s="567"/>
      <c r="G24" s="428">
        <f t="shared" si="0"/>
        <v>0</v>
      </c>
      <c r="O24" s="422">
        <v>2</v>
      </c>
      <c r="AA24" s="363">
        <v>12</v>
      </c>
      <c r="AB24" s="363">
        <v>7</v>
      </c>
      <c r="AC24" s="363">
        <v>10</v>
      </c>
      <c r="AZ24" s="363">
        <v>2</v>
      </c>
      <c r="BA24" s="363">
        <f t="shared" si="1"/>
        <v>0</v>
      </c>
      <c r="BB24" s="363">
        <f t="shared" si="2"/>
        <v>0</v>
      </c>
      <c r="BC24" s="363">
        <f t="shared" si="3"/>
        <v>0</v>
      </c>
      <c r="BD24" s="363">
        <f t="shared" si="4"/>
        <v>0</v>
      </c>
      <c r="BE24" s="363">
        <f t="shared" si="5"/>
        <v>0</v>
      </c>
      <c r="CZ24" s="363">
        <v>0</v>
      </c>
    </row>
    <row r="25" spans="1:104" x14ac:dyDescent="0.2">
      <c r="A25" s="433">
        <v>11</v>
      </c>
      <c r="B25" s="432" t="s">
        <v>595</v>
      </c>
      <c r="C25" s="431" t="s">
        <v>594</v>
      </c>
      <c r="D25" s="430" t="s">
        <v>493</v>
      </c>
      <c r="E25" s="429">
        <v>1</v>
      </c>
      <c r="F25" s="567"/>
      <c r="G25" s="428">
        <f t="shared" si="0"/>
        <v>0</v>
      </c>
      <c r="O25" s="422">
        <v>2</v>
      </c>
      <c r="AA25" s="363">
        <v>12</v>
      </c>
      <c r="AB25" s="363">
        <v>7</v>
      </c>
      <c r="AC25" s="363">
        <v>11</v>
      </c>
      <c r="AZ25" s="363">
        <v>2</v>
      </c>
      <c r="BA25" s="363">
        <f t="shared" si="1"/>
        <v>0</v>
      </c>
      <c r="BB25" s="363">
        <f t="shared" si="2"/>
        <v>0</v>
      </c>
      <c r="BC25" s="363">
        <f t="shared" si="3"/>
        <v>0</v>
      </c>
      <c r="BD25" s="363">
        <f t="shared" si="4"/>
        <v>0</v>
      </c>
      <c r="BE25" s="363">
        <f t="shared" si="5"/>
        <v>0</v>
      </c>
      <c r="CZ25" s="363">
        <v>5.0000000000000001E-4</v>
      </c>
    </row>
    <row r="26" spans="1:104" ht="22.5" x14ac:dyDescent="0.2">
      <c r="A26" s="433">
        <v>12</v>
      </c>
      <c r="B26" s="432" t="s">
        <v>593</v>
      </c>
      <c r="C26" s="431" t="s">
        <v>650</v>
      </c>
      <c r="D26" s="430" t="s">
        <v>265</v>
      </c>
      <c r="E26" s="429">
        <v>1</v>
      </c>
      <c r="F26" s="567"/>
      <c r="G26" s="428">
        <f t="shared" si="0"/>
        <v>0</v>
      </c>
      <c r="O26" s="422">
        <v>2</v>
      </c>
      <c r="AA26" s="363">
        <v>12</v>
      </c>
      <c r="AB26" s="363">
        <v>7</v>
      </c>
      <c r="AC26" s="363">
        <v>12</v>
      </c>
      <c r="AZ26" s="363">
        <v>2</v>
      </c>
      <c r="BA26" s="363">
        <f t="shared" si="1"/>
        <v>0</v>
      </c>
      <c r="BB26" s="363">
        <f t="shared" si="2"/>
        <v>0</v>
      </c>
      <c r="BC26" s="363">
        <f t="shared" si="3"/>
        <v>0</v>
      </c>
      <c r="BD26" s="363">
        <f t="shared" si="4"/>
        <v>0</v>
      </c>
      <c r="BE26" s="363">
        <f t="shared" si="5"/>
        <v>0</v>
      </c>
      <c r="CZ26" s="363">
        <v>1.3999999999999999E-4</v>
      </c>
    </row>
    <row r="27" spans="1:104" x14ac:dyDescent="0.2">
      <c r="A27" s="433">
        <v>13</v>
      </c>
      <c r="B27" s="432" t="s">
        <v>592</v>
      </c>
      <c r="C27" s="431" t="s">
        <v>591</v>
      </c>
      <c r="D27" s="430" t="s">
        <v>272</v>
      </c>
      <c r="E27" s="429">
        <v>1.5</v>
      </c>
      <c r="F27" s="567"/>
      <c r="G27" s="428">
        <f t="shared" si="0"/>
        <v>0</v>
      </c>
      <c r="O27" s="422">
        <v>2</v>
      </c>
      <c r="AA27" s="363">
        <v>12</v>
      </c>
      <c r="AB27" s="363">
        <v>7</v>
      </c>
      <c r="AC27" s="363">
        <v>13</v>
      </c>
      <c r="AZ27" s="363">
        <v>2</v>
      </c>
      <c r="BA27" s="363">
        <f t="shared" si="1"/>
        <v>0</v>
      </c>
      <c r="BB27" s="363">
        <f t="shared" si="2"/>
        <v>0</v>
      </c>
      <c r="BC27" s="363">
        <f t="shared" si="3"/>
        <v>0</v>
      </c>
      <c r="BD27" s="363">
        <f t="shared" si="4"/>
        <v>0</v>
      </c>
      <c r="BE27" s="363">
        <f t="shared" si="5"/>
        <v>0</v>
      </c>
      <c r="CZ27" s="363">
        <v>0</v>
      </c>
    </row>
    <row r="28" spans="1:104" x14ac:dyDescent="0.2">
      <c r="A28" s="433">
        <v>14</v>
      </c>
      <c r="B28" s="432" t="s">
        <v>590</v>
      </c>
      <c r="C28" s="431" t="s">
        <v>589</v>
      </c>
      <c r="D28" s="430" t="s">
        <v>272</v>
      </c>
      <c r="E28" s="429">
        <v>2.5</v>
      </c>
      <c r="F28" s="567"/>
      <c r="G28" s="428">
        <f t="shared" si="0"/>
        <v>0</v>
      </c>
      <c r="O28" s="422">
        <v>2</v>
      </c>
      <c r="AA28" s="363">
        <v>12</v>
      </c>
      <c r="AB28" s="363">
        <v>7</v>
      </c>
      <c r="AC28" s="363">
        <v>14</v>
      </c>
      <c r="AZ28" s="363">
        <v>2</v>
      </c>
      <c r="BA28" s="363">
        <f t="shared" si="1"/>
        <v>0</v>
      </c>
      <c r="BB28" s="363">
        <f t="shared" si="2"/>
        <v>0</v>
      </c>
      <c r="BC28" s="363">
        <f t="shared" si="3"/>
        <v>0</v>
      </c>
      <c r="BD28" s="363">
        <f t="shared" si="4"/>
        <v>0</v>
      </c>
      <c r="BE28" s="363">
        <f t="shared" si="5"/>
        <v>0</v>
      </c>
      <c r="CZ28" s="363">
        <v>0</v>
      </c>
    </row>
    <row r="29" spans="1:104" x14ac:dyDescent="0.2">
      <c r="A29" s="433">
        <v>15</v>
      </c>
      <c r="B29" s="432" t="s">
        <v>588</v>
      </c>
      <c r="C29" s="431" t="s">
        <v>587</v>
      </c>
      <c r="D29" s="430" t="s">
        <v>272</v>
      </c>
      <c r="E29" s="429">
        <v>10</v>
      </c>
      <c r="F29" s="567"/>
      <c r="G29" s="428">
        <f t="shared" si="0"/>
        <v>0</v>
      </c>
      <c r="O29" s="422">
        <v>2</v>
      </c>
      <c r="AA29" s="363">
        <v>12</v>
      </c>
      <c r="AB29" s="363">
        <v>7</v>
      </c>
      <c r="AC29" s="363">
        <v>15</v>
      </c>
      <c r="AZ29" s="363">
        <v>2</v>
      </c>
      <c r="BA29" s="363">
        <f t="shared" si="1"/>
        <v>0</v>
      </c>
      <c r="BB29" s="363">
        <f t="shared" si="2"/>
        <v>0</v>
      </c>
      <c r="BC29" s="363">
        <f t="shared" si="3"/>
        <v>0</v>
      </c>
      <c r="BD29" s="363">
        <f t="shared" si="4"/>
        <v>0</v>
      </c>
      <c r="BE29" s="363">
        <f t="shared" si="5"/>
        <v>0</v>
      </c>
      <c r="CZ29" s="363">
        <v>0</v>
      </c>
    </row>
    <row r="30" spans="1:104" x14ac:dyDescent="0.2">
      <c r="A30" s="433">
        <v>16</v>
      </c>
      <c r="B30" s="432" t="s">
        <v>651</v>
      </c>
      <c r="C30" s="431" t="s">
        <v>586</v>
      </c>
      <c r="D30" s="430" t="s">
        <v>82</v>
      </c>
      <c r="E30" s="429">
        <v>0.02</v>
      </c>
      <c r="F30" s="567"/>
      <c r="G30" s="428">
        <f t="shared" si="0"/>
        <v>0</v>
      </c>
      <c r="O30" s="422">
        <v>2</v>
      </c>
      <c r="AA30" s="363">
        <v>12</v>
      </c>
      <c r="AB30" s="363">
        <v>7</v>
      </c>
      <c r="AC30" s="363">
        <v>16</v>
      </c>
      <c r="AZ30" s="363">
        <v>2</v>
      </c>
      <c r="BA30" s="363">
        <f t="shared" si="1"/>
        <v>0</v>
      </c>
      <c r="BB30" s="363">
        <f t="shared" si="2"/>
        <v>0</v>
      </c>
      <c r="BC30" s="363">
        <f t="shared" si="3"/>
        <v>0</v>
      </c>
      <c r="BD30" s="363">
        <f t="shared" si="4"/>
        <v>0</v>
      </c>
      <c r="BE30" s="363">
        <f t="shared" si="5"/>
        <v>0</v>
      </c>
    </row>
    <row r="31" spans="1:104" x14ac:dyDescent="0.2">
      <c r="A31" s="425"/>
      <c r="B31" s="427" t="s">
        <v>465</v>
      </c>
      <c r="C31" s="426" t="str">
        <f>CONCATENATE(B14," ",C14)</f>
        <v>721 Vnitřní kanalizace</v>
      </c>
      <c r="D31" s="425"/>
      <c r="E31" s="424"/>
      <c r="F31" s="568"/>
      <c r="G31" s="423">
        <f>SUM(G14:G30)</f>
        <v>0</v>
      </c>
      <c r="O31" s="422">
        <v>4</v>
      </c>
      <c r="BA31" s="421">
        <f>SUM(BA14:BA30)</f>
        <v>0</v>
      </c>
      <c r="BB31" s="421">
        <f>SUM(BB14:BB30)</f>
        <v>0</v>
      </c>
      <c r="BC31" s="421">
        <f>SUM(BC14:BC30)</f>
        <v>0</v>
      </c>
      <c r="BD31" s="421">
        <f>SUM(BD14:BD30)</f>
        <v>0</v>
      </c>
      <c r="BE31" s="421">
        <f>SUM(BE14:BE30)</f>
        <v>0</v>
      </c>
    </row>
    <row r="32" spans="1:104" x14ac:dyDescent="0.2">
      <c r="A32" s="439" t="s">
        <v>477</v>
      </c>
      <c r="B32" s="438" t="s">
        <v>476</v>
      </c>
      <c r="C32" s="437" t="s">
        <v>475</v>
      </c>
      <c r="D32" s="436"/>
      <c r="E32" s="435"/>
      <c r="F32" s="566"/>
      <c r="G32" s="434"/>
      <c r="O32" s="422">
        <v>1</v>
      </c>
    </row>
    <row r="33" spans="1:104" x14ac:dyDescent="0.2">
      <c r="A33" s="433">
        <v>17</v>
      </c>
      <c r="B33" s="432" t="s">
        <v>585</v>
      </c>
      <c r="C33" s="431" t="s">
        <v>584</v>
      </c>
      <c r="D33" s="430" t="s">
        <v>272</v>
      </c>
      <c r="E33" s="429">
        <v>2</v>
      </c>
      <c r="F33" s="567"/>
      <c r="G33" s="428">
        <f t="shared" ref="G33:G54" si="6">E33*F33</f>
        <v>0</v>
      </c>
      <c r="O33" s="422">
        <v>2</v>
      </c>
      <c r="AA33" s="363">
        <v>12</v>
      </c>
      <c r="AB33" s="363">
        <v>7</v>
      </c>
      <c r="AC33" s="363">
        <v>17</v>
      </c>
      <c r="AZ33" s="363">
        <v>2</v>
      </c>
      <c r="BA33" s="363">
        <f t="shared" ref="BA33:BA54" si="7">IF(AZ33=1,G33,0)</f>
        <v>0</v>
      </c>
      <c r="BB33" s="363">
        <f t="shared" ref="BB33:BB54" si="8">IF(AZ33=2,G33,0)</f>
        <v>0</v>
      </c>
      <c r="BC33" s="363">
        <f t="shared" ref="BC33:BC54" si="9">IF(AZ33=3,G33,0)</f>
        <v>0</v>
      </c>
      <c r="BD33" s="363">
        <f t="shared" ref="BD33:BD54" si="10">IF(AZ33=4,G33,0)</f>
        <v>0</v>
      </c>
      <c r="BE33" s="363">
        <f t="shared" ref="BE33:BE54" si="11">IF(AZ33=5,G33,0)</f>
        <v>0</v>
      </c>
      <c r="CZ33" s="363">
        <v>3.9899999999999996E-3</v>
      </c>
    </row>
    <row r="34" spans="1:104" x14ac:dyDescent="0.2">
      <c r="A34" s="433">
        <v>18</v>
      </c>
      <c r="B34" s="432" t="s">
        <v>583</v>
      </c>
      <c r="C34" s="431" t="s">
        <v>582</v>
      </c>
      <c r="D34" s="430" t="s">
        <v>272</v>
      </c>
      <c r="E34" s="429">
        <v>2.5</v>
      </c>
      <c r="F34" s="567"/>
      <c r="G34" s="428">
        <f t="shared" si="6"/>
        <v>0</v>
      </c>
      <c r="O34" s="422">
        <v>2</v>
      </c>
      <c r="AA34" s="363">
        <v>12</v>
      </c>
      <c r="AB34" s="363">
        <v>7</v>
      </c>
      <c r="AC34" s="363">
        <v>18</v>
      </c>
      <c r="AZ34" s="363">
        <v>2</v>
      </c>
      <c r="BA34" s="363">
        <f t="shared" si="7"/>
        <v>0</v>
      </c>
      <c r="BB34" s="363">
        <f t="shared" si="8"/>
        <v>0</v>
      </c>
      <c r="BC34" s="363">
        <f t="shared" si="9"/>
        <v>0</v>
      </c>
      <c r="BD34" s="363">
        <f t="shared" si="10"/>
        <v>0</v>
      </c>
      <c r="BE34" s="363">
        <f t="shared" si="11"/>
        <v>0</v>
      </c>
      <c r="CZ34" s="363">
        <v>5.1799999999999997E-3</v>
      </c>
    </row>
    <row r="35" spans="1:104" x14ac:dyDescent="0.2">
      <c r="A35" s="433">
        <v>19</v>
      </c>
      <c r="B35" s="432" t="s">
        <v>581</v>
      </c>
      <c r="C35" s="431" t="s">
        <v>580</v>
      </c>
      <c r="D35" s="430" t="s">
        <v>272</v>
      </c>
      <c r="E35" s="429">
        <v>1</v>
      </c>
      <c r="F35" s="567"/>
      <c r="G35" s="428">
        <f t="shared" si="6"/>
        <v>0</v>
      </c>
      <c r="O35" s="422">
        <v>2</v>
      </c>
      <c r="AA35" s="363">
        <v>12</v>
      </c>
      <c r="AB35" s="363">
        <v>7</v>
      </c>
      <c r="AC35" s="363">
        <v>19</v>
      </c>
      <c r="AZ35" s="363">
        <v>2</v>
      </c>
      <c r="BA35" s="363">
        <f t="shared" si="7"/>
        <v>0</v>
      </c>
      <c r="BB35" s="363">
        <f t="shared" si="8"/>
        <v>0</v>
      </c>
      <c r="BC35" s="363">
        <f t="shared" si="9"/>
        <v>0</v>
      </c>
      <c r="BD35" s="363">
        <f t="shared" si="10"/>
        <v>0</v>
      </c>
      <c r="BE35" s="363">
        <f t="shared" si="11"/>
        <v>0</v>
      </c>
      <c r="CZ35" s="363">
        <v>4.0099999999999997E-3</v>
      </c>
    </row>
    <row r="36" spans="1:104" x14ac:dyDescent="0.2">
      <c r="A36" s="433">
        <v>20</v>
      </c>
      <c r="B36" s="432" t="s">
        <v>579</v>
      </c>
      <c r="C36" s="431" t="s">
        <v>578</v>
      </c>
      <c r="D36" s="430" t="s">
        <v>272</v>
      </c>
      <c r="E36" s="429">
        <v>2</v>
      </c>
      <c r="F36" s="567"/>
      <c r="G36" s="428">
        <f t="shared" si="6"/>
        <v>0</v>
      </c>
      <c r="O36" s="422">
        <v>2</v>
      </c>
      <c r="AA36" s="363">
        <v>12</v>
      </c>
      <c r="AB36" s="363">
        <v>7</v>
      </c>
      <c r="AC36" s="363">
        <v>20</v>
      </c>
      <c r="AZ36" s="363">
        <v>2</v>
      </c>
      <c r="BA36" s="363">
        <f t="shared" si="7"/>
        <v>0</v>
      </c>
      <c r="BB36" s="363">
        <f t="shared" si="8"/>
        <v>0</v>
      </c>
      <c r="BC36" s="363">
        <f t="shared" si="9"/>
        <v>0</v>
      </c>
      <c r="BD36" s="363">
        <f t="shared" si="10"/>
        <v>0</v>
      </c>
      <c r="BE36" s="363">
        <f t="shared" si="11"/>
        <v>0</v>
      </c>
      <c r="CZ36" s="363">
        <v>5.2199999999999998E-3</v>
      </c>
    </row>
    <row r="37" spans="1:104" ht="22.5" x14ac:dyDescent="0.2">
      <c r="A37" s="433">
        <v>21</v>
      </c>
      <c r="B37" s="432" t="s">
        <v>577</v>
      </c>
      <c r="C37" s="431" t="s">
        <v>652</v>
      </c>
      <c r="D37" s="430" t="s">
        <v>272</v>
      </c>
      <c r="E37" s="429">
        <v>7.5</v>
      </c>
      <c r="F37" s="567"/>
      <c r="G37" s="428">
        <f t="shared" si="6"/>
        <v>0</v>
      </c>
      <c r="O37" s="422">
        <v>2</v>
      </c>
      <c r="AA37" s="363">
        <v>12</v>
      </c>
      <c r="AB37" s="363">
        <v>7</v>
      </c>
      <c r="AC37" s="363">
        <v>21</v>
      </c>
      <c r="AZ37" s="363">
        <v>2</v>
      </c>
      <c r="BA37" s="363">
        <f t="shared" si="7"/>
        <v>0</v>
      </c>
      <c r="BB37" s="363">
        <f t="shared" si="8"/>
        <v>0</v>
      </c>
      <c r="BC37" s="363">
        <f t="shared" si="9"/>
        <v>0</v>
      </c>
      <c r="BD37" s="363">
        <f t="shared" si="10"/>
        <v>0</v>
      </c>
      <c r="BE37" s="363">
        <f t="shared" si="11"/>
        <v>0</v>
      </c>
      <c r="CZ37" s="363">
        <v>0</v>
      </c>
    </row>
    <row r="38" spans="1:104" x14ac:dyDescent="0.2">
      <c r="A38" s="433">
        <v>22</v>
      </c>
      <c r="B38" s="432" t="s">
        <v>576</v>
      </c>
      <c r="C38" s="431" t="s">
        <v>575</v>
      </c>
      <c r="D38" s="430" t="s">
        <v>272</v>
      </c>
      <c r="E38" s="429">
        <v>7.5</v>
      </c>
      <c r="F38" s="567"/>
      <c r="G38" s="428">
        <f t="shared" si="6"/>
        <v>0</v>
      </c>
      <c r="O38" s="422">
        <v>2</v>
      </c>
      <c r="AA38" s="363">
        <v>12</v>
      </c>
      <c r="AB38" s="363">
        <v>7</v>
      </c>
      <c r="AC38" s="363">
        <v>22</v>
      </c>
      <c r="AZ38" s="363">
        <v>2</v>
      </c>
      <c r="BA38" s="363">
        <f t="shared" si="7"/>
        <v>0</v>
      </c>
      <c r="BB38" s="363">
        <f t="shared" si="8"/>
        <v>0</v>
      </c>
      <c r="BC38" s="363">
        <f t="shared" si="9"/>
        <v>0</v>
      </c>
      <c r="BD38" s="363">
        <f t="shared" si="10"/>
        <v>0</v>
      </c>
      <c r="BE38" s="363">
        <f t="shared" si="11"/>
        <v>0</v>
      </c>
      <c r="CZ38" s="363">
        <v>5.0000000000000001E-4</v>
      </c>
    </row>
    <row r="39" spans="1:104" x14ac:dyDescent="0.2">
      <c r="A39" s="433">
        <v>23</v>
      </c>
      <c r="B39" s="432" t="s">
        <v>574</v>
      </c>
      <c r="C39" s="431" t="s">
        <v>573</v>
      </c>
      <c r="D39" s="430" t="s">
        <v>546</v>
      </c>
      <c r="E39" s="429">
        <v>2</v>
      </c>
      <c r="F39" s="567"/>
      <c r="G39" s="428">
        <f t="shared" si="6"/>
        <v>0</v>
      </c>
      <c r="O39" s="422">
        <v>2</v>
      </c>
      <c r="AA39" s="363">
        <v>12</v>
      </c>
      <c r="AB39" s="363">
        <v>7</v>
      </c>
      <c r="AC39" s="363">
        <v>23</v>
      </c>
      <c r="AZ39" s="363">
        <v>2</v>
      </c>
      <c r="BA39" s="363">
        <f t="shared" si="7"/>
        <v>0</v>
      </c>
      <c r="BB39" s="363">
        <f t="shared" si="8"/>
        <v>0</v>
      </c>
      <c r="BC39" s="363">
        <f t="shared" si="9"/>
        <v>0</v>
      </c>
      <c r="BD39" s="363">
        <f t="shared" si="10"/>
        <v>0</v>
      </c>
      <c r="BE39" s="363">
        <f t="shared" si="11"/>
        <v>0</v>
      </c>
      <c r="CZ39" s="363">
        <v>5.0699999999999999E-3</v>
      </c>
    </row>
    <row r="40" spans="1:104" x14ac:dyDescent="0.2">
      <c r="A40" s="433">
        <v>24</v>
      </c>
      <c r="B40" s="432" t="s">
        <v>474</v>
      </c>
      <c r="C40" s="431" t="s">
        <v>473</v>
      </c>
      <c r="D40" s="430" t="s">
        <v>265</v>
      </c>
      <c r="E40" s="429">
        <v>1</v>
      </c>
      <c r="F40" s="567"/>
      <c r="G40" s="428">
        <f t="shared" si="6"/>
        <v>0</v>
      </c>
      <c r="O40" s="422">
        <v>2</v>
      </c>
      <c r="AA40" s="363">
        <v>12</v>
      </c>
      <c r="AB40" s="363">
        <v>7</v>
      </c>
      <c r="AC40" s="363">
        <v>24</v>
      </c>
      <c r="AZ40" s="363">
        <v>2</v>
      </c>
      <c r="BA40" s="363">
        <f t="shared" si="7"/>
        <v>0</v>
      </c>
      <c r="BB40" s="363">
        <f t="shared" si="8"/>
        <v>0</v>
      </c>
      <c r="BC40" s="363">
        <f t="shared" si="9"/>
        <v>0</v>
      </c>
      <c r="BD40" s="363">
        <f t="shared" si="10"/>
        <v>0</v>
      </c>
      <c r="BE40" s="363">
        <f t="shared" si="11"/>
        <v>0</v>
      </c>
      <c r="CZ40" s="363">
        <v>6.0000000000000002E-5</v>
      </c>
    </row>
    <row r="41" spans="1:104" x14ac:dyDescent="0.2">
      <c r="A41" s="433">
        <v>25</v>
      </c>
      <c r="B41" s="432" t="s">
        <v>572</v>
      </c>
      <c r="C41" s="431" t="s">
        <v>571</v>
      </c>
      <c r="D41" s="430" t="s">
        <v>265</v>
      </c>
      <c r="E41" s="429">
        <v>4</v>
      </c>
      <c r="F41" s="567"/>
      <c r="G41" s="428">
        <f t="shared" si="6"/>
        <v>0</v>
      </c>
      <c r="O41" s="422">
        <v>2</v>
      </c>
      <c r="AA41" s="363">
        <v>12</v>
      </c>
      <c r="AB41" s="363">
        <v>7</v>
      </c>
      <c r="AC41" s="363">
        <v>25</v>
      </c>
      <c r="AZ41" s="363">
        <v>2</v>
      </c>
      <c r="BA41" s="363">
        <f t="shared" si="7"/>
        <v>0</v>
      </c>
      <c r="BB41" s="363">
        <f t="shared" si="8"/>
        <v>0</v>
      </c>
      <c r="BC41" s="363">
        <f t="shared" si="9"/>
        <v>0</v>
      </c>
      <c r="BD41" s="363">
        <f t="shared" si="10"/>
        <v>0</v>
      </c>
      <c r="BE41" s="363">
        <f t="shared" si="11"/>
        <v>0</v>
      </c>
      <c r="CZ41" s="363">
        <v>2.0000000000000002E-5</v>
      </c>
    </row>
    <row r="42" spans="1:104" x14ac:dyDescent="0.2">
      <c r="A42" s="433">
        <v>26</v>
      </c>
      <c r="B42" s="432" t="s">
        <v>570</v>
      </c>
      <c r="C42" s="431" t="s">
        <v>569</v>
      </c>
      <c r="D42" s="430" t="s">
        <v>265</v>
      </c>
      <c r="E42" s="429">
        <v>2</v>
      </c>
      <c r="F42" s="567"/>
      <c r="G42" s="428">
        <f t="shared" si="6"/>
        <v>0</v>
      </c>
      <c r="O42" s="422">
        <v>2</v>
      </c>
      <c r="AA42" s="363">
        <v>12</v>
      </c>
      <c r="AB42" s="363">
        <v>7</v>
      </c>
      <c r="AC42" s="363">
        <v>26</v>
      </c>
      <c r="AZ42" s="363">
        <v>2</v>
      </c>
      <c r="BA42" s="363">
        <f t="shared" si="7"/>
        <v>0</v>
      </c>
      <c r="BB42" s="363">
        <f t="shared" si="8"/>
        <v>0</v>
      </c>
      <c r="BC42" s="363">
        <f t="shared" si="9"/>
        <v>0</v>
      </c>
      <c r="BD42" s="363">
        <f t="shared" si="10"/>
        <v>0</v>
      </c>
      <c r="BE42" s="363">
        <f t="shared" si="11"/>
        <v>0</v>
      </c>
      <c r="CZ42" s="363">
        <v>2.0000000000000002E-5</v>
      </c>
    </row>
    <row r="43" spans="1:104" x14ac:dyDescent="0.2">
      <c r="A43" s="433">
        <v>27</v>
      </c>
      <c r="B43" s="432" t="s">
        <v>472</v>
      </c>
      <c r="C43" s="431" t="s">
        <v>471</v>
      </c>
      <c r="D43" s="430" t="s">
        <v>265</v>
      </c>
      <c r="E43" s="429">
        <v>1</v>
      </c>
      <c r="F43" s="567"/>
      <c r="G43" s="428">
        <f t="shared" si="6"/>
        <v>0</v>
      </c>
      <c r="O43" s="422">
        <v>2</v>
      </c>
      <c r="AA43" s="363">
        <v>12</v>
      </c>
      <c r="AB43" s="363">
        <v>7</v>
      </c>
      <c r="AC43" s="363">
        <v>27</v>
      </c>
      <c r="AZ43" s="363">
        <v>2</v>
      </c>
      <c r="BA43" s="363">
        <f t="shared" si="7"/>
        <v>0</v>
      </c>
      <c r="BB43" s="363">
        <f t="shared" si="8"/>
        <v>0</v>
      </c>
      <c r="BC43" s="363">
        <f t="shared" si="9"/>
        <v>0</v>
      </c>
      <c r="BD43" s="363">
        <f t="shared" si="10"/>
        <v>0</v>
      </c>
      <c r="BE43" s="363">
        <f t="shared" si="11"/>
        <v>0</v>
      </c>
      <c r="CZ43" s="363">
        <v>2.0000000000000002E-5</v>
      </c>
    </row>
    <row r="44" spans="1:104" x14ac:dyDescent="0.2">
      <c r="A44" s="433">
        <v>28</v>
      </c>
      <c r="B44" s="432" t="s">
        <v>568</v>
      </c>
      <c r="C44" s="431" t="s">
        <v>567</v>
      </c>
      <c r="D44" s="430" t="s">
        <v>265</v>
      </c>
      <c r="E44" s="429">
        <v>5</v>
      </c>
      <c r="F44" s="567"/>
      <c r="G44" s="428">
        <f t="shared" si="6"/>
        <v>0</v>
      </c>
      <c r="O44" s="422">
        <v>2</v>
      </c>
      <c r="AA44" s="363">
        <v>12</v>
      </c>
      <c r="AB44" s="363">
        <v>7</v>
      </c>
      <c r="AC44" s="363">
        <v>28</v>
      </c>
      <c r="AZ44" s="363">
        <v>2</v>
      </c>
      <c r="BA44" s="363">
        <f t="shared" si="7"/>
        <v>0</v>
      </c>
      <c r="BB44" s="363">
        <f t="shared" si="8"/>
        <v>0</v>
      </c>
      <c r="BC44" s="363">
        <f t="shared" si="9"/>
        <v>0</v>
      </c>
      <c r="BD44" s="363">
        <f t="shared" si="10"/>
        <v>0</v>
      </c>
      <c r="BE44" s="363">
        <f t="shared" si="11"/>
        <v>0</v>
      </c>
      <c r="CZ44" s="363">
        <v>0</v>
      </c>
    </row>
    <row r="45" spans="1:104" x14ac:dyDescent="0.2">
      <c r="A45" s="433">
        <v>29</v>
      </c>
      <c r="B45" s="432" t="s">
        <v>566</v>
      </c>
      <c r="C45" s="431" t="s">
        <v>565</v>
      </c>
      <c r="D45" s="430" t="s">
        <v>265</v>
      </c>
      <c r="E45" s="429">
        <v>1</v>
      </c>
      <c r="F45" s="567"/>
      <c r="G45" s="428">
        <f t="shared" si="6"/>
        <v>0</v>
      </c>
      <c r="O45" s="422">
        <v>2</v>
      </c>
      <c r="AA45" s="363">
        <v>12</v>
      </c>
      <c r="AB45" s="363">
        <v>7</v>
      </c>
      <c r="AC45" s="363">
        <v>29</v>
      </c>
      <c r="AZ45" s="363">
        <v>2</v>
      </c>
      <c r="BA45" s="363">
        <f t="shared" si="7"/>
        <v>0</v>
      </c>
      <c r="BB45" s="363">
        <f t="shared" si="8"/>
        <v>0</v>
      </c>
      <c r="BC45" s="363">
        <f t="shared" si="9"/>
        <v>0</v>
      </c>
      <c r="BD45" s="363">
        <f t="shared" si="10"/>
        <v>0</v>
      </c>
      <c r="BE45" s="363">
        <f t="shared" si="11"/>
        <v>0</v>
      </c>
      <c r="CZ45" s="363">
        <v>6.7000000000000002E-4</v>
      </c>
    </row>
    <row r="46" spans="1:104" x14ac:dyDescent="0.2">
      <c r="A46" s="433">
        <v>30</v>
      </c>
      <c r="B46" s="432" t="s">
        <v>564</v>
      </c>
      <c r="C46" s="431" t="s">
        <v>563</v>
      </c>
      <c r="D46" s="430" t="s">
        <v>562</v>
      </c>
      <c r="E46" s="429">
        <v>2</v>
      </c>
      <c r="F46" s="567"/>
      <c r="G46" s="428">
        <f t="shared" si="6"/>
        <v>0</v>
      </c>
      <c r="O46" s="422">
        <v>2</v>
      </c>
      <c r="AA46" s="363">
        <v>12</v>
      </c>
      <c r="AB46" s="363">
        <v>7</v>
      </c>
      <c r="AC46" s="363">
        <v>30</v>
      </c>
      <c r="AZ46" s="363">
        <v>2</v>
      </c>
      <c r="BA46" s="363">
        <f t="shared" si="7"/>
        <v>0</v>
      </c>
      <c r="BB46" s="363">
        <f t="shared" si="8"/>
        <v>0</v>
      </c>
      <c r="BC46" s="363">
        <f t="shared" si="9"/>
        <v>0</v>
      </c>
      <c r="BD46" s="363">
        <f t="shared" si="10"/>
        <v>0</v>
      </c>
      <c r="BE46" s="363">
        <f t="shared" si="11"/>
        <v>0</v>
      </c>
      <c r="CZ46" s="363">
        <v>1.56E-3</v>
      </c>
    </row>
    <row r="47" spans="1:104" x14ac:dyDescent="0.2">
      <c r="A47" s="433">
        <v>31</v>
      </c>
      <c r="B47" s="432" t="s">
        <v>468</v>
      </c>
      <c r="C47" s="431" t="s">
        <v>467</v>
      </c>
      <c r="D47" s="430" t="s">
        <v>265</v>
      </c>
      <c r="E47" s="429">
        <v>1</v>
      </c>
      <c r="F47" s="567"/>
      <c r="G47" s="428">
        <f t="shared" si="6"/>
        <v>0</v>
      </c>
      <c r="O47" s="422">
        <v>2</v>
      </c>
      <c r="AA47" s="363">
        <v>12</v>
      </c>
      <c r="AB47" s="363">
        <v>7</v>
      </c>
      <c r="AC47" s="363">
        <v>31</v>
      </c>
      <c r="AZ47" s="363">
        <v>2</v>
      </c>
      <c r="BA47" s="363">
        <f t="shared" si="7"/>
        <v>0</v>
      </c>
      <c r="BB47" s="363">
        <f t="shared" si="8"/>
        <v>0</v>
      </c>
      <c r="BC47" s="363">
        <f t="shared" si="9"/>
        <v>0</v>
      </c>
      <c r="BD47" s="363">
        <f t="shared" si="10"/>
        <v>0</v>
      </c>
      <c r="BE47" s="363">
        <f t="shared" si="11"/>
        <v>0</v>
      </c>
      <c r="CZ47" s="363">
        <v>5.0000000000000001E-3</v>
      </c>
    </row>
    <row r="48" spans="1:104" x14ac:dyDescent="0.2">
      <c r="A48" s="433">
        <v>32</v>
      </c>
      <c r="B48" s="432" t="s">
        <v>561</v>
      </c>
      <c r="C48" s="431" t="s">
        <v>560</v>
      </c>
      <c r="D48" s="430" t="s">
        <v>265</v>
      </c>
      <c r="E48" s="429">
        <v>1</v>
      </c>
      <c r="F48" s="567"/>
      <c r="G48" s="428">
        <f t="shared" si="6"/>
        <v>0</v>
      </c>
      <c r="O48" s="422">
        <v>2</v>
      </c>
      <c r="AA48" s="363">
        <v>12</v>
      </c>
      <c r="AB48" s="363">
        <v>7</v>
      </c>
      <c r="AC48" s="363">
        <v>32</v>
      </c>
      <c r="AZ48" s="363">
        <v>2</v>
      </c>
      <c r="BA48" s="363">
        <f t="shared" si="7"/>
        <v>0</v>
      </c>
      <c r="BB48" s="363">
        <f t="shared" si="8"/>
        <v>0</v>
      </c>
      <c r="BC48" s="363">
        <f t="shared" si="9"/>
        <v>0</v>
      </c>
      <c r="BD48" s="363">
        <f t="shared" si="10"/>
        <v>0</v>
      </c>
      <c r="BE48" s="363">
        <f t="shared" si="11"/>
        <v>0</v>
      </c>
      <c r="CZ48" s="363">
        <v>4.4999999999999997E-3</v>
      </c>
    </row>
    <row r="49" spans="1:104" x14ac:dyDescent="0.2">
      <c r="A49" s="433">
        <v>33</v>
      </c>
      <c r="B49" s="432" t="s">
        <v>559</v>
      </c>
      <c r="C49" s="431" t="s">
        <v>558</v>
      </c>
      <c r="D49" s="430" t="s">
        <v>493</v>
      </c>
      <c r="E49" s="429">
        <v>1</v>
      </c>
      <c r="F49" s="567"/>
      <c r="G49" s="428">
        <f t="shared" si="6"/>
        <v>0</v>
      </c>
      <c r="O49" s="422">
        <v>2</v>
      </c>
      <c r="AA49" s="363">
        <v>12</v>
      </c>
      <c r="AB49" s="363">
        <v>7</v>
      </c>
      <c r="AC49" s="363">
        <v>33</v>
      </c>
      <c r="AZ49" s="363">
        <v>2</v>
      </c>
      <c r="BA49" s="363">
        <f t="shared" si="7"/>
        <v>0</v>
      </c>
      <c r="BB49" s="363">
        <f t="shared" si="8"/>
        <v>0</v>
      </c>
      <c r="BC49" s="363">
        <f t="shared" si="9"/>
        <v>0</v>
      </c>
      <c r="BD49" s="363">
        <f t="shared" si="10"/>
        <v>0</v>
      </c>
      <c r="BE49" s="363">
        <f t="shared" si="11"/>
        <v>0</v>
      </c>
      <c r="CZ49" s="363">
        <v>5.0000000000000001E-4</v>
      </c>
    </row>
    <row r="50" spans="1:104" x14ac:dyDescent="0.2">
      <c r="A50" s="433">
        <v>34</v>
      </c>
      <c r="B50" s="432" t="s">
        <v>557</v>
      </c>
      <c r="C50" s="431" t="s">
        <v>556</v>
      </c>
      <c r="D50" s="430" t="s">
        <v>493</v>
      </c>
      <c r="E50" s="429">
        <v>4</v>
      </c>
      <c r="F50" s="567"/>
      <c r="G50" s="428">
        <f t="shared" si="6"/>
        <v>0</v>
      </c>
      <c r="O50" s="422">
        <v>2</v>
      </c>
      <c r="AA50" s="363">
        <v>12</v>
      </c>
      <c r="AB50" s="363">
        <v>7</v>
      </c>
      <c r="AC50" s="363">
        <v>34</v>
      </c>
      <c r="AZ50" s="363">
        <v>2</v>
      </c>
      <c r="BA50" s="363">
        <f t="shared" si="7"/>
        <v>0</v>
      </c>
      <c r="BB50" s="363">
        <f t="shared" si="8"/>
        <v>0</v>
      </c>
      <c r="BC50" s="363">
        <f t="shared" si="9"/>
        <v>0</v>
      </c>
      <c r="BD50" s="363">
        <f t="shared" si="10"/>
        <v>0</v>
      </c>
      <c r="BE50" s="363">
        <f t="shared" si="11"/>
        <v>0</v>
      </c>
      <c r="CZ50" s="363">
        <v>5.0000000000000001E-3</v>
      </c>
    </row>
    <row r="51" spans="1:104" x14ac:dyDescent="0.2">
      <c r="A51" s="433">
        <v>35</v>
      </c>
      <c r="B51" s="432" t="s">
        <v>470</v>
      </c>
      <c r="C51" s="431" t="s">
        <v>555</v>
      </c>
      <c r="D51" s="430" t="s">
        <v>265</v>
      </c>
      <c r="E51" s="429">
        <v>1</v>
      </c>
      <c r="F51" s="567"/>
      <c r="G51" s="428">
        <f t="shared" si="6"/>
        <v>0</v>
      </c>
      <c r="O51" s="422">
        <v>2</v>
      </c>
      <c r="AA51" s="363">
        <v>12</v>
      </c>
      <c r="AB51" s="363">
        <v>7</v>
      </c>
      <c r="AC51" s="363">
        <v>35</v>
      </c>
      <c r="AZ51" s="363">
        <v>2</v>
      </c>
      <c r="BA51" s="363">
        <f t="shared" si="7"/>
        <v>0</v>
      </c>
      <c r="BB51" s="363">
        <f t="shared" si="8"/>
        <v>0</v>
      </c>
      <c r="BC51" s="363">
        <f t="shared" si="9"/>
        <v>0</v>
      </c>
      <c r="BD51" s="363">
        <f t="shared" si="10"/>
        <v>0</v>
      </c>
      <c r="BE51" s="363">
        <f t="shared" si="11"/>
        <v>0</v>
      </c>
      <c r="CZ51" s="363">
        <v>2E-3</v>
      </c>
    </row>
    <row r="52" spans="1:104" x14ac:dyDescent="0.2">
      <c r="A52" s="433">
        <v>36</v>
      </c>
      <c r="B52" s="432" t="s">
        <v>554</v>
      </c>
      <c r="C52" s="431" t="s">
        <v>553</v>
      </c>
      <c r="D52" s="430" t="s">
        <v>272</v>
      </c>
      <c r="E52" s="429">
        <v>7.5</v>
      </c>
      <c r="F52" s="567"/>
      <c r="G52" s="428">
        <f t="shared" si="6"/>
        <v>0</v>
      </c>
      <c r="O52" s="422">
        <v>2</v>
      </c>
      <c r="AA52" s="363">
        <v>12</v>
      </c>
      <c r="AB52" s="363">
        <v>7</v>
      </c>
      <c r="AC52" s="363">
        <v>36</v>
      </c>
      <c r="AZ52" s="363">
        <v>2</v>
      </c>
      <c r="BA52" s="363">
        <f t="shared" si="7"/>
        <v>0</v>
      </c>
      <c r="BB52" s="363">
        <f t="shared" si="8"/>
        <v>0</v>
      </c>
      <c r="BC52" s="363">
        <f t="shared" si="9"/>
        <v>0</v>
      </c>
      <c r="BD52" s="363">
        <f t="shared" si="10"/>
        <v>0</v>
      </c>
      <c r="BE52" s="363">
        <f t="shared" si="11"/>
        <v>0</v>
      </c>
      <c r="CZ52" s="363">
        <v>1.8000000000000001E-4</v>
      </c>
    </row>
    <row r="53" spans="1:104" x14ac:dyDescent="0.2">
      <c r="A53" s="433">
        <v>37</v>
      </c>
      <c r="B53" s="432" t="s">
        <v>552</v>
      </c>
      <c r="C53" s="431" t="s">
        <v>551</v>
      </c>
      <c r="D53" s="430" t="s">
        <v>272</v>
      </c>
      <c r="E53" s="429">
        <v>7.5</v>
      </c>
      <c r="F53" s="567"/>
      <c r="G53" s="428">
        <f t="shared" si="6"/>
        <v>0</v>
      </c>
      <c r="O53" s="422">
        <v>2</v>
      </c>
      <c r="AA53" s="363">
        <v>12</v>
      </c>
      <c r="AB53" s="363">
        <v>7</v>
      </c>
      <c r="AC53" s="363">
        <v>37</v>
      </c>
      <c r="AZ53" s="363">
        <v>2</v>
      </c>
      <c r="BA53" s="363">
        <f t="shared" si="7"/>
        <v>0</v>
      </c>
      <c r="BB53" s="363">
        <f t="shared" si="8"/>
        <v>0</v>
      </c>
      <c r="BC53" s="363">
        <f t="shared" si="9"/>
        <v>0</v>
      </c>
      <c r="BD53" s="363">
        <f t="shared" si="10"/>
        <v>0</v>
      </c>
      <c r="BE53" s="363">
        <f t="shared" si="11"/>
        <v>0</v>
      </c>
      <c r="CZ53" s="363">
        <v>1.0000000000000001E-5</v>
      </c>
    </row>
    <row r="54" spans="1:104" x14ac:dyDescent="0.2">
      <c r="A54" s="433">
        <v>38</v>
      </c>
      <c r="B54" s="432" t="s">
        <v>653</v>
      </c>
      <c r="C54" s="431" t="s">
        <v>550</v>
      </c>
      <c r="D54" s="430" t="s">
        <v>82</v>
      </c>
      <c r="E54" s="429">
        <v>8.5999999999999993E-2</v>
      </c>
      <c r="F54" s="567"/>
      <c r="G54" s="428">
        <f t="shared" si="6"/>
        <v>0</v>
      </c>
      <c r="O54" s="422">
        <v>2</v>
      </c>
      <c r="AA54" s="363">
        <v>12</v>
      </c>
      <c r="AB54" s="363">
        <v>7</v>
      </c>
      <c r="AC54" s="363">
        <v>38</v>
      </c>
      <c r="AZ54" s="363">
        <v>2</v>
      </c>
      <c r="BA54" s="363">
        <f t="shared" si="7"/>
        <v>0</v>
      </c>
      <c r="BB54" s="363">
        <f t="shared" si="8"/>
        <v>0</v>
      </c>
      <c r="BC54" s="363">
        <f t="shared" si="9"/>
        <v>0</v>
      </c>
      <c r="BD54" s="363">
        <f t="shared" si="10"/>
        <v>0</v>
      </c>
      <c r="BE54" s="363">
        <f t="shared" si="11"/>
        <v>0</v>
      </c>
      <c r="CZ54" s="363">
        <v>0</v>
      </c>
    </row>
    <row r="55" spans="1:104" x14ac:dyDescent="0.2">
      <c r="A55" s="425"/>
      <c r="B55" s="427" t="s">
        <v>465</v>
      </c>
      <c r="C55" s="426" t="str">
        <f>CONCATENATE(B32," ",C32)</f>
        <v>722 Vnitřní vodovod</v>
      </c>
      <c r="D55" s="425"/>
      <c r="E55" s="424"/>
      <c r="F55" s="568"/>
      <c r="G55" s="423">
        <f>SUM(G32:G54)</f>
        <v>0</v>
      </c>
      <c r="O55" s="422">
        <v>4</v>
      </c>
      <c r="BA55" s="421">
        <f>SUM(BA32:BA54)</f>
        <v>0</v>
      </c>
      <c r="BB55" s="421">
        <f>SUM(BB32:BB54)</f>
        <v>0</v>
      </c>
      <c r="BC55" s="421">
        <f>SUM(BC32:BC54)</f>
        <v>0</v>
      </c>
      <c r="BD55" s="421">
        <f>SUM(BD32:BD54)</f>
        <v>0</v>
      </c>
      <c r="BE55" s="421">
        <f>SUM(BE32:BE54)</f>
        <v>0</v>
      </c>
    </row>
    <row r="56" spans="1:104" x14ac:dyDescent="0.2">
      <c r="A56" s="439" t="s">
        <v>477</v>
      </c>
      <c r="B56" s="438" t="s">
        <v>549</v>
      </c>
      <c r="C56" s="437" t="s">
        <v>618</v>
      </c>
      <c r="D56" s="436"/>
      <c r="E56" s="435"/>
      <c r="F56" s="566"/>
      <c r="G56" s="434"/>
      <c r="O56" s="422">
        <v>1</v>
      </c>
    </row>
    <row r="57" spans="1:104" x14ac:dyDescent="0.2">
      <c r="A57" s="433">
        <v>39</v>
      </c>
      <c r="B57" s="432" t="s">
        <v>548</v>
      </c>
      <c r="C57" s="431" t="s">
        <v>642</v>
      </c>
      <c r="D57" s="430" t="s">
        <v>546</v>
      </c>
      <c r="E57" s="429">
        <v>2</v>
      </c>
      <c r="F57" s="567"/>
      <c r="G57" s="428">
        <f t="shared" ref="G57:G71" si="12">E57*F57</f>
        <v>0</v>
      </c>
      <c r="O57" s="422">
        <v>2</v>
      </c>
      <c r="AA57" s="363">
        <v>12</v>
      </c>
      <c r="AB57" s="363">
        <v>7</v>
      </c>
      <c r="AC57" s="363">
        <v>39</v>
      </c>
      <c r="AZ57" s="363">
        <v>2</v>
      </c>
      <c r="BA57" s="363">
        <f t="shared" ref="BA57:BA71" si="13">IF(AZ57=1,G57,0)</f>
        <v>0</v>
      </c>
      <c r="BB57" s="363">
        <f t="shared" ref="BB57:BB71" si="14">IF(AZ57=2,G57,0)</f>
        <v>0</v>
      </c>
      <c r="BC57" s="363">
        <f t="shared" ref="BC57:BC71" si="15">IF(AZ57=3,G57,0)</f>
        <v>0</v>
      </c>
      <c r="BD57" s="363">
        <f t="shared" ref="BD57:BD71" si="16">IF(AZ57=4,G57,0)</f>
        <v>0</v>
      </c>
      <c r="BE57" s="363">
        <f t="shared" ref="BE57:BE71" si="17">IF(AZ57=5,G57,0)</f>
        <v>0</v>
      </c>
      <c r="CZ57" s="363">
        <v>2.8138999999999998E-3</v>
      </c>
    </row>
    <row r="58" spans="1:104" x14ac:dyDescent="0.2">
      <c r="A58" s="433">
        <v>40</v>
      </c>
      <c r="B58" s="432" t="s">
        <v>619</v>
      </c>
      <c r="C58" s="431" t="s">
        <v>620</v>
      </c>
      <c r="D58" s="430" t="s">
        <v>546</v>
      </c>
      <c r="E58" s="429">
        <v>1</v>
      </c>
      <c r="F58" s="567"/>
      <c r="G58" s="428">
        <f t="shared" si="12"/>
        <v>0</v>
      </c>
      <c r="O58" s="422">
        <v>2</v>
      </c>
      <c r="AA58" s="363">
        <v>12</v>
      </c>
      <c r="AB58" s="363">
        <v>7</v>
      </c>
      <c r="AC58" s="363">
        <v>40</v>
      </c>
      <c r="AZ58" s="363">
        <v>2</v>
      </c>
      <c r="BA58" s="363">
        <f t="shared" si="13"/>
        <v>0</v>
      </c>
      <c r="BB58" s="363">
        <f t="shared" si="14"/>
        <v>0</v>
      </c>
      <c r="BC58" s="363">
        <f t="shared" si="15"/>
        <v>0</v>
      </c>
      <c r="BD58" s="363">
        <f t="shared" si="16"/>
        <v>0</v>
      </c>
      <c r="BE58" s="363">
        <f t="shared" si="17"/>
        <v>0</v>
      </c>
      <c r="CZ58" s="363">
        <v>1.521E-2</v>
      </c>
    </row>
    <row r="59" spans="1:104" x14ac:dyDescent="0.2">
      <c r="A59" s="433">
        <v>41</v>
      </c>
      <c r="B59" s="432" t="s">
        <v>621</v>
      </c>
      <c r="C59" s="431" t="s">
        <v>622</v>
      </c>
      <c r="D59" s="430" t="s">
        <v>546</v>
      </c>
      <c r="E59" s="429">
        <v>1</v>
      </c>
      <c r="F59" s="567"/>
      <c r="G59" s="428">
        <f t="shared" si="12"/>
        <v>0</v>
      </c>
      <c r="O59" s="422">
        <v>2</v>
      </c>
      <c r="AA59" s="363">
        <v>12</v>
      </c>
      <c r="AB59" s="363">
        <v>7</v>
      </c>
      <c r="AC59" s="363">
        <v>41</v>
      </c>
      <c r="AZ59" s="363">
        <v>2</v>
      </c>
      <c r="BA59" s="363">
        <f t="shared" si="13"/>
        <v>0</v>
      </c>
      <c r="BB59" s="363">
        <f t="shared" si="14"/>
        <v>0</v>
      </c>
      <c r="BC59" s="363">
        <f t="shared" si="15"/>
        <v>0</v>
      </c>
      <c r="BD59" s="363">
        <f t="shared" si="16"/>
        <v>0</v>
      </c>
      <c r="BE59" s="363">
        <f t="shared" si="17"/>
        <v>0</v>
      </c>
      <c r="CZ59" s="363">
        <v>1.2999999999999999E-2</v>
      </c>
    </row>
    <row r="60" spans="1:104" ht="22.5" x14ac:dyDescent="0.2">
      <c r="A60" s="433">
        <v>42</v>
      </c>
      <c r="B60" s="432" t="s">
        <v>623</v>
      </c>
      <c r="C60" s="431" t="s">
        <v>624</v>
      </c>
      <c r="D60" s="430" t="s">
        <v>265</v>
      </c>
      <c r="E60" s="429">
        <v>1</v>
      </c>
      <c r="F60" s="567"/>
      <c r="G60" s="428">
        <f t="shared" si="12"/>
        <v>0</v>
      </c>
      <c r="O60" s="422">
        <v>2</v>
      </c>
      <c r="AA60" s="363">
        <v>12</v>
      </c>
      <c r="AB60" s="363">
        <v>1</v>
      </c>
      <c r="AC60" s="363">
        <v>43</v>
      </c>
      <c r="AZ60" s="363">
        <v>1</v>
      </c>
      <c r="BA60" s="363">
        <f t="shared" si="13"/>
        <v>0</v>
      </c>
      <c r="BB60" s="363">
        <f t="shared" si="14"/>
        <v>0</v>
      </c>
      <c r="BC60" s="363">
        <f t="shared" si="15"/>
        <v>0</v>
      </c>
      <c r="BD60" s="363">
        <f t="shared" si="16"/>
        <v>0</v>
      </c>
      <c r="BE60" s="363">
        <f t="shared" si="17"/>
        <v>0</v>
      </c>
      <c r="CZ60" s="363">
        <v>8.4999999999999995E-4</v>
      </c>
    </row>
    <row r="61" spans="1:104" x14ac:dyDescent="0.2">
      <c r="A61" s="433">
        <v>43</v>
      </c>
      <c r="B61" s="432" t="s">
        <v>625</v>
      </c>
      <c r="C61" s="431" t="s">
        <v>626</v>
      </c>
      <c r="D61" s="430" t="s">
        <v>546</v>
      </c>
      <c r="E61" s="429">
        <v>1</v>
      </c>
      <c r="F61" s="567"/>
      <c r="G61" s="428">
        <f t="shared" si="12"/>
        <v>0</v>
      </c>
      <c r="O61" s="422">
        <v>2</v>
      </c>
      <c r="AA61" s="363">
        <v>12</v>
      </c>
      <c r="AB61" s="363">
        <v>1</v>
      </c>
      <c r="AC61" s="363">
        <v>44</v>
      </c>
      <c r="AZ61" s="363">
        <v>1</v>
      </c>
      <c r="BA61" s="363">
        <f t="shared" si="13"/>
        <v>0</v>
      </c>
      <c r="BB61" s="363">
        <f t="shared" si="14"/>
        <v>0</v>
      </c>
      <c r="BC61" s="363">
        <f t="shared" si="15"/>
        <v>0</v>
      </c>
      <c r="BD61" s="363">
        <f t="shared" si="16"/>
        <v>0</v>
      </c>
      <c r="BE61" s="363">
        <f t="shared" si="17"/>
        <v>0</v>
      </c>
      <c r="CZ61" s="363">
        <v>1.7010000000000001E-2</v>
      </c>
    </row>
    <row r="62" spans="1:104" x14ac:dyDescent="0.2">
      <c r="A62" s="433">
        <v>44</v>
      </c>
      <c r="B62" s="432" t="s">
        <v>627</v>
      </c>
      <c r="C62" s="431" t="s">
        <v>628</v>
      </c>
      <c r="D62" s="430" t="s">
        <v>546</v>
      </c>
      <c r="E62" s="429">
        <v>1</v>
      </c>
      <c r="F62" s="567"/>
      <c r="G62" s="428">
        <f t="shared" si="12"/>
        <v>0</v>
      </c>
      <c r="O62" s="422">
        <v>2</v>
      </c>
      <c r="AA62" s="363">
        <v>12</v>
      </c>
      <c r="AB62" s="363">
        <v>1</v>
      </c>
      <c r="AC62" s="363">
        <v>45</v>
      </c>
      <c r="AZ62" s="363">
        <v>1</v>
      </c>
      <c r="BA62" s="363">
        <f t="shared" si="13"/>
        <v>0</v>
      </c>
      <c r="BB62" s="363">
        <f t="shared" si="14"/>
        <v>0</v>
      </c>
      <c r="BC62" s="363">
        <f t="shared" si="15"/>
        <v>0</v>
      </c>
      <c r="BD62" s="363">
        <f t="shared" si="16"/>
        <v>0</v>
      </c>
      <c r="BE62" s="363">
        <f t="shared" si="17"/>
        <v>0</v>
      </c>
      <c r="CZ62" s="363">
        <v>0.01</v>
      </c>
    </row>
    <row r="63" spans="1:104" ht="22.5" x14ac:dyDescent="0.2">
      <c r="A63" s="433">
        <v>45</v>
      </c>
      <c r="B63" s="432" t="s">
        <v>629</v>
      </c>
      <c r="C63" s="431" t="s">
        <v>630</v>
      </c>
      <c r="D63" s="430" t="s">
        <v>265</v>
      </c>
      <c r="E63" s="429">
        <v>1</v>
      </c>
      <c r="F63" s="567"/>
      <c r="G63" s="428">
        <f t="shared" si="12"/>
        <v>0</v>
      </c>
      <c r="O63" s="422">
        <v>2</v>
      </c>
      <c r="AA63" s="363">
        <v>12</v>
      </c>
      <c r="AB63" s="363">
        <v>1</v>
      </c>
      <c r="AC63" s="363">
        <v>46</v>
      </c>
      <c r="AZ63" s="363">
        <v>1</v>
      </c>
      <c r="BA63" s="363">
        <f t="shared" si="13"/>
        <v>0</v>
      </c>
      <c r="BB63" s="363">
        <f t="shared" si="14"/>
        <v>0</v>
      </c>
      <c r="BC63" s="363">
        <f t="shared" si="15"/>
        <v>0</v>
      </c>
      <c r="BD63" s="363">
        <f t="shared" si="16"/>
        <v>0</v>
      </c>
      <c r="BE63" s="363">
        <f t="shared" si="17"/>
        <v>0</v>
      </c>
      <c r="CZ63" s="363">
        <v>1.9E-3</v>
      </c>
    </row>
    <row r="64" spans="1:104" x14ac:dyDescent="0.2">
      <c r="A64" s="433">
        <v>46</v>
      </c>
      <c r="B64" s="432" t="s">
        <v>631</v>
      </c>
      <c r="C64" s="431" t="s">
        <v>632</v>
      </c>
      <c r="D64" s="430" t="s">
        <v>546</v>
      </c>
      <c r="E64" s="429">
        <v>1</v>
      </c>
      <c r="F64" s="567"/>
      <c r="G64" s="428">
        <f t="shared" si="12"/>
        <v>0</v>
      </c>
      <c r="O64" s="422">
        <v>2</v>
      </c>
      <c r="AA64" s="363">
        <v>12</v>
      </c>
      <c r="AB64" s="363">
        <v>1</v>
      </c>
      <c r="AC64" s="363">
        <v>47</v>
      </c>
      <c r="AZ64" s="363">
        <v>1</v>
      </c>
      <c r="BA64" s="363">
        <f t="shared" si="13"/>
        <v>0</v>
      </c>
      <c r="BB64" s="363">
        <f t="shared" si="14"/>
        <v>0</v>
      </c>
      <c r="BC64" s="363">
        <f t="shared" si="15"/>
        <v>0</v>
      </c>
      <c r="BD64" s="363">
        <f t="shared" si="16"/>
        <v>0</v>
      </c>
      <c r="BE64" s="363">
        <f t="shared" si="17"/>
        <v>0</v>
      </c>
      <c r="CZ64" s="363">
        <v>8.7000000000000001E-4</v>
      </c>
    </row>
    <row r="65" spans="1:104" x14ac:dyDescent="0.2">
      <c r="A65" s="433">
        <v>47</v>
      </c>
      <c r="B65" s="432" t="s">
        <v>633</v>
      </c>
      <c r="C65" s="431" t="s">
        <v>634</v>
      </c>
      <c r="D65" s="430" t="s">
        <v>546</v>
      </c>
      <c r="E65" s="429">
        <v>1</v>
      </c>
      <c r="F65" s="567"/>
      <c r="G65" s="428">
        <f t="shared" si="12"/>
        <v>0</v>
      </c>
      <c r="O65" s="422">
        <v>2</v>
      </c>
      <c r="AA65" s="363">
        <v>12</v>
      </c>
      <c r="AB65" s="363">
        <v>1</v>
      </c>
      <c r="AC65" s="363">
        <v>48</v>
      </c>
      <c r="AZ65" s="363">
        <v>1</v>
      </c>
      <c r="BA65" s="363">
        <f t="shared" si="13"/>
        <v>0</v>
      </c>
      <c r="BB65" s="363">
        <f t="shared" si="14"/>
        <v>0</v>
      </c>
      <c r="BC65" s="363">
        <f t="shared" si="15"/>
        <v>0</v>
      </c>
      <c r="BD65" s="363">
        <f t="shared" si="16"/>
        <v>0</v>
      </c>
      <c r="BE65" s="363">
        <f t="shared" si="17"/>
        <v>0</v>
      </c>
      <c r="CZ65" s="363">
        <v>1.8870000000000001E-2</v>
      </c>
    </row>
    <row r="66" spans="1:104" x14ac:dyDescent="0.2">
      <c r="A66" s="433">
        <v>48</v>
      </c>
      <c r="B66" s="432" t="s">
        <v>635</v>
      </c>
      <c r="C66" s="431" t="s">
        <v>636</v>
      </c>
      <c r="D66" s="430" t="s">
        <v>546</v>
      </c>
      <c r="E66" s="429">
        <v>1</v>
      </c>
      <c r="F66" s="567"/>
      <c r="G66" s="428">
        <f t="shared" si="12"/>
        <v>0</v>
      </c>
      <c r="O66" s="422">
        <v>2</v>
      </c>
      <c r="AA66" s="363">
        <v>12</v>
      </c>
      <c r="AB66" s="363">
        <v>1</v>
      </c>
      <c r="AC66" s="363">
        <v>49</v>
      </c>
      <c r="AZ66" s="363">
        <v>1</v>
      </c>
      <c r="BA66" s="363">
        <f t="shared" si="13"/>
        <v>0</v>
      </c>
      <c r="BB66" s="363">
        <f t="shared" si="14"/>
        <v>0</v>
      </c>
      <c r="BC66" s="363">
        <f t="shared" si="15"/>
        <v>0</v>
      </c>
      <c r="BD66" s="363">
        <f t="shared" si="16"/>
        <v>0</v>
      </c>
      <c r="BE66" s="363">
        <f t="shared" si="17"/>
        <v>0</v>
      </c>
      <c r="CZ66" s="363">
        <v>1.4500000000000001E-2</v>
      </c>
    </row>
    <row r="67" spans="1:104" x14ac:dyDescent="0.2">
      <c r="A67" s="433">
        <v>49</v>
      </c>
      <c r="B67" s="432" t="s">
        <v>547</v>
      </c>
      <c r="C67" s="431" t="s">
        <v>644</v>
      </c>
      <c r="D67" s="430" t="s">
        <v>546</v>
      </c>
      <c r="E67" s="429">
        <v>1</v>
      </c>
      <c r="F67" s="567"/>
      <c r="G67" s="428">
        <f t="shared" si="12"/>
        <v>0</v>
      </c>
      <c r="O67" s="422">
        <v>2</v>
      </c>
      <c r="AA67" s="363">
        <v>12</v>
      </c>
      <c r="AB67" s="363">
        <v>1</v>
      </c>
      <c r="AC67" s="363">
        <v>50</v>
      </c>
      <c r="AZ67" s="363">
        <v>1</v>
      </c>
      <c r="BA67" s="363">
        <f t="shared" si="13"/>
        <v>0</v>
      </c>
      <c r="BB67" s="363">
        <f t="shared" si="14"/>
        <v>0</v>
      </c>
      <c r="BC67" s="363">
        <f t="shared" si="15"/>
        <v>0</v>
      </c>
      <c r="BD67" s="363">
        <f t="shared" si="16"/>
        <v>0</v>
      </c>
      <c r="BE67" s="363">
        <f t="shared" si="17"/>
        <v>0</v>
      </c>
      <c r="CZ67" s="363">
        <v>2.8840000000000001E-2</v>
      </c>
    </row>
    <row r="68" spans="1:104" x14ac:dyDescent="0.2">
      <c r="A68" s="433">
        <v>50</v>
      </c>
      <c r="B68" s="432" t="s">
        <v>637</v>
      </c>
      <c r="C68" s="431" t="s">
        <v>643</v>
      </c>
      <c r="D68" s="430" t="s">
        <v>546</v>
      </c>
      <c r="E68" s="429">
        <v>1</v>
      </c>
      <c r="F68" s="567"/>
      <c r="G68" s="428">
        <f t="shared" si="12"/>
        <v>0</v>
      </c>
      <c r="O68" s="422">
        <v>2</v>
      </c>
      <c r="AA68" s="363">
        <v>12</v>
      </c>
      <c r="AB68" s="363">
        <v>1</v>
      </c>
      <c r="AC68" s="363">
        <v>51</v>
      </c>
      <c r="AZ68" s="363">
        <v>1</v>
      </c>
      <c r="BA68" s="363">
        <f t="shared" si="13"/>
        <v>0</v>
      </c>
      <c r="BB68" s="363">
        <f t="shared" si="14"/>
        <v>0</v>
      </c>
      <c r="BC68" s="363">
        <f t="shared" si="15"/>
        <v>0</v>
      </c>
      <c r="BD68" s="363">
        <f t="shared" si="16"/>
        <v>0</v>
      </c>
      <c r="BE68" s="363">
        <f t="shared" si="17"/>
        <v>0</v>
      </c>
      <c r="CZ68" s="363">
        <v>6.4839999999999995E-2</v>
      </c>
    </row>
    <row r="69" spans="1:104" x14ac:dyDescent="0.2">
      <c r="A69" s="433">
        <v>51</v>
      </c>
      <c r="B69" s="432" t="s">
        <v>638</v>
      </c>
      <c r="C69" s="431" t="s">
        <v>649</v>
      </c>
      <c r="D69" s="430" t="s">
        <v>546</v>
      </c>
      <c r="E69" s="429">
        <v>2</v>
      </c>
      <c r="F69" s="567"/>
      <c r="G69" s="428">
        <f t="shared" si="12"/>
        <v>0</v>
      </c>
      <c r="O69" s="422">
        <v>2</v>
      </c>
      <c r="AA69" s="363">
        <v>12</v>
      </c>
      <c r="AB69" s="363">
        <v>1</v>
      </c>
      <c r="AC69" s="363">
        <v>52</v>
      </c>
      <c r="AZ69" s="363">
        <v>1</v>
      </c>
      <c r="BA69" s="363">
        <f t="shared" si="13"/>
        <v>0</v>
      </c>
      <c r="BB69" s="363">
        <f t="shared" si="14"/>
        <v>0</v>
      </c>
      <c r="BC69" s="363">
        <f t="shared" si="15"/>
        <v>0</v>
      </c>
      <c r="BD69" s="363">
        <f t="shared" si="16"/>
        <v>0</v>
      </c>
      <c r="BE69" s="363">
        <f t="shared" si="17"/>
        <v>0</v>
      </c>
      <c r="CZ69" s="363">
        <v>3.6180000000000001E-3</v>
      </c>
    </row>
    <row r="70" spans="1:104" x14ac:dyDescent="0.2">
      <c r="A70" s="433">
        <v>52</v>
      </c>
      <c r="B70" s="432" t="s">
        <v>639</v>
      </c>
      <c r="C70" s="431" t="s">
        <v>640</v>
      </c>
      <c r="D70" s="430" t="s">
        <v>546</v>
      </c>
      <c r="E70" s="429">
        <v>2</v>
      </c>
      <c r="F70" s="567"/>
      <c r="G70" s="428">
        <f t="shared" si="12"/>
        <v>0</v>
      </c>
      <c r="O70" s="422">
        <v>2</v>
      </c>
      <c r="AA70" s="363">
        <v>12</v>
      </c>
      <c r="AB70" s="363">
        <v>7</v>
      </c>
      <c r="AC70" s="363">
        <v>42</v>
      </c>
      <c r="AZ70" s="363">
        <v>2</v>
      </c>
      <c r="BA70" s="363">
        <f t="shared" si="13"/>
        <v>0</v>
      </c>
      <c r="BB70" s="363">
        <f t="shared" si="14"/>
        <v>0</v>
      </c>
      <c r="BC70" s="363">
        <f t="shared" si="15"/>
        <v>0</v>
      </c>
      <c r="BD70" s="363">
        <f t="shared" si="16"/>
        <v>0</v>
      </c>
      <c r="BE70" s="363">
        <f t="shared" si="17"/>
        <v>0</v>
      </c>
      <c r="CZ70" s="363">
        <v>4.4219999999999997E-3</v>
      </c>
    </row>
    <row r="71" spans="1:104" x14ac:dyDescent="0.2">
      <c r="A71" s="433">
        <v>53</v>
      </c>
      <c r="B71" s="432" t="s">
        <v>545</v>
      </c>
      <c r="C71" s="431" t="s">
        <v>641</v>
      </c>
      <c r="D71" s="430" t="s">
        <v>82</v>
      </c>
      <c r="E71" s="429">
        <f>CZ72</f>
        <v>0.1967439</v>
      </c>
      <c r="F71" s="567"/>
      <c r="G71" s="428">
        <f t="shared" si="12"/>
        <v>0</v>
      </c>
      <c r="O71" s="422">
        <v>2</v>
      </c>
      <c r="AA71" s="363">
        <v>12</v>
      </c>
      <c r="AB71" s="363">
        <v>7</v>
      </c>
      <c r="AC71" s="363">
        <v>42</v>
      </c>
      <c r="AZ71" s="363">
        <v>2</v>
      </c>
      <c r="BA71" s="363">
        <f t="shared" si="13"/>
        <v>0</v>
      </c>
      <c r="BB71" s="363">
        <f t="shared" si="14"/>
        <v>0</v>
      </c>
      <c r="BC71" s="363">
        <f t="shared" si="15"/>
        <v>0</v>
      </c>
      <c r="BD71" s="363">
        <f t="shared" si="16"/>
        <v>0</v>
      </c>
      <c r="BE71" s="363">
        <f t="shared" si="17"/>
        <v>0</v>
      </c>
      <c r="CZ71" s="363">
        <v>0</v>
      </c>
    </row>
    <row r="72" spans="1:104" x14ac:dyDescent="0.2">
      <c r="A72" s="425"/>
      <c r="B72" s="427" t="s">
        <v>465</v>
      </c>
      <c r="C72" s="426" t="str">
        <f>CONCATENATE(B56," ",C56)</f>
        <v>725 Zařizovací předměty-mtž</v>
      </c>
      <c r="D72" s="425"/>
      <c r="E72" s="424"/>
      <c r="F72" s="568"/>
      <c r="G72" s="423">
        <f>SUM(G56:G71)</f>
        <v>0</v>
      </c>
      <c r="O72" s="422">
        <v>4</v>
      </c>
      <c r="BA72" s="421">
        <f>SUM(BA56:BA71)</f>
        <v>0</v>
      </c>
      <c r="BB72" s="421">
        <f>SUM(BB56:BB71)</f>
        <v>0</v>
      </c>
      <c r="BC72" s="421">
        <f>SUM(BC56:BC71)</f>
        <v>0</v>
      </c>
      <c r="BD72" s="421">
        <f>SUM(BD56:BD71)</f>
        <v>0</v>
      </c>
      <c r="BE72" s="421">
        <f>SUM(BE56:BE71)</f>
        <v>0</v>
      </c>
      <c r="CZ72" s="363">
        <f>SUM(CZ57:CZ71)</f>
        <v>0.1967439</v>
      </c>
    </row>
    <row r="73" spans="1:104" x14ac:dyDescent="0.2">
      <c r="A73" s="451"/>
      <c r="E73" s="363"/>
    </row>
    <row r="74" spans="1:104" x14ac:dyDescent="0.2">
      <c r="A74" s="451"/>
      <c r="E74" s="363"/>
    </row>
    <row r="75" spans="1:104" x14ac:dyDescent="0.2">
      <c r="E75" s="363"/>
    </row>
    <row r="76" spans="1:104" x14ac:dyDescent="0.2">
      <c r="E76" s="363"/>
    </row>
    <row r="77" spans="1:104" x14ac:dyDescent="0.2">
      <c r="E77" s="363"/>
    </row>
    <row r="78" spans="1:104" x14ac:dyDescent="0.2">
      <c r="E78" s="363"/>
    </row>
    <row r="79" spans="1:104" x14ac:dyDescent="0.2">
      <c r="A79" s="365"/>
      <c r="B79" s="365"/>
    </row>
    <row r="80" spans="1:104" x14ac:dyDescent="0.2">
      <c r="C80" s="367"/>
      <c r="D80" s="367"/>
      <c r="E80" s="368"/>
      <c r="F80" s="367"/>
      <c r="G80" s="366"/>
    </row>
    <row r="81" spans="1:2" x14ac:dyDescent="0.2">
      <c r="A81" s="365"/>
      <c r="B81" s="365"/>
    </row>
  </sheetData>
  <sheetProtection algorithmName="SHA-512" hashValue="As81zadIwLIIsLW3KjhZrYBfdgX3xpNtxO6359x3QXX5hne8A/KcwUZpUuVJ9bRaxqRSYS9rsZ+s7lNs8Pwekg==" saltValue="RYJU4/2AyiyOuT4hQ2PAVA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311B-437C-4219-BC7D-CDC770B7E5FD}">
  <dimension ref="A1:E67"/>
  <sheetViews>
    <sheetView view="pageBreakPreview" topLeftCell="A16" zoomScale="70" zoomScaleNormal="100" zoomScaleSheetLayoutView="70" workbookViewId="0">
      <selection activeCell="D19" sqref="D19:D26"/>
    </sheetView>
  </sheetViews>
  <sheetFormatPr defaultColWidth="8.85546875" defaultRowHeight="14.25" x14ac:dyDescent="0.25"/>
  <cols>
    <col min="1" max="1" width="41.85546875" style="586" customWidth="1"/>
    <col min="2" max="2" width="5.5703125" style="586" customWidth="1"/>
    <col min="3" max="3" width="10.42578125" style="603" customWidth="1"/>
    <col min="4" max="5" width="16.7109375" style="611" customWidth="1"/>
    <col min="6" max="16384" width="8.85546875" style="586"/>
  </cols>
  <sheetData>
    <row r="1" spans="1:5" ht="15.75" x14ac:dyDescent="0.25">
      <c r="A1" s="670" t="str">
        <f>'1-Krycí list'!E4</f>
        <v xml:space="preserve"> 1 - SO 01 Novostavba hřbitovního domku </v>
      </c>
      <c r="B1" s="670"/>
      <c r="C1" s="670"/>
      <c r="D1" s="670"/>
      <c r="E1" s="670"/>
    </row>
    <row r="2" spans="1:5" ht="15.75" x14ac:dyDescent="0.25">
      <c r="A2" s="597" t="str">
        <f>'1-Rekapitulace'!B45</f>
        <v>M21 : EI - silnoproud,slaboproud,hromosvod</v>
      </c>
      <c r="B2" s="597"/>
      <c r="C2" s="600"/>
      <c r="D2" s="610"/>
      <c r="E2" s="610"/>
    </row>
    <row r="3" spans="1:5" x14ac:dyDescent="0.25">
      <c r="A3" s="671" t="s">
        <v>1006</v>
      </c>
      <c r="B3" s="671"/>
      <c r="C3" s="671"/>
      <c r="D3" s="671"/>
      <c r="E3" s="671"/>
    </row>
    <row r="4" spans="1:5" s="584" customFormat="1" ht="26.45" customHeight="1" x14ac:dyDescent="0.25">
      <c r="A4" s="672" t="s">
        <v>1040</v>
      </c>
      <c r="B4" s="673"/>
      <c r="C4" s="673"/>
      <c r="D4" s="673"/>
      <c r="E4" s="674"/>
    </row>
    <row r="5" spans="1:5" ht="15" x14ac:dyDescent="0.25">
      <c r="A5" s="665"/>
      <c r="B5" s="665"/>
      <c r="C5" s="665"/>
      <c r="D5" s="665"/>
      <c r="E5" s="665"/>
    </row>
    <row r="6" spans="1:5" ht="15" x14ac:dyDescent="0.25">
      <c r="A6" s="665" t="s">
        <v>1005</v>
      </c>
      <c r="B6" s="665"/>
      <c r="C6" s="665"/>
      <c r="D6" s="665"/>
      <c r="E6" s="665"/>
    </row>
    <row r="7" spans="1:5" ht="15" x14ac:dyDescent="0.25">
      <c r="A7" s="598"/>
      <c r="B7" s="599" t="s">
        <v>144</v>
      </c>
      <c r="C7" s="601" t="s">
        <v>996</v>
      </c>
      <c r="D7" s="599" t="s">
        <v>1042</v>
      </c>
      <c r="E7" s="599" t="s">
        <v>141</v>
      </c>
    </row>
    <row r="8" spans="1:5" x14ac:dyDescent="0.25">
      <c r="A8" s="598" t="s">
        <v>1004</v>
      </c>
      <c r="B8" s="598" t="s">
        <v>1041</v>
      </c>
      <c r="C8" s="602">
        <v>1</v>
      </c>
      <c r="D8" s="598">
        <f>SUM(E44:E47)</f>
        <v>0</v>
      </c>
      <c r="E8" s="598">
        <f t="shared" ref="E8:E12" si="0">D8*C8</f>
        <v>0</v>
      </c>
    </row>
    <row r="9" spans="1:5" x14ac:dyDescent="0.25">
      <c r="A9" s="598" t="s">
        <v>1003</v>
      </c>
      <c r="B9" s="598" t="s">
        <v>1041</v>
      </c>
      <c r="C9" s="602">
        <v>1</v>
      </c>
      <c r="D9" s="598">
        <f>SUM(E41:E43)</f>
        <v>0</v>
      </c>
      <c r="E9" s="598">
        <f t="shared" si="0"/>
        <v>0</v>
      </c>
    </row>
    <row r="10" spans="1:5" x14ac:dyDescent="0.25">
      <c r="A10" s="598" t="s">
        <v>1002</v>
      </c>
      <c r="B10" s="598" t="s">
        <v>1041</v>
      </c>
      <c r="C10" s="602">
        <v>1</v>
      </c>
      <c r="D10" s="598">
        <f>SUM(E35:E40)</f>
        <v>0</v>
      </c>
      <c r="E10" s="598">
        <f t="shared" si="0"/>
        <v>0</v>
      </c>
    </row>
    <row r="11" spans="1:5" x14ac:dyDescent="0.25">
      <c r="A11" s="598" t="s">
        <v>1001</v>
      </c>
      <c r="B11" s="598" t="s">
        <v>1041</v>
      </c>
      <c r="C11" s="602">
        <v>1</v>
      </c>
      <c r="D11" s="598">
        <f>SUM(E48:E50)</f>
        <v>0</v>
      </c>
      <c r="E11" s="598">
        <f t="shared" si="0"/>
        <v>0</v>
      </c>
    </row>
    <row r="12" spans="1:5" x14ac:dyDescent="0.25">
      <c r="A12" s="598" t="s">
        <v>1000</v>
      </c>
      <c r="B12" s="598" t="s">
        <v>1041</v>
      </c>
      <c r="C12" s="602">
        <v>1</v>
      </c>
      <c r="D12" s="598">
        <f>SUM(E52:E57)</f>
        <v>0</v>
      </c>
      <c r="E12" s="598">
        <f t="shared" si="0"/>
        <v>0</v>
      </c>
    </row>
    <row r="13" spans="1:5" x14ac:dyDescent="0.25">
      <c r="A13" s="598" t="s">
        <v>999</v>
      </c>
      <c r="B13" s="598" t="s">
        <v>1041</v>
      </c>
      <c r="C13" s="602">
        <v>1</v>
      </c>
      <c r="D13" s="598">
        <f>SUM(E59:E64)</f>
        <v>0</v>
      </c>
      <c r="E13" s="598">
        <f t="shared" ref="E13" si="1">C13*D13</f>
        <v>0</v>
      </c>
    </row>
    <row r="14" spans="1:5" ht="15" x14ac:dyDescent="0.25">
      <c r="A14" s="665"/>
      <c r="B14" s="665"/>
      <c r="C14" s="665"/>
      <c r="D14" s="665"/>
      <c r="E14" s="665"/>
    </row>
    <row r="15" spans="1:5" ht="15" x14ac:dyDescent="0.25">
      <c r="A15" s="599" t="s">
        <v>998</v>
      </c>
      <c r="B15" s="599"/>
      <c r="C15" s="601"/>
      <c r="D15" s="599"/>
      <c r="E15" s="599">
        <f>SUM(E8:E14)</f>
        <v>0</v>
      </c>
    </row>
    <row r="16" spans="1:5" ht="15" x14ac:dyDescent="0.25">
      <c r="A16" s="665"/>
      <c r="B16" s="665"/>
      <c r="C16" s="665"/>
      <c r="D16" s="665"/>
      <c r="E16" s="665"/>
    </row>
    <row r="17" spans="1:5" ht="15" x14ac:dyDescent="0.25">
      <c r="A17" s="669" t="s">
        <v>997</v>
      </c>
      <c r="B17" s="669"/>
      <c r="C17" s="669"/>
      <c r="D17" s="669"/>
      <c r="E17" s="669"/>
    </row>
    <row r="18" spans="1:5" ht="15" x14ac:dyDescent="0.25">
      <c r="A18" s="598"/>
      <c r="B18" s="599" t="s">
        <v>144</v>
      </c>
      <c r="C18" s="601" t="s">
        <v>996</v>
      </c>
      <c r="D18" s="599" t="s">
        <v>1042</v>
      </c>
      <c r="E18" s="599" t="s">
        <v>141</v>
      </c>
    </row>
    <row r="19" spans="1:5" x14ac:dyDescent="0.25">
      <c r="A19" s="598" t="s">
        <v>1007</v>
      </c>
      <c r="B19" s="598" t="s">
        <v>704</v>
      </c>
      <c r="C19" s="602">
        <v>4</v>
      </c>
      <c r="D19" s="620"/>
      <c r="E19" s="598">
        <f t="shared" ref="E19:E26" si="2">D19*C19</f>
        <v>0</v>
      </c>
    </row>
    <row r="20" spans="1:5" x14ac:dyDescent="0.25">
      <c r="A20" s="598" t="s">
        <v>995</v>
      </c>
      <c r="B20" s="598" t="s">
        <v>704</v>
      </c>
      <c r="C20" s="602">
        <v>6</v>
      </c>
      <c r="D20" s="620"/>
      <c r="E20" s="598">
        <f t="shared" si="2"/>
        <v>0</v>
      </c>
    </row>
    <row r="21" spans="1:5" x14ac:dyDescent="0.25">
      <c r="A21" s="598" t="s">
        <v>994</v>
      </c>
      <c r="B21" s="598" t="s">
        <v>704</v>
      </c>
      <c r="C21" s="602">
        <v>6</v>
      </c>
      <c r="D21" s="620"/>
      <c r="E21" s="598">
        <f t="shared" si="2"/>
        <v>0</v>
      </c>
    </row>
    <row r="22" spans="1:5" x14ac:dyDescent="0.25">
      <c r="A22" s="598" t="s">
        <v>993</v>
      </c>
      <c r="B22" s="598" t="s">
        <v>704</v>
      </c>
      <c r="C22" s="602">
        <v>2</v>
      </c>
      <c r="D22" s="620"/>
      <c r="E22" s="598">
        <f t="shared" si="2"/>
        <v>0</v>
      </c>
    </row>
    <row r="23" spans="1:5" x14ac:dyDescent="0.25">
      <c r="A23" s="598" t="s">
        <v>992</v>
      </c>
      <c r="B23" s="598" t="s">
        <v>704</v>
      </c>
      <c r="C23" s="602">
        <v>18</v>
      </c>
      <c r="D23" s="620"/>
      <c r="E23" s="598">
        <f t="shared" si="2"/>
        <v>0</v>
      </c>
    </row>
    <row r="24" spans="1:5" x14ac:dyDescent="0.25">
      <c r="A24" s="598" t="s">
        <v>991</v>
      </c>
      <c r="B24" s="598" t="s">
        <v>704</v>
      </c>
      <c r="C24" s="602">
        <v>16</v>
      </c>
      <c r="D24" s="620"/>
      <c r="E24" s="598">
        <f t="shared" si="2"/>
        <v>0</v>
      </c>
    </row>
    <row r="25" spans="1:5" x14ac:dyDescent="0.25">
      <c r="A25" s="598" t="s">
        <v>990</v>
      </c>
      <c r="B25" s="598" t="s">
        <v>704</v>
      </c>
      <c r="C25" s="602">
        <v>15</v>
      </c>
      <c r="D25" s="620"/>
      <c r="E25" s="598">
        <f t="shared" si="2"/>
        <v>0</v>
      </c>
    </row>
    <row r="26" spans="1:5" x14ac:dyDescent="0.25">
      <c r="A26" s="598" t="s">
        <v>989</v>
      </c>
      <c r="B26" s="598" t="s">
        <v>704</v>
      </c>
      <c r="C26" s="602">
        <v>4.5</v>
      </c>
      <c r="D26" s="620"/>
      <c r="E26" s="598">
        <f t="shared" si="2"/>
        <v>0</v>
      </c>
    </row>
    <row r="27" spans="1:5" ht="15" x14ac:dyDescent="0.25">
      <c r="A27" s="665"/>
      <c r="B27" s="665"/>
      <c r="C27" s="665"/>
      <c r="D27" s="665"/>
      <c r="E27" s="665"/>
    </row>
    <row r="28" spans="1:5" ht="15" x14ac:dyDescent="0.25">
      <c r="A28" s="599" t="s">
        <v>988</v>
      </c>
      <c r="B28" s="599"/>
      <c r="C28" s="601"/>
      <c r="D28" s="599"/>
      <c r="E28" s="599">
        <f>SUM(E19:E26)</f>
        <v>0</v>
      </c>
    </row>
    <row r="29" spans="1:5" ht="15.75" thickBot="1" x14ac:dyDescent="0.3">
      <c r="A29" s="666"/>
      <c r="B29" s="666"/>
      <c r="C29" s="666"/>
      <c r="D29" s="666"/>
      <c r="E29" s="666"/>
    </row>
    <row r="30" spans="1:5" ht="15.75" thickBot="1" x14ac:dyDescent="0.3">
      <c r="A30" s="667" t="s">
        <v>987</v>
      </c>
      <c r="B30" s="668"/>
      <c r="C30" s="668"/>
      <c r="D30" s="668"/>
      <c r="E30" s="585">
        <f>SUM(E15+E28)</f>
        <v>0</v>
      </c>
    </row>
    <row r="32" spans="1:5" ht="15" thickBot="1" x14ac:dyDescent="0.3"/>
    <row r="33" spans="1:5" ht="15.75" thickBot="1" x14ac:dyDescent="0.3">
      <c r="A33" s="592" t="s">
        <v>1008</v>
      </c>
      <c r="B33" s="593" t="s">
        <v>1010</v>
      </c>
      <c r="C33" s="604" t="s">
        <v>1010</v>
      </c>
      <c r="D33" s="612" t="s">
        <v>1009</v>
      </c>
      <c r="E33" s="613" t="s">
        <v>141</v>
      </c>
    </row>
    <row r="34" spans="1:5" ht="15.75" thickBot="1" x14ac:dyDescent="0.3">
      <c r="A34" s="596" t="s">
        <v>1011</v>
      </c>
      <c r="B34" s="596"/>
      <c r="C34" s="605"/>
      <c r="D34" s="614"/>
      <c r="E34" s="614"/>
    </row>
    <row r="35" spans="1:5" x14ac:dyDescent="0.25">
      <c r="A35" s="588" t="s">
        <v>1012</v>
      </c>
      <c r="B35" s="589" t="s">
        <v>493</v>
      </c>
      <c r="C35" s="606">
        <v>13</v>
      </c>
      <c r="D35" s="621"/>
      <c r="E35" s="615">
        <f t="shared" ref="E35:E50" si="3">D35*C35</f>
        <v>0</v>
      </c>
    </row>
    <row r="36" spans="1:5" x14ac:dyDescent="0.25">
      <c r="A36" s="590" t="s">
        <v>1013</v>
      </c>
      <c r="B36" s="591" t="s">
        <v>493</v>
      </c>
      <c r="C36" s="607">
        <v>8</v>
      </c>
      <c r="D36" s="622"/>
      <c r="E36" s="616">
        <f t="shared" si="3"/>
        <v>0</v>
      </c>
    </row>
    <row r="37" spans="1:5" x14ac:dyDescent="0.25">
      <c r="A37" s="590" t="s">
        <v>1014</v>
      </c>
      <c r="B37" s="591" t="s">
        <v>493</v>
      </c>
      <c r="C37" s="607">
        <v>6</v>
      </c>
      <c r="D37" s="622"/>
      <c r="E37" s="616">
        <f t="shared" si="3"/>
        <v>0</v>
      </c>
    </row>
    <row r="38" spans="1:5" x14ac:dyDescent="0.25">
      <c r="A38" s="590" t="s">
        <v>1015</v>
      </c>
      <c r="B38" s="591" t="s">
        <v>493</v>
      </c>
      <c r="C38" s="607">
        <v>2</v>
      </c>
      <c r="D38" s="622"/>
      <c r="E38" s="616">
        <f t="shared" si="3"/>
        <v>0</v>
      </c>
    </row>
    <row r="39" spans="1:5" x14ac:dyDescent="0.25">
      <c r="A39" s="590" t="s">
        <v>1016</v>
      </c>
      <c r="B39" s="591" t="s">
        <v>493</v>
      </c>
      <c r="C39" s="607">
        <v>6</v>
      </c>
      <c r="D39" s="622"/>
      <c r="E39" s="616">
        <f t="shared" si="3"/>
        <v>0</v>
      </c>
    </row>
    <row r="40" spans="1:5" x14ac:dyDescent="0.25">
      <c r="A40" s="590" t="s">
        <v>1017</v>
      </c>
      <c r="B40" s="591" t="s">
        <v>493</v>
      </c>
      <c r="C40" s="607">
        <v>1</v>
      </c>
      <c r="D40" s="622"/>
      <c r="E40" s="616">
        <f t="shared" si="3"/>
        <v>0</v>
      </c>
    </row>
    <row r="41" spans="1:5" x14ac:dyDescent="0.25">
      <c r="A41" s="590" t="s">
        <v>1018</v>
      </c>
      <c r="B41" s="591" t="s">
        <v>493</v>
      </c>
      <c r="C41" s="607">
        <v>60</v>
      </c>
      <c r="D41" s="622"/>
      <c r="E41" s="616">
        <f t="shared" si="3"/>
        <v>0</v>
      </c>
    </row>
    <row r="42" spans="1:5" x14ac:dyDescent="0.25">
      <c r="A42" s="590" t="s">
        <v>1019</v>
      </c>
      <c r="B42" s="591" t="s">
        <v>493</v>
      </c>
      <c r="C42" s="607">
        <v>45</v>
      </c>
      <c r="D42" s="622"/>
      <c r="E42" s="616">
        <f t="shared" si="3"/>
        <v>0</v>
      </c>
    </row>
    <row r="43" spans="1:5" x14ac:dyDescent="0.25">
      <c r="A43" s="590" t="s">
        <v>1020</v>
      </c>
      <c r="B43" s="591" t="s">
        <v>493</v>
      </c>
      <c r="C43" s="607">
        <v>10</v>
      </c>
      <c r="D43" s="622"/>
      <c r="E43" s="616">
        <f t="shared" si="3"/>
        <v>0</v>
      </c>
    </row>
    <row r="44" spans="1:5" x14ac:dyDescent="0.25">
      <c r="A44" s="590" t="s">
        <v>1021</v>
      </c>
      <c r="B44" s="591" t="s">
        <v>493</v>
      </c>
      <c r="C44" s="607">
        <v>20</v>
      </c>
      <c r="D44" s="622"/>
      <c r="E44" s="616">
        <f t="shared" si="3"/>
        <v>0</v>
      </c>
    </row>
    <row r="45" spans="1:5" x14ac:dyDescent="0.25">
      <c r="A45" s="590" t="s">
        <v>1022</v>
      </c>
      <c r="B45" s="591" t="s">
        <v>493</v>
      </c>
      <c r="C45" s="607">
        <v>20</v>
      </c>
      <c r="D45" s="622"/>
      <c r="E45" s="616">
        <f t="shared" si="3"/>
        <v>0</v>
      </c>
    </row>
    <row r="46" spans="1:5" x14ac:dyDescent="0.25">
      <c r="A46" s="590" t="s">
        <v>1023</v>
      </c>
      <c r="B46" s="591" t="s">
        <v>493</v>
      </c>
      <c r="C46" s="607">
        <v>20</v>
      </c>
      <c r="D46" s="622"/>
      <c r="E46" s="616">
        <f t="shared" si="3"/>
        <v>0</v>
      </c>
    </row>
    <row r="47" spans="1:5" x14ac:dyDescent="0.25">
      <c r="A47" s="590" t="s">
        <v>1024</v>
      </c>
      <c r="B47" s="591" t="s">
        <v>493</v>
      </c>
      <c r="C47" s="607">
        <v>20</v>
      </c>
      <c r="D47" s="622"/>
      <c r="E47" s="616">
        <f t="shared" si="3"/>
        <v>0</v>
      </c>
    </row>
    <row r="48" spans="1:5" x14ac:dyDescent="0.25">
      <c r="A48" s="590" t="s">
        <v>1025</v>
      </c>
      <c r="B48" s="591" t="s">
        <v>493</v>
      </c>
      <c r="C48" s="607">
        <v>1</v>
      </c>
      <c r="D48" s="622"/>
      <c r="E48" s="616">
        <f t="shared" si="3"/>
        <v>0</v>
      </c>
    </row>
    <row r="49" spans="1:5" x14ac:dyDescent="0.25">
      <c r="A49" s="590" t="s">
        <v>1026</v>
      </c>
      <c r="B49" s="591" t="s">
        <v>493</v>
      </c>
      <c r="C49" s="607">
        <v>6</v>
      </c>
      <c r="D49" s="622"/>
      <c r="E49" s="616">
        <f t="shared" si="3"/>
        <v>0</v>
      </c>
    </row>
    <row r="50" spans="1:5" ht="15" thickBot="1" x14ac:dyDescent="0.3">
      <c r="A50" s="594" t="s">
        <v>1027</v>
      </c>
      <c r="B50" s="595" t="s">
        <v>493</v>
      </c>
      <c r="C50" s="608">
        <v>7</v>
      </c>
      <c r="D50" s="623"/>
      <c r="E50" s="617">
        <f t="shared" si="3"/>
        <v>0</v>
      </c>
    </row>
    <row r="51" spans="1:5" ht="15.75" thickBot="1" x14ac:dyDescent="0.3">
      <c r="A51" s="596" t="s">
        <v>1028</v>
      </c>
      <c r="B51" s="596"/>
      <c r="C51" s="605"/>
      <c r="D51" s="624"/>
      <c r="E51" s="614"/>
    </row>
    <row r="52" spans="1:5" x14ac:dyDescent="0.25">
      <c r="A52" s="588" t="s">
        <v>1029</v>
      </c>
      <c r="B52" s="589" t="s">
        <v>493</v>
      </c>
      <c r="C52" s="606">
        <v>1</v>
      </c>
      <c r="D52" s="621"/>
      <c r="E52" s="615">
        <f t="shared" ref="E52:E57" si="4">D52*C52</f>
        <v>0</v>
      </c>
    </row>
    <row r="53" spans="1:5" x14ac:dyDescent="0.25">
      <c r="A53" s="590" t="s">
        <v>1030</v>
      </c>
      <c r="B53" s="591" t="s">
        <v>493</v>
      </c>
      <c r="C53" s="607">
        <v>3</v>
      </c>
      <c r="D53" s="622"/>
      <c r="E53" s="616">
        <f t="shared" si="4"/>
        <v>0</v>
      </c>
    </row>
    <row r="54" spans="1:5" x14ac:dyDescent="0.25">
      <c r="A54" s="590" t="s">
        <v>1031</v>
      </c>
      <c r="B54" s="591" t="s">
        <v>493</v>
      </c>
      <c r="C54" s="607">
        <v>3</v>
      </c>
      <c r="D54" s="622"/>
      <c r="E54" s="616">
        <f t="shared" si="4"/>
        <v>0</v>
      </c>
    </row>
    <row r="55" spans="1:5" x14ac:dyDescent="0.25">
      <c r="A55" s="590" t="s">
        <v>1032</v>
      </c>
      <c r="B55" s="591" t="s">
        <v>493</v>
      </c>
      <c r="C55" s="607">
        <v>1</v>
      </c>
      <c r="D55" s="622"/>
      <c r="E55" s="616">
        <f t="shared" si="4"/>
        <v>0</v>
      </c>
    </row>
    <row r="56" spans="1:5" x14ac:dyDescent="0.25">
      <c r="A56" s="590" t="s">
        <v>1033</v>
      </c>
      <c r="B56" s="591" t="s">
        <v>493</v>
      </c>
      <c r="C56" s="607">
        <v>1</v>
      </c>
      <c r="D56" s="622"/>
      <c r="E56" s="616">
        <f t="shared" si="4"/>
        <v>0</v>
      </c>
    </row>
    <row r="57" spans="1:5" ht="15" thickBot="1" x14ac:dyDescent="0.3">
      <c r="A57" s="594" t="s">
        <v>1034</v>
      </c>
      <c r="B57" s="595" t="s">
        <v>493</v>
      </c>
      <c r="C57" s="608">
        <v>2</v>
      </c>
      <c r="D57" s="623"/>
      <c r="E57" s="617">
        <f t="shared" si="4"/>
        <v>0</v>
      </c>
    </row>
    <row r="58" spans="1:5" ht="15.75" thickBot="1" x14ac:dyDescent="0.3">
      <c r="A58" s="596" t="s">
        <v>999</v>
      </c>
      <c r="B58" s="596"/>
      <c r="C58" s="605"/>
      <c r="D58" s="624"/>
      <c r="E58" s="614"/>
    </row>
    <row r="59" spans="1:5" x14ac:dyDescent="0.25">
      <c r="A59" s="588" t="s">
        <v>1035</v>
      </c>
      <c r="B59" s="589" t="s">
        <v>332</v>
      </c>
      <c r="C59" s="606">
        <f>0.138*40</f>
        <v>5.5200000000000005</v>
      </c>
      <c r="D59" s="621"/>
      <c r="E59" s="615">
        <f>D59*C59</f>
        <v>0</v>
      </c>
    </row>
    <row r="60" spans="1:5" x14ac:dyDescent="0.25">
      <c r="A60" s="590" t="s">
        <v>1036</v>
      </c>
      <c r="B60" s="591" t="s">
        <v>493</v>
      </c>
      <c r="C60" s="607">
        <v>22</v>
      </c>
      <c r="D60" s="622"/>
      <c r="E60" s="616">
        <f>D60*C60</f>
        <v>0</v>
      </c>
    </row>
    <row r="61" spans="1:5" x14ac:dyDescent="0.25">
      <c r="A61" s="590" t="s">
        <v>1037</v>
      </c>
      <c r="B61" s="591" t="s">
        <v>493</v>
      </c>
      <c r="C61" s="607">
        <v>4</v>
      </c>
      <c r="D61" s="622"/>
      <c r="E61" s="616">
        <f>D61*C61</f>
        <v>0</v>
      </c>
    </row>
    <row r="62" spans="1:5" x14ac:dyDescent="0.25">
      <c r="A62" s="590" t="s">
        <v>1038</v>
      </c>
      <c r="B62" s="591" t="s">
        <v>493</v>
      </c>
      <c r="C62" s="607">
        <v>4</v>
      </c>
      <c r="D62" s="622"/>
      <c r="E62" s="616">
        <f>D62*C62</f>
        <v>0</v>
      </c>
    </row>
    <row r="63" spans="1:5" x14ac:dyDescent="0.25">
      <c r="A63" s="590" t="s">
        <v>1017</v>
      </c>
      <c r="B63" s="591" t="s">
        <v>1041</v>
      </c>
      <c r="C63" s="607">
        <v>1</v>
      </c>
      <c r="D63" s="622"/>
      <c r="E63" s="616">
        <f>C63*D63</f>
        <v>0</v>
      </c>
    </row>
    <row r="64" spans="1:5" ht="15" thickBot="1" x14ac:dyDescent="0.3">
      <c r="A64" s="594" t="s">
        <v>1039</v>
      </c>
      <c r="B64" s="595" t="s">
        <v>493</v>
      </c>
      <c r="C64" s="608">
        <v>3</v>
      </c>
      <c r="D64" s="623"/>
      <c r="E64" s="617">
        <f>C64*D64</f>
        <v>0</v>
      </c>
    </row>
    <row r="65" spans="1:5" x14ac:dyDescent="0.25">
      <c r="A65" s="587"/>
      <c r="B65" s="587"/>
      <c r="C65" s="609"/>
      <c r="D65" s="618"/>
      <c r="E65" s="618"/>
    </row>
    <row r="66" spans="1:5" x14ac:dyDescent="0.25">
      <c r="E66" s="619">
        <f>SUM(E32:E65)</f>
        <v>0</v>
      </c>
    </row>
    <row r="67" spans="1:5" x14ac:dyDescent="0.25">
      <c r="E67" s="619">
        <f>E15</f>
        <v>0</v>
      </c>
    </row>
  </sheetData>
  <sheetProtection algorithmName="SHA-512" hashValue="RRKOlJD4RpIpzQkb/0z7+VeHetGsjs97YdEwbxapl8UbSmaX+cPcBtoNs+a6pgmxHUi6V6B79ZP+NxaIRygkeA==" saltValue="W0dSS3qkY3gSGNGliVHkPg==" spinCount="100000" sheet="1" objects="1" scenarios="1"/>
  <mergeCells count="11">
    <mergeCell ref="A1:E1"/>
    <mergeCell ref="A3:E3"/>
    <mergeCell ref="A5:E5"/>
    <mergeCell ref="A4:E4"/>
    <mergeCell ref="A14:E14"/>
    <mergeCell ref="A16:E16"/>
    <mergeCell ref="A27:E27"/>
    <mergeCell ref="A29:E29"/>
    <mergeCell ref="A30:D30"/>
    <mergeCell ref="A6:E6"/>
    <mergeCell ref="A17:E17"/>
  </mergeCells>
  <pageMargins left="0.51181102362204722" right="0.31496062992125984" top="0.59055118110236227" bottom="0.39370078740157483" header="0.31496062992125984" footer="0.11811023622047245"/>
  <pageSetup paperSize="9" orientation="portrait" r:id="rId1"/>
  <headerFooter>
    <oddFooter>Stránka &amp;P</oddFooter>
  </headerFooter>
  <rowBreaks count="1" manualBreakCount="1">
    <brk id="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19AD-CC20-4235-BB72-80D44A92C555}">
  <sheetPr>
    <pageSetUpPr fitToPage="1"/>
  </sheetPr>
  <dimension ref="A1:BE55"/>
  <sheetViews>
    <sheetView view="pageBreakPreview" zoomScaleNormal="100" zoomScaleSheetLayoutView="100" workbookViewId="0">
      <selection activeCell="E16" sqref="E16"/>
    </sheetView>
  </sheetViews>
  <sheetFormatPr defaultColWidth="8.85546875" defaultRowHeight="12.75" x14ac:dyDescent="0.2"/>
  <cols>
    <col min="1" max="1" width="2" style="369" customWidth="1"/>
    <col min="2" max="2" width="15" style="369" customWidth="1"/>
    <col min="3" max="3" width="15.85546875" style="369" customWidth="1"/>
    <col min="4" max="4" width="14.5703125" style="369" customWidth="1"/>
    <col min="5" max="5" width="13.5703125" style="369" customWidth="1"/>
    <col min="6" max="6" width="16.5703125" style="369" customWidth="1"/>
    <col min="7" max="7" width="15.28515625" style="369" customWidth="1"/>
    <col min="8" max="16384" width="8.85546875" style="369"/>
  </cols>
  <sheetData>
    <row r="1" spans="1:57" ht="21.75" customHeight="1" x14ac:dyDescent="0.25">
      <c r="A1" s="392" t="s">
        <v>60</v>
      </c>
      <c r="B1" s="520"/>
      <c r="C1" s="520"/>
      <c r="D1" s="520"/>
      <c r="E1" s="520"/>
      <c r="F1" s="520"/>
      <c r="G1" s="520"/>
    </row>
    <row r="2" spans="1:57" ht="15" customHeight="1" thickBot="1" x14ac:dyDescent="0.25"/>
    <row r="3" spans="1:57" ht="12.95" customHeight="1" x14ac:dyDescent="0.2">
      <c r="A3" s="488" t="s">
        <v>463</v>
      </c>
      <c r="B3" s="519"/>
      <c r="C3" s="486" t="s">
        <v>693</v>
      </c>
      <c r="D3" s="486"/>
      <c r="E3" s="486"/>
      <c r="F3" s="486" t="s">
        <v>692</v>
      </c>
      <c r="G3" s="485"/>
    </row>
    <row r="4" spans="1:57" ht="12.95" customHeight="1" x14ac:dyDescent="0.2">
      <c r="A4" s="517"/>
      <c r="B4" s="516"/>
      <c r="C4" s="515" t="s">
        <v>735</v>
      </c>
      <c r="D4" s="514"/>
      <c r="E4" s="514"/>
      <c r="G4" s="480"/>
    </row>
    <row r="5" spans="1:57" ht="12.95" customHeight="1" x14ac:dyDescent="0.2">
      <c r="A5" s="477" t="s">
        <v>464</v>
      </c>
      <c r="B5" s="518"/>
      <c r="C5" s="458" t="s">
        <v>691</v>
      </c>
      <c r="D5" s="458"/>
      <c r="E5" s="458"/>
      <c r="F5" s="475" t="s">
        <v>690</v>
      </c>
      <c r="G5" s="478"/>
    </row>
    <row r="6" spans="1:57" ht="12.95" customHeight="1" x14ac:dyDescent="0.2">
      <c r="A6" s="517"/>
      <c r="B6" s="516"/>
      <c r="C6" s="515" t="s">
        <v>689</v>
      </c>
      <c r="D6" s="514"/>
      <c r="E6" s="514"/>
      <c r="F6" s="513"/>
      <c r="G6" s="480"/>
    </row>
    <row r="7" spans="1:57" x14ac:dyDescent="0.2">
      <c r="A7" s="569" t="s">
        <v>688</v>
      </c>
      <c r="B7" s="570"/>
      <c r="C7" s="676" t="str">
        <f>Souhrn!F8</f>
        <v xml:space="preserve"> Ing. Vít Lhota, Smetanova 1809/82, 466 01 Jablonec n/N</v>
      </c>
      <c r="D7" s="677"/>
      <c r="E7" s="571" t="s">
        <v>687</v>
      </c>
      <c r="F7" s="570"/>
      <c r="G7" s="572"/>
    </row>
    <row r="8" spans="1:57" x14ac:dyDescent="0.2">
      <c r="A8" s="569" t="s">
        <v>686</v>
      </c>
      <c r="B8" s="570"/>
      <c r="C8" s="676" t="str">
        <f>Souhrn!F7</f>
        <v xml:space="preserve"> Město Smržovka,nám.T.G.Masaryka 600, 468 51 Smržovka</v>
      </c>
      <c r="D8" s="677"/>
      <c r="E8" s="571" t="s">
        <v>685</v>
      </c>
      <c r="F8" s="570"/>
      <c r="G8" s="573">
        <f>IF(PocetMJ=0,,ROUND((F30+F32)/PocetMJ,1))</f>
        <v>0</v>
      </c>
    </row>
    <row r="9" spans="1:57" x14ac:dyDescent="0.2">
      <c r="A9" s="574" t="s">
        <v>684</v>
      </c>
      <c r="B9" s="575"/>
      <c r="C9" s="575">
        <f>'2-Položky'!A56</f>
        <v>39</v>
      </c>
      <c r="D9" s="575"/>
      <c r="E9" s="576" t="s">
        <v>683</v>
      </c>
      <c r="F9" s="575"/>
      <c r="G9" s="577"/>
    </row>
    <row r="10" spans="1:57" x14ac:dyDescent="0.2">
      <c r="A10" s="578" t="s">
        <v>682</v>
      </c>
      <c r="B10" s="579"/>
      <c r="C10" s="579" t="str">
        <f>Zhotovitel</f>
        <v>František Vitmajer projektant ZT,ÚT</v>
      </c>
      <c r="D10" s="579"/>
      <c r="E10" s="580" t="s">
        <v>681</v>
      </c>
      <c r="F10" s="579"/>
      <c r="G10" s="581"/>
      <c r="BA10" s="391"/>
      <c r="BB10" s="391"/>
      <c r="BC10" s="391"/>
      <c r="BD10" s="391"/>
      <c r="BE10" s="391"/>
    </row>
    <row r="11" spans="1:57" x14ac:dyDescent="0.2">
      <c r="A11" s="578"/>
      <c r="B11" s="579"/>
      <c r="C11" s="579"/>
      <c r="D11" s="579"/>
      <c r="E11" s="678" t="s">
        <v>680</v>
      </c>
      <c r="F11" s="679"/>
      <c r="G11" s="680"/>
    </row>
    <row r="12" spans="1:57" ht="28.5" customHeight="1" thickBot="1" x14ac:dyDescent="0.25">
      <c r="A12" s="512" t="s">
        <v>679</v>
      </c>
      <c r="B12" s="511"/>
      <c r="C12" s="511"/>
      <c r="D12" s="511"/>
      <c r="E12" s="510"/>
      <c r="F12" s="510"/>
      <c r="G12" s="509"/>
    </row>
    <row r="13" spans="1:57" ht="17.25" customHeight="1" thickBot="1" x14ac:dyDescent="0.25">
      <c r="A13" s="508" t="s">
        <v>678</v>
      </c>
      <c r="B13" s="507"/>
      <c r="C13" s="504"/>
      <c r="D13" s="506" t="s">
        <v>677</v>
      </c>
      <c r="E13" s="505"/>
      <c r="F13" s="505"/>
      <c r="G13" s="504"/>
    </row>
    <row r="14" spans="1:57" ht="15.95" customHeight="1" x14ac:dyDescent="0.2">
      <c r="A14" s="500"/>
      <c r="B14" s="464" t="s">
        <v>676</v>
      </c>
      <c r="C14" s="489">
        <f>Dodavka</f>
        <v>0</v>
      </c>
      <c r="D14" s="503" t="str">
        <f>'2-Rekapitulace'!A18</f>
        <v>Zařízení staveniště</v>
      </c>
      <c r="E14" s="502"/>
      <c r="F14" s="501"/>
      <c r="G14" s="489">
        <f>'2-Rekapitulace'!I18</f>
        <v>0</v>
      </c>
    </row>
    <row r="15" spans="1:57" ht="15.95" customHeight="1" x14ac:dyDescent="0.2">
      <c r="A15" s="500" t="s">
        <v>675</v>
      </c>
      <c r="B15" s="464" t="s">
        <v>674</v>
      </c>
      <c r="C15" s="489">
        <f>Mont</f>
        <v>0</v>
      </c>
      <c r="D15" s="494" t="str">
        <f>'2-Rekapitulace'!A19</f>
        <v>Provozní vlivy</v>
      </c>
      <c r="E15" s="496"/>
      <c r="F15" s="495"/>
      <c r="G15" s="489">
        <f>'2-Rekapitulace'!I19</f>
        <v>0</v>
      </c>
    </row>
    <row r="16" spans="1:57" ht="15.95" customHeight="1" x14ac:dyDescent="0.2">
      <c r="A16" s="500" t="s">
        <v>673</v>
      </c>
      <c r="B16" s="464" t="s">
        <v>672</v>
      </c>
      <c r="C16" s="489">
        <f>HSV</f>
        <v>0</v>
      </c>
      <c r="D16" s="494" t="str">
        <f>'2-Rekapitulace'!A20</f>
        <v>Individuální mimostaveništní doprava</v>
      </c>
      <c r="E16" s="496"/>
      <c r="F16" s="495"/>
      <c r="G16" s="489">
        <f>'2-Rekapitulace'!I20</f>
        <v>0</v>
      </c>
    </row>
    <row r="17" spans="1:7" ht="15.95" customHeight="1" x14ac:dyDescent="0.2">
      <c r="A17" s="499" t="s">
        <v>671</v>
      </c>
      <c r="B17" s="464" t="s">
        <v>670</v>
      </c>
      <c r="C17" s="489">
        <f>PSV</f>
        <v>0</v>
      </c>
      <c r="D17" s="494" t="str">
        <f>'2-Rekapitulace'!A21</f>
        <v xml:space="preserve">Ostatní </v>
      </c>
      <c r="E17" s="496"/>
      <c r="F17" s="495"/>
      <c r="G17" s="489">
        <f>'2-Rekapitulace'!I21</f>
        <v>0</v>
      </c>
    </row>
    <row r="18" spans="1:7" ht="15.95" customHeight="1" x14ac:dyDescent="0.2">
      <c r="A18" s="497" t="s">
        <v>669</v>
      </c>
      <c r="B18" s="464"/>
      <c r="C18" s="489">
        <f>SUM(C14:C17)</f>
        <v>0</v>
      </c>
      <c r="D18" s="498"/>
      <c r="E18" s="496"/>
      <c r="F18" s="495"/>
      <c r="G18" s="489"/>
    </row>
    <row r="19" spans="1:7" ht="15.95" customHeight="1" x14ac:dyDescent="0.2">
      <c r="A19" s="497"/>
      <c r="B19" s="464"/>
      <c r="C19" s="489"/>
      <c r="D19" s="494"/>
      <c r="E19" s="496"/>
      <c r="F19" s="495"/>
      <c r="G19" s="489"/>
    </row>
    <row r="20" spans="1:7" ht="15.95" customHeight="1" x14ac:dyDescent="0.2">
      <c r="A20" s="497" t="s">
        <v>16</v>
      </c>
      <c r="B20" s="464"/>
      <c r="C20" s="489">
        <f>HZS</f>
        <v>0</v>
      </c>
      <c r="D20" s="494"/>
      <c r="E20" s="496"/>
      <c r="F20" s="495"/>
      <c r="G20" s="489"/>
    </row>
    <row r="21" spans="1:7" ht="15.95" customHeight="1" x14ac:dyDescent="0.2">
      <c r="A21" s="482" t="s">
        <v>668</v>
      </c>
      <c r="C21" s="489">
        <f>C18+C20</f>
        <v>0</v>
      </c>
      <c r="D21" s="494" t="s">
        <v>667</v>
      </c>
      <c r="E21" s="496"/>
      <c r="F21" s="495"/>
      <c r="G21" s="489">
        <f>G22-SUM(G14:G20)</f>
        <v>0</v>
      </c>
    </row>
    <row r="22" spans="1:7" ht="15.95" customHeight="1" thickBot="1" x14ac:dyDescent="0.25">
      <c r="A22" s="494" t="s">
        <v>666</v>
      </c>
      <c r="B22" s="493"/>
      <c r="C22" s="492">
        <f>C21+G22</f>
        <v>0</v>
      </c>
      <c r="D22" s="375" t="s">
        <v>665</v>
      </c>
      <c r="E22" s="491"/>
      <c r="F22" s="490"/>
      <c r="G22" s="489">
        <f>VRN</f>
        <v>0</v>
      </c>
    </row>
    <row r="23" spans="1:7" x14ac:dyDescent="0.2">
      <c r="A23" s="488" t="s">
        <v>664</v>
      </c>
      <c r="B23" s="486"/>
      <c r="C23" s="487" t="s">
        <v>663</v>
      </c>
      <c r="D23" s="486"/>
      <c r="E23" s="487" t="s">
        <v>662</v>
      </c>
      <c r="F23" s="486"/>
      <c r="G23" s="485"/>
    </row>
    <row r="24" spans="1:7" x14ac:dyDescent="0.2">
      <c r="A24" s="477"/>
      <c r="B24" s="458"/>
      <c r="C24" s="475" t="s">
        <v>661</v>
      </c>
      <c r="D24" s="458"/>
      <c r="E24" s="475" t="s">
        <v>661</v>
      </c>
      <c r="F24" s="458"/>
      <c r="G24" s="478"/>
    </row>
    <row r="25" spans="1:7" x14ac:dyDescent="0.2">
      <c r="A25" s="482" t="s">
        <v>660</v>
      </c>
      <c r="B25" s="484"/>
      <c r="C25" s="481" t="s">
        <v>660</v>
      </c>
      <c r="E25" s="481" t="s">
        <v>660</v>
      </c>
      <c r="G25" s="480"/>
    </row>
    <row r="26" spans="1:7" x14ac:dyDescent="0.2">
      <c r="A26" s="482"/>
      <c r="B26" s="483"/>
      <c r="C26" s="481" t="s">
        <v>659</v>
      </c>
      <c r="E26" s="481" t="s">
        <v>658</v>
      </c>
      <c r="G26" s="480"/>
    </row>
    <row r="27" spans="1:7" x14ac:dyDescent="0.2">
      <c r="A27" s="482"/>
      <c r="C27" s="481"/>
      <c r="E27" s="481"/>
      <c r="G27" s="480"/>
    </row>
    <row r="28" spans="1:7" ht="97.5" customHeight="1" x14ac:dyDescent="0.2">
      <c r="A28" s="482"/>
      <c r="C28" s="481"/>
      <c r="E28" s="481"/>
      <c r="G28" s="480"/>
    </row>
    <row r="29" spans="1:7" x14ac:dyDescent="0.2">
      <c r="A29" s="477" t="s">
        <v>657</v>
      </c>
      <c r="B29" s="458"/>
      <c r="C29" s="476">
        <v>0</v>
      </c>
      <c r="D29" s="458" t="s">
        <v>656</v>
      </c>
      <c r="E29" s="475"/>
      <c r="F29" s="479">
        <v>0</v>
      </c>
      <c r="G29" s="478"/>
    </row>
    <row r="30" spans="1:7" x14ac:dyDescent="0.2">
      <c r="A30" s="477" t="s">
        <v>657</v>
      </c>
      <c r="B30" s="458"/>
      <c r="C30" s="476">
        <v>12</v>
      </c>
      <c r="D30" s="458" t="s">
        <v>656</v>
      </c>
      <c r="E30" s="475"/>
      <c r="F30" s="479">
        <v>0</v>
      </c>
      <c r="G30" s="478"/>
    </row>
    <row r="31" spans="1:7" x14ac:dyDescent="0.2">
      <c r="A31" s="477" t="s">
        <v>8</v>
      </c>
      <c r="B31" s="458"/>
      <c r="C31" s="476">
        <v>12</v>
      </c>
      <c r="D31" s="458" t="s">
        <v>656</v>
      </c>
      <c r="E31" s="475"/>
      <c r="F31" s="474">
        <f>ROUND(PRODUCT(F30,C31/100),1)</f>
        <v>0</v>
      </c>
      <c r="G31" s="473"/>
    </row>
    <row r="32" spans="1:7" x14ac:dyDescent="0.2">
      <c r="A32" s="477" t="s">
        <v>657</v>
      </c>
      <c r="B32" s="458"/>
      <c r="C32" s="476">
        <v>21</v>
      </c>
      <c r="D32" s="458" t="s">
        <v>656</v>
      </c>
      <c r="E32" s="475"/>
      <c r="F32" s="479">
        <f>C22</f>
        <v>0</v>
      </c>
      <c r="G32" s="478"/>
    </row>
    <row r="33" spans="1:8" x14ac:dyDescent="0.2">
      <c r="A33" s="477" t="s">
        <v>8</v>
      </c>
      <c r="B33" s="458"/>
      <c r="C33" s="476">
        <v>21</v>
      </c>
      <c r="D33" s="458" t="s">
        <v>656</v>
      </c>
      <c r="E33" s="475"/>
      <c r="F33" s="474">
        <f>ROUND(PRODUCT(F32,C33/100),1)</f>
        <v>0</v>
      </c>
      <c r="G33" s="473"/>
    </row>
    <row r="34" spans="1:8" s="467" customFormat="1" ht="19.5" customHeight="1" thickBot="1" x14ac:dyDescent="0.3">
      <c r="A34" s="472" t="s">
        <v>655</v>
      </c>
      <c r="B34" s="471"/>
      <c r="C34" s="471"/>
      <c r="D34" s="471"/>
      <c r="E34" s="470"/>
      <c r="F34" s="469">
        <f>CEILING(SUM(F29:F33),1)</f>
        <v>0</v>
      </c>
      <c r="G34" s="468"/>
    </row>
    <row r="36" spans="1:8" x14ac:dyDescent="0.2">
      <c r="A36" s="369" t="s">
        <v>654</v>
      </c>
      <c r="H36" s="369" t="s">
        <v>49</v>
      </c>
    </row>
    <row r="37" spans="1:8" ht="14.25" customHeight="1" x14ac:dyDescent="0.2">
      <c r="B37" s="681"/>
      <c r="C37" s="681"/>
      <c r="D37" s="681"/>
      <c r="E37" s="681"/>
      <c r="F37" s="681"/>
      <c r="G37" s="681"/>
      <c r="H37" s="369" t="s">
        <v>49</v>
      </c>
    </row>
    <row r="38" spans="1:8" ht="12.75" customHeight="1" x14ac:dyDescent="0.2">
      <c r="A38" s="466"/>
      <c r="B38" s="681"/>
      <c r="C38" s="681"/>
      <c r="D38" s="681"/>
      <c r="E38" s="681"/>
      <c r="F38" s="681"/>
      <c r="G38" s="681"/>
      <c r="H38" s="369" t="s">
        <v>49</v>
      </c>
    </row>
    <row r="39" spans="1:8" x14ac:dyDescent="0.2">
      <c r="A39" s="466"/>
      <c r="B39" s="681"/>
      <c r="C39" s="681"/>
      <c r="D39" s="681"/>
      <c r="E39" s="681"/>
      <c r="F39" s="681"/>
      <c r="G39" s="681"/>
      <c r="H39" s="369" t="s">
        <v>49</v>
      </c>
    </row>
    <row r="40" spans="1:8" x14ac:dyDescent="0.2">
      <c r="A40" s="466"/>
      <c r="B40" s="681"/>
      <c r="C40" s="681"/>
      <c r="D40" s="681"/>
      <c r="E40" s="681"/>
      <c r="F40" s="681"/>
      <c r="G40" s="681"/>
      <c r="H40" s="369" t="s">
        <v>49</v>
      </c>
    </row>
    <row r="41" spans="1:8" x14ac:dyDescent="0.2">
      <c r="A41" s="466"/>
      <c r="B41" s="681"/>
      <c r="C41" s="681"/>
      <c r="D41" s="681"/>
      <c r="E41" s="681"/>
      <c r="F41" s="681"/>
      <c r="G41" s="681"/>
      <c r="H41" s="369" t="s">
        <v>49</v>
      </c>
    </row>
    <row r="42" spans="1:8" x14ac:dyDescent="0.2">
      <c r="A42" s="466"/>
      <c r="B42" s="681"/>
      <c r="C42" s="681"/>
      <c r="D42" s="681"/>
      <c r="E42" s="681"/>
      <c r="F42" s="681"/>
      <c r="G42" s="681"/>
      <c r="H42" s="369" t="s">
        <v>49</v>
      </c>
    </row>
    <row r="43" spans="1:8" x14ac:dyDescent="0.2">
      <c r="A43" s="466"/>
      <c r="B43" s="681"/>
      <c r="C43" s="681"/>
      <c r="D43" s="681"/>
      <c r="E43" s="681"/>
      <c r="F43" s="681"/>
      <c r="G43" s="681"/>
      <c r="H43" s="369" t="s">
        <v>49</v>
      </c>
    </row>
    <row r="44" spans="1:8" x14ac:dyDescent="0.2">
      <c r="A44" s="466"/>
      <c r="B44" s="681"/>
      <c r="C44" s="681"/>
      <c r="D44" s="681"/>
      <c r="E44" s="681"/>
      <c r="F44" s="681"/>
      <c r="G44" s="681"/>
      <c r="H44" s="369" t="s">
        <v>49</v>
      </c>
    </row>
    <row r="45" spans="1:8" ht="3" customHeight="1" x14ac:dyDescent="0.2">
      <c r="A45" s="466"/>
      <c r="B45" s="681"/>
      <c r="C45" s="681"/>
      <c r="D45" s="681"/>
      <c r="E45" s="681"/>
      <c r="F45" s="681"/>
      <c r="G45" s="681"/>
      <c r="H45" s="369" t="s">
        <v>49</v>
      </c>
    </row>
    <row r="46" spans="1:8" x14ac:dyDescent="0.2">
      <c r="B46" s="675"/>
      <c r="C46" s="675"/>
      <c r="D46" s="675"/>
      <c r="E46" s="675"/>
      <c r="F46" s="675"/>
      <c r="G46" s="675"/>
    </row>
    <row r="47" spans="1:8" x14ac:dyDescent="0.2">
      <c r="B47" s="675"/>
      <c r="C47" s="675"/>
      <c r="D47" s="675"/>
      <c r="E47" s="675"/>
      <c r="F47" s="675"/>
      <c r="G47" s="675"/>
    </row>
    <row r="48" spans="1:8" x14ac:dyDescent="0.2">
      <c r="B48" s="675"/>
      <c r="C48" s="675"/>
      <c r="D48" s="675"/>
      <c r="E48" s="675"/>
      <c r="F48" s="675"/>
      <c r="G48" s="675"/>
    </row>
    <row r="49" spans="2:7" x14ac:dyDescent="0.2">
      <c r="B49" s="675"/>
      <c r="C49" s="675"/>
      <c r="D49" s="675"/>
      <c r="E49" s="675"/>
      <c r="F49" s="675"/>
      <c r="G49" s="675"/>
    </row>
    <row r="50" spans="2:7" x14ac:dyDescent="0.2">
      <c r="B50" s="675"/>
      <c r="C50" s="675"/>
      <c r="D50" s="675"/>
      <c r="E50" s="675"/>
      <c r="F50" s="675"/>
      <c r="G50" s="675"/>
    </row>
    <row r="51" spans="2:7" x14ac:dyDescent="0.2">
      <c r="B51" s="675"/>
      <c r="C51" s="675"/>
      <c r="D51" s="675"/>
      <c r="E51" s="675"/>
      <c r="F51" s="675"/>
      <c r="G51" s="675"/>
    </row>
    <row r="52" spans="2:7" x14ac:dyDescent="0.2">
      <c r="B52" s="675"/>
      <c r="C52" s="675"/>
      <c r="D52" s="675"/>
      <c r="E52" s="675"/>
      <c r="F52" s="675"/>
      <c r="G52" s="675"/>
    </row>
    <row r="53" spans="2:7" x14ac:dyDescent="0.2">
      <c r="B53" s="675"/>
      <c r="C53" s="675"/>
      <c r="D53" s="675"/>
      <c r="E53" s="675"/>
      <c r="F53" s="675"/>
      <c r="G53" s="675"/>
    </row>
    <row r="54" spans="2:7" x14ac:dyDescent="0.2">
      <c r="B54" s="675"/>
      <c r="C54" s="675"/>
      <c r="D54" s="675"/>
      <c r="E54" s="675"/>
      <c r="F54" s="675"/>
      <c r="G54" s="675"/>
    </row>
    <row r="55" spans="2:7" x14ac:dyDescent="0.2">
      <c r="B55" s="675"/>
      <c r="C55" s="675"/>
      <c r="D55" s="675"/>
      <c r="E55" s="675"/>
      <c r="F55" s="675"/>
      <c r="G55" s="675"/>
    </row>
  </sheetData>
  <sheetProtection algorithmName="SHA-512" hashValue="/TfjIDgYiZ3Ec86fUVYzTploZjseXrz+sctfU13mVB3oBmg/fQc0BfTTpwme9qUi4hUKa1hr6wIEXV41P5CUig==" saltValue="F4WrO1GYjeHz3Oo9fUVtnw==" spinCount="100000" sheet="1" objects="1" scenarios="1"/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scale="99" orientation="portrait" horizontalDpi="300" verticalDpi="300" r:id="rId1"/>
  <headerFooter alignWithMargins="0"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4997-F30D-4B4E-A4F4-2743303B863A}">
  <sheetPr>
    <pageSetUpPr fitToPage="1"/>
  </sheetPr>
  <dimension ref="A1:BE73"/>
  <sheetViews>
    <sheetView view="pageBreakPreview" zoomScale="145" zoomScaleNormal="100" zoomScaleSheetLayoutView="145" workbookViewId="0">
      <selection activeCell="F18" sqref="F18:F21"/>
    </sheetView>
  </sheetViews>
  <sheetFormatPr defaultColWidth="8.85546875" defaultRowHeight="12.75" x14ac:dyDescent="0.2"/>
  <cols>
    <col min="1" max="1" width="5.85546875" style="369" customWidth="1"/>
    <col min="2" max="2" width="6.140625" style="369" customWidth="1"/>
    <col min="3" max="3" width="11.42578125" style="369" customWidth="1"/>
    <col min="4" max="4" width="15.85546875" style="369" customWidth="1"/>
    <col min="5" max="5" width="11.28515625" style="369" customWidth="1"/>
    <col min="6" max="6" width="10.85546875" style="369" customWidth="1"/>
    <col min="7" max="7" width="11" style="369" customWidth="1"/>
    <col min="8" max="8" width="11.140625" style="369" customWidth="1"/>
    <col min="9" max="9" width="10.7109375" style="369" customWidth="1"/>
    <col min="10" max="16384" width="8.85546875" style="369"/>
  </cols>
  <sheetData>
    <row r="1" spans="1:57" ht="13.5" thickTop="1" x14ac:dyDescent="0.2">
      <c r="A1" s="659" t="s">
        <v>464</v>
      </c>
      <c r="B1" s="660"/>
      <c r="C1" s="420" t="str">
        <f>CONCATENATE(cislostavby," ",nazevstavby)</f>
        <v xml:space="preserve"> Novostavba hřbitovního domku a přípojek  </v>
      </c>
      <c r="D1" s="418"/>
      <c r="E1" s="419"/>
      <c r="F1" s="418"/>
      <c r="G1" s="418"/>
      <c r="H1" s="417"/>
      <c r="I1" s="416"/>
    </row>
    <row r="2" spans="1:57" ht="13.5" thickBot="1" x14ac:dyDescent="0.25">
      <c r="A2" s="682" t="s">
        <v>463</v>
      </c>
      <c r="B2" s="662"/>
      <c r="C2" s="415" t="str">
        <f>CONCATENATE(cisloobjektu," ",nazevobjektu)</f>
        <v xml:space="preserve">  2 - SO 02 Vodovodní přípojka</v>
      </c>
      <c r="D2" s="413"/>
      <c r="E2" s="414"/>
      <c r="F2" s="413"/>
      <c r="G2" s="683"/>
      <c r="H2" s="683"/>
      <c r="I2" s="684"/>
    </row>
    <row r="3" spans="1:57" ht="13.5" thickTop="1" x14ac:dyDescent="0.2"/>
    <row r="4" spans="1:57" ht="19.5" customHeight="1" x14ac:dyDescent="0.25">
      <c r="A4" s="412" t="s">
        <v>462</v>
      </c>
      <c r="B4" s="392"/>
      <c r="C4" s="392"/>
      <c r="D4" s="392"/>
      <c r="E4" s="392"/>
      <c r="F4" s="392"/>
      <c r="G4" s="392"/>
      <c r="H4" s="392"/>
      <c r="I4" s="392"/>
    </row>
    <row r="5" spans="1:57" ht="13.5" thickBot="1" x14ac:dyDescent="0.25"/>
    <row r="6" spans="1:57" ht="13.5" thickBot="1" x14ac:dyDescent="0.25">
      <c r="A6" s="411"/>
      <c r="B6" s="399" t="s">
        <v>461</v>
      </c>
      <c r="C6" s="399"/>
      <c r="D6" s="410"/>
      <c r="E6" s="409" t="s">
        <v>33</v>
      </c>
      <c r="F6" s="408" t="s">
        <v>28</v>
      </c>
      <c r="G6" s="408" t="s">
        <v>460</v>
      </c>
      <c r="H6" s="408" t="s">
        <v>21</v>
      </c>
      <c r="I6" s="407" t="s">
        <v>16</v>
      </c>
    </row>
    <row r="7" spans="1:57" x14ac:dyDescent="0.2">
      <c r="A7" s="406" t="str">
        <f>'2-Položky'!B7</f>
        <v>1</v>
      </c>
      <c r="B7" s="405" t="str">
        <f>'2-Položky'!C7</f>
        <v>Zemní práce</v>
      </c>
      <c r="D7" s="404"/>
      <c r="E7" s="403">
        <f>'2-Položky'!BA23</f>
        <v>0</v>
      </c>
      <c r="F7" s="402">
        <f>'2-Položky'!BB23</f>
        <v>0</v>
      </c>
      <c r="G7" s="402">
        <f>'2-Položky'!BC23</f>
        <v>0</v>
      </c>
      <c r="H7" s="402">
        <f>'2-Položky'!BD23</f>
        <v>0</v>
      </c>
      <c r="I7" s="401">
        <f>'2-Položky'!BE23</f>
        <v>0</v>
      </c>
    </row>
    <row r="8" spans="1:57" x14ac:dyDescent="0.2">
      <c r="A8" s="406" t="str">
        <f>'2-Položky'!B24</f>
        <v>5</v>
      </c>
      <c r="B8" s="405" t="str">
        <f>'2-Položky'!C24</f>
        <v>Komunikace</v>
      </c>
      <c r="D8" s="404"/>
      <c r="E8" s="403">
        <f>'2-Položky'!BA27</f>
        <v>0</v>
      </c>
      <c r="F8" s="402">
        <f>'2-Položky'!BB27</f>
        <v>0</v>
      </c>
      <c r="G8" s="402">
        <f>'2-Položky'!BC27</f>
        <v>0</v>
      </c>
      <c r="H8" s="402">
        <f>'2-Položky'!BD27</f>
        <v>0</v>
      </c>
      <c r="I8" s="401">
        <f>'2-Položky'!BE27</f>
        <v>0</v>
      </c>
    </row>
    <row r="9" spans="1:57" x14ac:dyDescent="0.2">
      <c r="A9" s="406" t="str">
        <f>'2-Položky'!B28</f>
        <v>8</v>
      </c>
      <c r="B9" s="405" t="str">
        <f>'2-Položky'!C28</f>
        <v>Trubní vedení</v>
      </c>
      <c r="D9" s="404"/>
      <c r="E9" s="403">
        <f>'2-Položky'!BA44</f>
        <v>0</v>
      </c>
      <c r="F9" s="402">
        <f>'2-Položky'!BB44</f>
        <v>0</v>
      </c>
      <c r="G9" s="402">
        <f>'2-Položky'!BC44</f>
        <v>0</v>
      </c>
      <c r="H9" s="402">
        <f>'2-Položky'!BD44</f>
        <v>0</v>
      </c>
      <c r="I9" s="401">
        <f>'2-Položky'!BE44</f>
        <v>0</v>
      </c>
    </row>
    <row r="10" spans="1:57" x14ac:dyDescent="0.2">
      <c r="A10" s="406" t="str">
        <f>'2-Položky'!B45</f>
        <v>91</v>
      </c>
      <c r="B10" s="405" t="str">
        <f>'2-Položky'!C45</f>
        <v>Doplňující práce na komunikaci</v>
      </c>
      <c r="D10" s="404"/>
      <c r="E10" s="403">
        <f>'2-Položky'!BA47</f>
        <v>0</v>
      </c>
      <c r="F10" s="402">
        <f>'2-Položky'!BB47</f>
        <v>0</v>
      </c>
      <c r="G10" s="402">
        <f>'2-Položky'!BC47</f>
        <v>0</v>
      </c>
      <c r="H10" s="402">
        <f>'2-Položky'!BD47</f>
        <v>0</v>
      </c>
      <c r="I10" s="401">
        <f>'2-Položky'!BE47</f>
        <v>0</v>
      </c>
    </row>
    <row r="11" spans="1:57" x14ac:dyDescent="0.2">
      <c r="A11" s="406" t="str">
        <f>'2-Položky'!B48</f>
        <v>99</v>
      </c>
      <c r="B11" s="405" t="str">
        <f>'2-Položky'!C48</f>
        <v>Staveništní přesun hmot</v>
      </c>
      <c r="D11" s="404"/>
      <c r="E11" s="403">
        <f>'2-Položky'!BA50</f>
        <v>0</v>
      </c>
      <c r="F11" s="402">
        <f>'2-Položky'!BB50</f>
        <v>0</v>
      </c>
      <c r="G11" s="402">
        <f>'2-Položky'!BC50</f>
        <v>0</v>
      </c>
      <c r="H11" s="402">
        <f>'2-Položky'!BD50</f>
        <v>0</v>
      </c>
      <c r="I11" s="401">
        <f>'2-Položky'!BE50</f>
        <v>0</v>
      </c>
    </row>
    <row r="12" spans="1:57" ht="13.5" thickBot="1" x14ac:dyDescent="0.25">
      <c r="A12" s="406" t="str">
        <f>'2-Položky'!B51</f>
        <v>722</v>
      </c>
      <c r="B12" s="405" t="str">
        <f>'2-Položky'!C51</f>
        <v>Vnitřní vodovod</v>
      </c>
      <c r="D12" s="404"/>
      <c r="E12" s="403">
        <f>'2-Položky'!BA57</f>
        <v>0</v>
      </c>
      <c r="F12" s="402">
        <f>'2-Položky'!BB57</f>
        <v>0</v>
      </c>
      <c r="G12" s="402">
        <f>'2-Položky'!BC57</f>
        <v>0</v>
      </c>
      <c r="H12" s="402">
        <f>'2-Položky'!BD57</f>
        <v>0</v>
      </c>
      <c r="I12" s="401">
        <f>'2-Položky'!BE57</f>
        <v>0</v>
      </c>
    </row>
    <row r="13" spans="1:57" s="394" customFormat="1" ht="13.5" thickBot="1" x14ac:dyDescent="0.25">
      <c r="A13" s="400"/>
      <c r="B13" s="399" t="s">
        <v>459</v>
      </c>
      <c r="C13" s="399"/>
      <c r="D13" s="398"/>
      <c r="E13" s="397">
        <f>SUM(E7:E12)</f>
        <v>0</v>
      </c>
      <c r="F13" s="396">
        <f>SUM(F7:F12)</f>
        <v>0</v>
      </c>
      <c r="G13" s="396">
        <f>SUM(G7:G12)</f>
        <v>0</v>
      </c>
      <c r="H13" s="396">
        <f>SUM(H7:H12)</f>
        <v>0</v>
      </c>
      <c r="I13" s="395">
        <f>SUM(I7:I12)</f>
        <v>0</v>
      </c>
    </row>
    <row r="15" spans="1:57" ht="19.5" customHeight="1" x14ac:dyDescent="0.25">
      <c r="A15" s="392" t="s">
        <v>458</v>
      </c>
      <c r="B15" s="392"/>
      <c r="C15" s="392"/>
      <c r="D15" s="392"/>
      <c r="E15" s="392"/>
      <c r="F15" s="392"/>
      <c r="G15" s="393"/>
      <c r="H15" s="392"/>
      <c r="I15" s="392"/>
      <c r="BA15" s="391"/>
      <c r="BB15" s="391"/>
      <c r="BC15" s="391"/>
      <c r="BD15" s="391"/>
      <c r="BE15" s="391"/>
    </row>
    <row r="16" spans="1:57" ht="13.5" thickBot="1" x14ac:dyDescent="0.25"/>
    <row r="17" spans="1:53" x14ac:dyDescent="0.2">
      <c r="A17" s="390" t="s">
        <v>457</v>
      </c>
      <c r="B17" s="389"/>
      <c r="C17" s="389"/>
      <c r="D17" s="388"/>
      <c r="E17" s="387"/>
      <c r="F17" s="386" t="s">
        <v>456</v>
      </c>
      <c r="G17" s="385" t="s">
        <v>455</v>
      </c>
      <c r="H17" s="384"/>
      <c r="I17" s="383" t="s">
        <v>454</v>
      </c>
    </row>
    <row r="18" spans="1:53" x14ac:dyDescent="0.2">
      <c r="A18" s="382" t="s">
        <v>31</v>
      </c>
      <c r="B18" s="381"/>
      <c r="C18" s="381"/>
      <c r="D18" s="380"/>
      <c r="E18" s="379"/>
      <c r="F18" s="582">
        <v>0</v>
      </c>
      <c r="G18" s="378">
        <f>CHOOSE(BA18+1,HSV+PSV,HSV+PSV+Mont,HSV+PSV+Dodavka+Mont,HSV,PSV,Mont,Dodavka,Mont+Dodavka,0)</f>
        <v>0</v>
      </c>
      <c r="H18" s="377"/>
      <c r="I18" s="376">
        <f>E18+F18*G18/100</f>
        <v>0</v>
      </c>
      <c r="BA18" s="369">
        <v>0</v>
      </c>
    </row>
    <row r="19" spans="1:53" x14ac:dyDescent="0.2">
      <c r="A19" s="382" t="s">
        <v>25</v>
      </c>
      <c r="B19" s="381"/>
      <c r="C19" s="381"/>
      <c r="D19" s="380"/>
      <c r="E19" s="379"/>
      <c r="F19" s="582">
        <v>0</v>
      </c>
      <c r="G19" s="378">
        <f>CHOOSE(BA19+1,HSV+PSV,HSV+PSV+Mont,HSV+PSV+Dodavka+Mont,HSV,PSV,Mont,Dodavka,Mont+Dodavka,0)</f>
        <v>0</v>
      </c>
      <c r="H19" s="377"/>
      <c r="I19" s="376">
        <f>E19+F19*G19/100</f>
        <v>0</v>
      </c>
      <c r="BA19" s="369">
        <v>0</v>
      </c>
    </row>
    <row r="20" spans="1:53" x14ac:dyDescent="0.2">
      <c r="A20" s="382" t="s">
        <v>748</v>
      </c>
      <c r="B20" s="381"/>
      <c r="C20" s="381"/>
      <c r="D20" s="380"/>
      <c r="E20" s="379"/>
      <c r="F20" s="582">
        <v>0</v>
      </c>
      <c r="G20" s="378">
        <f>CHOOSE(BA20+1,HSV+PSV,HSV+PSV+Mont,HSV+PSV+Dodavka+Mont,HSV,PSV,Mont,Dodavka,Mont+Dodavka,0)</f>
        <v>0</v>
      </c>
      <c r="H20" s="377"/>
      <c r="I20" s="376">
        <f>E20+F20*G20/100</f>
        <v>0</v>
      </c>
      <c r="BA20" s="369">
        <v>0</v>
      </c>
    </row>
    <row r="21" spans="1:53" x14ac:dyDescent="0.2">
      <c r="A21" s="382" t="s">
        <v>749</v>
      </c>
      <c r="B21" s="381"/>
      <c r="C21" s="381"/>
      <c r="D21" s="380"/>
      <c r="E21" s="379"/>
      <c r="F21" s="582">
        <v>0</v>
      </c>
      <c r="G21" s="378">
        <f>CHOOSE(BA21+1,HSV+PSV,HSV+PSV+Mont,HSV+PSV+Dodavka+Mont,HSV,PSV,Mont,Dodavka,Mont+Dodavka,0)</f>
        <v>0</v>
      </c>
      <c r="H21" s="377"/>
      <c r="I21" s="376">
        <f>E21+F21*G21/100</f>
        <v>0</v>
      </c>
      <c r="BA21" s="369">
        <v>0</v>
      </c>
    </row>
    <row r="22" spans="1:53" ht="13.5" thickBot="1" x14ac:dyDescent="0.25">
      <c r="A22" s="375"/>
      <c r="B22" s="374" t="s">
        <v>453</v>
      </c>
      <c r="C22" s="373"/>
      <c r="D22" s="372"/>
      <c r="E22" s="371"/>
      <c r="F22" s="370"/>
      <c r="G22" s="370"/>
      <c r="H22" s="685">
        <f>SUM(I18:I21)</f>
        <v>0</v>
      </c>
      <c r="I22" s="686"/>
    </row>
    <row r="24" spans="1:53" x14ac:dyDescent="0.2">
      <c r="B24" s="394"/>
      <c r="F24" s="523"/>
      <c r="G24" s="522"/>
      <c r="H24" s="522"/>
      <c r="I24" s="521"/>
    </row>
    <row r="25" spans="1:53" x14ac:dyDescent="0.2">
      <c r="F25" s="523"/>
      <c r="G25" s="522"/>
      <c r="H25" s="522"/>
      <c r="I25" s="521"/>
    </row>
    <row r="26" spans="1:53" x14ac:dyDescent="0.2">
      <c r="F26" s="523"/>
      <c r="G26" s="522"/>
      <c r="H26" s="522"/>
      <c r="I26" s="521"/>
    </row>
    <row r="27" spans="1:53" x14ac:dyDescent="0.2">
      <c r="F27" s="523"/>
      <c r="G27" s="522"/>
      <c r="H27" s="522"/>
      <c r="I27" s="521"/>
    </row>
    <row r="28" spans="1:53" x14ac:dyDescent="0.2">
      <c r="F28" s="523"/>
      <c r="G28" s="522"/>
      <c r="H28" s="522"/>
      <c r="I28" s="521"/>
    </row>
    <row r="29" spans="1:53" x14ac:dyDescent="0.2">
      <c r="F29" s="523"/>
      <c r="G29" s="522"/>
      <c r="H29" s="522"/>
      <c r="I29" s="521"/>
    </row>
    <row r="30" spans="1:53" x14ac:dyDescent="0.2">
      <c r="F30" s="523"/>
      <c r="G30" s="522"/>
      <c r="H30" s="522"/>
      <c r="I30" s="521"/>
    </row>
    <row r="31" spans="1:53" x14ac:dyDescent="0.2">
      <c r="F31" s="523"/>
      <c r="G31" s="522"/>
      <c r="H31" s="522"/>
      <c r="I31" s="521"/>
    </row>
    <row r="32" spans="1:53" x14ac:dyDescent="0.2">
      <c r="F32" s="523"/>
      <c r="G32" s="522"/>
      <c r="H32" s="522"/>
      <c r="I32" s="521"/>
    </row>
    <row r="33" spans="6:9" x14ac:dyDescent="0.2">
      <c r="F33" s="523"/>
      <c r="G33" s="522"/>
      <c r="H33" s="522"/>
      <c r="I33" s="521"/>
    </row>
    <row r="34" spans="6:9" x14ac:dyDescent="0.2">
      <c r="F34" s="523"/>
      <c r="G34" s="522"/>
      <c r="H34" s="522"/>
      <c r="I34" s="521"/>
    </row>
    <row r="35" spans="6:9" x14ac:dyDescent="0.2">
      <c r="F35" s="523"/>
      <c r="G35" s="522"/>
      <c r="H35" s="522"/>
      <c r="I35" s="521"/>
    </row>
    <row r="36" spans="6:9" x14ac:dyDescent="0.2">
      <c r="F36" s="523"/>
      <c r="G36" s="522"/>
      <c r="H36" s="522"/>
      <c r="I36" s="521"/>
    </row>
    <row r="37" spans="6:9" x14ac:dyDescent="0.2">
      <c r="F37" s="523"/>
      <c r="G37" s="522"/>
      <c r="H37" s="522"/>
      <c r="I37" s="521"/>
    </row>
    <row r="38" spans="6:9" x14ac:dyDescent="0.2">
      <c r="F38" s="523"/>
      <c r="G38" s="522"/>
      <c r="H38" s="522"/>
      <c r="I38" s="521"/>
    </row>
    <row r="39" spans="6:9" x14ac:dyDescent="0.2">
      <c r="F39" s="523"/>
      <c r="G39" s="522"/>
      <c r="H39" s="522"/>
      <c r="I39" s="521"/>
    </row>
    <row r="40" spans="6:9" x14ac:dyDescent="0.2">
      <c r="F40" s="523"/>
      <c r="G40" s="522"/>
      <c r="H40" s="522"/>
      <c r="I40" s="521"/>
    </row>
    <row r="41" spans="6:9" x14ac:dyDescent="0.2">
      <c r="F41" s="523"/>
      <c r="G41" s="522"/>
      <c r="H41" s="522"/>
      <c r="I41" s="521"/>
    </row>
    <row r="42" spans="6:9" x14ac:dyDescent="0.2">
      <c r="F42" s="523"/>
      <c r="G42" s="522"/>
      <c r="H42" s="522"/>
      <c r="I42" s="521"/>
    </row>
    <row r="43" spans="6:9" x14ac:dyDescent="0.2">
      <c r="F43" s="523"/>
      <c r="G43" s="522"/>
      <c r="H43" s="522"/>
      <c r="I43" s="521"/>
    </row>
    <row r="44" spans="6:9" x14ac:dyDescent="0.2">
      <c r="F44" s="523"/>
      <c r="G44" s="522"/>
      <c r="H44" s="522"/>
      <c r="I44" s="521"/>
    </row>
    <row r="45" spans="6:9" x14ac:dyDescent="0.2">
      <c r="F45" s="523"/>
      <c r="G45" s="522"/>
      <c r="H45" s="522"/>
      <c r="I45" s="521"/>
    </row>
    <row r="46" spans="6:9" x14ac:dyDescent="0.2">
      <c r="F46" s="523"/>
      <c r="G46" s="522"/>
      <c r="H46" s="522"/>
      <c r="I46" s="521"/>
    </row>
    <row r="47" spans="6:9" x14ac:dyDescent="0.2">
      <c r="F47" s="523"/>
      <c r="G47" s="522"/>
      <c r="H47" s="522"/>
      <c r="I47" s="521"/>
    </row>
    <row r="48" spans="6:9" x14ac:dyDescent="0.2">
      <c r="F48" s="523"/>
      <c r="G48" s="522"/>
      <c r="H48" s="522"/>
      <c r="I48" s="521"/>
    </row>
    <row r="49" spans="6:9" x14ac:dyDescent="0.2">
      <c r="F49" s="523"/>
      <c r="G49" s="522"/>
      <c r="H49" s="522"/>
      <c r="I49" s="521"/>
    </row>
    <row r="50" spans="6:9" x14ac:dyDescent="0.2">
      <c r="F50" s="523"/>
      <c r="G50" s="522"/>
      <c r="H50" s="522"/>
      <c r="I50" s="521"/>
    </row>
    <row r="51" spans="6:9" x14ac:dyDescent="0.2">
      <c r="F51" s="523"/>
      <c r="G51" s="522"/>
      <c r="H51" s="522"/>
      <c r="I51" s="521"/>
    </row>
    <row r="52" spans="6:9" x14ac:dyDescent="0.2">
      <c r="F52" s="523"/>
      <c r="G52" s="522"/>
      <c r="H52" s="522"/>
      <c r="I52" s="521"/>
    </row>
    <row r="53" spans="6:9" x14ac:dyDescent="0.2">
      <c r="F53" s="523"/>
      <c r="G53" s="522"/>
      <c r="H53" s="522"/>
      <c r="I53" s="521"/>
    </row>
    <row r="54" spans="6:9" x14ac:dyDescent="0.2">
      <c r="F54" s="523"/>
      <c r="G54" s="522"/>
      <c r="H54" s="522"/>
      <c r="I54" s="521"/>
    </row>
    <row r="55" spans="6:9" x14ac:dyDescent="0.2">
      <c r="F55" s="523"/>
      <c r="G55" s="522"/>
      <c r="H55" s="522"/>
      <c r="I55" s="521"/>
    </row>
    <row r="56" spans="6:9" x14ac:dyDescent="0.2">
      <c r="F56" s="523"/>
      <c r="G56" s="522"/>
      <c r="H56" s="522"/>
      <c r="I56" s="521"/>
    </row>
    <row r="57" spans="6:9" x14ac:dyDescent="0.2">
      <c r="F57" s="523"/>
      <c r="G57" s="522"/>
      <c r="H57" s="522"/>
      <c r="I57" s="521"/>
    </row>
    <row r="58" spans="6:9" x14ac:dyDescent="0.2">
      <c r="F58" s="523"/>
      <c r="G58" s="522"/>
      <c r="H58" s="522"/>
      <c r="I58" s="521"/>
    </row>
    <row r="59" spans="6:9" x14ac:dyDescent="0.2">
      <c r="F59" s="523"/>
      <c r="G59" s="522"/>
      <c r="H59" s="522"/>
      <c r="I59" s="521"/>
    </row>
    <row r="60" spans="6:9" x14ac:dyDescent="0.2">
      <c r="F60" s="523"/>
      <c r="G60" s="522"/>
      <c r="H60" s="522"/>
      <c r="I60" s="521"/>
    </row>
    <row r="61" spans="6:9" x14ac:dyDescent="0.2">
      <c r="F61" s="523"/>
      <c r="G61" s="522"/>
      <c r="H61" s="522"/>
      <c r="I61" s="521"/>
    </row>
    <row r="62" spans="6:9" x14ac:dyDescent="0.2">
      <c r="F62" s="523"/>
      <c r="G62" s="522"/>
      <c r="H62" s="522"/>
      <c r="I62" s="521"/>
    </row>
    <row r="63" spans="6:9" x14ac:dyDescent="0.2">
      <c r="F63" s="523"/>
      <c r="G63" s="522"/>
      <c r="H63" s="522"/>
      <c r="I63" s="521"/>
    </row>
    <row r="64" spans="6:9" x14ac:dyDescent="0.2">
      <c r="F64" s="523"/>
      <c r="G64" s="522"/>
      <c r="H64" s="522"/>
      <c r="I64" s="521"/>
    </row>
    <row r="65" spans="6:9" x14ac:dyDescent="0.2">
      <c r="F65" s="523"/>
      <c r="G65" s="522"/>
      <c r="H65" s="522"/>
      <c r="I65" s="521"/>
    </row>
    <row r="66" spans="6:9" x14ac:dyDescent="0.2">
      <c r="F66" s="523"/>
      <c r="G66" s="522"/>
      <c r="H66" s="522"/>
      <c r="I66" s="521"/>
    </row>
    <row r="67" spans="6:9" x14ac:dyDescent="0.2">
      <c r="F67" s="523"/>
      <c r="G67" s="522"/>
      <c r="H67" s="522"/>
      <c r="I67" s="521"/>
    </row>
    <row r="68" spans="6:9" x14ac:dyDescent="0.2">
      <c r="F68" s="523"/>
      <c r="G68" s="522"/>
      <c r="H68" s="522"/>
      <c r="I68" s="521"/>
    </row>
    <row r="69" spans="6:9" x14ac:dyDescent="0.2">
      <c r="F69" s="523"/>
      <c r="G69" s="522"/>
      <c r="H69" s="522"/>
      <c r="I69" s="521"/>
    </row>
    <row r="70" spans="6:9" x14ac:dyDescent="0.2">
      <c r="F70" s="523"/>
      <c r="G70" s="522"/>
      <c r="H70" s="522"/>
      <c r="I70" s="521"/>
    </row>
    <row r="71" spans="6:9" x14ac:dyDescent="0.2">
      <c r="F71" s="523"/>
      <c r="G71" s="522"/>
      <c r="H71" s="522"/>
      <c r="I71" s="521"/>
    </row>
    <row r="72" spans="6:9" x14ac:dyDescent="0.2">
      <c r="F72" s="523"/>
      <c r="G72" s="522"/>
      <c r="H72" s="522"/>
      <c r="I72" s="521"/>
    </row>
    <row r="73" spans="6:9" x14ac:dyDescent="0.2">
      <c r="F73" s="523"/>
      <c r="G73" s="522"/>
      <c r="H73" s="522"/>
      <c r="I73" s="521"/>
    </row>
  </sheetData>
  <sheetProtection algorithmName="SHA-512" hashValue="ns4XrmbkxuFLMWdAuVoYpX70Y775I2dZmBpaIzNz05uk01Bz2l8z6Scb26UZkIx52H3SXEz3ZQYA9fPyDYkJoQ==" saltValue="87ScafkGH1cIrXD1h6c4gQ==" spinCount="100000" sheet="1" objects="1" scenarios="1"/>
  <mergeCells count="4">
    <mergeCell ref="A1:B1"/>
    <mergeCell ref="A2:B2"/>
    <mergeCell ref="G2:I2"/>
    <mergeCell ref="H22:I22"/>
  </mergeCells>
  <pageMargins left="0.59055118110236227" right="0.39370078740157483" top="0.98425196850393704" bottom="0.98425196850393704" header="0.51181102362204722" footer="0.51181102362204722"/>
  <pageSetup paperSize="9" scale="98" orientation="portrait" horizontalDpi="300" verticalDpi="300" r:id="rId1"/>
  <headerFooter alignWithMargins="0">
    <oddFooter>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00FE-C4B8-4690-80F6-16786094E3E3}">
  <dimension ref="A1:DB118"/>
  <sheetViews>
    <sheetView showGridLines="0" showZeros="0" view="pageBreakPreview" topLeftCell="A30" zoomScale="115" zoomScaleNormal="145" zoomScaleSheetLayoutView="115" workbookViewId="0">
      <selection activeCell="F29" sqref="F29:F56"/>
    </sheetView>
  </sheetViews>
  <sheetFormatPr defaultColWidth="9.140625" defaultRowHeight="12.75" x14ac:dyDescent="0.2"/>
  <cols>
    <col min="1" max="1" width="3.85546875" style="363" customWidth="1"/>
    <col min="2" max="2" width="12" style="363" customWidth="1"/>
    <col min="3" max="3" width="40.42578125" style="363" customWidth="1"/>
    <col min="4" max="4" width="5.5703125" style="363" customWidth="1"/>
    <col min="5" max="5" width="8.5703125" style="364" customWidth="1"/>
    <col min="6" max="6" width="9.85546875" style="363" customWidth="1"/>
    <col min="7" max="7" width="13.85546875" style="363" customWidth="1"/>
    <col min="8" max="14" width="15.85546875" style="363" customWidth="1"/>
    <col min="15" max="105" width="9.7109375" style="363" customWidth="1"/>
    <col min="106" max="16384" width="9.140625" style="363"/>
  </cols>
  <sheetData>
    <row r="1" spans="1:104" ht="15.75" x14ac:dyDescent="0.25">
      <c r="A1" s="658" t="s">
        <v>544</v>
      </c>
      <c r="B1" s="658"/>
      <c r="C1" s="658"/>
      <c r="D1" s="658"/>
      <c r="E1" s="658"/>
      <c r="F1" s="658"/>
      <c r="G1" s="658"/>
    </row>
    <row r="2" spans="1:104" ht="13.5" thickBot="1" x14ac:dyDescent="0.25">
      <c r="B2" s="448"/>
      <c r="C2" s="446"/>
      <c r="D2" s="446"/>
      <c r="E2" s="447"/>
      <c r="F2" s="446"/>
      <c r="G2" s="446"/>
    </row>
    <row r="3" spans="1:104" ht="13.5" thickTop="1" x14ac:dyDescent="0.2">
      <c r="A3" s="659" t="s">
        <v>464</v>
      </c>
      <c r="B3" s="660"/>
      <c r="C3" s="420" t="str">
        <f>CONCATENATE(cislostavby," ",nazevstavby)</f>
        <v xml:space="preserve"> Novostavba hřbitovního domku a přípojek  </v>
      </c>
      <c r="D3" s="418"/>
      <c r="E3" s="445"/>
      <c r="F3" s="548">
        <f>'2-Rekapitulace'!H1</f>
        <v>0</v>
      </c>
      <c r="G3" s="444"/>
    </row>
    <row r="4" spans="1:104" ht="13.5" thickBot="1" x14ac:dyDescent="0.25">
      <c r="A4" s="661" t="s">
        <v>463</v>
      </c>
      <c r="B4" s="662"/>
      <c r="C4" s="415" t="str">
        <f>CONCATENATE(cisloobjektu," ",nazevobjektu)</f>
        <v xml:space="preserve">  2 - SO 02 Vodovodní přípojka</v>
      </c>
      <c r="D4" s="413"/>
      <c r="E4" s="663"/>
      <c r="F4" s="663"/>
      <c r="G4" s="664"/>
    </row>
    <row r="5" spans="1:104" ht="13.5" thickTop="1" x14ac:dyDescent="0.2">
      <c r="A5" s="443"/>
    </row>
    <row r="6" spans="1:104" x14ac:dyDescent="0.2">
      <c r="A6" s="442" t="s">
        <v>543</v>
      </c>
      <c r="B6" s="441" t="s">
        <v>542</v>
      </c>
      <c r="C6" s="441" t="s">
        <v>541</v>
      </c>
      <c r="D6" s="441" t="s">
        <v>144</v>
      </c>
      <c r="E6" s="441" t="s">
        <v>540</v>
      </c>
      <c r="F6" s="441" t="s">
        <v>539</v>
      </c>
      <c r="G6" s="440" t="s">
        <v>538</v>
      </c>
    </row>
    <row r="7" spans="1:104" x14ac:dyDescent="0.2">
      <c r="A7" s="439" t="s">
        <v>477</v>
      </c>
      <c r="B7" s="438" t="s">
        <v>91</v>
      </c>
      <c r="C7" s="437" t="s">
        <v>537</v>
      </c>
      <c r="D7" s="436"/>
      <c r="E7" s="435"/>
      <c r="F7" s="566"/>
      <c r="G7" s="434"/>
      <c r="O7" s="422">
        <v>1</v>
      </c>
    </row>
    <row r="8" spans="1:104" x14ac:dyDescent="0.2">
      <c r="A8" s="433">
        <v>1</v>
      </c>
      <c r="B8" s="432" t="s">
        <v>536</v>
      </c>
      <c r="C8" s="431" t="s">
        <v>535</v>
      </c>
      <c r="D8" s="430" t="s">
        <v>272</v>
      </c>
      <c r="E8" s="429">
        <v>1</v>
      </c>
      <c r="F8" s="567"/>
      <c r="G8" s="428">
        <f t="shared" ref="G8:G22" si="0">E8*F8</f>
        <v>0</v>
      </c>
      <c r="O8" s="422">
        <v>2</v>
      </c>
      <c r="AA8" s="363">
        <v>12</v>
      </c>
      <c r="AB8" s="363">
        <v>1</v>
      </c>
      <c r="AC8" s="363">
        <v>1</v>
      </c>
      <c r="AZ8" s="363">
        <v>1</v>
      </c>
      <c r="BA8" s="363">
        <f t="shared" ref="BA8:BA22" si="1">IF(AZ8=1,G8,0)</f>
        <v>0</v>
      </c>
      <c r="BB8" s="363">
        <f t="shared" ref="BB8:BB22" si="2">IF(AZ8=2,G8,0)</f>
        <v>0</v>
      </c>
      <c r="BC8" s="363">
        <f t="shared" ref="BC8:BC22" si="3">IF(AZ8=3,G8,0)</f>
        <v>0</v>
      </c>
      <c r="BD8" s="363">
        <f t="shared" ref="BD8:BD22" si="4">IF(AZ8=4,G8,0)</f>
        <v>0</v>
      </c>
      <c r="BE8" s="363">
        <f t="shared" ref="BE8:BE22" si="5">IF(AZ8=5,G8,0)</f>
        <v>0</v>
      </c>
      <c r="CZ8" s="363">
        <v>3.6909999999999998E-2</v>
      </c>
    </row>
    <row r="9" spans="1:104" x14ac:dyDescent="0.2">
      <c r="A9" s="433">
        <v>2</v>
      </c>
      <c r="B9" s="432" t="s">
        <v>741</v>
      </c>
      <c r="C9" s="431" t="s">
        <v>534</v>
      </c>
      <c r="D9" s="430" t="s">
        <v>94</v>
      </c>
      <c r="E9" s="429">
        <v>92.8</v>
      </c>
      <c r="F9" s="567"/>
      <c r="G9" s="428">
        <f t="shared" si="0"/>
        <v>0</v>
      </c>
      <c r="O9" s="422">
        <v>2</v>
      </c>
      <c r="AA9" s="363">
        <v>12</v>
      </c>
      <c r="AB9" s="363">
        <v>1</v>
      </c>
      <c r="AC9" s="363">
        <v>2</v>
      </c>
      <c r="AZ9" s="363">
        <v>1</v>
      </c>
      <c r="BA9" s="363">
        <f t="shared" si="1"/>
        <v>0</v>
      </c>
      <c r="BB9" s="363">
        <f t="shared" si="2"/>
        <v>0</v>
      </c>
      <c r="BC9" s="363">
        <f t="shared" si="3"/>
        <v>0</v>
      </c>
      <c r="BD9" s="363">
        <f t="shared" si="4"/>
        <v>0</v>
      </c>
      <c r="BE9" s="363">
        <f t="shared" si="5"/>
        <v>0</v>
      </c>
      <c r="CZ9" s="363">
        <v>0</v>
      </c>
    </row>
    <row r="10" spans="1:104" x14ac:dyDescent="0.2">
      <c r="A10" s="433">
        <v>3</v>
      </c>
      <c r="B10" s="432" t="s">
        <v>742</v>
      </c>
      <c r="C10" s="431" t="s">
        <v>533</v>
      </c>
      <c r="D10" s="430" t="s">
        <v>94</v>
      </c>
      <c r="E10" s="429">
        <v>92.8</v>
      </c>
      <c r="F10" s="567"/>
      <c r="G10" s="428">
        <f t="shared" si="0"/>
        <v>0</v>
      </c>
      <c r="O10" s="422">
        <v>2</v>
      </c>
      <c r="AA10" s="363">
        <v>12</v>
      </c>
      <c r="AB10" s="363">
        <v>1</v>
      </c>
      <c r="AC10" s="363">
        <v>3</v>
      </c>
      <c r="AZ10" s="363">
        <v>1</v>
      </c>
      <c r="BA10" s="363">
        <f t="shared" si="1"/>
        <v>0</v>
      </c>
      <c r="BB10" s="363">
        <f t="shared" si="2"/>
        <v>0</v>
      </c>
      <c r="BC10" s="363">
        <f t="shared" si="3"/>
        <v>0</v>
      </c>
      <c r="BD10" s="363">
        <f t="shared" si="4"/>
        <v>0</v>
      </c>
      <c r="BE10" s="363">
        <f t="shared" si="5"/>
        <v>0</v>
      </c>
      <c r="CZ10" s="363">
        <v>0</v>
      </c>
    </row>
    <row r="11" spans="1:104" x14ac:dyDescent="0.2">
      <c r="A11" s="433">
        <v>4</v>
      </c>
      <c r="B11" s="432" t="s">
        <v>532</v>
      </c>
      <c r="C11" s="431" t="s">
        <v>531</v>
      </c>
      <c r="D11" s="430" t="s">
        <v>94</v>
      </c>
      <c r="E11" s="429">
        <v>92.8</v>
      </c>
      <c r="F11" s="567"/>
      <c r="G11" s="428">
        <f t="shared" si="0"/>
        <v>0</v>
      </c>
      <c r="O11" s="422">
        <v>2</v>
      </c>
      <c r="AA11" s="363">
        <v>12</v>
      </c>
      <c r="AB11" s="363">
        <v>1</v>
      </c>
      <c r="AC11" s="363">
        <v>4</v>
      </c>
      <c r="AZ11" s="363">
        <v>1</v>
      </c>
      <c r="BA11" s="363">
        <f t="shared" si="1"/>
        <v>0</v>
      </c>
      <c r="BB11" s="363">
        <f t="shared" si="2"/>
        <v>0</v>
      </c>
      <c r="BC11" s="363">
        <f t="shared" si="3"/>
        <v>0</v>
      </c>
      <c r="BD11" s="363">
        <f t="shared" si="4"/>
        <v>0</v>
      </c>
      <c r="BE11" s="363">
        <f t="shared" si="5"/>
        <v>0</v>
      </c>
      <c r="CZ11" s="363">
        <v>0</v>
      </c>
    </row>
    <row r="12" spans="1:104" x14ac:dyDescent="0.2">
      <c r="A12" s="433">
        <v>5</v>
      </c>
      <c r="B12" s="432" t="s">
        <v>530</v>
      </c>
      <c r="C12" s="431" t="s">
        <v>529</v>
      </c>
      <c r="D12" s="430" t="s">
        <v>94</v>
      </c>
      <c r="E12" s="429">
        <v>22</v>
      </c>
      <c r="F12" s="567"/>
      <c r="G12" s="428">
        <f t="shared" si="0"/>
        <v>0</v>
      </c>
      <c r="O12" s="422">
        <v>2</v>
      </c>
      <c r="AA12" s="363">
        <v>12</v>
      </c>
      <c r="AB12" s="363">
        <v>1</v>
      </c>
      <c r="AC12" s="363">
        <v>5</v>
      </c>
      <c r="AZ12" s="363">
        <v>1</v>
      </c>
      <c r="BA12" s="363">
        <f t="shared" si="1"/>
        <v>0</v>
      </c>
      <c r="BB12" s="363">
        <f t="shared" si="2"/>
        <v>0</v>
      </c>
      <c r="BC12" s="363">
        <f t="shared" si="3"/>
        <v>0</v>
      </c>
      <c r="BD12" s="363">
        <f t="shared" si="4"/>
        <v>0</v>
      </c>
      <c r="BE12" s="363">
        <f t="shared" si="5"/>
        <v>0</v>
      </c>
      <c r="CZ12" s="363">
        <v>0</v>
      </c>
    </row>
    <row r="13" spans="1:104" x14ac:dyDescent="0.2">
      <c r="A13" s="433">
        <v>6</v>
      </c>
      <c r="B13" s="432" t="s">
        <v>528</v>
      </c>
      <c r="C13" s="431" t="s">
        <v>527</v>
      </c>
      <c r="D13" s="430" t="s">
        <v>92</v>
      </c>
      <c r="E13" s="429">
        <v>273</v>
      </c>
      <c r="F13" s="567"/>
      <c r="G13" s="428">
        <f t="shared" si="0"/>
        <v>0</v>
      </c>
      <c r="O13" s="422">
        <v>2</v>
      </c>
      <c r="AA13" s="363">
        <v>12</v>
      </c>
      <c r="AB13" s="363">
        <v>1</v>
      </c>
      <c r="AC13" s="363">
        <v>6</v>
      </c>
      <c r="AZ13" s="363">
        <v>1</v>
      </c>
      <c r="BA13" s="363">
        <f t="shared" si="1"/>
        <v>0</v>
      </c>
      <c r="BB13" s="363">
        <f t="shared" si="2"/>
        <v>0</v>
      </c>
      <c r="BC13" s="363">
        <f t="shared" si="3"/>
        <v>0</v>
      </c>
      <c r="BD13" s="363">
        <f t="shared" si="4"/>
        <v>0</v>
      </c>
      <c r="BE13" s="363">
        <f t="shared" si="5"/>
        <v>0</v>
      </c>
      <c r="CZ13" s="363">
        <v>9.8999999999999999E-4</v>
      </c>
    </row>
    <row r="14" spans="1:104" x14ac:dyDescent="0.2">
      <c r="A14" s="433">
        <v>7</v>
      </c>
      <c r="B14" s="432" t="s">
        <v>526</v>
      </c>
      <c r="C14" s="431" t="s">
        <v>525</v>
      </c>
      <c r="D14" s="430" t="s">
        <v>92</v>
      </c>
      <c r="E14" s="429">
        <v>273</v>
      </c>
      <c r="F14" s="567"/>
      <c r="G14" s="428">
        <f t="shared" si="0"/>
        <v>0</v>
      </c>
      <c r="O14" s="422">
        <v>2</v>
      </c>
      <c r="AA14" s="363">
        <v>12</v>
      </c>
      <c r="AB14" s="363">
        <v>1</v>
      </c>
      <c r="AC14" s="363">
        <v>7</v>
      </c>
      <c r="AZ14" s="363">
        <v>1</v>
      </c>
      <c r="BA14" s="363">
        <f t="shared" si="1"/>
        <v>0</v>
      </c>
      <c r="BB14" s="363">
        <f t="shared" si="2"/>
        <v>0</v>
      </c>
      <c r="BC14" s="363">
        <f t="shared" si="3"/>
        <v>0</v>
      </c>
      <c r="BD14" s="363">
        <f t="shared" si="4"/>
        <v>0</v>
      </c>
      <c r="BE14" s="363">
        <f t="shared" si="5"/>
        <v>0</v>
      </c>
      <c r="CZ14" s="363">
        <v>0</v>
      </c>
    </row>
    <row r="15" spans="1:104" x14ac:dyDescent="0.2">
      <c r="A15" s="433">
        <v>8</v>
      </c>
      <c r="B15" s="432" t="s">
        <v>127</v>
      </c>
      <c r="C15" s="431" t="s">
        <v>524</v>
      </c>
      <c r="D15" s="430" t="s">
        <v>94</v>
      </c>
      <c r="E15" s="429">
        <v>22</v>
      </c>
      <c r="F15" s="567"/>
      <c r="G15" s="428">
        <f t="shared" si="0"/>
        <v>0</v>
      </c>
      <c r="O15" s="422">
        <v>2</v>
      </c>
      <c r="AA15" s="363">
        <v>12</v>
      </c>
      <c r="AB15" s="363">
        <v>1</v>
      </c>
      <c r="AC15" s="363">
        <v>8</v>
      </c>
      <c r="AZ15" s="363">
        <v>1</v>
      </c>
      <c r="BA15" s="363">
        <f t="shared" si="1"/>
        <v>0</v>
      </c>
      <c r="BB15" s="363">
        <f t="shared" si="2"/>
        <v>0</v>
      </c>
      <c r="BC15" s="363">
        <f t="shared" si="3"/>
        <v>0</v>
      </c>
      <c r="BD15" s="363">
        <f t="shared" si="4"/>
        <v>0</v>
      </c>
      <c r="BE15" s="363">
        <f t="shared" si="5"/>
        <v>0</v>
      </c>
      <c r="CZ15" s="363">
        <v>0</v>
      </c>
    </row>
    <row r="16" spans="1:104" x14ac:dyDescent="0.2">
      <c r="A16" s="433">
        <v>9</v>
      </c>
      <c r="B16" s="432" t="s">
        <v>523</v>
      </c>
      <c r="C16" s="431" t="s">
        <v>522</v>
      </c>
      <c r="D16" s="430" t="s">
        <v>94</v>
      </c>
      <c r="E16" s="429">
        <v>22</v>
      </c>
      <c r="F16" s="567"/>
      <c r="G16" s="428">
        <f t="shared" si="0"/>
        <v>0</v>
      </c>
      <c r="O16" s="422">
        <v>2</v>
      </c>
      <c r="AA16" s="363">
        <v>12</v>
      </c>
      <c r="AB16" s="363">
        <v>1</v>
      </c>
      <c r="AC16" s="363">
        <v>9</v>
      </c>
      <c r="AZ16" s="363">
        <v>1</v>
      </c>
      <c r="BA16" s="363">
        <f t="shared" si="1"/>
        <v>0</v>
      </c>
      <c r="BB16" s="363">
        <f t="shared" si="2"/>
        <v>0</v>
      </c>
      <c r="BC16" s="363">
        <f t="shared" si="3"/>
        <v>0</v>
      </c>
      <c r="BD16" s="363">
        <f t="shared" si="4"/>
        <v>0</v>
      </c>
      <c r="BE16" s="363">
        <f t="shared" si="5"/>
        <v>0</v>
      </c>
      <c r="CZ16" s="363">
        <v>0</v>
      </c>
    </row>
    <row r="17" spans="1:106" x14ac:dyDescent="0.2">
      <c r="A17" s="433">
        <v>10</v>
      </c>
      <c r="B17" s="432" t="s">
        <v>521</v>
      </c>
      <c r="C17" s="431" t="s">
        <v>737</v>
      </c>
      <c r="D17" s="430" t="s">
        <v>94</v>
      </c>
      <c r="E17" s="429">
        <v>22</v>
      </c>
      <c r="F17" s="567"/>
      <c r="G17" s="428">
        <f t="shared" si="0"/>
        <v>0</v>
      </c>
      <c r="O17" s="422">
        <v>2</v>
      </c>
      <c r="AA17" s="363">
        <v>12</v>
      </c>
      <c r="AB17" s="363">
        <v>1</v>
      </c>
      <c r="AC17" s="363">
        <v>10</v>
      </c>
      <c r="AZ17" s="363">
        <v>1</v>
      </c>
      <c r="BA17" s="363">
        <f t="shared" si="1"/>
        <v>0</v>
      </c>
      <c r="BB17" s="363">
        <f t="shared" si="2"/>
        <v>0</v>
      </c>
      <c r="BC17" s="363">
        <f t="shared" si="3"/>
        <v>0</v>
      </c>
      <c r="BD17" s="363">
        <f t="shared" si="4"/>
        <v>0</v>
      </c>
      <c r="BE17" s="363">
        <f t="shared" si="5"/>
        <v>0</v>
      </c>
      <c r="CZ17" s="363">
        <f>DA17*E17</f>
        <v>37.4</v>
      </c>
      <c r="DA17" s="363">
        <v>1.7</v>
      </c>
      <c r="DB17" s="363">
        <v>1.7</v>
      </c>
    </row>
    <row r="18" spans="1:106" x14ac:dyDescent="0.2">
      <c r="A18" s="433">
        <v>11</v>
      </c>
      <c r="B18" s="432" t="s">
        <v>520</v>
      </c>
      <c r="C18" s="431" t="s">
        <v>519</v>
      </c>
      <c r="D18" s="430" t="s">
        <v>94</v>
      </c>
      <c r="E18" s="429">
        <v>70.8</v>
      </c>
      <c r="F18" s="567"/>
      <c r="G18" s="428">
        <f t="shared" si="0"/>
        <v>0</v>
      </c>
      <c r="O18" s="422">
        <v>2</v>
      </c>
      <c r="AA18" s="363">
        <v>12</v>
      </c>
      <c r="AB18" s="363">
        <v>1</v>
      </c>
      <c r="AC18" s="363">
        <v>11</v>
      </c>
      <c r="AZ18" s="363">
        <v>1</v>
      </c>
      <c r="BA18" s="363">
        <f t="shared" si="1"/>
        <v>0</v>
      </c>
      <c r="BB18" s="363">
        <f t="shared" si="2"/>
        <v>0</v>
      </c>
      <c r="BC18" s="363">
        <f t="shared" si="3"/>
        <v>0</v>
      </c>
      <c r="BD18" s="363">
        <f t="shared" si="4"/>
        <v>0</v>
      </c>
      <c r="BE18" s="363">
        <f t="shared" si="5"/>
        <v>0</v>
      </c>
      <c r="CZ18" s="363">
        <v>0</v>
      </c>
    </row>
    <row r="19" spans="1:106" x14ac:dyDescent="0.2">
      <c r="A19" s="433">
        <v>12</v>
      </c>
      <c r="B19" s="432" t="s">
        <v>738</v>
      </c>
      <c r="C19" s="431" t="s">
        <v>518</v>
      </c>
      <c r="D19" s="430" t="s">
        <v>92</v>
      </c>
      <c r="E19" s="429">
        <v>28</v>
      </c>
      <c r="F19" s="567"/>
      <c r="G19" s="428">
        <f t="shared" si="0"/>
        <v>0</v>
      </c>
      <c r="O19" s="422">
        <v>2</v>
      </c>
      <c r="AA19" s="363">
        <v>12</v>
      </c>
      <c r="AB19" s="363">
        <v>1</v>
      </c>
      <c r="AC19" s="363">
        <v>12</v>
      </c>
      <c r="AZ19" s="363">
        <v>1</v>
      </c>
      <c r="BA19" s="363">
        <f t="shared" si="1"/>
        <v>0</v>
      </c>
      <c r="BB19" s="363">
        <f t="shared" si="2"/>
        <v>0</v>
      </c>
      <c r="BC19" s="363">
        <f t="shared" si="3"/>
        <v>0</v>
      </c>
      <c r="BD19" s="363">
        <f t="shared" si="4"/>
        <v>0</v>
      </c>
      <c r="BE19" s="363">
        <f t="shared" si="5"/>
        <v>0</v>
      </c>
      <c r="CZ19" s="363">
        <v>0</v>
      </c>
    </row>
    <row r="20" spans="1:106" x14ac:dyDescent="0.2">
      <c r="A20" s="433">
        <v>13</v>
      </c>
      <c r="B20" s="432" t="s">
        <v>739</v>
      </c>
      <c r="C20" s="431" t="s">
        <v>517</v>
      </c>
      <c r="D20" s="430" t="s">
        <v>82</v>
      </c>
      <c r="E20" s="429">
        <v>11.2</v>
      </c>
      <c r="F20" s="567"/>
      <c r="G20" s="428">
        <f t="shared" si="0"/>
        <v>0</v>
      </c>
      <c r="O20" s="422">
        <v>2</v>
      </c>
      <c r="AA20" s="363">
        <v>12</v>
      </c>
      <c r="AB20" s="363">
        <v>1</v>
      </c>
      <c r="AC20" s="363">
        <v>13</v>
      </c>
      <c r="AZ20" s="363">
        <v>1</v>
      </c>
      <c r="BA20" s="363">
        <f t="shared" si="1"/>
        <v>0</v>
      </c>
      <c r="BB20" s="363">
        <f t="shared" si="2"/>
        <v>0</v>
      </c>
      <c r="BC20" s="363">
        <f t="shared" si="3"/>
        <v>0</v>
      </c>
      <c r="BD20" s="363">
        <f t="shared" si="4"/>
        <v>0</v>
      </c>
      <c r="BE20" s="363">
        <f t="shared" si="5"/>
        <v>0</v>
      </c>
      <c r="CZ20" s="363">
        <v>0</v>
      </c>
    </row>
    <row r="21" spans="1:106" x14ac:dyDescent="0.2">
      <c r="A21" s="433">
        <v>14</v>
      </c>
      <c r="B21" s="432" t="s">
        <v>740</v>
      </c>
      <c r="C21" s="431" t="s">
        <v>516</v>
      </c>
      <c r="D21" s="430" t="s">
        <v>82</v>
      </c>
      <c r="E21" s="429">
        <v>11.2</v>
      </c>
      <c r="F21" s="567"/>
      <c r="G21" s="428">
        <f t="shared" si="0"/>
        <v>0</v>
      </c>
      <c r="O21" s="422">
        <v>2</v>
      </c>
      <c r="AA21" s="363">
        <v>12</v>
      </c>
      <c r="AB21" s="363">
        <v>1</v>
      </c>
      <c r="AC21" s="363">
        <v>14</v>
      </c>
      <c r="AZ21" s="363">
        <v>1</v>
      </c>
      <c r="BA21" s="363">
        <f t="shared" si="1"/>
        <v>0</v>
      </c>
      <c r="BB21" s="363">
        <f t="shared" si="2"/>
        <v>0</v>
      </c>
      <c r="BC21" s="363">
        <f t="shared" si="3"/>
        <v>0</v>
      </c>
      <c r="BD21" s="363">
        <f t="shared" si="4"/>
        <v>0</v>
      </c>
      <c r="BE21" s="363">
        <f t="shared" si="5"/>
        <v>0</v>
      </c>
      <c r="CZ21" s="363">
        <v>0</v>
      </c>
    </row>
    <row r="22" spans="1:106" x14ac:dyDescent="0.2">
      <c r="A22" s="433">
        <v>15</v>
      </c>
      <c r="B22" s="432" t="s">
        <v>515</v>
      </c>
      <c r="C22" s="431" t="s">
        <v>514</v>
      </c>
      <c r="D22" s="430" t="s">
        <v>92</v>
      </c>
      <c r="E22" s="429">
        <v>140</v>
      </c>
      <c r="F22" s="567"/>
      <c r="G22" s="428">
        <f t="shared" si="0"/>
        <v>0</v>
      </c>
      <c r="O22" s="422">
        <v>2</v>
      </c>
      <c r="AA22" s="363">
        <v>12</v>
      </c>
      <c r="AB22" s="363">
        <v>1</v>
      </c>
      <c r="AC22" s="363">
        <v>15</v>
      </c>
      <c r="AZ22" s="363">
        <v>1</v>
      </c>
      <c r="BA22" s="363">
        <f t="shared" si="1"/>
        <v>0</v>
      </c>
      <c r="BB22" s="363">
        <f t="shared" si="2"/>
        <v>0</v>
      </c>
      <c r="BC22" s="363">
        <f t="shared" si="3"/>
        <v>0</v>
      </c>
      <c r="BD22" s="363">
        <f t="shared" si="4"/>
        <v>0</v>
      </c>
      <c r="BE22" s="363">
        <f t="shared" si="5"/>
        <v>0</v>
      </c>
      <c r="CZ22" s="363">
        <v>0</v>
      </c>
    </row>
    <row r="23" spans="1:106" x14ac:dyDescent="0.2">
      <c r="A23" s="425"/>
      <c r="B23" s="427" t="s">
        <v>465</v>
      </c>
      <c r="C23" s="426" t="str">
        <f>CONCATENATE(B7," ",C7)</f>
        <v>1 Zemní práce</v>
      </c>
      <c r="D23" s="425"/>
      <c r="E23" s="424"/>
      <c r="F23" s="568"/>
      <c r="G23" s="423">
        <f>SUM(G7:G22)</f>
        <v>0</v>
      </c>
      <c r="O23" s="422">
        <v>4</v>
      </c>
      <c r="BA23" s="421">
        <f>SUM(BA7:BA22)</f>
        <v>0</v>
      </c>
      <c r="BB23" s="421">
        <f>SUM(BB7:BB22)</f>
        <v>0</v>
      </c>
      <c r="BC23" s="421">
        <f>SUM(BC7:BC22)</f>
        <v>0</v>
      </c>
      <c r="BD23" s="421">
        <f>SUM(BD7:BD22)</f>
        <v>0</v>
      </c>
      <c r="BE23" s="421">
        <f>SUM(BE7:BE22)</f>
        <v>0</v>
      </c>
    </row>
    <row r="24" spans="1:106" x14ac:dyDescent="0.2">
      <c r="A24" s="439" t="s">
        <v>477</v>
      </c>
      <c r="B24" s="438" t="s">
        <v>88</v>
      </c>
      <c r="C24" s="437" t="s">
        <v>513</v>
      </c>
      <c r="D24" s="436"/>
      <c r="E24" s="435"/>
      <c r="F24" s="566"/>
      <c r="G24" s="434"/>
      <c r="O24" s="422">
        <v>1</v>
      </c>
    </row>
    <row r="25" spans="1:106" x14ac:dyDescent="0.2">
      <c r="A25" s="433">
        <v>16</v>
      </c>
      <c r="B25" s="432" t="s">
        <v>512</v>
      </c>
      <c r="C25" s="431" t="s">
        <v>511</v>
      </c>
      <c r="D25" s="430" t="s">
        <v>82</v>
      </c>
      <c r="E25" s="429">
        <v>12.6</v>
      </c>
      <c r="F25" s="567"/>
      <c r="G25" s="428">
        <f>E25*F25</f>
        <v>0</v>
      </c>
      <c r="O25" s="422">
        <v>2</v>
      </c>
      <c r="AA25" s="363">
        <v>12</v>
      </c>
      <c r="AB25" s="363">
        <v>1</v>
      </c>
      <c r="AC25" s="363">
        <v>16</v>
      </c>
      <c r="AZ25" s="363">
        <v>1</v>
      </c>
      <c r="BA25" s="363">
        <f>IF(AZ25=1,G25,0)</f>
        <v>0</v>
      </c>
      <c r="BB25" s="363">
        <f>IF(AZ25=2,G25,0)</f>
        <v>0</v>
      </c>
      <c r="BC25" s="363">
        <f>IF(AZ25=3,G25,0)</f>
        <v>0</v>
      </c>
      <c r="BD25" s="363">
        <f>IF(AZ25=4,G25,0)</f>
        <v>0</v>
      </c>
      <c r="BE25" s="363">
        <f>IF(AZ25=5,G25,0)</f>
        <v>0</v>
      </c>
      <c r="CZ25" s="540">
        <f>E25</f>
        <v>12.6</v>
      </c>
      <c r="DB25" s="363">
        <v>1.01</v>
      </c>
    </row>
    <row r="26" spans="1:106" x14ac:dyDescent="0.2">
      <c r="A26" s="433">
        <v>17</v>
      </c>
      <c r="B26" s="432" t="s">
        <v>510</v>
      </c>
      <c r="C26" s="431" t="s">
        <v>509</v>
      </c>
      <c r="D26" s="430" t="s">
        <v>82</v>
      </c>
      <c r="E26" s="429">
        <v>4.2</v>
      </c>
      <c r="F26" s="567"/>
      <c r="G26" s="428">
        <f>E26*F26</f>
        <v>0</v>
      </c>
      <c r="O26" s="422">
        <v>2</v>
      </c>
      <c r="AA26" s="363">
        <v>12</v>
      </c>
      <c r="AB26" s="363">
        <v>1</v>
      </c>
      <c r="AC26" s="363">
        <v>17</v>
      </c>
      <c r="AZ26" s="363">
        <v>1</v>
      </c>
      <c r="BA26" s="363">
        <f>IF(AZ26=1,G26,0)</f>
        <v>0</v>
      </c>
      <c r="BB26" s="363">
        <f>IF(AZ26=2,G26,0)</f>
        <v>0</v>
      </c>
      <c r="BC26" s="363">
        <f>IF(AZ26=3,G26,0)</f>
        <v>0</v>
      </c>
      <c r="BD26" s="363">
        <f>IF(AZ26=4,G26,0)</f>
        <v>0</v>
      </c>
      <c r="BE26" s="363">
        <f>IF(AZ26=5,G26,0)</f>
        <v>0</v>
      </c>
      <c r="CZ26" s="540">
        <f>E26</f>
        <v>4.2</v>
      </c>
      <c r="DB26" s="363">
        <v>1</v>
      </c>
    </row>
    <row r="27" spans="1:106" x14ac:dyDescent="0.2">
      <c r="A27" s="425"/>
      <c r="B27" s="427" t="s">
        <v>465</v>
      </c>
      <c r="C27" s="426" t="str">
        <f>CONCATENATE(B24," ",C24)</f>
        <v>5 Komunikace</v>
      </c>
      <c r="D27" s="425"/>
      <c r="E27" s="424"/>
      <c r="F27" s="568"/>
      <c r="G27" s="423">
        <f>SUM(G24:G26)</f>
        <v>0</v>
      </c>
      <c r="O27" s="422">
        <v>4</v>
      </c>
      <c r="BA27" s="421">
        <f>SUM(BA24:BA26)</f>
        <v>0</v>
      </c>
      <c r="BB27" s="421">
        <f>SUM(BB24:BB26)</f>
        <v>0</v>
      </c>
      <c r="BC27" s="421">
        <f>SUM(BC24:BC26)</f>
        <v>0</v>
      </c>
      <c r="BD27" s="421">
        <f>SUM(BD24:BD26)</f>
        <v>0</v>
      </c>
      <c r="BE27" s="421">
        <f>SUM(BE24:BE26)</f>
        <v>0</v>
      </c>
    </row>
    <row r="28" spans="1:106" x14ac:dyDescent="0.2">
      <c r="A28" s="439" t="s">
        <v>477</v>
      </c>
      <c r="B28" s="438" t="s">
        <v>508</v>
      </c>
      <c r="C28" s="437" t="s">
        <v>507</v>
      </c>
      <c r="D28" s="436"/>
      <c r="E28" s="435"/>
      <c r="F28" s="566"/>
      <c r="G28" s="434"/>
      <c r="O28" s="422">
        <v>1</v>
      </c>
    </row>
    <row r="29" spans="1:106" x14ac:dyDescent="0.2">
      <c r="A29" s="433">
        <v>18</v>
      </c>
      <c r="B29" s="432" t="s">
        <v>506</v>
      </c>
      <c r="C29" s="431" t="s">
        <v>505</v>
      </c>
      <c r="D29" s="430" t="s">
        <v>265</v>
      </c>
      <c r="E29" s="429">
        <v>1</v>
      </c>
      <c r="F29" s="567"/>
      <c r="G29" s="428">
        <f t="shared" ref="G29:G43" si="6">E29*F29</f>
        <v>0</v>
      </c>
      <c r="O29" s="422">
        <v>2</v>
      </c>
      <c r="AA29" s="363">
        <v>12</v>
      </c>
      <c r="AB29" s="363">
        <v>1</v>
      </c>
      <c r="AC29" s="363">
        <v>18</v>
      </c>
      <c r="AZ29" s="363">
        <v>1</v>
      </c>
      <c r="BA29" s="363">
        <f t="shared" ref="BA29:BA43" si="7">IF(AZ29=1,G29,0)</f>
        <v>0</v>
      </c>
      <c r="BB29" s="363">
        <f t="shared" ref="BB29:BB43" si="8">IF(AZ29=2,G29,0)</f>
        <v>0</v>
      </c>
      <c r="BC29" s="363">
        <f t="shared" ref="BC29:BC43" si="9">IF(AZ29=3,G29,0)</f>
        <v>0</v>
      </c>
      <c r="BD29" s="363">
        <f t="shared" ref="BD29:BD43" si="10">IF(AZ29=4,G29,0)</f>
        <v>0</v>
      </c>
      <c r="BE29" s="363">
        <f t="shared" ref="BE29:BE43" si="11">IF(AZ29=5,G29,0)</f>
        <v>0</v>
      </c>
      <c r="CZ29" s="363">
        <v>8.0000000000000007E-5</v>
      </c>
      <c r="DB29" s="363">
        <v>8.0000000000000007E-5</v>
      </c>
    </row>
    <row r="30" spans="1:106" x14ac:dyDescent="0.2">
      <c r="A30" s="433">
        <v>19</v>
      </c>
      <c r="B30" s="432" t="s">
        <v>504</v>
      </c>
      <c r="C30" s="431" t="s">
        <v>503</v>
      </c>
      <c r="D30" s="430" t="s">
        <v>272</v>
      </c>
      <c r="E30" s="429">
        <v>90</v>
      </c>
      <c r="F30" s="567"/>
      <c r="G30" s="428">
        <f t="shared" si="6"/>
        <v>0</v>
      </c>
      <c r="O30" s="422">
        <v>2</v>
      </c>
      <c r="AA30" s="363">
        <v>12</v>
      </c>
      <c r="AB30" s="363">
        <v>1</v>
      </c>
      <c r="AC30" s="363">
        <v>19</v>
      </c>
      <c r="AZ30" s="363">
        <v>1</v>
      </c>
      <c r="BA30" s="363">
        <f t="shared" si="7"/>
        <v>0</v>
      </c>
      <c r="BB30" s="363">
        <f t="shared" si="8"/>
        <v>0</v>
      </c>
      <c r="BC30" s="363">
        <f t="shared" si="9"/>
        <v>0</v>
      </c>
      <c r="BD30" s="363">
        <f t="shared" si="10"/>
        <v>0</v>
      </c>
      <c r="BE30" s="363">
        <f t="shared" si="11"/>
        <v>0</v>
      </c>
      <c r="CZ30" s="363">
        <v>0</v>
      </c>
      <c r="DB30" s="363">
        <v>0</v>
      </c>
    </row>
    <row r="31" spans="1:106" x14ac:dyDescent="0.2">
      <c r="A31" s="433">
        <v>20</v>
      </c>
      <c r="B31" s="432" t="s">
        <v>502</v>
      </c>
      <c r="C31" s="431" t="s">
        <v>501</v>
      </c>
      <c r="D31" s="430" t="s">
        <v>272</v>
      </c>
      <c r="E31" s="429">
        <v>90</v>
      </c>
      <c r="F31" s="567"/>
      <c r="G31" s="428">
        <f t="shared" si="6"/>
        <v>0</v>
      </c>
      <c r="O31" s="422">
        <v>2</v>
      </c>
      <c r="AA31" s="363">
        <v>12</v>
      </c>
      <c r="AB31" s="363">
        <v>1</v>
      </c>
      <c r="AC31" s="363">
        <v>20</v>
      </c>
      <c r="AZ31" s="363">
        <v>1</v>
      </c>
      <c r="BA31" s="363">
        <f t="shared" si="7"/>
        <v>0</v>
      </c>
      <c r="BB31" s="363">
        <f t="shared" si="8"/>
        <v>0</v>
      </c>
      <c r="BC31" s="363">
        <f t="shared" si="9"/>
        <v>0</v>
      </c>
      <c r="BD31" s="363">
        <f t="shared" si="10"/>
        <v>0</v>
      </c>
      <c r="BE31" s="363">
        <f t="shared" si="11"/>
        <v>0</v>
      </c>
      <c r="CZ31" s="363">
        <v>0</v>
      </c>
      <c r="DB31" s="363">
        <v>0</v>
      </c>
    </row>
    <row r="32" spans="1:106" x14ac:dyDescent="0.2">
      <c r="A32" s="433">
        <v>21</v>
      </c>
      <c r="B32" s="432" t="s">
        <v>500</v>
      </c>
      <c r="C32" s="431" t="s">
        <v>499</v>
      </c>
      <c r="D32" s="430" t="s">
        <v>272</v>
      </c>
      <c r="E32" s="429">
        <v>90</v>
      </c>
      <c r="F32" s="567"/>
      <c r="G32" s="428">
        <f t="shared" si="6"/>
        <v>0</v>
      </c>
      <c r="O32" s="422">
        <v>2</v>
      </c>
      <c r="AA32" s="363">
        <v>12</v>
      </c>
      <c r="AB32" s="363">
        <v>1</v>
      </c>
      <c r="AC32" s="363">
        <v>21</v>
      </c>
      <c r="AZ32" s="363">
        <v>1</v>
      </c>
      <c r="BA32" s="363">
        <f t="shared" si="7"/>
        <v>0</v>
      </c>
      <c r="BB32" s="363">
        <f t="shared" si="8"/>
        <v>0</v>
      </c>
      <c r="BC32" s="363">
        <f t="shared" si="9"/>
        <v>0</v>
      </c>
      <c r="BD32" s="363">
        <f t="shared" si="10"/>
        <v>0</v>
      </c>
      <c r="BE32" s="363">
        <f t="shared" si="11"/>
        <v>0</v>
      </c>
      <c r="CZ32" s="363">
        <v>0</v>
      </c>
      <c r="DB32" s="363">
        <v>0</v>
      </c>
    </row>
    <row r="33" spans="1:106" x14ac:dyDescent="0.2">
      <c r="A33" s="433">
        <v>22</v>
      </c>
      <c r="B33" s="432" t="s">
        <v>773</v>
      </c>
      <c r="C33" s="431" t="s">
        <v>498</v>
      </c>
      <c r="D33" s="430" t="s">
        <v>272</v>
      </c>
      <c r="E33" s="429">
        <v>90</v>
      </c>
      <c r="F33" s="567"/>
      <c r="G33" s="428">
        <f t="shared" si="6"/>
        <v>0</v>
      </c>
      <c r="O33" s="422">
        <v>2</v>
      </c>
      <c r="AA33" s="363">
        <v>12</v>
      </c>
      <c r="AB33" s="363">
        <v>1</v>
      </c>
      <c r="AC33" s="363">
        <v>22</v>
      </c>
      <c r="AZ33" s="363">
        <v>1</v>
      </c>
      <c r="BA33" s="363">
        <f t="shared" si="7"/>
        <v>0</v>
      </c>
      <c r="BB33" s="363">
        <f t="shared" si="8"/>
        <v>0</v>
      </c>
      <c r="BC33" s="363">
        <f t="shared" si="9"/>
        <v>0</v>
      </c>
      <c r="BD33" s="363">
        <f t="shared" si="10"/>
        <v>0</v>
      </c>
      <c r="BE33" s="363">
        <f t="shared" si="11"/>
        <v>0</v>
      </c>
      <c r="CZ33" s="363">
        <f t="shared" ref="CZ33:CZ43" si="12">DA33*E33</f>
        <v>0.18</v>
      </c>
      <c r="DA33" s="363">
        <v>2E-3</v>
      </c>
      <c r="DB33" s="363">
        <v>8.0000000000000004E-4</v>
      </c>
    </row>
    <row r="34" spans="1:106" x14ac:dyDescent="0.2">
      <c r="A34" s="433">
        <v>23</v>
      </c>
      <c r="B34" s="432" t="s">
        <v>775</v>
      </c>
      <c r="C34" s="431" t="s">
        <v>497</v>
      </c>
      <c r="D34" s="430" t="s">
        <v>272</v>
      </c>
      <c r="E34" s="429">
        <v>90</v>
      </c>
      <c r="F34" s="567"/>
      <c r="G34" s="428">
        <f t="shared" si="6"/>
        <v>0</v>
      </c>
      <c r="O34" s="422">
        <v>2</v>
      </c>
      <c r="AA34" s="363">
        <v>12</v>
      </c>
      <c r="AB34" s="363">
        <v>1</v>
      </c>
      <c r="AC34" s="363">
        <v>23</v>
      </c>
      <c r="AZ34" s="363">
        <v>1</v>
      </c>
      <c r="BA34" s="363">
        <f t="shared" si="7"/>
        <v>0</v>
      </c>
      <c r="BB34" s="363">
        <f t="shared" si="8"/>
        <v>0</v>
      </c>
      <c r="BC34" s="363">
        <f t="shared" si="9"/>
        <v>0</v>
      </c>
      <c r="BD34" s="363">
        <f t="shared" si="10"/>
        <v>0</v>
      </c>
      <c r="BE34" s="363">
        <f t="shared" si="11"/>
        <v>0</v>
      </c>
      <c r="CZ34" s="363">
        <f t="shared" si="12"/>
        <v>1.0800000000000001E-2</v>
      </c>
      <c r="DA34" s="363">
        <v>1.2E-4</v>
      </c>
      <c r="DB34" s="363">
        <v>1.0000000000000001E-5</v>
      </c>
    </row>
    <row r="35" spans="1:106" x14ac:dyDescent="0.2">
      <c r="A35" s="433">
        <v>24</v>
      </c>
      <c r="B35" s="432" t="s">
        <v>774</v>
      </c>
      <c r="C35" s="431" t="s">
        <v>496</v>
      </c>
      <c r="D35" s="430" t="s">
        <v>272</v>
      </c>
      <c r="E35" s="429">
        <v>87</v>
      </c>
      <c r="F35" s="567"/>
      <c r="G35" s="428">
        <f t="shared" si="6"/>
        <v>0</v>
      </c>
      <c r="O35" s="422">
        <v>2</v>
      </c>
      <c r="AA35" s="363">
        <v>12</v>
      </c>
      <c r="AB35" s="363">
        <v>1</v>
      </c>
      <c r="AC35" s="363">
        <v>24</v>
      </c>
      <c r="AZ35" s="363">
        <v>1</v>
      </c>
      <c r="BA35" s="363">
        <f t="shared" si="7"/>
        <v>0</v>
      </c>
      <c r="BB35" s="363">
        <f t="shared" si="8"/>
        <v>0</v>
      </c>
      <c r="BC35" s="363">
        <f t="shared" si="9"/>
        <v>0</v>
      </c>
      <c r="BD35" s="363">
        <f t="shared" si="10"/>
        <v>0</v>
      </c>
      <c r="BE35" s="363">
        <f t="shared" si="11"/>
        <v>0</v>
      </c>
      <c r="CZ35" s="363">
        <f t="shared" si="12"/>
        <v>1.044E-3</v>
      </c>
      <c r="DA35" s="363">
        <v>1.2E-5</v>
      </c>
      <c r="DB35" s="363">
        <v>1.0000000000000001E-5</v>
      </c>
    </row>
    <row r="36" spans="1:106" x14ac:dyDescent="0.2">
      <c r="A36" s="433">
        <v>25</v>
      </c>
      <c r="B36" s="432" t="s">
        <v>777</v>
      </c>
      <c r="C36" s="431" t="s">
        <v>495</v>
      </c>
      <c r="D36" s="430" t="s">
        <v>493</v>
      </c>
      <c r="E36" s="429">
        <v>1</v>
      </c>
      <c r="F36" s="567"/>
      <c r="G36" s="428">
        <f t="shared" si="6"/>
        <v>0</v>
      </c>
      <c r="O36" s="422">
        <v>2</v>
      </c>
      <c r="AA36" s="363">
        <v>12</v>
      </c>
      <c r="AB36" s="363">
        <v>1</v>
      </c>
      <c r="AC36" s="363">
        <v>25</v>
      </c>
      <c r="AZ36" s="363">
        <v>1</v>
      </c>
      <c r="BA36" s="363">
        <f t="shared" si="7"/>
        <v>0</v>
      </c>
      <c r="BB36" s="363">
        <f t="shared" si="8"/>
        <v>0</v>
      </c>
      <c r="BC36" s="363">
        <f t="shared" si="9"/>
        <v>0</v>
      </c>
      <c r="BD36" s="363">
        <f t="shared" si="10"/>
        <v>0</v>
      </c>
      <c r="BE36" s="363">
        <f t="shared" si="11"/>
        <v>0</v>
      </c>
      <c r="CZ36" s="363">
        <f t="shared" si="12"/>
        <v>0.05</v>
      </c>
      <c r="DA36" s="363">
        <v>0.05</v>
      </c>
      <c r="DB36" s="363">
        <v>0.06</v>
      </c>
    </row>
    <row r="37" spans="1:106" x14ac:dyDescent="0.2">
      <c r="A37" s="433">
        <v>26</v>
      </c>
      <c r="B37" s="432" t="s">
        <v>776</v>
      </c>
      <c r="C37" s="431" t="s">
        <v>494</v>
      </c>
      <c r="D37" s="430" t="s">
        <v>493</v>
      </c>
      <c r="E37" s="429">
        <v>1</v>
      </c>
      <c r="F37" s="567"/>
      <c r="G37" s="428">
        <f t="shared" si="6"/>
        <v>0</v>
      </c>
      <c r="O37" s="422">
        <v>2</v>
      </c>
      <c r="AA37" s="363">
        <v>12</v>
      </c>
      <c r="AB37" s="363">
        <v>1</v>
      </c>
      <c r="AC37" s="363">
        <v>26</v>
      </c>
      <c r="AZ37" s="363">
        <v>1</v>
      </c>
      <c r="BA37" s="363">
        <f t="shared" si="7"/>
        <v>0</v>
      </c>
      <c r="BB37" s="363">
        <f t="shared" si="8"/>
        <v>0</v>
      </c>
      <c r="BC37" s="363">
        <f t="shared" si="9"/>
        <v>0</v>
      </c>
      <c r="BD37" s="363">
        <f t="shared" si="10"/>
        <v>0</v>
      </c>
      <c r="BE37" s="363">
        <f t="shared" si="11"/>
        <v>0</v>
      </c>
      <c r="CZ37" s="363">
        <f t="shared" si="12"/>
        <v>0</v>
      </c>
      <c r="DB37" s="363">
        <v>5.5E-2</v>
      </c>
    </row>
    <row r="38" spans="1:106" x14ac:dyDescent="0.2">
      <c r="A38" s="433">
        <v>27</v>
      </c>
      <c r="B38" s="432" t="s">
        <v>492</v>
      </c>
      <c r="C38" s="431" t="s">
        <v>491</v>
      </c>
      <c r="D38" s="430" t="s">
        <v>265</v>
      </c>
      <c r="E38" s="429">
        <v>1</v>
      </c>
      <c r="F38" s="567"/>
      <c r="G38" s="428">
        <f t="shared" si="6"/>
        <v>0</v>
      </c>
      <c r="O38" s="422">
        <v>2</v>
      </c>
      <c r="AA38" s="363">
        <v>12</v>
      </c>
      <c r="AB38" s="363">
        <v>1</v>
      </c>
      <c r="AC38" s="363">
        <v>27</v>
      </c>
      <c r="AZ38" s="363">
        <v>1</v>
      </c>
      <c r="BA38" s="363">
        <f t="shared" si="7"/>
        <v>0</v>
      </c>
      <c r="BB38" s="363">
        <f t="shared" si="8"/>
        <v>0</v>
      </c>
      <c r="BC38" s="363">
        <f t="shared" si="9"/>
        <v>0</v>
      </c>
      <c r="BD38" s="363">
        <f t="shared" si="10"/>
        <v>0</v>
      </c>
      <c r="BE38" s="363">
        <f t="shared" si="11"/>
        <v>0</v>
      </c>
      <c r="CZ38" s="363">
        <f t="shared" si="12"/>
        <v>0</v>
      </c>
      <c r="DB38" s="363">
        <v>0</v>
      </c>
    </row>
    <row r="39" spans="1:106" x14ac:dyDescent="0.2">
      <c r="A39" s="433">
        <v>28</v>
      </c>
      <c r="B39" s="432" t="s">
        <v>490</v>
      </c>
      <c r="C39" s="431" t="s">
        <v>489</v>
      </c>
      <c r="D39" s="430" t="s">
        <v>265</v>
      </c>
      <c r="E39" s="429">
        <v>1</v>
      </c>
      <c r="F39" s="567"/>
      <c r="G39" s="428">
        <f t="shared" si="6"/>
        <v>0</v>
      </c>
      <c r="O39" s="422">
        <v>2</v>
      </c>
      <c r="AA39" s="363">
        <v>12</v>
      </c>
      <c r="AB39" s="363">
        <v>1</v>
      </c>
      <c r="AC39" s="363">
        <v>28</v>
      </c>
      <c r="AZ39" s="363">
        <v>1</v>
      </c>
      <c r="BA39" s="363">
        <f t="shared" si="7"/>
        <v>0</v>
      </c>
      <c r="BB39" s="363">
        <f t="shared" si="8"/>
        <v>0</v>
      </c>
      <c r="BC39" s="363">
        <f t="shared" si="9"/>
        <v>0</v>
      </c>
      <c r="BD39" s="363">
        <f t="shared" si="10"/>
        <v>0</v>
      </c>
      <c r="BE39" s="363">
        <f t="shared" si="11"/>
        <v>0</v>
      </c>
      <c r="CZ39" s="363">
        <f t="shared" si="12"/>
        <v>0</v>
      </c>
      <c r="DB39" s="363">
        <v>0</v>
      </c>
    </row>
    <row r="40" spans="1:106" x14ac:dyDescent="0.2">
      <c r="A40" s="433">
        <v>29</v>
      </c>
      <c r="B40" s="432" t="s">
        <v>778</v>
      </c>
      <c r="C40" s="431" t="s">
        <v>488</v>
      </c>
      <c r="D40" s="430" t="s">
        <v>265</v>
      </c>
      <c r="E40" s="429">
        <v>1</v>
      </c>
      <c r="F40" s="567"/>
      <c r="G40" s="428">
        <f t="shared" si="6"/>
        <v>0</v>
      </c>
      <c r="O40" s="422">
        <v>2</v>
      </c>
      <c r="AA40" s="363">
        <v>12</v>
      </c>
      <c r="AB40" s="363">
        <v>1</v>
      </c>
      <c r="AC40" s="363">
        <v>29</v>
      </c>
      <c r="AZ40" s="363">
        <v>1</v>
      </c>
      <c r="BA40" s="363">
        <f t="shared" si="7"/>
        <v>0</v>
      </c>
      <c r="BB40" s="363">
        <f t="shared" si="8"/>
        <v>0</v>
      </c>
      <c r="BC40" s="363">
        <f t="shared" si="9"/>
        <v>0</v>
      </c>
      <c r="BD40" s="363">
        <f t="shared" si="10"/>
        <v>0</v>
      </c>
      <c r="BE40" s="363">
        <f t="shared" si="11"/>
        <v>0</v>
      </c>
      <c r="CZ40" s="363">
        <f t="shared" si="12"/>
        <v>0.01</v>
      </c>
      <c r="DA40" s="363">
        <v>0.01</v>
      </c>
      <c r="DB40" s="363">
        <v>3.0000000000000001E-3</v>
      </c>
    </row>
    <row r="41" spans="1:106" x14ac:dyDescent="0.2">
      <c r="A41" s="433">
        <v>30</v>
      </c>
      <c r="B41" s="432" t="s">
        <v>781</v>
      </c>
      <c r="C41" s="431" t="s">
        <v>487</v>
      </c>
      <c r="D41" s="430" t="s">
        <v>265</v>
      </c>
      <c r="E41" s="429">
        <v>1</v>
      </c>
      <c r="F41" s="567"/>
      <c r="G41" s="428">
        <f t="shared" si="6"/>
        <v>0</v>
      </c>
      <c r="O41" s="422">
        <v>2</v>
      </c>
      <c r="AA41" s="363">
        <v>12</v>
      </c>
      <c r="AB41" s="363">
        <v>1</v>
      </c>
      <c r="AC41" s="363">
        <v>30</v>
      </c>
      <c r="AZ41" s="363">
        <v>1</v>
      </c>
      <c r="BA41" s="363">
        <f t="shared" si="7"/>
        <v>0</v>
      </c>
      <c r="BB41" s="363">
        <f t="shared" si="8"/>
        <v>0</v>
      </c>
      <c r="BC41" s="363">
        <f t="shared" si="9"/>
        <v>0</v>
      </c>
      <c r="BD41" s="363">
        <f t="shared" si="10"/>
        <v>0</v>
      </c>
      <c r="BE41" s="363">
        <f t="shared" si="11"/>
        <v>0</v>
      </c>
      <c r="CZ41" s="363">
        <f t="shared" si="12"/>
        <v>0.08</v>
      </c>
      <c r="DA41" s="363">
        <v>0.08</v>
      </c>
      <c r="DB41" s="363">
        <v>3.0000000000000001E-3</v>
      </c>
    </row>
    <row r="42" spans="1:106" x14ac:dyDescent="0.2">
      <c r="A42" s="433">
        <v>31</v>
      </c>
      <c r="B42" s="432" t="s">
        <v>779</v>
      </c>
      <c r="C42" s="431" t="s">
        <v>486</v>
      </c>
      <c r="D42" s="430" t="s">
        <v>265</v>
      </c>
      <c r="E42" s="429">
        <v>1</v>
      </c>
      <c r="F42" s="567"/>
      <c r="G42" s="428">
        <f t="shared" si="6"/>
        <v>0</v>
      </c>
      <c r="O42" s="422">
        <v>2</v>
      </c>
      <c r="AA42" s="363">
        <v>12</v>
      </c>
      <c r="AB42" s="363">
        <v>1</v>
      </c>
      <c r="AC42" s="363">
        <v>31</v>
      </c>
      <c r="AZ42" s="363">
        <v>1</v>
      </c>
      <c r="BA42" s="363">
        <f t="shared" si="7"/>
        <v>0</v>
      </c>
      <c r="BB42" s="363">
        <f t="shared" si="8"/>
        <v>0</v>
      </c>
      <c r="BC42" s="363">
        <f t="shared" si="9"/>
        <v>0</v>
      </c>
      <c r="BD42" s="363">
        <f t="shared" si="10"/>
        <v>0</v>
      </c>
      <c r="BE42" s="363">
        <f t="shared" si="11"/>
        <v>0</v>
      </c>
      <c r="CZ42" s="363">
        <f t="shared" si="12"/>
        <v>1.0200000000000001E-2</v>
      </c>
      <c r="DA42" s="363">
        <v>1.0200000000000001E-2</v>
      </c>
      <c r="DB42" s="363">
        <v>6.0000000000000001E-3</v>
      </c>
    </row>
    <row r="43" spans="1:106" x14ac:dyDescent="0.2">
      <c r="A43" s="433">
        <v>32</v>
      </c>
      <c r="B43" s="432" t="s">
        <v>780</v>
      </c>
      <c r="C43" s="431" t="s">
        <v>485</v>
      </c>
      <c r="D43" s="430" t="s">
        <v>265</v>
      </c>
      <c r="E43" s="429">
        <v>1</v>
      </c>
      <c r="F43" s="567"/>
      <c r="G43" s="428">
        <f t="shared" si="6"/>
        <v>0</v>
      </c>
      <c r="O43" s="422">
        <v>2</v>
      </c>
      <c r="AA43" s="363">
        <v>12</v>
      </c>
      <c r="AB43" s="363">
        <v>1</v>
      </c>
      <c r="AC43" s="363">
        <v>32</v>
      </c>
      <c r="AZ43" s="363">
        <v>1</v>
      </c>
      <c r="BA43" s="363">
        <f t="shared" si="7"/>
        <v>0</v>
      </c>
      <c r="BB43" s="363">
        <f t="shared" si="8"/>
        <v>0</v>
      </c>
      <c r="BC43" s="363">
        <f t="shared" si="9"/>
        <v>0</v>
      </c>
      <c r="BD43" s="363">
        <f t="shared" si="10"/>
        <v>0</v>
      </c>
      <c r="BE43" s="363">
        <f t="shared" si="11"/>
        <v>0</v>
      </c>
      <c r="CZ43" s="363">
        <f t="shared" si="12"/>
        <v>2.7E-2</v>
      </c>
      <c r="DA43" s="363">
        <v>2.7E-2</v>
      </c>
      <c r="DB43" s="363">
        <v>7.0000000000000001E-3</v>
      </c>
    </row>
    <row r="44" spans="1:106" x14ac:dyDescent="0.2">
      <c r="A44" s="425"/>
      <c r="B44" s="427" t="s">
        <v>465</v>
      </c>
      <c r="C44" s="426" t="str">
        <f>CONCATENATE(B28," ",C28)</f>
        <v>8 Trubní vedení</v>
      </c>
      <c r="D44" s="425"/>
      <c r="E44" s="424"/>
      <c r="F44" s="568"/>
      <c r="G44" s="423">
        <f>SUM(G28:G43)</f>
        <v>0</v>
      </c>
      <c r="O44" s="422">
        <v>4</v>
      </c>
      <c r="BA44" s="421">
        <f>SUM(BA28:BA43)</f>
        <v>0</v>
      </c>
      <c r="BB44" s="421">
        <f>SUM(BB28:BB43)</f>
        <v>0</v>
      </c>
      <c r="BC44" s="421">
        <f>SUM(BC28:BC43)</f>
        <v>0</v>
      </c>
      <c r="BD44" s="421">
        <f>SUM(BD28:BD43)</f>
        <v>0</v>
      </c>
      <c r="BE44" s="421">
        <f>SUM(BE28:BE43)</f>
        <v>0</v>
      </c>
    </row>
    <row r="45" spans="1:106" x14ac:dyDescent="0.2">
      <c r="A45" s="439" t="s">
        <v>477</v>
      </c>
      <c r="B45" s="438" t="s">
        <v>484</v>
      </c>
      <c r="C45" s="437" t="s">
        <v>483</v>
      </c>
      <c r="D45" s="436"/>
      <c r="E45" s="435"/>
      <c r="F45" s="566"/>
      <c r="G45" s="434"/>
      <c r="O45" s="422">
        <v>1</v>
      </c>
    </row>
    <row r="46" spans="1:106" x14ac:dyDescent="0.2">
      <c r="A46" s="433">
        <v>33</v>
      </c>
      <c r="B46" s="432" t="s">
        <v>482</v>
      </c>
      <c r="C46" s="431" t="s">
        <v>481</v>
      </c>
      <c r="D46" s="430" t="s">
        <v>272</v>
      </c>
      <c r="E46" s="429">
        <v>48</v>
      </c>
      <c r="F46" s="567"/>
      <c r="G46" s="428">
        <f>E46*F46</f>
        <v>0</v>
      </c>
      <c r="O46" s="422">
        <v>2</v>
      </c>
      <c r="AA46" s="363">
        <v>12</v>
      </c>
      <c r="AB46" s="363">
        <v>1</v>
      </c>
      <c r="AC46" s="363">
        <v>33</v>
      </c>
      <c r="AZ46" s="363">
        <v>1</v>
      </c>
      <c r="BA46" s="363">
        <f>IF(AZ46=1,G46,0)</f>
        <v>0</v>
      </c>
      <c r="BB46" s="363">
        <f>IF(AZ46=2,G46,0)</f>
        <v>0</v>
      </c>
      <c r="BC46" s="363">
        <f>IF(AZ46=3,G46,0)</f>
        <v>0</v>
      </c>
      <c r="BD46" s="363">
        <f>IF(AZ46=4,G46,0)</f>
        <v>0</v>
      </c>
      <c r="BE46" s="363">
        <f>IF(AZ46=5,G46,0)</f>
        <v>0</v>
      </c>
      <c r="CZ46" s="363">
        <v>4.2549999999999998E-2</v>
      </c>
    </row>
    <row r="47" spans="1:106" x14ac:dyDescent="0.2">
      <c r="A47" s="425"/>
      <c r="B47" s="427" t="s">
        <v>465</v>
      </c>
      <c r="C47" s="426" t="str">
        <f>CONCATENATE(B45," ",C45)</f>
        <v>91 Doplňující práce na komunikaci</v>
      </c>
      <c r="D47" s="425"/>
      <c r="E47" s="424"/>
      <c r="F47" s="568"/>
      <c r="G47" s="423">
        <f>SUM(G45:G46)</f>
        <v>0</v>
      </c>
      <c r="O47" s="422">
        <v>4</v>
      </c>
      <c r="BA47" s="421">
        <f>SUM(BA45:BA46)</f>
        <v>0</v>
      </c>
      <c r="BB47" s="421">
        <f>SUM(BB45:BB46)</f>
        <v>0</v>
      </c>
      <c r="BC47" s="421">
        <f>SUM(BC45:BC46)</f>
        <v>0</v>
      </c>
      <c r="BD47" s="421">
        <f>SUM(BD45:BD46)</f>
        <v>0</v>
      </c>
      <c r="BE47" s="421">
        <f>SUM(BE45:BE46)</f>
        <v>0</v>
      </c>
    </row>
    <row r="48" spans="1:106" x14ac:dyDescent="0.2">
      <c r="A48" s="439" t="s">
        <v>477</v>
      </c>
      <c r="B48" s="438" t="s">
        <v>480</v>
      </c>
      <c r="C48" s="437" t="s">
        <v>479</v>
      </c>
      <c r="D48" s="436"/>
      <c r="E48" s="435"/>
      <c r="F48" s="566"/>
      <c r="G48" s="434"/>
      <c r="O48" s="422">
        <v>1</v>
      </c>
    </row>
    <row r="49" spans="1:104" x14ac:dyDescent="0.2">
      <c r="A49" s="433">
        <v>34</v>
      </c>
      <c r="B49" s="432" t="s">
        <v>695</v>
      </c>
      <c r="C49" s="431" t="s">
        <v>478</v>
      </c>
      <c r="D49" s="430" t="s">
        <v>82</v>
      </c>
      <c r="E49" s="429">
        <v>56.899000000000001</v>
      </c>
      <c r="F49" s="567"/>
      <c r="G49" s="428">
        <f>E49*F49</f>
        <v>0</v>
      </c>
      <c r="O49" s="422">
        <v>2</v>
      </c>
      <c r="AA49" s="363">
        <v>12</v>
      </c>
      <c r="AB49" s="363">
        <v>1</v>
      </c>
      <c r="AC49" s="363">
        <v>34</v>
      </c>
      <c r="AZ49" s="363">
        <v>1</v>
      </c>
      <c r="BA49" s="363">
        <f>IF(AZ49=1,G49,0)</f>
        <v>0</v>
      </c>
      <c r="BB49" s="363">
        <f>IF(AZ49=2,G49,0)</f>
        <v>0</v>
      </c>
      <c r="BC49" s="363">
        <f>IF(AZ49=3,G49,0)</f>
        <v>0</v>
      </c>
      <c r="BD49" s="363">
        <f>IF(AZ49=4,G49,0)</f>
        <v>0</v>
      </c>
      <c r="BE49" s="363">
        <f>IF(AZ49=5,G49,0)</f>
        <v>0</v>
      </c>
      <c r="CZ49" s="363">
        <v>0</v>
      </c>
    </row>
    <row r="50" spans="1:104" x14ac:dyDescent="0.2">
      <c r="A50" s="425"/>
      <c r="B50" s="427" t="s">
        <v>465</v>
      </c>
      <c r="C50" s="426" t="str">
        <f>CONCATENATE(B48," ",C48)</f>
        <v>99 Staveništní přesun hmot</v>
      </c>
      <c r="D50" s="425"/>
      <c r="E50" s="424"/>
      <c r="F50" s="568"/>
      <c r="G50" s="423">
        <f>SUM(G48:G49)</f>
        <v>0</v>
      </c>
      <c r="O50" s="422">
        <v>4</v>
      </c>
      <c r="BA50" s="421">
        <f>SUM(BA48:BA49)</f>
        <v>0</v>
      </c>
      <c r="BB50" s="421">
        <f>SUM(BB48:BB49)</f>
        <v>0</v>
      </c>
      <c r="BC50" s="421">
        <f>SUM(BC48:BC49)</f>
        <v>0</v>
      </c>
      <c r="BD50" s="421">
        <f>SUM(BD48:BD49)</f>
        <v>0</v>
      </c>
      <c r="BE50" s="421">
        <f>SUM(BE48:BE49)</f>
        <v>0</v>
      </c>
    </row>
    <row r="51" spans="1:104" x14ac:dyDescent="0.2">
      <c r="A51" s="439" t="s">
        <v>477</v>
      </c>
      <c r="B51" s="438" t="s">
        <v>476</v>
      </c>
      <c r="C51" s="437" t="s">
        <v>475</v>
      </c>
      <c r="D51" s="436"/>
      <c r="E51" s="435"/>
      <c r="F51" s="566"/>
      <c r="G51" s="434"/>
      <c r="O51" s="422">
        <v>1</v>
      </c>
    </row>
    <row r="52" spans="1:104" x14ac:dyDescent="0.2">
      <c r="A52" s="433">
        <v>35</v>
      </c>
      <c r="B52" s="432" t="s">
        <v>474</v>
      </c>
      <c r="C52" s="431" t="s">
        <v>473</v>
      </c>
      <c r="D52" s="430" t="s">
        <v>265</v>
      </c>
      <c r="E52" s="429">
        <v>1</v>
      </c>
      <c r="F52" s="567"/>
      <c r="G52" s="428">
        <f>E52*F52</f>
        <v>0</v>
      </c>
      <c r="O52" s="422">
        <v>2</v>
      </c>
      <c r="AA52" s="363">
        <v>12</v>
      </c>
      <c r="AB52" s="363">
        <v>7</v>
      </c>
      <c r="AC52" s="363">
        <v>35</v>
      </c>
      <c r="AZ52" s="363">
        <v>2</v>
      </c>
      <c r="BA52" s="363">
        <f>IF(AZ52=1,G52,0)</f>
        <v>0</v>
      </c>
      <c r="BB52" s="363">
        <f>IF(AZ52=2,G52,0)</f>
        <v>0</v>
      </c>
      <c r="BC52" s="363">
        <f>IF(AZ52=3,G52,0)</f>
        <v>0</v>
      </c>
      <c r="BD52" s="363">
        <f>IF(AZ52=4,G52,0)</f>
        <v>0</v>
      </c>
      <c r="BE52" s="363">
        <f>IF(AZ52=5,G52,0)</f>
        <v>0</v>
      </c>
      <c r="CZ52" s="363">
        <v>6.0000000000000002E-5</v>
      </c>
    </row>
    <row r="53" spans="1:104" x14ac:dyDescent="0.2">
      <c r="A53" s="433">
        <v>36</v>
      </c>
      <c r="B53" s="432" t="s">
        <v>472</v>
      </c>
      <c r="C53" s="431" t="s">
        <v>471</v>
      </c>
      <c r="D53" s="430" t="s">
        <v>265</v>
      </c>
      <c r="E53" s="429">
        <v>3</v>
      </c>
      <c r="F53" s="567"/>
      <c r="G53" s="428">
        <f>E53*F53</f>
        <v>0</v>
      </c>
      <c r="O53" s="422">
        <v>2</v>
      </c>
      <c r="AA53" s="363">
        <v>12</v>
      </c>
      <c r="AB53" s="363">
        <v>7</v>
      </c>
      <c r="AC53" s="363">
        <v>36</v>
      </c>
      <c r="AZ53" s="363">
        <v>2</v>
      </c>
      <c r="BA53" s="363">
        <f>IF(AZ53=1,G53,0)</f>
        <v>0</v>
      </c>
      <c r="BB53" s="363">
        <f>IF(AZ53=2,G53,0)</f>
        <v>0</v>
      </c>
      <c r="BC53" s="363">
        <f>IF(AZ53=3,G53,0)</f>
        <v>0</v>
      </c>
      <c r="BD53" s="363">
        <f>IF(AZ53=4,G53,0)</f>
        <v>0</v>
      </c>
      <c r="BE53" s="363">
        <f>IF(AZ53=5,G53,0)</f>
        <v>0</v>
      </c>
      <c r="CZ53" s="363">
        <v>2.0000000000000002E-5</v>
      </c>
    </row>
    <row r="54" spans="1:104" x14ac:dyDescent="0.2">
      <c r="A54" s="433">
        <v>37</v>
      </c>
      <c r="B54" s="432" t="s">
        <v>770</v>
      </c>
      <c r="C54" s="431" t="s">
        <v>469</v>
      </c>
      <c r="D54" s="430" t="s">
        <v>265</v>
      </c>
      <c r="E54" s="429">
        <v>1</v>
      </c>
      <c r="F54" s="567"/>
      <c r="G54" s="428">
        <f>E54*F54</f>
        <v>0</v>
      </c>
      <c r="O54" s="422">
        <v>2</v>
      </c>
      <c r="AA54" s="363">
        <v>12</v>
      </c>
      <c r="AB54" s="363">
        <v>7</v>
      </c>
      <c r="AC54" s="363">
        <v>37</v>
      </c>
      <c r="AZ54" s="363">
        <v>2</v>
      </c>
      <c r="BA54" s="363">
        <f>IF(AZ54=1,G54,0)</f>
        <v>0</v>
      </c>
      <c r="BB54" s="363">
        <f>IF(AZ54=2,G54,0)</f>
        <v>0</v>
      </c>
      <c r="BC54" s="363">
        <f>IF(AZ54=3,G54,0)</f>
        <v>0</v>
      </c>
      <c r="BD54" s="363">
        <f>IF(AZ54=4,G54,0)</f>
        <v>0</v>
      </c>
      <c r="BE54" s="363">
        <f>IF(AZ54=5,G54,0)</f>
        <v>0</v>
      </c>
      <c r="CZ54" s="363">
        <v>2E-3</v>
      </c>
    </row>
    <row r="55" spans="1:104" x14ac:dyDescent="0.2">
      <c r="A55" s="433">
        <v>38</v>
      </c>
      <c r="B55" s="432" t="s">
        <v>771</v>
      </c>
      <c r="C55" s="431" t="s">
        <v>467</v>
      </c>
      <c r="D55" s="430" t="s">
        <v>265</v>
      </c>
      <c r="E55" s="429">
        <v>2</v>
      </c>
      <c r="F55" s="567"/>
      <c r="G55" s="428">
        <f>E55*F55</f>
        <v>0</v>
      </c>
      <c r="O55" s="422">
        <v>2</v>
      </c>
      <c r="AA55" s="363">
        <v>12</v>
      </c>
      <c r="AB55" s="363">
        <v>7</v>
      </c>
      <c r="AC55" s="363">
        <v>38</v>
      </c>
      <c r="AZ55" s="363">
        <v>2</v>
      </c>
      <c r="BA55" s="363">
        <f>IF(AZ55=1,G55,0)</f>
        <v>0</v>
      </c>
      <c r="BB55" s="363">
        <f>IF(AZ55=2,G55,0)</f>
        <v>0</v>
      </c>
      <c r="BC55" s="363">
        <f>IF(AZ55=3,G55,0)</f>
        <v>0</v>
      </c>
      <c r="BD55" s="363">
        <f>IF(AZ55=4,G55,0)</f>
        <v>0</v>
      </c>
      <c r="BE55" s="363">
        <f>IF(AZ55=5,G55,0)</f>
        <v>0</v>
      </c>
      <c r="CZ55" s="363">
        <v>5.0000000000000001E-3</v>
      </c>
    </row>
    <row r="56" spans="1:104" x14ac:dyDescent="0.2">
      <c r="A56" s="433">
        <v>39</v>
      </c>
      <c r="B56" s="432" t="s">
        <v>772</v>
      </c>
      <c r="C56" s="431" t="s">
        <v>466</v>
      </c>
      <c r="D56" s="430" t="s">
        <v>265</v>
      </c>
      <c r="E56" s="429">
        <v>1</v>
      </c>
      <c r="F56" s="567"/>
      <c r="G56" s="428">
        <f>E56*F56</f>
        <v>0</v>
      </c>
      <c r="O56" s="422">
        <v>2</v>
      </c>
      <c r="AA56" s="363">
        <v>12</v>
      </c>
      <c r="AB56" s="363">
        <v>7</v>
      </c>
      <c r="AC56" s="363">
        <v>39</v>
      </c>
      <c r="AZ56" s="363">
        <v>2</v>
      </c>
      <c r="BA56" s="363">
        <f>IF(AZ56=1,G56,0)</f>
        <v>0</v>
      </c>
      <c r="BB56" s="363">
        <f>IF(AZ56=2,G56,0)</f>
        <v>0</v>
      </c>
      <c r="BC56" s="363">
        <f>IF(AZ56=3,G56,0)</f>
        <v>0</v>
      </c>
      <c r="BD56" s="363">
        <f>IF(AZ56=4,G56,0)</f>
        <v>0</v>
      </c>
      <c r="BE56" s="363">
        <f>IF(AZ56=5,G56,0)</f>
        <v>0</v>
      </c>
      <c r="CZ56" s="363">
        <v>5.0000000000000001E-3</v>
      </c>
    </row>
    <row r="57" spans="1:104" x14ac:dyDescent="0.2">
      <c r="A57" s="425"/>
      <c r="B57" s="427" t="s">
        <v>465</v>
      </c>
      <c r="C57" s="426" t="str">
        <f>CONCATENATE(B51," ",C51)</f>
        <v>722 Vnitřní vodovod</v>
      </c>
      <c r="D57" s="425"/>
      <c r="E57" s="424"/>
      <c r="F57" s="568"/>
      <c r="G57" s="423">
        <f>SUM(G51:G56)</f>
        <v>0</v>
      </c>
      <c r="O57" s="422">
        <v>4</v>
      </c>
      <c r="BA57" s="421">
        <f>SUM(BA51:BA56)</f>
        <v>0</v>
      </c>
      <c r="BB57" s="421">
        <f>SUM(BB51:BB56)</f>
        <v>0</v>
      </c>
      <c r="BC57" s="421">
        <f>SUM(BC51:BC56)</f>
        <v>0</v>
      </c>
      <c r="BD57" s="421">
        <f>SUM(BD51:BD56)</f>
        <v>0</v>
      </c>
      <c r="BE57" s="421">
        <f>SUM(BE51:BE56)</f>
        <v>0</v>
      </c>
    </row>
    <row r="58" spans="1:104" x14ac:dyDescent="0.2">
      <c r="E58" s="363"/>
      <c r="CZ58" s="363">
        <f>SUM(CZ7:CZ57)</f>
        <v>54.661653999999999</v>
      </c>
    </row>
    <row r="59" spans="1:104" x14ac:dyDescent="0.2">
      <c r="E59" s="363"/>
      <c r="G59" s="625">
        <f>SUM(G57,G50,G47,G44,G27,G23)</f>
        <v>0</v>
      </c>
    </row>
    <row r="60" spans="1:104" x14ac:dyDescent="0.2">
      <c r="E60" s="363"/>
      <c r="G60" s="625">
        <f>'2-Rekapitulace'!HSV+'2-Rekapitulace'!PSV</f>
        <v>0</v>
      </c>
    </row>
    <row r="61" spans="1:104" x14ac:dyDescent="0.2">
      <c r="E61" s="363"/>
    </row>
    <row r="62" spans="1:104" x14ac:dyDescent="0.2">
      <c r="E62" s="363"/>
    </row>
    <row r="63" spans="1:104" x14ac:dyDescent="0.2">
      <c r="E63" s="363"/>
    </row>
    <row r="64" spans="1:104" x14ac:dyDescent="0.2">
      <c r="E64" s="363"/>
    </row>
    <row r="65" s="363" customFormat="1" x14ac:dyDescent="0.2"/>
    <row r="66" s="363" customFormat="1" x14ac:dyDescent="0.2"/>
    <row r="67" s="363" customFormat="1" x14ac:dyDescent="0.2"/>
    <row r="68" s="363" customFormat="1" x14ac:dyDescent="0.2"/>
    <row r="69" s="363" customFormat="1" x14ac:dyDescent="0.2"/>
    <row r="70" s="363" customFormat="1" x14ac:dyDescent="0.2"/>
    <row r="71" s="363" customFormat="1" x14ac:dyDescent="0.2"/>
    <row r="72" s="363" customFormat="1" x14ac:dyDescent="0.2"/>
    <row r="73" s="363" customFormat="1" x14ac:dyDescent="0.2"/>
    <row r="74" s="363" customFormat="1" x14ac:dyDescent="0.2"/>
    <row r="75" s="363" customFormat="1" x14ac:dyDescent="0.2"/>
    <row r="76" s="363" customFormat="1" x14ac:dyDescent="0.2"/>
    <row r="77" s="363" customFormat="1" x14ac:dyDescent="0.2"/>
    <row r="78" s="363" customFormat="1" x14ac:dyDescent="0.2"/>
    <row r="79" s="363" customFormat="1" x14ac:dyDescent="0.2"/>
    <row r="80" s="363" customFormat="1" x14ac:dyDescent="0.2"/>
    <row r="81" spans="5:5" x14ac:dyDescent="0.2">
      <c r="E81" s="363"/>
    </row>
    <row r="82" spans="5:5" x14ac:dyDescent="0.2">
      <c r="E82" s="363"/>
    </row>
    <row r="83" spans="5:5" x14ac:dyDescent="0.2">
      <c r="E83" s="363"/>
    </row>
    <row r="84" spans="5:5" x14ac:dyDescent="0.2">
      <c r="E84" s="363"/>
    </row>
    <row r="85" spans="5:5" x14ac:dyDescent="0.2">
      <c r="E85" s="363"/>
    </row>
    <row r="86" spans="5:5" x14ac:dyDescent="0.2">
      <c r="E86" s="363"/>
    </row>
    <row r="87" spans="5:5" x14ac:dyDescent="0.2">
      <c r="E87" s="363"/>
    </row>
    <row r="88" spans="5:5" x14ac:dyDescent="0.2">
      <c r="E88" s="363"/>
    </row>
    <row r="89" spans="5:5" x14ac:dyDescent="0.2">
      <c r="E89" s="363"/>
    </row>
    <row r="90" spans="5:5" x14ac:dyDescent="0.2">
      <c r="E90" s="363"/>
    </row>
    <row r="91" spans="5:5" x14ac:dyDescent="0.2">
      <c r="E91" s="363"/>
    </row>
    <row r="92" spans="5:5" x14ac:dyDescent="0.2">
      <c r="E92" s="363"/>
    </row>
    <row r="93" spans="5:5" x14ac:dyDescent="0.2">
      <c r="E93" s="363"/>
    </row>
    <row r="94" spans="5:5" x14ac:dyDescent="0.2">
      <c r="E94" s="363"/>
    </row>
    <row r="95" spans="5:5" x14ac:dyDescent="0.2">
      <c r="E95" s="363"/>
    </row>
    <row r="96" spans="5:5" x14ac:dyDescent="0.2">
      <c r="E96" s="363"/>
    </row>
    <row r="97" s="363" customFormat="1" x14ac:dyDescent="0.2"/>
    <row r="98" s="363" customFormat="1" x14ac:dyDescent="0.2"/>
    <row r="99" s="363" customFormat="1" x14ac:dyDescent="0.2"/>
    <row r="100" s="363" customFormat="1" x14ac:dyDescent="0.2"/>
    <row r="101" s="363" customFormat="1" x14ac:dyDescent="0.2"/>
    <row r="102" s="363" customFormat="1" x14ac:dyDescent="0.2"/>
    <row r="103" s="363" customFormat="1" x14ac:dyDescent="0.2"/>
    <row r="104" s="363" customFormat="1" x14ac:dyDescent="0.2"/>
    <row r="105" s="363" customFormat="1" x14ac:dyDescent="0.2"/>
    <row r="106" s="363" customFormat="1" x14ac:dyDescent="0.2"/>
    <row r="107" s="363" customFormat="1" x14ac:dyDescent="0.2"/>
    <row r="108" s="363" customFormat="1" x14ac:dyDescent="0.2"/>
    <row r="109" s="363" customFormat="1" x14ac:dyDescent="0.2"/>
    <row r="110" s="363" customFormat="1" x14ac:dyDescent="0.2"/>
    <row r="111" s="363" customFormat="1" x14ac:dyDescent="0.2"/>
    <row r="112" s="363" customFormat="1" x14ac:dyDescent="0.2"/>
    <row r="113" spans="1:7" x14ac:dyDescent="0.2">
      <c r="E113" s="363"/>
    </row>
    <row r="114" spans="1:7" x14ac:dyDescent="0.2">
      <c r="E114" s="363"/>
    </row>
    <row r="115" spans="1:7" x14ac:dyDescent="0.2">
      <c r="E115" s="363"/>
    </row>
    <row r="116" spans="1:7" x14ac:dyDescent="0.2">
      <c r="A116" s="365"/>
      <c r="B116" s="365"/>
    </row>
    <row r="117" spans="1:7" x14ac:dyDescent="0.2">
      <c r="C117" s="367"/>
      <c r="D117" s="367"/>
      <c r="E117" s="368"/>
      <c r="F117" s="367"/>
      <c r="G117" s="366"/>
    </row>
    <row r="118" spans="1:7" x14ac:dyDescent="0.2">
      <c r="A118" s="365"/>
      <c r="B118" s="365"/>
    </row>
  </sheetData>
  <sheetProtection algorithmName="SHA-512" hashValue="gGzT7b/ipl5lM2s54/JNxxSyxKkHgCrqLbD61E9pQqzChtf5RFz3beulXZV40rS65CysysoitP+Rg82POViy8Q==" saltValue="qXPs+L3f2A6wUxjzpBOkNQ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181</vt:i4>
      </vt:variant>
    </vt:vector>
  </HeadingPairs>
  <TitlesOfParts>
    <vt:vector size="196" baseType="lpstr">
      <vt:lpstr>Souhrn</vt:lpstr>
      <vt:lpstr>1-Krycí list</vt:lpstr>
      <vt:lpstr>1-Rekapitulace</vt:lpstr>
      <vt:lpstr>1-Položky</vt:lpstr>
      <vt:lpstr>ZTI</vt:lpstr>
      <vt:lpstr>elektro</vt:lpstr>
      <vt:lpstr>2-Krycí list</vt:lpstr>
      <vt:lpstr>2-Rekapitulace</vt:lpstr>
      <vt:lpstr>2-Položky</vt:lpstr>
      <vt:lpstr>3-Krycí list</vt:lpstr>
      <vt:lpstr>3-Rekapitulace</vt:lpstr>
      <vt:lpstr>3-Položky</vt:lpstr>
      <vt:lpstr>4-Krycí list</vt:lpstr>
      <vt:lpstr>4-Rekapitulace</vt:lpstr>
      <vt:lpstr>4-Položky</vt:lpstr>
      <vt:lpstr>'2-Krycí list'!cisloobjektu</vt:lpstr>
      <vt:lpstr>'2-Položky'!cisloobjektu</vt:lpstr>
      <vt:lpstr>'2-Rekapitulace'!cisloobjektu</vt:lpstr>
      <vt:lpstr>'3-Krycí list'!cisloobjektu</vt:lpstr>
      <vt:lpstr>'3-Položky'!cisloobjektu</vt:lpstr>
      <vt:lpstr>'3-Rekapitulace'!cisloobjektu</vt:lpstr>
      <vt:lpstr>'2-Krycí list'!cislostavby</vt:lpstr>
      <vt:lpstr>'2-Položky'!cislostavby</vt:lpstr>
      <vt:lpstr>'2-Rekapitulace'!cislostavby</vt:lpstr>
      <vt:lpstr>'3-Krycí list'!cislostavby</vt:lpstr>
      <vt:lpstr>'3-Položky'!cislostavby</vt:lpstr>
      <vt:lpstr>'3-Rekapitulace'!cislostavby</vt:lpstr>
      <vt:lpstr>'2-Krycí list'!Datum</vt:lpstr>
      <vt:lpstr>'2-Položky'!Datum</vt:lpstr>
      <vt:lpstr>'2-Rekapitulace'!Datum</vt:lpstr>
      <vt:lpstr>'3-Krycí list'!Datum</vt:lpstr>
      <vt:lpstr>'3-Položky'!Datum</vt:lpstr>
      <vt:lpstr>'3-Rekapitulace'!Datum</vt:lpstr>
      <vt:lpstr>'2-Položky'!Dil</vt:lpstr>
      <vt:lpstr>'2-Rekapitulace'!Dil</vt:lpstr>
      <vt:lpstr>'3-Položky'!Dil</vt:lpstr>
      <vt:lpstr>'3-Rekapitulace'!Dil</vt:lpstr>
      <vt:lpstr>ZTI!Dil</vt:lpstr>
      <vt:lpstr>'2-Krycí list'!Dodavka</vt:lpstr>
      <vt:lpstr>'2-Položky'!Dodavka</vt:lpstr>
      <vt:lpstr>'2-Rekapitulace'!Dodavka</vt:lpstr>
      <vt:lpstr>'3-Krycí list'!Dodavka</vt:lpstr>
      <vt:lpstr>'3-Položky'!Dodavka</vt:lpstr>
      <vt:lpstr>'3-Rekapitulace'!Dodavka</vt:lpstr>
      <vt:lpstr>'2-Krycí list'!HSV</vt:lpstr>
      <vt:lpstr>'2-Položky'!HSV</vt:lpstr>
      <vt:lpstr>'2-Rekapitulace'!HSV</vt:lpstr>
      <vt:lpstr>'3-Krycí list'!HSV</vt:lpstr>
      <vt:lpstr>'3-Položky'!HSV</vt:lpstr>
      <vt:lpstr>'3-Rekapitulace'!HSV</vt:lpstr>
      <vt:lpstr>ZTI!HSV</vt:lpstr>
      <vt:lpstr>'2-Krycí list'!HZS</vt:lpstr>
      <vt:lpstr>'2-Položky'!HZS</vt:lpstr>
      <vt:lpstr>'2-Rekapitulace'!HZS</vt:lpstr>
      <vt:lpstr>'3-Krycí list'!HZS</vt:lpstr>
      <vt:lpstr>'3-Položky'!HZS</vt:lpstr>
      <vt:lpstr>'3-Rekapitulace'!HZS</vt:lpstr>
      <vt:lpstr>ZTI!HZS</vt:lpstr>
      <vt:lpstr>'2-Krycí list'!JKSO</vt:lpstr>
      <vt:lpstr>'2-Položky'!JKSO</vt:lpstr>
      <vt:lpstr>'2-Rekapitulace'!JKSO</vt:lpstr>
      <vt:lpstr>'3-Krycí list'!JKSO</vt:lpstr>
      <vt:lpstr>'3-Položky'!JKSO</vt:lpstr>
      <vt:lpstr>'3-Rekapitulace'!JKSO</vt:lpstr>
      <vt:lpstr>'2-Krycí list'!MJ</vt:lpstr>
      <vt:lpstr>'2-Položky'!MJ</vt:lpstr>
      <vt:lpstr>'2-Rekapitulace'!MJ</vt:lpstr>
      <vt:lpstr>'3-Krycí list'!MJ</vt:lpstr>
      <vt:lpstr>'3-Položky'!MJ</vt:lpstr>
      <vt:lpstr>'3-Rekapitulace'!MJ</vt:lpstr>
      <vt:lpstr>'2-Krycí list'!Mont</vt:lpstr>
      <vt:lpstr>'2-Položky'!Mont</vt:lpstr>
      <vt:lpstr>'2-Rekapitulace'!Mont</vt:lpstr>
      <vt:lpstr>'3-Krycí list'!Mont</vt:lpstr>
      <vt:lpstr>'3-Položky'!Mont</vt:lpstr>
      <vt:lpstr>'3-Rekapitulace'!Mont</vt:lpstr>
      <vt:lpstr>ZTI!Mont</vt:lpstr>
      <vt:lpstr>'2-Položky'!NazevDilu</vt:lpstr>
      <vt:lpstr>'2-Rekapitulace'!NazevDilu</vt:lpstr>
      <vt:lpstr>'3-Položky'!NazevDilu</vt:lpstr>
      <vt:lpstr>'3-Rekapitulace'!NazevDilu</vt:lpstr>
      <vt:lpstr>ZTI!NazevDilu</vt:lpstr>
      <vt:lpstr>'2-Krycí list'!nazevobjektu</vt:lpstr>
      <vt:lpstr>'2-Položky'!nazevobjektu</vt:lpstr>
      <vt:lpstr>'2-Rekapitulace'!nazevobjektu</vt:lpstr>
      <vt:lpstr>'3-Krycí list'!nazevobjektu</vt:lpstr>
      <vt:lpstr>'3-Položky'!nazevobjektu</vt:lpstr>
      <vt:lpstr>'3-Rekapitulace'!nazevobjektu</vt:lpstr>
      <vt:lpstr>'2-Krycí list'!nazevstavby</vt:lpstr>
      <vt:lpstr>'2-Položky'!nazevstavby</vt:lpstr>
      <vt:lpstr>'2-Rekapitulace'!nazevstavby</vt:lpstr>
      <vt:lpstr>'3-Krycí list'!nazevstavby</vt:lpstr>
      <vt:lpstr>'3-Položky'!nazevstavby</vt:lpstr>
      <vt:lpstr>'3-Rekapitulace'!nazevstavby</vt:lpstr>
      <vt:lpstr>'2-Položky'!Názvy_tisku</vt:lpstr>
      <vt:lpstr>'2-Rekapitulace'!Názvy_tisku</vt:lpstr>
      <vt:lpstr>'3-Položky'!Názvy_tisku</vt:lpstr>
      <vt:lpstr>'3-Rekapitulace'!Názvy_tisku</vt:lpstr>
      <vt:lpstr>ZTI!Názvy_tisku</vt:lpstr>
      <vt:lpstr>'2-Krycí list'!Objednatel</vt:lpstr>
      <vt:lpstr>'2-Položky'!Objednatel</vt:lpstr>
      <vt:lpstr>'2-Rekapitulace'!Objednatel</vt:lpstr>
      <vt:lpstr>'3-Krycí list'!Objednatel</vt:lpstr>
      <vt:lpstr>'3-Položky'!Objednatel</vt:lpstr>
      <vt:lpstr>'3-Rekapitulace'!Objednatel</vt:lpstr>
      <vt:lpstr>'1-Krycí list'!Oblast_tisku</vt:lpstr>
      <vt:lpstr>'1-Položky'!Oblast_tisku</vt:lpstr>
      <vt:lpstr>'1-Rekapitulace'!Oblast_tisku</vt:lpstr>
      <vt:lpstr>'2-Krycí list'!Oblast_tisku</vt:lpstr>
      <vt:lpstr>'2-Položky'!Oblast_tisku</vt:lpstr>
      <vt:lpstr>'2-Rekapitulace'!Oblast_tisku</vt:lpstr>
      <vt:lpstr>'3-Krycí list'!Oblast_tisku</vt:lpstr>
      <vt:lpstr>'3-Položky'!Oblast_tisku</vt:lpstr>
      <vt:lpstr>'3-Rekapitulace'!Oblast_tisku</vt:lpstr>
      <vt:lpstr>'4-Krycí list'!Oblast_tisku</vt:lpstr>
      <vt:lpstr>'4-Položky'!Oblast_tisku</vt:lpstr>
      <vt:lpstr>'4-Rekapitulace'!Oblast_tisku</vt:lpstr>
      <vt:lpstr>elektro!Oblast_tisku</vt:lpstr>
      <vt:lpstr>Souhrn!Oblast_tisku</vt:lpstr>
      <vt:lpstr>ZTI!Oblast_tisku</vt:lpstr>
      <vt:lpstr>'2-Krycí list'!PocetMJ</vt:lpstr>
      <vt:lpstr>'2-Položky'!PocetMJ</vt:lpstr>
      <vt:lpstr>'2-Rekapitulace'!PocetMJ</vt:lpstr>
      <vt:lpstr>'3-Krycí list'!PocetMJ</vt:lpstr>
      <vt:lpstr>'3-Položky'!PocetMJ</vt:lpstr>
      <vt:lpstr>'3-Rekapitulace'!PocetMJ</vt:lpstr>
      <vt:lpstr>'2-Krycí list'!Poznamka</vt:lpstr>
      <vt:lpstr>'2-Položky'!Poznamka</vt:lpstr>
      <vt:lpstr>'2-Rekapitulace'!Poznamka</vt:lpstr>
      <vt:lpstr>'3-Krycí list'!Poznamka</vt:lpstr>
      <vt:lpstr>'3-Položky'!Poznamka</vt:lpstr>
      <vt:lpstr>'3-Rekapitulace'!Poznamka</vt:lpstr>
      <vt:lpstr>'2-Krycí list'!Projektant</vt:lpstr>
      <vt:lpstr>'2-Položky'!Projektant</vt:lpstr>
      <vt:lpstr>'2-Rekapitulace'!Projektant</vt:lpstr>
      <vt:lpstr>'3-Krycí list'!Projektant</vt:lpstr>
      <vt:lpstr>'3-Položky'!Projektant</vt:lpstr>
      <vt:lpstr>'3-Rekapitulace'!Projektant</vt:lpstr>
      <vt:lpstr>'2-Krycí list'!PSV</vt:lpstr>
      <vt:lpstr>'2-Položky'!PSV</vt:lpstr>
      <vt:lpstr>'2-Rekapitulace'!PSV</vt:lpstr>
      <vt:lpstr>'3-Krycí list'!PSV</vt:lpstr>
      <vt:lpstr>'3-Položky'!PSV</vt:lpstr>
      <vt:lpstr>'3-Rekapitulace'!PSV</vt:lpstr>
      <vt:lpstr>ZTI!PSV</vt:lpstr>
      <vt:lpstr>'2-Položky'!SloupecCC</vt:lpstr>
      <vt:lpstr>'3-Položky'!SloupecCC</vt:lpstr>
      <vt:lpstr>ZTI!SloupecCC</vt:lpstr>
      <vt:lpstr>'2-Položky'!SloupecCisloPol</vt:lpstr>
      <vt:lpstr>'3-Položky'!SloupecCisloPol</vt:lpstr>
      <vt:lpstr>ZTI!SloupecCisloPol</vt:lpstr>
      <vt:lpstr>'2-Položky'!SloupecJC</vt:lpstr>
      <vt:lpstr>'3-Položky'!SloupecJC</vt:lpstr>
      <vt:lpstr>ZTI!SloupecJC</vt:lpstr>
      <vt:lpstr>'2-Položky'!SloupecMJ</vt:lpstr>
      <vt:lpstr>'3-Položky'!SloupecMJ</vt:lpstr>
      <vt:lpstr>ZTI!SloupecMJ</vt:lpstr>
      <vt:lpstr>'2-Položky'!SloupecMnozstvi</vt:lpstr>
      <vt:lpstr>'3-Položky'!SloupecMnozstvi</vt:lpstr>
      <vt:lpstr>ZTI!SloupecMnozstvi</vt:lpstr>
      <vt:lpstr>'2-Položky'!SloupecNazPol</vt:lpstr>
      <vt:lpstr>'3-Položky'!SloupecNazPol</vt:lpstr>
      <vt:lpstr>ZTI!SloupecNazPol</vt:lpstr>
      <vt:lpstr>'2-Položky'!SloupecPC</vt:lpstr>
      <vt:lpstr>'3-Položky'!SloupecPC</vt:lpstr>
      <vt:lpstr>ZTI!SloupecPC</vt:lpstr>
      <vt:lpstr>'2-Krycí list'!VRN</vt:lpstr>
      <vt:lpstr>'2-Položky'!VRN</vt:lpstr>
      <vt:lpstr>'2-Rekapitulace'!VRN</vt:lpstr>
      <vt:lpstr>'3-Krycí list'!VRN</vt:lpstr>
      <vt:lpstr>'3-Položky'!VRN</vt:lpstr>
      <vt:lpstr>'3-Rekapitulace'!VRN</vt:lpstr>
      <vt:lpstr>'2-Krycí list'!Zakazka</vt:lpstr>
      <vt:lpstr>'2-Položky'!Zakazka</vt:lpstr>
      <vt:lpstr>'2-Rekapitulace'!Zakazka</vt:lpstr>
      <vt:lpstr>'3-Krycí list'!Zakazka</vt:lpstr>
      <vt:lpstr>'3-Položky'!Zakazka</vt:lpstr>
      <vt:lpstr>'3-Rekapitulace'!Zakazka</vt:lpstr>
      <vt:lpstr>'2-Krycí list'!Zaklad22</vt:lpstr>
      <vt:lpstr>'2-Položky'!Zaklad22</vt:lpstr>
      <vt:lpstr>'2-Rekapitulace'!Zaklad22</vt:lpstr>
      <vt:lpstr>'3-Krycí list'!Zaklad22</vt:lpstr>
      <vt:lpstr>'3-Položky'!Zaklad22</vt:lpstr>
      <vt:lpstr>'3-Rekapitulace'!Zaklad22</vt:lpstr>
      <vt:lpstr>'2-Krycí list'!Zaklad5</vt:lpstr>
      <vt:lpstr>'2-Položky'!Zaklad5</vt:lpstr>
      <vt:lpstr>'2-Rekapitulace'!Zaklad5</vt:lpstr>
      <vt:lpstr>'3-Krycí list'!Zaklad5</vt:lpstr>
      <vt:lpstr>'3-Položky'!Zaklad5</vt:lpstr>
      <vt:lpstr>'3-Rekapitulace'!Zaklad5</vt:lpstr>
      <vt:lpstr>'2-Krycí list'!Zhotovitel</vt:lpstr>
      <vt:lpstr>'2-Položky'!Zhotovitel</vt:lpstr>
      <vt:lpstr>'2-Rekapitulace'!Zhotovitel</vt:lpstr>
      <vt:lpstr>'3-Krycí list'!Zhotovitel</vt:lpstr>
      <vt:lpstr>'3-Položky'!Zhotovitel</vt:lpstr>
      <vt:lpstr>'3-Rekapitulace'!Zhotovitel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Petr Löffler</cp:lastModifiedBy>
  <cp:lastPrinted>2024-10-14T09:27:51Z</cp:lastPrinted>
  <dcterms:created xsi:type="dcterms:W3CDTF">2015-06-05T18:19:34Z</dcterms:created>
  <dcterms:modified xsi:type="dcterms:W3CDTF">2025-01-15T11:12:16Z</dcterms:modified>
</cp:coreProperties>
</file>